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fileSharing readOnlyRecommended="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iscilaSoares\Downloads\"/>
    </mc:Choice>
  </mc:AlternateContent>
  <xr:revisionPtr revIDLastSave="3294" documentId="8_{A42D1EBC-B07E-47FA-B89E-1D0161328C46}" xr6:coauthVersionLast="47" xr6:coauthVersionMax="47" xr10:uidLastSave="{C6040F93-E476-4C9D-8F09-E48656B99257}"/>
  <bookViews>
    <workbookView xWindow="-120" yWindow="-120" windowWidth="29040" windowHeight="15720" firstSheet="4" activeTab="5" xr2:uid="{00000000-000D-0000-FFFF-FFFF00000000}"/>
  </bookViews>
  <sheets>
    <sheet name="Planilha1" sheetId="3" state="hidden" r:id="rId1"/>
    <sheet name="Resumo mes a mes" sheetId="6" r:id="rId2"/>
    <sheet name="Rel Investidores" sheetId="4" r:id="rId3"/>
    <sheet name="EM AJUSTE - Projecoes_Estoque" sheetId="5" r:id="rId4"/>
    <sheet name="Performance Vendas" sheetId="1" r:id="rId5"/>
    <sheet name="Consulta Contratos" sheetId="2" r:id="rId6"/>
    <sheet name="Funil" sheetId="7" r:id="rId7"/>
  </sheets>
  <definedNames>
    <definedName name="_xlnm._FilterDatabase" localSheetId="4" hidden="1">'Performance Vendas'!$B$5:$AZ$173</definedName>
    <definedName name="_xlnm._FilterDatabase" localSheetId="1" hidden="1">'Resumo mes a mes'!#REF!</definedName>
    <definedName name="_xlnm._FilterDatabase" localSheetId="5" hidden="1">'Consulta Contratos'!$A$1:$AZ$926</definedName>
    <definedName name="_xlnm.Print_Area" localSheetId="4">'Performance Vendas'!$B$1:$AY$175</definedName>
    <definedName name="_xlnm.Print_Area" localSheetId="1">'Resumo mes a mes'!#REF!</definedName>
    <definedName name="relatorioinvestidores" localSheetId="4">'Performance Vendas'!$B$1:$AY$85</definedName>
    <definedName name="relatorioinvestidores" localSheetId="1">'Resumo mes a mes'!#REF!</definedName>
    <definedName name="Z_1D6EDBD6_E6A6_4E74_B312_50E7B8177912_.wvu.FilterData" localSheetId="5" hidden="1">'Consulta Contratos'!$A$1:$AZ$633</definedName>
    <definedName name="Z_60A56CFE_2910_4298_94B4_54F63BE2B52D_.wvu.FilterData" localSheetId="5" hidden="1">'Consulta Contratos'!$A$1:$AW$612</definedName>
    <definedName name="Z_6AAED790_FA67_4AED_8DD0_61FA1408D0D9_.wvu.FilterData" localSheetId="5" hidden="1">'Consulta Contratos'!$A$1:$AW$612</definedName>
    <definedName name="Z_C2B9D816_58B9_4C5A_8DBE_5769D6A0DC3D_.wvu.FilterData" localSheetId="5" hidden="1">'Consulta Contratos'!$A$1:$AZ$612</definedName>
  </definedNames>
  <calcPr calcId="191028"/>
  <customWorkbookViews>
    <customWorkbookView name="Filtro 4" guid="{1D6EDBD6-E6A6-4E74-B312-50E7B8177912}" maximized="1" windowWidth="0" windowHeight="0" activeSheetId="0"/>
    <customWorkbookView name="Filtro 1" guid="{60A56CFE-2910-4298-94B4-54F63BE2B52D}" maximized="1" windowWidth="0" windowHeight="0" activeSheetId="0"/>
    <customWorkbookView name="Filtro 2" guid="{6AAED790-FA67-4AED-8DD0-61FA1408D0D9}" maximized="1" windowWidth="0" windowHeight="0" activeSheetId="0"/>
    <customWorkbookView name="Filtro 3" guid="{C2B9D816-58B9-4C5A-8DBE-5769D6A0DC3D}" maximized="1" windowWidth="0" windowHeight="0" activeSheetId="0"/>
  </customWorkbookViews>
  <pivotCaches>
    <pivotCache cacheId="1208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WDO/RK+2CxgvYFOj1Ssr2DSrX+CqNF361t8NgbfdiAQ="/>
    </ext>
  </extLst>
</workbook>
</file>

<file path=xl/calcChain.xml><?xml version="1.0" encoding="utf-8"?>
<calcChain xmlns="http://schemas.openxmlformats.org/spreadsheetml/2006/main">
  <c r="AM927" i="2" l="1"/>
  <c r="AO927" i="2"/>
  <c r="AQ927" i="2"/>
  <c r="AN927" i="2" s="1"/>
  <c r="AR927" i="2"/>
  <c r="AS927" i="2"/>
  <c r="AT927" i="2"/>
  <c r="AU927" i="2"/>
  <c r="AV927" i="2"/>
  <c r="AW927" i="2"/>
  <c r="AX927" i="2"/>
  <c r="AL927" i="2"/>
  <c r="AH927" i="2"/>
  <c r="V927" i="2"/>
  <c r="W927" i="2"/>
  <c r="D3" i="4"/>
  <c r="J3" i="4"/>
  <c r="P3" i="4"/>
  <c r="AM926" i="2"/>
  <c r="AO926" i="2"/>
  <c r="AQ926" i="2"/>
  <c r="AN926" i="2" s="1"/>
  <c r="AR926" i="2"/>
  <c r="AU926" i="2"/>
  <c r="AV926" i="2"/>
  <c r="AW926" i="2"/>
  <c r="AX926" i="2"/>
  <c r="AH926" i="2"/>
  <c r="V926" i="2"/>
  <c r="W926" i="2"/>
  <c r="B10" i="7" a="1"/>
  <c r="B10" i="7"/>
  <c r="B17" i="7"/>
  <c r="F17" i="7"/>
  <c r="F22" i="7" a="1"/>
  <c r="F22" i="7" s="1"/>
  <c r="B22" i="7" a="1"/>
  <c r="B22" i="7" s="1"/>
  <c r="F21" i="7"/>
  <c r="B21" i="7"/>
  <c r="F20" i="7"/>
  <c r="B20" i="7"/>
  <c r="F19" i="7"/>
  <c r="B19" i="7"/>
  <c r="F18" i="7"/>
  <c r="B18" i="7"/>
  <c r="AM925" i="2"/>
  <c r="AO925" i="2"/>
  <c r="AQ925" i="2"/>
  <c r="AN925" i="2" s="1"/>
  <c r="AR925" i="2"/>
  <c r="AU925" i="2"/>
  <c r="AV925" i="2"/>
  <c r="AW925" i="2"/>
  <c r="AX925" i="2"/>
  <c r="AH925" i="2"/>
  <c r="V925" i="2"/>
  <c r="W925" i="2"/>
  <c r="AM924" i="2"/>
  <c r="AO924" i="2"/>
  <c r="AQ924" i="2"/>
  <c r="AN924" i="2" s="1"/>
  <c r="AR924" i="2"/>
  <c r="AU924" i="2"/>
  <c r="AV924" i="2"/>
  <c r="AW924" i="2"/>
  <c r="AX924" i="2"/>
  <c r="AH924" i="2"/>
  <c r="V924" i="2"/>
  <c r="W924" i="2"/>
  <c r="AQ923" i="2"/>
  <c r="AR923" i="2"/>
  <c r="AU923" i="2"/>
  <c r="AV923" i="2"/>
  <c r="AW923" i="2"/>
  <c r="AX923" i="2"/>
  <c r="AM923" i="2"/>
  <c r="AN923" i="2"/>
  <c r="AO923" i="2"/>
  <c r="AH923" i="2"/>
  <c r="V923" i="2"/>
  <c r="W923" i="2"/>
  <c r="AH921" i="2"/>
  <c r="AL921" i="2" s="1"/>
  <c r="J60" i="1"/>
  <c r="J59" i="1"/>
  <c r="J58" i="1"/>
  <c r="J57" i="1"/>
  <c r="J56" i="1"/>
  <c r="J55" i="1"/>
  <c r="J54" i="1"/>
  <c r="J53" i="1"/>
  <c r="J52" i="1"/>
  <c r="J51" i="1"/>
  <c r="F10" i="7" a="1"/>
  <c r="F10" i="7" s="1"/>
  <c r="F9" i="7"/>
  <c r="B9" i="7"/>
  <c r="F8" i="7"/>
  <c r="B8" i="7"/>
  <c r="F7" i="7"/>
  <c r="B7" i="7"/>
  <c r="F6" i="7"/>
  <c r="B6" i="7"/>
  <c r="AM922" i="2"/>
  <c r="AO922" i="2"/>
  <c r="AQ922" i="2"/>
  <c r="AN922" i="2" s="1"/>
  <c r="AR922" i="2"/>
  <c r="AU922" i="2"/>
  <c r="AV922" i="2"/>
  <c r="AW922" i="2"/>
  <c r="AX922" i="2"/>
  <c r="AH922" i="2"/>
  <c r="V922" i="2"/>
  <c r="W922" i="2"/>
  <c r="AM921" i="2"/>
  <c r="AO921" i="2"/>
  <c r="AQ921" i="2"/>
  <c r="AN921" i="2" s="1"/>
  <c r="AR921" i="2"/>
  <c r="AU921" i="2"/>
  <c r="AV921" i="2"/>
  <c r="AW921" i="2"/>
  <c r="AX921" i="2"/>
  <c r="V921" i="2"/>
  <c r="W921" i="2"/>
  <c r="AM920" i="2"/>
  <c r="AO920" i="2"/>
  <c r="AQ920" i="2"/>
  <c r="AN920" i="2" s="1"/>
  <c r="AR920" i="2"/>
  <c r="AU920" i="2"/>
  <c r="AV920" i="2"/>
  <c r="AW920" i="2"/>
  <c r="AX920" i="2"/>
  <c r="AH920" i="2"/>
  <c r="V920" i="2"/>
  <c r="W920" i="2"/>
  <c r="AM919" i="2"/>
  <c r="AO919" i="2"/>
  <c r="AQ919" i="2"/>
  <c r="AN919" i="2" s="1"/>
  <c r="AR919" i="2"/>
  <c r="AU919" i="2"/>
  <c r="AV919" i="2"/>
  <c r="AW919" i="2"/>
  <c r="AX919" i="2"/>
  <c r="AH919" i="2"/>
  <c r="V919" i="2"/>
  <c r="W919" i="2"/>
  <c r="AM918" i="2"/>
  <c r="AO918" i="2"/>
  <c r="AQ918" i="2"/>
  <c r="AN918" i="2" s="1"/>
  <c r="AR918" i="2"/>
  <c r="AU918" i="2"/>
  <c r="AV918" i="2"/>
  <c r="AW918" i="2"/>
  <c r="AX918" i="2"/>
  <c r="AH918" i="2"/>
  <c r="V918" i="2"/>
  <c r="W918" i="2"/>
  <c r="AM917" i="2"/>
  <c r="AO917" i="2"/>
  <c r="AQ917" i="2"/>
  <c r="AN917" i="2" s="1"/>
  <c r="AR917" i="2"/>
  <c r="AU917" i="2"/>
  <c r="AV917" i="2"/>
  <c r="AW917" i="2"/>
  <c r="AX917" i="2"/>
  <c r="AM916" i="2"/>
  <c r="AH917" i="2"/>
  <c r="V917" i="2"/>
  <c r="W917" i="2"/>
  <c r="AM915" i="2"/>
  <c r="AO915" i="2"/>
  <c r="AQ915" i="2"/>
  <c r="AN915" i="2" s="1"/>
  <c r="AR915" i="2"/>
  <c r="AU915" i="2"/>
  <c r="AV915" i="2"/>
  <c r="AW915" i="2"/>
  <c r="AX915" i="2"/>
  <c r="AO916" i="2"/>
  <c r="AQ916" i="2"/>
  <c r="AN916" i="2" s="1"/>
  <c r="AR916" i="2"/>
  <c r="AU916" i="2"/>
  <c r="AV916" i="2"/>
  <c r="AW916" i="2"/>
  <c r="AX916" i="2"/>
  <c r="AH915" i="2"/>
  <c r="AH916" i="2"/>
  <c r="V915" i="2"/>
  <c r="W915" i="2"/>
  <c r="V916" i="2"/>
  <c r="W916" i="2"/>
  <c r="AO703" i="2"/>
  <c r="AM914" i="2"/>
  <c r="AO914" i="2"/>
  <c r="AQ914" i="2"/>
  <c r="AN914" i="2" s="1"/>
  <c r="AR914" i="2"/>
  <c r="AU914" i="2"/>
  <c r="AV914" i="2"/>
  <c r="AW914" i="2"/>
  <c r="AX914" i="2"/>
  <c r="AH914" i="2"/>
  <c r="V914" i="2"/>
  <c r="W914" i="2"/>
  <c r="AM913" i="2"/>
  <c r="AO913" i="2"/>
  <c r="AQ913" i="2"/>
  <c r="AN913" i="2" s="1"/>
  <c r="AR913" i="2"/>
  <c r="AU913" i="2"/>
  <c r="AV913" i="2"/>
  <c r="AW913" i="2"/>
  <c r="AX913" i="2"/>
  <c r="AH913" i="2"/>
  <c r="V913" i="2"/>
  <c r="W913" i="2"/>
  <c r="AM912" i="2"/>
  <c r="AO912" i="2"/>
  <c r="AQ912" i="2"/>
  <c r="AN912" i="2" s="1"/>
  <c r="AR912" i="2"/>
  <c r="AU912" i="2"/>
  <c r="AV912" i="2"/>
  <c r="AW912" i="2"/>
  <c r="AX912" i="2"/>
  <c r="AH912" i="2"/>
  <c r="V912" i="2"/>
  <c r="W912" i="2"/>
  <c r="F29" i="4"/>
  <c r="K3" i="4"/>
  <c r="Q3" i="4"/>
  <c r="AM911" i="2"/>
  <c r="AO911" i="2"/>
  <c r="AQ911" i="2"/>
  <c r="AN911" i="2" s="1"/>
  <c r="AR911" i="2"/>
  <c r="AU911" i="2"/>
  <c r="AV911" i="2"/>
  <c r="AW911" i="2"/>
  <c r="AX911" i="2"/>
  <c r="AH911" i="2"/>
  <c r="V911" i="2"/>
  <c r="W911" i="2"/>
  <c r="V2" i="2"/>
  <c r="AH900" i="2"/>
  <c r="AL900" i="2" s="1"/>
  <c r="AM910" i="2"/>
  <c r="AO910" i="2"/>
  <c r="AQ910" i="2"/>
  <c r="AN910" i="2" s="1"/>
  <c r="AR910" i="2"/>
  <c r="AU910" i="2"/>
  <c r="AV910" i="2"/>
  <c r="AW910" i="2"/>
  <c r="AX910" i="2"/>
  <c r="AH910" i="2"/>
  <c r="V910" i="2"/>
  <c r="W910" i="2"/>
  <c r="AH909" i="2"/>
  <c r="AL909" i="2" s="1"/>
  <c r="AM909" i="2"/>
  <c r="AO909" i="2"/>
  <c r="AQ909" i="2"/>
  <c r="AN909" i="2" s="1"/>
  <c r="AR909" i="2"/>
  <c r="AS909" i="2"/>
  <c r="AT909" i="2"/>
  <c r="AU909" i="2"/>
  <c r="AV909" i="2"/>
  <c r="AW909" i="2"/>
  <c r="AX909" i="2"/>
  <c r="V909" i="2"/>
  <c r="W909" i="2" s="1"/>
  <c r="V908" i="2"/>
  <c r="W908" i="2" s="1"/>
  <c r="AH908" i="2"/>
  <c r="AL908" i="2"/>
  <c r="AM907" i="2"/>
  <c r="AQ907" i="2"/>
  <c r="AN907" i="2" s="1"/>
  <c r="AR907" i="2"/>
  <c r="AO907" i="2"/>
  <c r="AU907" i="2"/>
  <c r="AV907" i="2"/>
  <c r="AW907" i="2"/>
  <c r="AX907" i="2"/>
  <c r="AM908" i="2"/>
  <c r="AQ908" i="2"/>
  <c r="AN908" i="2" s="1"/>
  <c r="AR908" i="2"/>
  <c r="AO908" i="2"/>
  <c r="AS908" i="2"/>
  <c r="AT908" i="2"/>
  <c r="AU908" i="2"/>
  <c r="AV908" i="2"/>
  <c r="AW908" i="2"/>
  <c r="AX908" i="2"/>
  <c r="AH907" i="2"/>
  <c r="V907" i="2"/>
  <c r="W907" i="2" s="1"/>
  <c r="AM905" i="2"/>
  <c r="AQ905" i="2"/>
  <c r="AN905" i="2" s="1"/>
  <c r="AR905" i="2"/>
  <c r="AO905" i="2"/>
  <c r="AU905" i="2"/>
  <c r="AV905" i="2"/>
  <c r="AW905" i="2"/>
  <c r="AX905" i="2"/>
  <c r="AM906" i="2"/>
  <c r="AQ906" i="2"/>
  <c r="AN906" i="2" s="1"/>
  <c r="AR906" i="2"/>
  <c r="AO906" i="2"/>
  <c r="AU906" i="2"/>
  <c r="AV906" i="2"/>
  <c r="AW906" i="2"/>
  <c r="AX906" i="2"/>
  <c r="AH905" i="2"/>
  <c r="AH906" i="2"/>
  <c r="V905" i="2"/>
  <c r="W905" i="2"/>
  <c r="V906" i="2"/>
  <c r="W906" i="2"/>
  <c r="AM904" i="2"/>
  <c r="AQ904" i="2"/>
  <c r="AN904" i="2" s="1"/>
  <c r="AR904" i="2"/>
  <c r="AO904" i="2"/>
  <c r="AU904" i="2"/>
  <c r="AV904" i="2"/>
  <c r="AW904" i="2"/>
  <c r="AX904" i="2"/>
  <c r="AH904" i="2"/>
  <c r="V904" i="2"/>
  <c r="W904" i="2"/>
  <c r="AM902" i="2"/>
  <c r="AQ902" i="2"/>
  <c r="AN902" i="2"/>
  <c r="AR902" i="2"/>
  <c r="AO902" i="2"/>
  <c r="AU902" i="2"/>
  <c r="AV902" i="2"/>
  <c r="AW902" i="2"/>
  <c r="AX902" i="2"/>
  <c r="AM903" i="2"/>
  <c r="AQ903" i="2"/>
  <c r="AN903" i="2"/>
  <c r="AR903" i="2"/>
  <c r="AO903" i="2"/>
  <c r="AU903" i="2"/>
  <c r="AV903" i="2"/>
  <c r="AW903" i="2"/>
  <c r="AX903" i="2"/>
  <c r="AH903" i="2"/>
  <c r="V903" i="2"/>
  <c r="W903" i="2"/>
  <c r="AH890" i="2"/>
  <c r="AH891" i="2"/>
  <c r="AH892" i="2"/>
  <c r="AH893" i="2"/>
  <c r="AH894" i="2"/>
  <c r="AH895" i="2"/>
  <c r="AH896" i="2"/>
  <c r="AH897" i="2"/>
  <c r="AH898" i="2"/>
  <c r="AH899" i="2"/>
  <c r="AH901" i="2"/>
  <c r="AH902" i="2"/>
  <c r="AS902" i="2"/>
  <c r="AL899" i="2"/>
  <c r="AL901" i="2"/>
  <c r="AL902" i="2"/>
  <c r="AT902" i="2"/>
  <c r="AL897" i="2"/>
  <c r="AL898" i="2"/>
  <c r="AL890" i="2"/>
  <c r="AL891" i="2"/>
  <c r="AL892" i="2"/>
  <c r="AL893" i="2"/>
  <c r="AL894" i="2"/>
  <c r="AL895" i="2"/>
  <c r="AL896" i="2"/>
  <c r="V902" i="2"/>
  <c r="W902" i="2"/>
  <c r="AM901" i="2"/>
  <c r="AQ901" i="2"/>
  <c r="AN901" i="2"/>
  <c r="AR901" i="2"/>
  <c r="AO901" i="2"/>
  <c r="AU901" i="2"/>
  <c r="AV901" i="2"/>
  <c r="AW901" i="2"/>
  <c r="AX901" i="2"/>
  <c r="V901" i="2"/>
  <c r="W901" i="2"/>
  <c r="AM900" i="2"/>
  <c r="AQ900" i="2"/>
  <c r="AN900" i="2"/>
  <c r="AR900" i="2"/>
  <c r="AU900" i="2"/>
  <c r="AV900" i="2"/>
  <c r="AW900" i="2"/>
  <c r="AX900" i="2"/>
  <c r="V900" i="2"/>
  <c r="W900" i="2"/>
  <c r="AG826" i="2"/>
  <c r="AM898" i="2"/>
  <c r="AQ898" i="2"/>
  <c r="AN898" i="2"/>
  <c r="AR898" i="2"/>
  <c r="AO898" i="2"/>
  <c r="AU898" i="2"/>
  <c r="AV898" i="2"/>
  <c r="AW898" i="2"/>
  <c r="AX898" i="2"/>
  <c r="AM899" i="2"/>
  <c r="AQ899" i="2"/>
  <c r="AN899" i="2"/>
  <c r="AR899" i="2"/>
  <c r="AO899" i="2"/>
  <c r="AU899" i="2"/>
  <c r="AV899" i="2"/>
  <c r="AW899" i="2"/>
  <c r="AX899" i="2"/>
  <c r="V898" i="2"/>
  <c r="W898" i="2"/>
  <c r="V899" i="2"/>
  <c r="W899" i="2"/>
  <c r="AM895" i="2"/>
  <c r="AQ895" i="2"/>
  <c r="AN895" i="2"/>
  <c r="AR895" i="2"/>
  <c r="AO895" i="2"/>
  <c r="AU895" i="2"/>
  <c r="AV895" i="2"/>
  <c r="AW895" i="2"/>
  <c r="AX895" i="2"/>
  <c r="AM896" i="2"/>
  <c r="AQ896" i="2"/>
  <c r="AN896" i="2"/>
  <c r="AR896" i="2"/>
  <c r="AO896" i="2"/>
  <c r="AU896" i="2"/>
  <c r="AV896" i="2"/>
  <c r="AW896" i="2"/>
  <c r="AX896" i="2"/>
  <c r="AM897" i="2"/>
  <c r="AQ897" i="2"/>
  <c r="AN897" i="2"/>
  <c r="AR897" i="2"/>
  <c r="AO897" i="2"/>
  <c r="AU897" i="2"/>
  <c r="AV897" i="2"/>
  <c r="AW897" i="2"/>
  <c r="AX897" i="2"/>
  <c r="V895" i="2"/>
  <c r="W895" i="2"/>
  <c r="V896" i="2"/>
  <c r="W896" i="2"/>
  <c r="V897" i="2"/>
  <c r="W897" i="2"/>
  <c r="AM892" i="2"/>
  <c r="AQ892" i="2"/>
  <c r="AN892" i="2"/>
  <c r="AR892" i="2"/>
  <c r="AO892" i="2"/>
  <c r="AU892" i="2"/>
  <c r="AV892" i="2"/>
  <c r="AW892" i="2"/>
  <c r="AX892" i="2"/>
  <c r="AM893" i="2"/>
  <c r="AQ893" i="2"/>
  <c r="AN893" i="2"/>
  <c r="AR893" i="2"/>
  <c r="AO893" i="2"/>
  <c r="AU893" i="2"/>
  <c r="AV893" i="2"/>
  <c r="AW893" i="2"/>
  <c r="AX893" i="2"/>
  <c r="AM894" i="2"/>
  <c r="AQ894" i="2"/>
  <c r="AN894" i="2"/>
  <c r="AR894" i="2"/>
  <c r="AO894" i="2"/>
  <c r="AU894" i="2"/>
  <c r="AV894" i="2"/>
  <c r="AW894" i="2"/>
  <c r="AX894" i="2"/>
  <c r="V892" i="2"/>
  <c r="W892" i="2"/>
  <c r="V893" i="2"/>
  <c r="W893" i="2"/>
  <c r="V894" i="2"/>
  <c r="W894" i="2"/>
  <c r="C33" i="5"/>
  <c r="E8" i="5"/>
  <c r="C35" i="6"/>
  <c r="B24" i="6"/>
  <c r="B25" i="6"/>
  <c r="B26" i="6"/>
  <c r="B27" i="6"/>
  <c r="B28" i="6"/>
  <c r="B29" i="6"/>
  <c r="B30" i="6"/>
  <c r="B31" i="6"/>
  <c r="B32" i="6"/>
  <c r="B33" i="6"/>
  <c r="B34" i="6"/>
  <c r="V891" i="2"/>
  <c r="W891" i="2"/>
  <c r="V890" i="2"/>
  <c r="W890" i="2"/>
  <c r="AM889" i="2"/>
  <c r="AQ889" i="2"/>
  <c r="AN889" i="2"/>
  <c r="AR889" i="2"/>
  <c r="AO889" i="2"/>
  <c r="AU889" i="2"/>
  <c r="AV889" i="2"/>
  <c r="AW889" i="2"/>
  <c r="AX889" i="2"/>
  <c r="AM890" i="2"/>
  <c r="AQ890" i="2"/>
  <c r="AN890" i="2"/>
  <c r="AR890" i="2"/>
  <c r="AO890" i="2"/>
  <c r="AU890" i="2"/>
  <c r="AV890" i="2"/>
  <c r="AW890" i="2"/>
  <c r="AX890" i="2"/>
  <c r="AM891" i="2"/>
  <c r="AQ891" i="2"/>
  <c r="AN891" i="2"/>
  <c r="AR891" i="2"/>
  <c r="AO891" i="2"/>
  <c r="AS891" i="2"/>
  <c r="AU891" i="2"/>
  <c r="AV891" i="2"/>
  <c r="AW891" i="2"/>
  <c r="AX891" i="2"/>
  <c r="AT891" i="2"/>
  <c r="AH885" i="2"/>
  <c r="AH886" i="2"/>
  <c r="AH887" i="2"/>
  <c r="AH888" i="2"/>
  <c r="AH889" i="2"/>
  <c r="V889" i="2"/>
  <c r="W889" i="2"/>
  <c r="B7" i="6"/>
  <c r="B8" i="6"/>
  <c r="B9" i="6"/>
  <c r="B10" i="6"/>
  <c r="B11" i="6"/>
  <c r="B12" i="6"/>
  <c r="B13" i="6"/>
  <c r="B14" i="6"/>
  <c r="B15" i="6"/>
  <c r="B16" i="6"/>
  <c r="B17" i="6"/>
  <c r="C18" i="6"/>
  <c r="AK109" i="1"/>
  <c r="AK25" i="1"/>
  <c r="AW183" i="1"/>
  <c r="AW182" i="1"/>
  <c r="AW181" i="1"/>
  <c r="AW180" i="1"/>
  <c r="AW179" i="1"/>
  <c r="AW178" i="1"/>
  <c r="AW177" i="1"/>
  <c r="AW122" i="1"/>
  <c r="AL109" i="1"/>
  <c r="AW88" i="1"/>
  <c r="E3" i="4" s="1"/>
  <c r="AW79" i="1"/>
  <c r="AW65" i="1"/>
  <c r="F25" i="4" s="1"/>
  <c r="AK65" i="1"/>
  <c r="AW25" i="1"/>
  <c r="AW141" i="1"/>
  <c r="AL5" i="1"/>
  <c r="AL25" i="1"/>
  <c r="AM885" i="2"/>
  <c r="AQ885" i="2"/>
  <c r="AN885" i="2"/>
  <c r="AR885" i="2"/>
  <c r="AO885" i="2"/>
  <c r="AS885" i="2"/>
  <c r="AU885" i="2"/>
  <c r="AV885" i="2"/>
  <c r="AW885" i="2"/>
  <c r="AX885" i="2"/>
  <c r="AM886" i="2"/>
  <c r="AQ886" i="2"/>
  <c r="AN886" i="2"/>
  <c r="AR886" i="2"/>
  <c r="AO886" i="2"/>
  <c r="AS886" i="2"/>
  <c r="AU886" i="2"/>
  <c r="AV886" i="2"/>
  <c r="AW886" i="2"/>
  <c r="AX886" i="2"/>
  <c r="AM887" i="2"/>
  <c r="AQ887" i="2"/>
  <c r="AN887" i="2"/>
  <c r="AR887" i="2"/>
  <c r="AO887" i="2"/>
  <c r="AS887" i="2"/>
  <c r="AU887" i="2"/>
  <c r="AV887" i="2"/>
  <c r="AW887" i="2"/>
  <c r="AX887" i="2"/>
  <c r="AM888" i="2"/>
  <c r="AQ888" i="2"/>
  <c r="AN888" i="2"/>
  <c r="AR888" i="2"/>
  <c r="AO888" i="2"/>
  <c r="AS888" i="2"/>
  <c r="AU888" i="2"/>
  <c r="AV888" i="2"/>
  <c r="AW888" i="2"/>
  <c r="AX888" i="2"/>
  <c r="AL885" i="2"/>
  <c r="AT885" i="2"/>
  <c r="AL886" i="2"/>
  <c r="AT886" i="2"/>
  <c r="AL887" i="2"/>
  <c r="AT887" i="2"/>
  <c r="AL888" i="2"/>
  <c r="AT888" i="2"/>
  <c r="V885" i="2"/>
  <c r="W885" i="2"/>
  <c r="V886" i="2"/>
  <c r="W886" i="2"/>
  <c r="V887" i="2"/>
  <c r="W887" i="2"/>
  <c r="V888" i="2"/>
  <c r="W888" i="2"/>
  <c r="AM884" i="2"/>
  <c r="AQ884" i="2"/>
  <c r="AN884" i="2"/>
  <c r="AR884" i="2"/>
  <c r="AO884" i="2"/>
  <c r="AU884" i="2"/>
  <c r="AV884" i="2"/>
  <c r="AW884" i="2"/>
  <c r="AX884" i="2"/>
  <c r="AH884" i="2"/>
  <c r="V884" i="2"/>
  <c r="W884" i="2"/>
  <c r="AX883" i="2"/>
  <c r="AV883" i="2"/>
  <c r="AU883" i="2"/>
  <c r="AW883" i="2"/>
  <c r="AO883" i="2"/>
  <c r="AQ883" i="2"/>
  <c r="AR883" i="2"/>
  <c r="AN883" i="2"/>
  <c r="AM883" i="2"/>
  <c r="AX882" i="2"/>
  <c r="AV882" i="2"/>
  <c r="AU882" i="2"/>
  <c r="AW882" i="2"/>
  <c r="AO882" i="2"/>
  <c r="AQ882" i="2"/>
  <c r="AR882" i="2"/>
  <c r="AN882" i="2"/>
  <c r="AM882" i="2"/>
  <c r="AX881" i="2"/>
  <c r="AV881" i="2"/>
  <c r="AU881" i="2"/>
  <c r="AW881" i="2"/>
  <c r="AO881" i="2"/>
  <c r="AQ881" i="2"/>
  <c r="AR881" i="2"/>
  <c r="AN881" i="2"/>
  <c r="AM881" i="2"/>
  <c r="AX880" i="2"/>
  <c r="AV880" i="2"/>
  <c r="AU880" i="2"/>
  <c r="AW880" i="2"/>
  <c r="AO880" i="2"/>
  <c r="AQ880" i="2"/>
  <c r="AR880" i="2"/>
  <c r="AN880" i="2"/>
  <c r="AM880" i="2"/>
  <c r="AX879" i="2"/>
  <c r="AV879" i="2"/>
  <c r="AU879" i="2"/>
  <c r="AW879" i="2"/>
  <c r="AO879" i="2"/>
  <c r="AQ879" i="2"/>
  <c r="AR879" i="2"/>
  <c r="AN879" i="2"/>
  <c r="AM879" i="2"/>
  <c r="AH879" i="2"/>
  <c r="AS879" i="2"/>
  <c r="AH880" i="2"/>
  <c r="AS880" i="2"/>
  <c r="AH881" i="2"/>
  <c r="AS881" i="2"/>
  <c r="AH882" i="2"/>
  <c r="AS882" i="2"/>
  <c r="AH883" i="2"/>
  <c r="AS883" i="2"/>
  <c r="V879" i="2"/>
  <c r="W879" i="2"/>
  <c r="V880" i="2"/>
  <c r="W880" i="2"/>
  <c r="V881" i="2"/>
  <c r="W881" i="2"/>
  <c r="V882" i="2"/>
  <c r="W882" i="2"/>
  <c r="V883" i="2"/>
  <c r="W883" i="2"/>
  <c r="AO717" i="2"/>
  <c r="AO699" i="2"/>
  <c r="J166" i="1"/>
  <c r="AM878" i="2"/>
  <c r="AQ878" i="2"/>
  <c r="AN878" i="2"/>
  <c r="AR878" i="2"/>
  <c r="AO878" i="2"/>
  <c r="AU878" i="2"/>
  <c r="AV878" i="2"/>
  <c r="AW878" i="2"/>
  <c r="AX878" i="2"/>
  <c r="AH878" i="2"/>
  <c r="V878" i="2"/>
  <c r="W878" i="2"/>
  <c r="AM877" i="2"/>
  <c r="AQ877" i="2"/>
  <c r="AN877" i="2"/>
  <c r="AR877" i="2"/>
  <c r="AO877" i="2"/>
  <c r="AU877" i="2"/>
  <c r="AV877" i="2"/>
  <c r="AW877" i="2"/>
  <c r="AX877" i="2"/>
  <c r="AH877" i="2"/>
  <c r="V877" i="2"/>
  <c r="W877" i="2"/>
  <c r="AM876" i="2"/>
  <c r="AQ876" i="2"/>
  <c r="AN876" i="2"/>
  <c r="AR876" i="2"/>
  <c r="AO876" i="2"/>
  <c r="AU876" i="2"/>
  <c r="AV876" i="2"/>
  <c r="AW876" i="2"/>
  <c r="AX876" i="2"/>
  <c r="AH876" i="2"/>
  <c r="V876" i="2"/>
  <c r="W876" i="2"/>
  <c r="AO760" i="2"/>
  <c r="AM875" i="2"/>
  <c r="AQ875" i="2"/>
  <c r="AN875" i="2"/>
  <c r="AR875" i="2"/>
  <c r="AO875" i="2"/>
  <c r="AU875" i="2"/>
  <c r="AV875" i="2"/>
  <c r="AW875" i="2"/>
  <c r="AX875" i="2"/>
  <c r="AH875" i="2"/>
  <c r="V875" i="2"/>
  <c r="W875" i="2"/>
  <c r="AM874" i="2"/>
  <c r="AQ874" i="2"/>
  <c r="AN874" i="2"/>
  <c r="AR874" i="2"/>
  <c r="AO874" i="2"/>
  <c r="AU874" i="2"/>
  <c r="AV874" i="2"/>
  <c r="AW874" i="2"/>
  <c r="AX874" i="2"/>
  <c r="AH874" i="2"/>
  <c r="V874" i="2"/>
  <c r="W874" i="2"/>
  <c r="AM873" i="2"/>
  <c r="AQ873" i="2"/>
  <c r="AN873" i="2"/>
  <c r="AR873" i="2"/>
  <c r="AO873" i="2"/>
  <c r="AU873" i="2"/>
  <c r="AV873" i="2"/>
  <c r="AW873" i="2"/>
  <c r="AX873" i="2"/>
  <c r="AH873" i="2"/>
  <c r="V873" i="2"/>
  <c r="W873" i="2"/>
  <c r="AM872" i="2"/>
  <c r="AQ872" i="2"/>
  <c r="AN872" i="2"/>
  <c r="AR872" i="2"/>
  <c r="AO872" i="2"/>
  <c r="AU872" i="2"/>
  <c r="AV872" i="2"/>
  <c r="AW872" i="2"/>
  <c r="AX872" i="2"/>
  <c r="AH872" i="2"/>
  <c r="AS872" i="2"/>
  <c r="AL872" i="2"/>
  <c r="AT872" i="2"/>
  <c r="V872" i="2"/>
  <c r="W872" i="2"/>
  <c r="AM805" i="2"/>
  <c r="AQ805" i="2"/>
  <c r="AN805" i="2"/>
  <c r="AR805" i="2"/>
  <c r="AO805" i="2"/>
  <c r="AU805" i="2"/>
  <c r="AV805" i="2"/>
  <c r="AW805" i="2"/>
  <c r="AX805" i="2"/>
  <c r="AH805" i="2"/>
  <c r="V805" i="2"/>
  <c r="W805" i="2"/>
  <c r="AM866" i="2"/>
  <c r="AQ866" i="2"/>
  <c r="AN866" i="2"/>
  <c r="AR866" i="2"/>
  <c r="AO866" i="2"/>
  <c r="AU866" i="2"/>
  <c r="AV866" i="2"/>
  <c r="AW866" i="2"/>
  <c r="AX866" i="2"/>
  <c r="AH866" i="2"/>
  <c r="V866" i="2"/>
  <c r="W866" i="2"/>
  <c r="AX760" i="2"/>
  <c r="AX782" i="2"/>
  <c r="AM760" i="2"/>
  <c r="AQ760" i="2"/>
  <c r="AN760" i="2"/>
  <c r="AR760" i="2"/>
  <c r="AU760" i="2"/>
  <c r="AV760" i="2"/>
  <c r="AW760" i="2"/>
  <c r="AM782" i="2"/>
  <c r="AQ782" i="2"/>
  <c r="AN782" i="2"/>
  <c r="AR782" i="2"/>
  <c r="AO782" i="2"/>
  <c r="AU782" i="2"/>
  <c r="AV782" i="2"/>
  <c r="AW782" i="2"/>
  <c r="AH760" i="2"/>
  <c r="AS760" i="2"/>
  <c r="AH782" i="2"/>
  <c r="AS782" i="2"/>
  <c r="AL760" i="2"/>
  <c r="AT760" i="2"/>
  <c r="AL782" i="2"/>
  <c r="AT782" i="2"/>
  <c r="V760" i="2"/>
  <c r="W760" i="2"/>
  <c r="V782" i="2"/>
  <c r="W782" i="2"/>
  <c r="J167" i="1"/>
  <c r="AM867" i="2"/>
  <c r="AQ867" i="2"/>
  <c r="AN867" i="2"/>
  <c r="AR867" i="2"/>
  <c r="AU867" i="2"/>
  <c r="AV867" i="2"/>
  <c r="AW867" i="2"/>
  <c r="AX867" i="2"/>
  <c r="AH867" i="2"/>
  <c r="V867" i="2"/>
  <c r="W867" i="2"/>
  <c r="AM865" i="2"/>
  <c r="AQ865" i="2"/>
  <c r="AN865" i="2"/>
  <c r="AR865" i="2"/>
  <c r="AO865" i="2"/>
  <c r="AU865" i="2"/>
  <c r="AV865" i="2"/>
  <c r="AW865" i="2"/>
  <c r="AX865" i="2"/>
  <c r="AH865" i="2"/>
  <c r="V865" i="2"/>
  <c r="W865" i="2"/>
  <c r="AM870" i="2"/>
  <c r="AQ870" i="2"/>
  <c r="AN870" i="2"/>
  <c r="AR870" i="2"/>
  <c r="AO870" i="2"/>
  <c r="AU870" i="2"/>
  <c r="AV870" i="2"/>
  <c r="AW870" i="2"/>
  <c r="AX870" i="2"/>
  <c r="AH870" i="2"/>
  <c r="V870" i="2"/>
  <c r="W870" i="2"/>
  <c r="AM814" i="2"/>
  <c r="AQ814" i="2"/>
  <c r="AN814" i="2"/>
  <c r="AR814" i="2"/>
  <c r="AO814" i="2"/>
  <c r="AU814" i="2"/>
  <c r="AV814" i="2"/>
  <c r="AW814" i="2"/>
  <c r="AX814" i="2"/>
  <c r="AM869" i="2"/>
  <c r="AQ869" i="2"/>
  <c r="AN869" i="2"/>
  <c r="AR869" i="2"/>
  <c r="AO869" i="2"/>
  <c r="AU869" i="2"/>
  <c r="AV869" i="2"/>
  <c r="AW869" i="2"/>
  <c r="AX869" i="2"/>
  <c r="AH869" i="2"/>
  <c r="AH814" i="2"/>
  <c r="V814" i="2"/>
  <c r="W814" i="2"/>
  <c r="V869" i="2"/>
  <c r="W869" i="2"/>
  <c r="AM868" i="2"/>
  <c r="AQ868" i="2"/>
  <c r="AN868" i="2"/>
  <c r="AR868" i="2"/>
  <c r="AO868" i="2"/>
  <c r="AU868" i="2"/>
  <c r="AV868" i="2"/>
  <c r="AW868" i="2"/>
  <c r="AX868" i="2"/>
  <c r="AH868" i="2"/>
  <c r="AH789" i="2"/>
  <c r="V868" i="2"/>
  <c r="W868" i="2"/>
  <c r="AM783" i="2"/>
  <c r="AQ783" i="2"/>
  <c r="AN783" i="2"/>
  <c r="AR783" i="2"/>
  <c r="AO783" i="2"/>
  <c r="AU783" i="2"/>
  <c r="AV783" i="2"/>
  <c r="AW783" i="2"/>
  <c r="AX783" i="2"/>
  <c r="AM789" i="2"/>
  <c r="AQ789" i="2"/>
  <c r="AN789" i="2"/>
  <c r="AR789" i="2"/>
  <c r="AO789" i="2"/>
  <c r="AU789" i="2"/>
  <c r="AV789" i="2"/>
  <c r="AW789" i="2"/>
  <c r="AX789" i="2"/>
  <c r="AH783" i="2"/>
  <c r="AS783" i="2"/>
  <c r="AS789" i="2"/>
  <c r="AL783" i="2"/>
  <c r="AT783" i="2"/>
  <c r="AL789" i="2"/>
  <c r="AT789" i="2"/>
  <c r="V783" i="2"/>
  <c r="W783" i="2"/>
  <c r="V789" i="2"/>
  <c r="W789" i="2"/>
  <c r="AM859" i="2"/>
  <c r="AQ859" i="2"/>
  <c r="AN859" i="2"/>
  <c r="AR859" i="2"/>
  <c r="AO859" i="2"/>
  <c r="AU859" i="2"/>
  <c r="AV859" i="2"/>
  <c r="AW859" i="2"/>
  <c r="AX859" i="2"/>
  <c r="AH859" i="2"/>
  <c r="V859" i="2"/>
  <c r="W859" i="2"/>
  <c r="AM849" i="2"/>
  <c r="AQ849" i="2"/>
  <c r="AN849" i="2"/>
  <c r="AR849" i="2"/>
  <c r="AO849" i="2"/>
  <c r="AU849" i="2"/>
  <c r="AV849" i="2"/>
  <c r="AW849" i="2"/>
  <c r="AX849" i="2"/>
  <c r="AM850" i="2"/>
  <c r="AQ850" i="2"/>
  <c r="AN850" i="2"/>
  <c r="AR850" i="2"/>
  <c r="AO850" i="2"/>
  <c r="AU850" i="2"/>
  <c r="AV850" i="2"/>
  <c r="AW850" i="2"/>
  <c r="AX850" i="2"/>
  <c r="AM851" i="2"/>
  <c r="AQ851" i="2"/>
  <c r="AN851" i="2"/>
  <c r="AR851" i="2"/>
  <c r="AO851" i="2"/>
  <c r="AU851" i="2"/>
  <c r="AV851" i="2"/>
  <c r="AW851" i="2"/>
  <c r="AX851" i="2"/>
  <c r="AM852" i="2"/>
  <c r="AQ852" i="2"/>
  <c r="AN852" i="2"/>
  <c r="AR852" i="2"/>
  <c r="AO852" i="2"/>
  <c r="AU852" i="2"/>
  <c r="AV852" i="2"/>
  <c r="AW852" i="2"/>
  <c r="AX852" i="2"/>
  <c r="AM853" i="2"/>
  <c r="AQ853" i="2"/>
  <c r="AN853" i="2"/>
  <c r="AR853" i="2"/>
  <c r="AO853" i="2"/>
  <c r="AU853" i="2"/>
  <c r="AV853" i="2"/>
  <c r="AW853" i="2"/>
  <c r="AX853" i="2"/>
  <c r="AM854" i="2"/>
  <c r="AQ854" i="2"/>
  <c r="AN854" i="2"/>
  <c r="AR854" i="2"/>
  <c r="AO854" i="2"/>
  <c r="AU854" i="2"/>
  <c r="AV854" i="2"/>
  <c r="AW854" i="2"/>
  <c r="AX854" i="2"/>
  <c r="AM855" i="2"/>
  <c r="AQ855" i="2"/>
  <c r="AN855" i="2"/>
  <c r="AR855" i="2"/>
  <c r="AO855" i="2"/>
  <c r="AU855" i="2"/>
  <c r="AV855" i="2"/>
  <c r="AW855" i="2"/>
  <c r="AX855" i="2"/>
  <c r="AM856" i="2"/>
  <c r="AQ856" i="2"/>
  <c r="AN856" i="2"/>
  <c r="AR856" i="2"/>
  <c r="AO856" i="2"/>
  <c r="AU856" i="2"/>
  <c r="AV856" i="2"/>
  <c r="AW856" i="2"/>
  <c r="AX856" i="2"/>
  <c r="AM857" i="2"/>
  <c r="AQ857" i="2"/>
  <c r="AN857" i="2"/>
  <c r="AR857" i="2"/>
  <c r="AO857" i="2"/>
  <c r="AU857" i="2"/>
  <c r="AV857" i="2"/>
  <c r="AW857" i="2"/>
  <c r="AX857" i="2"/>
  <c r="AM858" i="2"/>
  <c r="AQ858" i="2"/>
  <c r="AN858" i="2"/>
  <c r="AR858" i="2"/>
  <c r="AO858" i="2"/>
  <c r="AU858" i="2"/>
  <c r="AV858" i="2"/>
  <c r="AW858" i="2"/>
  <c r="AX858" i="2"/>
  <c r="AH850" i="2"/>
  <c r="AH851" i="2"/>
  <c r="AH852" i="2"/>
  <c r="AH853" i="2"/>
  <c r="AH854" i="2"/>
  <c r="AH855" i="2"/>
  <c r="AH856" i="2"/>
  <c r="AH857" i="2"/>
  <c r="AH858" i="2"/>
  <c r="V858" i="2"/>
  <c r="W858" i="2"/>
  <c r="V857" i="2"/>
  <c r="W857" i="2"/>
  <c r="V856" i="2"/>
  <c r="W856" i="2"/>
  <c r="V855" i="2"/>
  <c r="W855" i="2"/>
  <c r="V854" i="2"/>
  <c r="W854" i="2"/>
  <c r="V853" i="2"/>
  <c r="W853" i="2"/>
  <c r="V852" i="2"/>
  <c r="W852" i="2"/>
  <c r="V851" i="2"/>
  <c r="W851" i="2"/>
  <c r="V850" i="2"/>
  <c r="W850" i="2"/>
  <c r="AH849" i="2"/>
  <c r="V849" i="2"/>
  <c r="W849" i="2"/>
  <c r="K21" i="5"/>
  <c r="J21" i="5"/>
  <c r="D21" i="5"/>
  <c r="C21" i="5"/>
  <c r="L41" i="5"/>
  <c r="L40" i="5"/>
  <c r="L39" i="5"/>
  <c r="L42" i="5"/>
  <c r="K42" i="5"/>
  <c r="J42" i="5"/>
  <c r="F41" i="5"/>
  <c r="F40" i="5"/>
  <c r="F39" i="5"/>
  <c r="E41" i="5"/>
  <c r="G41" i="5"/>
  <c r="E40" i="5"/>
  <c r="G40" i="5"/>
  <c r="E39" i="5"/>
  <c r="G39" i="5"/>
  <c r="E42" i="5"/>
  <c r="D42" i="5"/>
  <c r="C42" i="5"/>
  <c r="K27" i="5"/>
  <c r="K26" i="5"/>
  <c r="K25" i="5"/>
  <c r="J27" i="5"/>
  <c r="J26" i="5"/>
  <c r="J25" i="5"/>
  <c r="J28" i="5"/>
  <c r="J44" i="5"/>
  <c r="D27" i="5"/>
  <c r="D26" i="5"/>
  <c r="C27" i="5"/>
  <c r="C26" i="5"/>
  <c r="C25" i="5"/>
  <c r="L20" i="5"/>
  <c r="L19" i="5"/>
  <c r="L18" i="5"/>
  <c r="F20" i="5"/>
  <c r="F19" i="5"/>
  <c r="F18" i="5"/>
  <c r="G20" i="5"/>
  <c r="G19" i="5"/>
  <c r="L13" i="5"/>
  <c r="G13" i="5"/>
  <c r="D13" i="5"/>
  <c r="F13" i="5"/>
  <c r="L8" i="5"/>
  <c r="G8" i="5"/>
  <c r="AO693" i="2"/>
  <c r="AM847" i="2"/>
  <c r="AQ847" i="2"/>
  <c r="AN847" i="2"/>
  <c r="AR847" i="2"/>
  <c r="AO847" i="2"/>
  <c r="AU847" i="2"/>
  <c r="AV847" i="2"/>
  <c r="AW847" i="2"/>
  <c r="AX847" i="2"/>
  <c r="AM848" i="2"/>
  <c r="AQ848" i="2"/>
  <c r="AN848" i="2"/>
  <c r="AR848" i="2"/>
  <c r="AO848" i="2"/>
  <c r="AU848" i="2"/>
  <c r="AV848" i="2"/>
  <c r="AW848" i="2"/>
  <c r="AX848" i="2"/>
  <c r="AH847" i="2"/>
  <c r="AH848" i="2"/>
  <c r="V847" i="2"/>
  <c r="W847" i="2"/>
  <c r="V848" i="2"/>
  <c r="W848" i="2"/>
  <c r="AM846" i="2"/>
  <c r="AQ846" i="2"/>
  <c r="AN846" i="2"/>
  <c r="AR846" i="2"/>
  <c r="AO846" i="2"/>
  <c r="AU846" i="2"/>
  <c r="AV846" i="2"/>
  <c r="AW846" i="2"/>
  <c r="AX846" i="2"/>
  <c r="AH846" i="2"/>
  <c r="V846" i="2"/>
  <c r="W846" i="2"/>
  <c r="AM844" i="2"/>
  <c r="AQ844" i="2"/>
  <c r="AN844" i="2"/>
  <c r="AR844" i="2"/>
  <c r="AO844" i="2"/>
  <c r="AU844" i="2"/>
  <c r="AV844" i="2"/>
  <c r="AW844" i="2"/>
  <c r="AX844" i="2"/>
  <c r="AM845" i="2"/>
  <c r="AQ845" i="2"/>
  <c r="AN845" i="2"/>
  <c r="AR845" i="2"/>
  <c r="AO845" i="2"/>
  <c r="AU845" i="2"/>
  <c r="AV845" i="2"/>
  <c r="AW845" i="2"/>
  <c r="AX845" i="2"/>
  <c r="AH844" i="2"/>
  <c r="AH845" i="2"/>
  <c r="V844" i="2"/>
  <c r="W844" i="2"/>
  <c r="V845" i="2"/>
  <c r="W845" i="2"/>
  <c r="AM842" i="2"/>
  <c r="AQ842" i="2"/>
  <c r="AN842" i="2"/>
  <c r="AR842" i="2"/>
  <c r="AO842" i="2"/>
  <c r="AU842" i="2"/>
  <c r="AV842" i="2"/>
  <c r="AW842" i="2"/>
  <c r="AX842" i="2"/>
  <c r="AM843" i="2"/>
  <c r="AQ843" i="2"/>
  <c r="AN843" i="2"/>
  <c r="AR843" i="2"/>
  <c r="AO843" i="2"/>
  <c r="AU843" i="2"/>
  <c r="AV843" i="2"/>
  <c r="AW843" i="2"/>
  <c r="AX843" i="2"/>
  <c r="AH842" i="2"/>
  <c r="AH843" i="2"/>
  <c r="V842" i="2"/>
  <c r="W842" i="2"/>
  <c r="V843" i="2"/>
  <c r="W843" i="2"/>
  <c r="AM840" i="2"/>
  <c r="AQ840" i="2"/>
  <c r="AN840" i="2"/>
  <c r="AR840" i="2"/>
  <c r="AO840" i="2"/>
  <c r="AU840" i="2"/>
  <c r="AV840" i="2"/>
  <c r="AW840" i="2"/>
  <c r="AX840" i="2"/>
  <c r="AM841" i="2"/>
  <c r="AQ841" i="2"/>
  <c r="AN841" i="2"/>
  <c r="AR841" i="2"/>
  <c r="AO841" i="2"/>
  <c r="AU841" i="2"/>
  <c r="AV841" i="2"/>
  <c r="AW841" i="2"/>
  <c r="AX841" i="2"/>
  <c r="AH840" i="2"/>
  <c r="AS840" i="2"/>
  <c r="AH841" i="2"/>
  <c r="AS841" i="2"/>
  <c r="AL840" i="2"/>
  <c r="AT840" i="2"/>
  <c r="AL841" i="2"/>
  <c r="AT841" i="2"/>
  <c r="V840" i="2"/>
  <c r="W840" i="2"/>
  <c r="V841" i="2"/>
  <c r="W841" i="2"/>
  <c r="AM838" i="2"/>
  <c r="AQ838" i="2"/>
  <c r="AN838" i="2"/>
  <c r="AR838" i="2"/>
  <c r="AO838" i="2"/>
  <c r="AU838" i="2"/>
  <c r="AV838" i="2"/>
  <c r="AW838" i="2"/>
  <c r="AX838" i="2"/>
  <c r="AM839" i="2"/>
  <c r="AQ839" i="2"/>
  <c r="AN839" i="2"/>
  <c r="AR839" i="2"/>
  <c r="AO839" i="2"/>
  <c r="AU839" i="2"/>
  <c r="AV839" i="2"/>
  <c r="AW839" i="2"/>
  <c r="AX839" i="2"/>
  <c r="AH838" i="2"/>
  <c r="AH839" i="2"/>
  <c r="V838" i="2"/>
  <c r="W838" i="2"/>
  <c r="V839" i="2"/>
  <c r="W839" i="2"/>
  <c r="AM837" i="2"/>
  <c r="AQ837" i="2"/>
  <c r="AN837" i="2"/>
  <c r="AR837" i="2"/>
  <c r="AO837" i="2"/>
  <c r="AU837" i="2"/>
  <c r="AV837" i="2"/>
  <c r="AW837" i="2"/>
  <c r="AX837" i="2"/>
  <c r="AH837" i="2"/>
  <c r="V837" i="2"/>
  <c r="W837" i="2"/>
  <c r="AX836" i="2"/>
  <c r="AX835" i="2"/>
  <c r="AX834" i="2"/>
  <c r="AX833" i="2"/>
  <c r="AX832" i="2"/>
  <c r="AX831" i="2"/>
  <c r="AX830" i="2"/>
  <c r="AX829" i="2"/>
  <c r="AX828" i="2"/>
  <c r="AX827" i="2"/>
  <c r="AX826" i="2"/>
  <c r="AX825" i="2"/>
  <c r="AX824" i="2"/>
  <c r="AX823" i="2"/>
  <c r="AX822" i="2"/>
  <c r="AX821" i="2"/>
  <c r="AX820" i="2"/>
  <c r="AX819" i="2"/>
  <c r="AX818" i="2"/>
  <c r="AX817" i="2"/>
  <c r="AX816" i="2"/>
  <c r="AX815" i="2"/>
  <c r="AX755" i="2"/>
  <c r="AX813" i="2"/>
  <c r="AX812" i="2"/>
  <c r="AX811" i="2"/>
  <c r="AX810" i="2"/>
  <c r="AX809" i="2"/>
  <c r="AX864" i="2"/>
  <c r="AX863" i="2"/>
  <c r="AX862" i="2"/>
  <c r="AX790" i="2"/>
  <c r="AX804" i="2"/>
  <c r="AX803" i="2"/>
  <c r="AX802" i="2"/>
  <c r="AX801" i="2"/>
  <c r="AX800" i="2"/>
  <c r="AX799" i="2"/>
  <c r="AX798" i="2"/>
  <c r="AX797" i="2"/>
  <c r="AX796" i="2"/>
  <c r="AX795" i="2"/>
  <c r="AX794" i="2"/>
  <c r="AX793" i="2"/>
  <c r="AX792" i="2"/>
  <c r="AX791" i="2"/>
  <c r="AX861" i="2"/>
  <c r="AX860" i="2"/>
  <c r="AX788" i="2"/>
  <c r="AX787" i="2"/>
  <c r="AX786" i="2"/>
  <c r="AX785" i="2"/>
  <c r="AX784" i="2"/>
  <c r="AX807" i="2"/>
  <c r="AX806" i="2"/>
  <c r="AX781" i="2"/>
  <c r="AX780" i="2"/>
  <c r="AX779" i="2"/>
  <c r="AX778" i="2"/>
  <c r="AX777" i="2"/>
  <c r="AX776" i="2"/>
  <c r="AX775" i="2"/>
  <c r="AX774" i="2"/>
  <c r="AX773" i="2"/>
  <c r="AX772" i="2"/>
  <c r="AX771" i="2"/>
  <c r="AX770" i="2"/>
  <c r="AX769" i="2"/>
  <c r="AX768" i="2"/>
  <c r="AX767" i="2"/>
  <c r="AX766" i="2"/>
  <c r="AX765" i="2"/>
  <c r="AX764" i="2"/>
  <c r="AX763" i="2"/>
  <c r="AX762" i="2"/>
  <c r="AX761" i="2"/>
  <c r="AX871" i="2"/>
  <c r="AX759" i="2"/>
  <c r="AX758" i="2"/>
  <c r="AX757" i="2"/>
  <c r="AX756" i="2"/>
  <c r="AX754" i="2"/>
  <c r="AX753" i="2"/>
  <c r="AX751" i="2"/>
  <c r="AX750" i="2"/>
  <c r="AX749" i="2"/>
  <c r="AX748" i="2"/>
  <c r="AX747" i="2"/>
  <c r="AX746" i="2"/>
  <c r="AX745" i="2"/>
  <c r="AX808" i="2"/>
  <c r="AX695" i="2"/>
  <c r="AX694" i="2"/>
  <c r="AX752" i="2"/>
  <c r="AX744" i="2"/>
  <c r="AX743" i="2"/>
  <c r="AX742" i="2"/>
  <c r="AX741" i="2"/>
  <c r="AX740" i="2"/>
  <c r="AX739" i="2"/>
  <c r="AX738" i="2"/>
  <c r="AX737" i="2"/>
  <c r="AX736" i="2"/>
  <c r="AX735" i="2"/>
  <c r="AX734" i="2"/>
  <c r="AX733" i="2"/>
  <c r="AX715" i="2"/>
  <c r="AX732" i="2"/>
  <c r="AX731" i="2"/>
  <c r="AX730" i="2"/>
  <c r="AX729" i="2"/>
  <c r="AX728" i="2"/>
  <c r="AX727" i="2"/>
  <c r="AX726" i="2"/>
  <c r="AX725" i="2"/>
  <c r="AX724" i="2"/>
  <c r="AX723" i="2"/>
  <c r="AX722" i="2"/>
  <c r="AX721" i="2"/>
  <c r="AX720" i="2"/>
  <c r="AX719" i="2"/>
  <c r="AX718" i="2"/>
  <c r="AX717" i="2"/>
  <c r="AX716" i="2"/>
  <c r="AX714" i="2"/>
  <c r="AX713" i="2"/>
  <c r="AX712" i="2"/>
  <c r="AX711" i="2"/>
  <c r="AX710" i="2"/>
  <c r="AX709" i="2"/>
  <c r="AX708" i="2"/>
  <c r="AX707" i="2"/>
  <c r="AX706" i="2"/>
  <c r="AX705" i="2"/>
  <c r="AX704" i="2"/>
  <c r="AX703" i="2"/>
  <c r="AX702" i="2"/>
  <c r="AX701" i="2"/>
  <c r="AX700" i="2"/>
  <c r="AX699" i="2"/>
  <c r="AX698" i="2"/>
  <c r="AX697" i="2"/>
  <c r="AX696" i="2"/>
  <c r="AX693" i="2"/>
  <c r="AX692" i="2"/>
  <c r="AX691" i="2"/>
  <c r="AX690" i="2"/>
  <c r="AX689" i="2"/>
  <c r="AX688" i="2"/>
  <c r="AX687" i="2"/>
  <c r="AX686" i="2"/>
  <c r="AX685" i="2"/>
  <c r="AX684" i="2"/>
  <c r="AX683" i="2"/>
  <c r="AX682" i="2"/>
  <c r="AX681" i="2"/>
  <c r="AX680" i="2"/>
  <c r="AX679" i="2"/>
  <c r="AX678" i="2"/>
  <c r="AX677" i="2"/>
  <c r="AX676" i="2"/>
  <c r="AX675" i="2"/>
  <c r="AX674" i="2"/>
  <c r="AX673" i="2"/>
  <c r="AX672" i="2"/>
  <c r="AX671" i="2"/>
  <c r="AX670" i="2"/>
  <c r="AX669" i="2"/>
  <c r="AX668" i="2"/>
  <c r="AX667" i="2"/>
  <c r="AX666" i="2"/>
  <c r="AX665" i="2"/>
  <c r="AX664" i="2"/>
  <c r="AX663" i="2"/>
  <c r="AX662" i="2"/>
  <c r="AX661" i="2"/>
  <c r="AX660" i="2"/>
  <c r="AX659" i="2"/>
  <c r="AX658" i="2"/>
  <c r="AX657" i="2"/>
  <c r="AX656" i="2"/>
  <c r="AX655" i="2"/>
  <c r="AX654" i="2"/>
  <c r="AX653" i="2"/>
  <c r="AX652" i="2"/>
  <c r="AX648" i="2"/>
  <c r="AX643" i="2"/>
  <c r="AX651" i="2"/>
  <c r="AX650" i="2"/>
  <c r="AX649" i="2"/>
  <c r="AX647" i="2"/>
  <c r="AX646" i="2"/>
  <c r="AX645" i="2"/>
  <c r="AX644" i="2"/>
  <c r="AX642" i="2"/>
  <c r="AX641" i="2"/>
  <c r="AX640" i="2"/>
  <c r="AX639" i="2"/>
  <c r="AX638" i="2"/>
  <c r="AX637" i="2"/>
  <c r="AX636" i="2"/>
  <c r="AX635" i="2"/>
  <c r="AX634" i="2"/>
  <c r="AX633" i="2"/>
  <c r="AX632" i="2"/>
  <c r="AX631" i="2"/>
  <c r="AX630" i="2"/>
  <c r="AX629" i="2"/>
  <c r="AX628" i="2"/>
  <c r="AX627" i="2"/>
  <c r="AX626" i="2"/>
  <c r="AX625" i="2"/>
  <c r="AX624" i="2"/>
  <c r="AX623" i="2"/>
  <c r="AX622" i="2"/>
  <c r="AX621" i="2"/>
  <c r="AX620" i="2"/>
  <c r="AX619" i="2"/>
  <c r="AX618" i="2"/>
  <c r="AX617" i="2"/>
  <c r="AX616" i="2"/>
  <c r="AX615" i="2"/>
  <c r="AX614" i="2"/>
  <c r="AX613" i="2"/>
  <c r="AX612" i="2"/>
  <c r="AX611" i="2"/>
  <c r="AX610" i="2"/>
  <c r="AX609" i="2"/>
  <c r="AX608" i="2"/>
  <c r="AX607" i="2"/>
  <c r="AX606" i="2"/>
  <c r="AX605" i="2"/>
  <c r="AX604" i="2"/>
  <c r="AX603" i="2"/>
  <c r="AX602" i="2"/>
  <c r="AX601" i="2"/>
  <c r="AX600" i="2"/>
  <c r="AX599" i="2"/>
  <c r="AX598" i="2"/>
  <c r="AX597" i="2"/>
  <c r="AX596" i="2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79" i="2"/>
  <c r="AX297" i="2"/>
  <c r="AX296" i="2"/>
  <c r="AX295" i="2"/>
  <c r="AX294" i="2"/>
  <c r="AX293" i="2"/>
  <c r="AX292" i="2"/>
  <c r="AX291" i="2"/>
  <c r="AX290" i="2"/>
  <c r="AX289" i="2"/>
  <c r="AX288" i="2"/>
  <c r="AX287" i="2"/>
  <c r="AX285" i="2"/>
  <c r="AX284" i="2"/>
  <c r="AX283" i="2"/>
  <c r="AX282" i="2"/>
  <c r="AX286" i="2"/>
  <c r="AX280" i="2"/>
  <c r="AX281" i="2"/>
  <c r="AX278" i="2"/>
  <c r="AX276" i="2"/>
  <c r="AX270" i="2"/>
  <c r="AX269" i="2"/>
  <c r="AX277" i="2"/>
  <c r="AX275" i="2"/>
  <c r="AX274" i="2"/>
  <c r="AX273" i="2"/>
  <c r="AX272" i="2"/>
  <c r="AX271" i="2"/>
  <c r="AX268" i="2"/>
  <c r="AX267" i="2"/>
  <c r="AX248" i="2"/>
  <c r="AX247" i="2"/>
  <c r="AX266" i="2"/>
  <c r="AX265" i="2"/>
  <c r="AX262" i="2"/>
  <c r="AX261" i="2"/>
  <c r="AX260" i="2"/>
  <c r="AX259" i="2"/>
  <c r="AX258" i="2"/>
  <c r="AX264" i="2"/>
  <c r="AX263" i="2"/>
  <c r="AX257" i="2"/>
  <c r="AX256" i="2"/>
  <c r="AX255" i="2"/>
  <c r="AX252" i="2"/>
  <c r="AX251" i="2"/>
  <c r="AX254" i="2"/>
  <c r="AX253" i="2"/>
  <c r="AX245" i="2"/>
  <c r="AX244" i="2"/>
  <c r="AX232" i="2"/>
  <c r="AX207" i="2"/>
  <c r="AX206" i="2"/>
  <c r="AX205" i="2"/>
  <c r="AX242" i="2"/>
  <c r="AX241" i="2"/>
  <c r="AX204" i="2"/>
  <c r="AX225" i="2"/>
  <c r="AX224" i="2"/>
  <c r="AX236" i="2"/>
  <c r="AX240" i="2"/>
  <c r="AX239" i="2"/>
  <c r="AX234" i="2"/>
  <c r="AX233" i="2"/>
  <c r="AX250" i="2"/>
  <c r="AX249" i="2"/>
  <c r="AX227" i="2"/>
  <c r="AX229" i="2"/>
  <c r="AX217" i="2"/>
  <c r="AX214" i="2"/>
  <c r="AX226" i="2"/>
  <c r="AX230" i="2"/>
  <c r="AX223" i="2"/>
  <c r="AX222" i="2"/>
  <c r="AX228" i="2"/>
  <c r="AX221" i="2"/>
  <c r="AX220" i="2"/>
  <c r="AX219" i="2"/>
  <c r="AX218" i="2"/>
  <c r="AX235" i="2"/>
  <c r="AX238" i="2"/>
  <c r="AX215" i="2"/>
  <c r="AX237" i="2"/>
  <c r="AX213" i="2"/>
  <c r="AX212" i="2"/>
  <c r="AX211" i="2"/>
  <c r="AX210" i="2"/>
  <c r="AX209" i="2"/>
  <c r="AX208" i="2"/>
  <c r="AX246" i="2"/>
  <c r="AX243" i="2"/>
  <c r="AX216" i="2"/>
  <c r="AX231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M836" i="2"/>
  <c r="AQ836" i="2"/>
  <c r="AN836" i="2"/>
  <c r="AR836" i="2"/>
  <c r="AO836" i="2"/>
  <c r="AU836" i="2"/>
  <c r="AV836" i="2"/>
  <c r="AW836" i="2"/>
  <c r="AH836" i="2"/>
  <c r="V836" i="2"/>
  <c r="W836" i="2"/>
  <c r="AM835" i="2"/>
  <c r="AQ835" i="2"/>
  <c r="AN835" i="2"/>
  <c r="AR835" i="2"/>
  <c r="AO835" i="2"/>
  <c r="AU835" i="2"/>
  <c r="AV835" i="2"/>
  <c r="AW835" i="2"/>
  <c r="AH835" i="2"/>
  <c r="V835" i="2"/>
  <c r="W835" i="2"/>
  <c r="AO834" i="2"/>
  <c r="AM831" i="2"/>
  <c r="AQ831" i="2"/>
  <c r="AN831" i="2"/>
  <c r="AR831" i="2"/>
  <c r="AO831" i="2"/>
  <c r="AU831" i="2"/>
  <c r="AV831" i="2"/>
  <c r="AW831" i="2"/>
  <c r="AM832" i="2"/>
  <c r="AQ832" i="2"/>
  <c r="AN832" i="2"/>
  <c r="AR832" i="2"/>
  <c r="AO832" i="2"/>
  <c r="AU832" i="2"/>
  <c r="AV832" i="2"/>
  <c r="AW832" i="2"/>
  <c r="AM833" i="2"/>
  <c r="AQ833" i="2"/>
  <c r="AN833" i="2"/>
  <c r="AR833" i="2"/>
  <c r="AO833" i="2"/>
  <c r="AU833" i="2"/>
  <c r="AV833" i="2"/>
  <c r="AW833" i="2"/>
  <c r="AM834" i="2"/>
  <c r="AQ834" i="2"/>
  <c r="AN834" i="2"/>
  <c r="AR834" i="2"/>
  <c r="AU834" i="2"/>
  <c r="AV834" i="2"/>
  <c r="AW834" i="2"/>
  <c r="AH831" i="2"/>
  <c r="AS831" i="2"/>
  <c r="AL831" i="2"/>
  <c r="AT831" i="2"/>
  <c r="AH832" i="2"/>
  <c r="AS832" i="2"/>
  <c r="AL832" i="2"/>
  <c r="AT832" i="2"/>
  <c r="AH833" i="2"/>
  <c r="AS833" i="2"/>
  <c r="AL833" i="2"/>
  <c r="AT833" i="2"/>
  <c r="AH834" i="2"/>
  <c r="AS834" i="2"/>
  <c r="AL834" i="2"/>
  <c r="AT834" i="2"/>
  <c r="V831" i="2"/>
  <c r="W831" i="2"/>
  <c r="V832" i="2"/>
  <c r="W832" i="2"/>
  <c r="V833" i="2"/>
  <c r="W833" i="2"/>
  <c r="V834" i="2"/>
  <c r="W834" i="2"/>
  <c r="AM830" i="2"/>
  <c r="AQ830" i="2"/>
  <c r="AN830" i="2"/>
  <c r="AR830" i="2"/>
  <c r="AO830" i="2"/>
  <c r="AU830" i="2"/>
  <c r="AV830" i="2"/>
  <c r="AW830" i="2"/>
  <c r="AH830" i="2"/>
  <c r="V830" i="2"/>
  <c r="W830" i="2"/>
  <c r="AH826" i="2"/>
  <c r="AI826" i="2"/>
  <c r="AJ826" i="2"/>
  <c r="AM825" i="2"/>
  <c r="AQ825" i="2"/>
  <c r="AN825" i="2"/>
  <c r="AR825" i="2"/>
  <c r="AO825" i="2"/>
  <c r="AU825" i="2"/>
  <c r="AV825" i="2"/>
  <c r="AW825" i="2"/>
  <c r="AM826" i="2"/>
  <c r="AQ826" i="2"/>
  <c r="AN826" i="2"/>
  <c r="AR826" i="2"/>
  <c r="AO826" i="2"/>
  <c r="AS826" i="2"/>
  <c r="AU826" i="2"/>
  <c r="AV826" i="2"/>
  <c r="AW826" i="2"/>
  <c r="AM827" i="2"/>
  <c r="AQ827" i="2"/>
  <c r="AN827" i="2"/>
  <c r="AR827" i="2"/>
  <c r="AO827" i="2"/>
  <c r="AU827" i="2"/>
  <c r="AV827" i="2"/>
  <c r="AW827" i="2"/>
  <c r="AM828" i="2"/>
  <c r="AQ828" i="2"/>
  <c r="AN828" i="2"/>
  <c r="AR828" i="2"/>
  <c r="AO828" i="2"/>
  <c r="AU828" i="2"/>
  <c r="AV828" i="2"/>
  <c r="AW828" i="2"/>
  <c r="AM829" i="2"/>
  <c r="AQ829" i="2"/>
  <c r="AN829" i="2"/>
  <c r="AR829" i="2"/>
  <c r="AO829" i="2"/>
  <c r="AU829" i="2"/>
  <c r="AV829" i="2"/>
  <c r="AW829" i="2"/>
  <c r="AL826" i="2"/>
  <c r="AT826" i="2"/>
  <c r="AH825" i="2"/>
  <c r="AH827" i="2"/>
  <c r="AH828" i="2"/>
  <c r="AH829" i="2"/>
  <c r="V825" i="2"/>
  <c r="W825" i="2"/>
  <c r="V826" i="2"/>
  <c r="W826" i="2"/>
  <c r="V827" i="2"/>
  <c r="W827" i="2"/>
  <c r="V828" i="2"/>
  <c r="W828" i="2"/>
  <c r="V829" i="2"/>
  <c r="W829" i="2"/>
  <c r="AH821" i="2"/>
  <c r="AM823" i="2"/>
  <c r="AQ823" i="2"/>
  <c r="AN823" i="2"/>
  <c r="AR823" i="2"/>
  <c r="AO823" i="2"/>
  <c r="AU823" i="2"/>
  <c r="AV823" i="2"/>
  <c r="AW823" i="2"/>
  <c r="AM824" i="2"/>
  <c r="AQ824" i="2"/>
  <c r="AN824" i="2"/>
  <c r="AR824" i="2"/>
  <c r="AO824" i="2"/>
  <c r="AU824" i="2"/>
  <c r="AV824" i="2"/>
  <c r="AW824" i="2"/>
  <c r="AH823" i="2"/>
  <c r="AH824" i="2"/>
  <c r="V823" i="2"/>
  <c r="W823" i="2"/>
  <c r="V824" i="2"/>
  <c r="W824" i="2"/>
  <c r="AM821" i="2"/>
  <c r="AQ821" i="2"/>
  <c r="AN821" i="2"/>
  <c r="AR821" i="2"/>
  <c r="AO821" i="2"/>
  <c r="AU821" i="2"/>
  <c r="AV821" i="2"/>
  <c r="AW821" i="2"/>
  <c r="AM822" i="2"/>
  <c r="AQ822" i="2"/>
  <c r="AN822" i="2"/>
  <c r="AR822" i="2"/>
  <c r="AO822" i="2"/>
  <c r="AU822" i="2"/>
  <c r="AV822" i="2"/>
  <c r="AW822" i="2"/>
  <c r="AS821" i="2"/>
  <c r="AH822" i="2"/>
  <c r="AS822" i="2"/>
  <c r="AL821" i="2"/>
  <c r="AT821" i="2"/>
  <c r="AL822" i="2"/>
  <c r="AT822" i="2"/>
  <c r="V821" i="2"/>
  <c r="W821" i="2"/>
  <c r="V822" i="2"/>
  <c r="W822" i="2"/>
  <c r="AM820" i="2"/>
  <c r="AQ820" i="2"/>
  <c r="AN820" i="2"/>
  <c r="AR820" i="2"/>
  <c r="AO820" i="2"/>
  <c r="AU820" i="2"/>
  <c r="AV820" i="2"/>
  <c r="AW820" i="2"/>
  <c r="AH820" i="2"/>
  <c r="AL820" i="2"/>
  <c r="V820" i="2"/>
  <c r="W820" i="2"/>
  <c r="AM818" i="2"/>
  <c r="AQ818" i="2"/>
  <c r="AN818" i="2"/>
  <c r="AR818" i="2"/>
  <c r="AO818" i="2"/>
  <c r="AU818" i="2"/>
  <c r="AV818" i="2"/>
  <c r="AW818" i="2"/>
  <c r="AM819" i="2"/>
  <c r="AQ819" i="2"/>
  <c r="AN819" i="2"/>
  <c r="AR819" i="2"/>
  <c r="AO819" i="2"/>
  <c r="AU819" i="2"/>
  <c r="AV819" i="2"/>
  <c r="AW819" i="2"/>
  <c r="AH818" i="2"/>
  <c r="AH819" i="2"/>
  <c r="V818" i="2"/>
  <c r="W818" i="2"/>
  <c r="V819" i="2"/>
  <c r="W819" i="2"/>
  <c r="AM815" i="2"/>
  <c r="AQ815" i="2"/>
  <c r="AN815" i="2"/>
  <c r="AR815" i="2"/>
  <c r="AO815" i="2"/>
  <c r="AU815" i="2"/>
  <c r="AV815" i="2"/>
  <c r="AW815" i="2"/>
  <c r="AM816" i="2"/>
  <c r="AQ816" i="2"/>
  <c r="AN816" i="2"/>
  <c r="AR816" i="2"/>
  <c r="AO816" i="2"/>
  <c r="AU816" i="2"/>
  <c r="AV816" i="2"/>
  <c r="AW816" i="2"/>
  <c r="AM817" i="2"/>
  <c r="AQ817" i="2"/>
  <c r="AN817" i="2"/>
  <c r="AR817" i="2"/>
  <c r="AO817" i="2"/>
  <c r="AU817" i="2"/>
  <c r="AV817" i="2"/>
  <c r="AW817" i="2"/>
  <c r="AH815" i="2"/>
  <c r="AH816" i="2"/>
  <c r="AH817" i="2"/>
  <c r="V815" i="2"/>
  <c r="W815" i="2"/>
  <c r="V816" i="2"/>
  <c r="W816" i="2"/>
  <c r="V817" i="2"/>
  <c r="W817" i="2"/>
  <c r="AM755" i="2"/>
  <c r="AQ755" i="2"/>
  <c r="AN755" i="2"/>
  <c r="AR755" i="2"/>
  <c r="AO755" i="2"/>
  <c r="AU755" i="2"/>
  <c r="AV755" i="2"/>
  <c r="AW755" i="2"/>
  <c r="AH755" i="2"/>
  <c r="V755" i="2"/>
  <c r="W755" i="2"/>
  <c r="V813" i="2"/>
  <c r="W813" i="2"/>
  <c r="AM812" i="2"/>
  <c r="AQ812" i="2"/>
  <c r="AN812" i="2"/>
  <c r="AR812" i="2"/>
  <c r="AO812" i="2"/>
  <c r="AU812" i="2"/>
  <c r="AV812" i="2"/>
  <c r="AW812" i="2"/>
  <c r="AM813" i="2"/>
  <c r="AQ813" i="2"/>
  <c r="AN813" i="2"/>
  <c r="AR813" i="2"/>
  <c r="AO813" i="2"/>
  <c r="AU813" i="2"/>
  <c r="AV813" i="2"/>
  <c r="AW813" i="2"/>
  <c r="AH812" i="2"/>
  <c r="AH813" i="2"/>
  <c r="V812" i="2"/>
  <c r="W812" i="2"/>
  <c r="AH863" i="2"/>
  <c r="AH862" i="2"/>
  <c r="AH864" i="2"/>
  <c r="AH809" i="2"/>
  <c r="AH810" i="2"/>
  <c r="AH811" i="2"/>
  <c r="AM810" i="2"/>
  <c r="AQ810" i="2"/>
  <c r="AN810" i="2"/>
  <c r="AR810" i="2"/>
  <c r="AO810" i="2"/>
  <c r="AS810" i="2"/>
  <c r="AU810" i="2"/>
  <c r="AV810" i="2"/>
  <c r="AW810" i="2"/>
  <c r="AM811" i="2"/>
  <c r="AQ811" i="2"/>
  <c r="AN811" i="2"/>
  <c r="AR811" i="2"/>
  <c r="AO811" i="2"/>
  <c r="AS811" i="2"/>
  <c r="AU811" i="2"/>
  <c r="AV811" i="2"/>
  <c r="AW811" i="2"/>
  <c r="AL810" i="2"/>
  <c r="AT810" i="2"/>
  <c r="AL811" i="2"/>
  <c r="AT811" i="2"/>
  <c r="V810" i="2"/>
  <c r="W810" i="2"/>
  <c r="V811" i="2"/>
  <c r="W811" i="2"/>
  <c r="AM809" i="2"/>
  <c r="AQ809" i="2"/>
  <c r="AN809" i="2"/>
  <c r="AR809" i="2"/>
  <c r="AO809" i="2"/>
  <c r="AS809" i="2"/>
  <c r="AU809" i="2"/>
  <c r="AV809" i="2"/>
  <c r="AW809" i="2"/>
  <c r="AL809" i="2"/>
  <c r="AT809" i="2"/>
  <c r="AH790" i="2"/>
  <c r="V809" i="2"/>
  <c r="W809" i="2"/>
  <c r="AM863" i="2"/>
  <c r="AQ863" i="2"/>
  <c r="AN863" i="2"/>
  <c r="AR863" i="2"/>
  <c r="AO863" i="2"/>
  <c r="AS863" i="2"/>
  <c r="AU863" i="2"/>
  <c r="AV863" i="2"/>
  <c r="AW863" i="2"/>
  <c r="AM864" i="2"/>
  <c r="AQ864" i="2"/>
  <c r="AN864" i="2"/>
  <c r="AR864" i="2"/>
  <c r="AO864" i="2"/>
  <c r="AS864" i="2"/>
  <c r="AU864" i="2"/>
  <c r="AV864" i="2"/>
  <c r="AW864" i="2"/>
  <c r="AL863" i="2"/>
  <c r="AT863" i="2"/>
  <c r="AL864" i="2"/>
  <c r="AT864" i="2"/>
  <c r="V863" i="2"/>
  <c r="W863" i="2"/>
  <c r="V864" i="2"/>
  <c r="W864" i="2"/>
  <c r="AM862" i="2"/>
  <c r="AQ862" i="2"/>
  <c r="AN862" i="2"/>
  <c r="AR862" i="2"/>
  <c r="AO862" i="2"/>
  <c r="AS862" i="2"/>
  <c r="AU862" i="2"/>
  <c r="AV862" i="2"/>
  <c r="AW862" i="2"/>
  <c r="AL862" i="2"/>
  <c r="AT862" i="2"/>
  <c r="V862" i="2"/>
  <c r="W862" i="2"/>
  <c r="AM790" i="2"/>
  <c r="AQ790" i="2"/>
  <c r="AN790" i="2"/>
  <c r="AR790" i="2"/>
  <c r="AO790" i="2"/>
  <c r="AU790" i="2"/>
  <c r="AV790" i="2"/>
  <c r="AW790" i="2"/>
  <c r="V790" i="2"/>
  <c r="W790" i="2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7" i="2"/>
  <c r="AO298" i="2"/>
  <c r="AO299" i="2"/>
  <c r="AO300" i="2"/>
  <c r="AO301" i="2"/>
  <c r="AO302" i="2"/>
  <c r="AO303" i="2"/>
  <c r="AO304" i="2"/>
  <c r="AO305" i="2"/>
  <c r="AO306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6" i="2"/>
  <c r="AO377" i="2"/>
  <c r="AO378" i="2"/>
  <c r="AO379" i="2"/>
  <c r="AO380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8" i="2"/>
  <c r="AO399" i="2"/>
  <c r="AO400" i="2"/>
  <c r="AO401" i="2"/>
  <c r="AO402" i="2"/>
  <c r="AO403" i="2"/>
  <c r="AO404" i="2"/>
  <c r="AO405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8" i="2"/>
  <c r="AO640" i="2"/>
  <c r="AO641" i="2"/>
  <c r="AO642" i="2"/>
  <c r="AO644" i="2"/>
  <c r="AO645" i="2"/>
  <c r="AO646" i="2"/>
  <c r="AO647" i="2"/>
  <c r="AO649" i="2"/>
  <c r="AO650" i="2"/>
  <c r="AO651" i="2"/>
  <c r="AO643" i="2"/>
  <c r="AO648" i="2"/>
  <c r="AO652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6" i="2"/>
  <c r="AO697" i="2"/>
  <c r="AO698" i="2"/>
  <c r="AO700" i="2"/>
  <c r="AO701" i="2"/>
  <c r="AO702" i="2"/>
  <c r="AO704" i="2"/>
  <c r="AO705" i="2"/>
  <c r="AO706" i="2"/>
  <c r="AO707" i="2"/>
  <c r="AO708" i="2"/>
  <c r="AO709" i="2"/>
  <c r="AO710" i="2"/>
  <c r="AO711" i="2"/>
  <c r="AO712" i="2"/>
  <c r="AO713" i="2"/>
  <c r="AO714" i="2"/>
  <c r="AO716" i="2"/>
  <c r="AO718" i="2"/>
  <c r="AO719" i="2"/>
  <c r="AO720" i="2"/>
  <c r="AO721" i="2"/>
  <c r="AO722" i="2"/>
  <c r="AO723" i="2"/>
  <c r="AO724" i="2"/>
  <c r="AO725" i="2"/>
  <c r="AO727" i="2"/>
  <c r="AO728" i="2"/>
  <c r="AO729" i="2"/>
  <c r="AO730" i="2"/>
  <c r="AO731" i="2"/>
  <c r="AO732" i="2"/>
  <c r="AO715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52" i="2"/>
  <c r="AO694" i="2"/>
  <c r="AO695" i="2"/>
  <c r="AO808" i="2"/>
  <c r="AO745" i="2"/>
  <c r="AO746" i="2"/>
  <c r="AO747" i="2"/>
  <c r="AO748" i="2"/>
  <c r="AO749" i="2"/>
  <c r="AO750" i="2"/>
  <c r="AO753" i="2"/>
  <c r="AO754" i="2"/>
  <c r="AO756" i="2"/>
  <c r="AO757" i="2"/>
  <c r="AO758" i="2"/>
  <c r="AO759" i="2"/>
  <c r="AO87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806" i="2"/>
  <c r="AO807" i="2"/>
  <c r="AO784" i="2"/>
  <c r="AO785" i="2"/>
  <c r="AO786" i="2"/>
  <c r="AO787" i="2"/>
  <c r="AO788" i="2"/>
  <c r="AO86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M804" i="2"/>
  <c r="AQ804" i="2"/>
  <c r="AN804" i="2"/>
  <c r="AR804" i="2"/>
  <c r="AU804" i="2"/>
  <c r="AV804" i="2"/>
  <c r="AW804" i="2"/>
  <c r="AM803" i="2"/>
  <c r="AQ803" i="2"/>
  <c r="AN803" i="2"/>
  <c r="AR803" i="2"/>
  <c r="AU803" i="2"/>
  <c r="AV803" i="2"/>
  <c r="AW803" i="2"/>
  <c r="AH803" i="2"/>
  <c r="AH804" i="2"/>
  <c r="V803" i="2"/>
  <c r="W803" i="2"/>
  <c r="V804" i="2"/>
  <c r="W804" i="2"/>
  <c r="AH801" i="2"/>
  <c r="AL801" i="2"/>
  <c r="AH802" i="2"/>
  <c r="AL802" i="2"/>
  <c r="V801" i="2"/>
  <c r="W801" i="2"/>
  <c r="V802" i="2"/>
  <c r="W802" i="2"/>
  <c r="AM800" i="2"/>
  <c r="AQ800" i="2"/>
  <c r="AN800" i="2"/>
  <c r="AR800" i="2"/>
  <c r="AU800" i="2"/>
  <c r="AV800" i="2"/>
  <c r="AW800" i="2"/>
  <c r="AM801" i="2"/>
  <c r="AQ801" i="2"/>
  <c r="AN801" i="2"/>
  <c r="AR801" i="2"/>
  <c r="AS801" i="2"/>
  <c r="AT801" i="2"/>
  <c r="AU801" i="2"/>
  <c r="AV801" i="2"/>
  <c r="AW801" i="2"/>
  <c r="AM802" i="2"/>
  <c r="AQ802" i="2"/>
  <c r="AN802" i="2"/>
  <c r="AR802" i="2"/>
  <c r="AS802" i="2"/>
  <c r="AT802" i="2"/>
  <c r="AU802" i="2"/>
  <c r="AV802" i="2"/>
  <c r="AW802" i="2"/>
  <c r="AM799" i="2"/>
  <c r="AQ799" i="2"/>
  <c r="AN799" i="2"/>
  <c r="AR799" i="2"/>
  <c r="AU799" i="2"/>
  <c r="AV799" i="2"/>
  <c r="AW799" i="2"/>
  <c r="V799" i="2"/>
  <c r="W799" i="2"/>
  <c r="V800" i="2"/>
  <c r="W800" i="2"/>
  <c r="AH800" i="2"/>
  <c r="AS800" i="2"/>
  <c r="AL800" i="2"/>
  <c r="AT800" i="2"/>
  <c r="AH799" i="2"/>
  <c r="AH798" i="2"/>
  <c r="AL798" i="2"/>
  <c r="AM798" i="2"/>
  <c r="AQ798" i="2"/>
  <c r="AN798" i="2"/>
  <c r="AR798" i="2"/>
  <c r="AS798" i="2"/>
  <c r="AT798" i="2"/>
  <c r="AU798" i="2"/>
  <c r="AV798" i="2"/>
  <c r="AW798" i="2"/>
  <c r="V798" i="2"/>
  <c r="W798" i="2"/>
  <c r="AM797" i="2"/>
  <c r="AQ797" i="2"/>
  <c r="AN797" i="2"/>
  <c r="AR797" i="2"/>
  <c r="AU797" i="2"/>
  <c r="AV797" i="2"/>
  <c r="AW797" i="2"/>
  <c r="AM795" i="2"/>
  <c r="AQ795" i="2"/>
  <c r="AN795" i="2"/>
  <c r="AR795" i="2"/>
  <c r="AU795" i="2"/>
  <c r="AV795" i="2"/>
  <c r="AW795" i="2"/>
  <c r="AM796" i="2"/>
  <c r="AQ796" i="2"/>
  <c r="AN796" i="2"/>
  <c r="AR796" i="2"/>
  <c r="AU796" i="2"/>
  <c r="AV796" i="2"/>
  <c r="AW796" i="2"/>
  <c r="AH795" i="2"/>
  <c r="AH796" i="2"/>
  <c r="AH797" i="2"/>
  <c r="V795" i="2"/>
  <c r="W795" i="2"/>
  <c r="V796" i="2"/>
  <c r="W796" i="2"/>
  <c r="V797" i="2"/>
  <c r="W797" i="2"/>
  <c r="AM794" i="2"/>
  <c r="AQ794" i="2"/>
  <c r="AN794" i="2"/>
  <c r="AR794" i="2"/>
  <c r="AU794" i="2"/>
  <c r="AV794" i="2"/>
  <c r="AW794" i="2"/>
  <c r="AH794" i="2"/>
  <c r="V794" i="2"/>
  <c r="W794" i="2"/>
  <c r="AM791" i="2"/>
  <c r="AQ791" i="2"/>
  <c r="AN791" i="2"/>
  <c r="AR791" i="2"/>
  <c r="AU791" i="2"/>
  <c r="AV791" i="2"/>
  <c r="AW791" i="2"/>
  <c r="AM792" i="2"/>
  <c r="AQ792" i="2"/>
  <c r="AN792" i="2"/>
  <c r="AR792" i="2"/>
  <c r="AU792" i="2"/>
  <c r="AV792" i="2"/>
  <c r="AW792" i="2"/>
  <c r="AM793" i="2"/>
  <c r="AQ793" i="2"/>
  <c r="AN793" i="2"/>
  <c r="AR793" i="2"/>
  <c r="AU793" i="2"/>
  <c r="AV793" i="2"/>
  <c r="AW793" i="2"/>
  <c r="AH791" i="2"/>
  <c r="AH792" i="2"/>
  <c r="AH793" i="2"/>
  <c r="V791" i="2"/>
  <c r="W791" i="2"/>
  <c r="V792" i="2"/>
  <c r="W792" i="2"/>
  <c r="V793" i="2"/>
  <c r="W793" i="2"/>
  <c r="AM861" i="2"/>
  <c r="AQ861" i="2"/>
  <c r="AN861" i="2"/>
  <c r="AR861" i="2"/>
  <c r="AU861" i="2"/>
  <c r="AV861" i="2"/>
  <c r="AW861" i="2"/>
  <c r="AH861" i="2"/>
  <c r="V861" i="2"/>
  <c r="W861" i="2"/>
  <c r="AM860" i="2"/>
  <c r="AQ860" i="2"/>
  <c r="AN860" i="2"/>
  <c r="AR860" i="2"/>
  <c r="AU860" i="2"/>
  <c r="AV860" i="2"/>
  <c r="AW860" i="2"/>
  <c r="AH860" i="2"/>
  <c r="V860" i="2"/>
  <c r="W860" i="2"/>
  <c r="AM788" i="2"/>
  <c r="AQ788" i="2"/>
  <c r="AN788" i="2"/>
  <c r="AR788" i="2"/>
  <c r="AU788" i="2"/>
  <c r="AV788" i="2"/>
  <c r="AW788" i="2"/>
  <c r="AH788" i="2"/>
  <c r="V788" i="2"/>
  <c r="W788" i="2"/>
  <c r="AM787" i="2"/>
  <c r="AQ787" i="2"/>
  <c r="AN787" i="2"/>
  <c r="AR787" i="2"/>
  <c r="AU787" i="2"/>
  <c r="AV787" i="2"/>
  <c r="AW787" i="2"/>
  <c r="AH787" i="2"/>
  <c r="V787" i="2"/>
  <c r="W787" i="2"/>
  <c r="G25" i="4"/>
  <c r="C35" i="4"/>
  <c r="C34" i="4"/>
  <c r="C33" i="4"/>
  <c r="C32" i="4"/>
  <c r="C31" i="4"/>
  <c r="C30" i="4"/>
  <c r="C29" i="4"/>
  <c r="C28" i="4"/>
  <c r="C27" i="4"/>
  <c r="C26" i="4"/>
  <c r="B35" i="4"/>
  <c r="B34" i="4"/>
  <c r="B33" i="4"/>
  <c r="B32" i="4"/>
  <c r="B31" i="4"/>
  <c r="B30" i="4"/>
  <c r="B29" i="4"/>
  <c r="B28" i="4"/>
  <c r="B27" i="4"/>
  <c r="B26" i="4"/>
  <c r="M16" i="4"/>
  <c r="G3" i="4"/>
  <c r="G19" i="4"/>
  <c r="G20" i="4"/>
  <c r="G21" i="4"/>
  <c r="R3" i="4"/>
  <c r="O3" i="4"/>
  <c r="O4" i="4"/>
  <c r="O5" i="4"/>
  <c r="O6" i="4"/>
  <c r="O7" i="4"/>
  <c r="O8" i="4"/>
  <c r="O9" i="4"/>
  <c r="O10" i="4"/>
  <c r="O11" i="4"/>
  <c r="O12" i="4"/>
  <c r="O2" i="4"/>
  <c r="I15" i="4"/>
  <c r="I14" i="4"/>
  <c r="I13" i="4"/>
  <c r="I12" i="4"/>
  <c r="I11" i="4"/>
  <c r="I10" i="4"/>
  <c r="I9" i="4"/>
  <c r="I8" i="4"/>
  <c r="I7" i="4"/>
  <c r="I6" i="4"/>
  <c r="I5" i="4"/>
  <c r="I4" i="4"/>
  <c r="I2" i="4"/>
  <c r="L3" i="4"/>
  <c r="B19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B7" i="4"/>
  <c r="B20" i="4"/>
  <c r="B18" i="4"/>
  <c r="B17" i="4"/>
  <c r="B16" i="4"/>
  <c r="B15" i="4"/>
  <c r="B14" i="4"/>
  <c r="B13" i="4"/>
  <c r="B12" i="4"/>
  <c r="B11" i="4"/>
  <c r="B10" i="4"/>
  <c r="B9" i="4"/>
  <c r="B8" i="4"/>
  <c r="B4" i="4"/>
  <c r="B2" i="4"/>
  <c r="AS790" i="2"/>
  <c r="AL790" i="2"/>
  <c r="AT790" i="2"/>
  <c r="AL799" i="2"/>
  <c r="AT799" i="2"/>
  <c r="AS799" i="2"/>
  <c r="AS804" i="2"/>
  <c r="AL804" i="2"/>
  <c r="AT804" i="2"/>
  <c r="AS803" i="2"/>
  <c r="AL803" i="2"/>
  <c r="AT803" i="2"/>
  <c r="AL787" i="2"/>
  <c r="AT787" i="2"/>
  <c r="AS787" i="2"/>
  <c r="AS788" i="2"/>
  <c r="AL788" i="2"/>
  <c r="AT788" i="2"/>
  <c r="AS860" i="2"/>
  <c r="AL860" i="2"/>
  <c r="AT860" i="2"/>
  <c r="AS861" i="2"/>
  <c r="AL861" i="2"/>
  <c r="AT861" i="2"/>
  <c r="AS793" i="2"/>
  <c r="AL793" i="2"/>
  <c r="AT793" i="2"/>
  <c r="AS792" i="2"/>
  <c r="AL792" i="2"/>
  <c r="AT792" i="2"/>
  <c r="AS791" i="2"/>
  <c r="AL791" i="2"/>
  <c r="AT791" i="2"/>
  <c r="AS794" i="2"/>
  <c r="AL794" i="2"/>
  <c r="AT794" i="2"/>
  <c r="AS797" i="2"/>
  <c r="AL797" i="2"/>
  <c r="AT797" i="2"/>
  <c r="AS796" i="2"/>
  <c r="AL796" i="2"/>
  <c r="AT796" i="2"/>
  <c r="AS795" i="2"/>
  <c r="AL795" i="2"/>
  <c r="AT795" i="2"/>
  <c r="AM785" i="2"/>
  <c r="AQ785" i="2"/>
  <c r="AN785" i="2"/>
  <c r="AR785" i="2"/>
  <c r="AU785" i="2"/>
  <c r="AV785" i="2"/>
  <c r="AW785" i="2"/>
  <c r="AM786" i="2"/>
  <c r="AQ786" i="2"/>
  <c r="AN786" i="2"/>
  <c r="AR786" i="2"/>
  <c r="AU786" i="2"/>
  <c r="AV786" i="2"/>
  <c r="AW786" i="2"/>
  <c r="AH785" i="2"/>
  <c r="AH786" i="2"/>
  <c r="V785" i="2"/>
  <c r="W785" i="2"/>
  <c r="V786" i="2"/>
  <c r="W786" i="2"/>
  <c r="AH784" i="2"/>
  <c r="AL784" i="2"/>
  <c r="AM784" i="2"/>
  <c r="AQ784" i="2"/>
  <c r="AN784" i="2"/>
  <c r="AR784" i="2"/>
  <c r="AU784" i="2"/>
  <c r="AV784" i="2"/>
  <c r="AW784" i="2"/>
  <c r="V784" i="2"/>
  <c r="W784" i="2"/>
  <c r="AM806" i="2"/>
  <c r="AQ806" i="2"/>
  <c r="AN806" i="2"/>
  <c r="AR806" i="2"/>
  <c r="AU806" i="2"/>
  <c r="AV806" i="2"/>
  <c r="AW806" i="2"/>
  <c r="AM807" i="2"/>
  <c r="AQ807" i="2"/>
  <c r="AN807" i="2"/>
  <c r="AR807" i="2"/>
  <c r="AU807" i="2"/>
  <c r="AV807" i="2"/>
  <c r="AW807" i="2"/>
  <c r="AH806" i="2"/>
  <c r="AH807" i="2"/>
  <c r="V806" i="2"/>
  <c r="W806" i="2"/>
  <c r="V807" i="2"/>
  <c r="W807" i="2"/>
  <c r="AM781" i="2"/>
  <c r="AQ781" i="2"/>
  <c r="AN781" i="2"/>
  <c r="AR781" i="2"/>
  <c r="AU781" i="2"/>
  <c r="AV781" i="2"/>
  <c r="AW781" i="2"/>
  <c r="AH781" i="2"/>
  <c r="AS781" i="2"/>
  <c r="AL781" i="2"/>
  <c r="AT781" i="2"/>
  <c r="V781" i="2"/>
  <c r="W781" i="2"/>
  <c r="AM771" i="2"/>
  <c r="AQ771" i="2"/>
  <c r="AN771" i="2"/>
  <c r="AR771" i="2"/>
  <c r="AU771" i="2"/>
  <c r="AV771" i="2"/>
  <c r="AW771" i="2"/>
  <c r="AM772" i="2"/>
  <c r="AQ772" i="2"/>
  <c r="AN772" i="2"/>
  <c r="AR772" i="2"/>
  <c r="AU772" i="2"/>
  <c r="AV772" i="2"/>
  <c r="AW772" i="2"/>
  <c r="AM773" i="2"/>
  <c r="AQ773" i="2"/>
  <c r="AN773" i="2"/>
  <c r="AR773" i="2"/>
  <c r="AU773" i="2"/>
  <c r="AV773" i="2"/>
  <c r="AW773" i="2"/>
  <c r="AM774" i="2"/>
  <c r="AQ774" i="2"/>
  <c r="AN774" i="2"/>
  <c r="AR774" i="2"/>
  <c r="AU774" i="2"/>
  <c r="AV774" i="2"/>
  <c r="AW774" i="2"/>
  <c r="AM775" i="2"/>
  <c r="AQ775" i="2"/>
  <c r="AN775" i="2"/>
  <c r="AR775" i="2"/>
  <c r="AU775" i="2"/>
  <c r="AV775" i="2"/>
  <c r="AW775" i="2"/>
  <c r="AM776" i="2"/>
  <c r="AQ776" i="2"/>
  <c r="AN776" i="2"/>
  <c r="AR776" i="2"/>
  <c r="AU776" i="2"/>
  <c r="AV776" i="2"/>
  <c r="AW776" i="2"/>
  <c r="AM777" i="2"/>
  <c r="AQ777" i="2"/>
  <c r="AN777" i="2"/>
  <c r="AR777" i="2"/>
  <c r="AU777" i="2"/>
  <c r="AV777" i="2"/>
  <c r="AW777" i="2"/>
  <c r="AM778" i="2"/>
  <c r="AQ778" i="2"/>
  <c r="AN778" i="2"/>
  <c r="AR778" i="2"/>
  <c r="AU778" i="2"/>
  <c r="AV778" i="2"/>
  <c r="AW778" i="2"/>
  <c r="AM779" i="2"/>
  <c r="AQ779" i="2"/>
  <c r="AN779" i="2"/>
  <c r="AR779" i="2"/>
  <c r="AU779" i="2"/>
  <c r="AV779" i="2"/>
  <c r="AW779" i="2"/>
  <c r="AM780" i="2"/>
  <c r="AQ780" i="2"/>
  <c r="AN780" i="2"/>
  <c r="AR780" i="2"/>
  <c r="AU780" i="2"/>
  <c r="AV780" i="2"/>
  <c r="AW780" i="2"/>
  <c r="AH771" i="2"/>
  <c r="AH772" i="2"/>
  <c r="AH773" i="2"/>
  <c r="AH774" i="2"/>
  <c r="AH775" i="2"/>
  <c r="AH776" i="2"/>
  <c r="AH777" i="2"/>
  <c r="AH778" i="2"/>
  <c r="AH779" i="2"/>
  <c r="AH780" i="2"/>
  <c r="V771" i="2"/>
  <c r="W771" i="2"/>
  <c r="V772" i="2"/>
  <c r="W772" i="2"/>
  <c r="V773" i="2"/>
  <c r="W773" i="2"/>
  <c r="V774" i="2"/>
  <c r="W774" i="2"/>
  <c r="V775" i="2"/>
  <c r="W775" i="2"/>
  <c r="V776" i="2"/>
  <c r="W776" i="2"/>
  <c r="V777" i="2"/>
  <c r="W777" i="2"/>
  <c r="V778" i="2"/>
  <c r="W778" i="2"/>
  <c r="V779" i="2"/>
  <c r="W779" i="2"/>
  <c r="V780" i="2"/>
  <c r="W780" i="2"/>
  <c r="AM761" i="2"/>
  <c r="AQ761" i="2"/>
  <c r="AN761" i="2"/>
  <c r="AR761" i="2"/>
  <c r="AU761" i="2"/>
  <c r="AV761" i="2"/>
  <c r="AW761" i="2"/>
  <c r="AM762" i="2"/>
  <c r="AQ762" i="2"/>
  <c r="AN762" i="2"/>
  <c r="AR762" i="2"/>
  <c r="AU762" i="2"/>
  <c r="AV762" i="2"/>
  <c r="AW762" i="2"/>
  <c r="AM763" i="2"/>
  <c r="AQ763" i="2"/>
  <c r="AN763" i="2"/>
  <c r="AR763" i="2"/>
  <c r="AU763" i="2"/>
  <c r="AV763" i="2"/>
  <c r="AW763" i="2"/>
  <c r="AM764" i="2"/>
  <c r="AQ764" i="2"/>
  <c r="AN764" i="2"/>
  <c r="AR764" i="2"/>
  <c r="AU764" i="2"/>
  <c r="AV764" i="2"/>
  <c r="AW764" i="2"/>
  <c r="AM765" i="2"/>
  <c r="AQ765" i="2"/>
  <c r="AN765" i="2"/>
  <c r="AR765" i="2"/>
  <c r="AU765" i="2"/>
  <c r="AV765" i="2"/>
  <c r="AW765" i="2"/>
  <c r="AM766" i="2"/>
  <c r="AQ766" i="2"/>
  <c r="AN766" i="2"/>
  <c r="AR766" i="2"/>
  <c r="AU766" i="2"/>
  <c r="AV766" i="2"/>
  <c r="AW766" i="2"/>
  <c r="AM767" i="2"/>
  <c r="AQ767" i="2"/>
  <c r="AN767" i="2"/>
  <c r="AR767" i="2"/>
  <c r="AU767" i="2"/>
  <c r="AV767" i="2"/>
  <c r="AW767" i="2"/>
  <c r="AM768" i="2"/>
  <c r="AQ768" i="2"/>
  <c r="AN768" i="2"/>
  <c r="AR768" i="2"/>
  <c r="AU768" i="2"/>
  <c r="AV768" i="2"/>
  <c r="AW768" i="2"/>
  <c r="AM769" i="2"/>
  <c r="AQ769" i="2"/>
  <c r="AN769" i="2"/>
  <c r="AR769" i="2"/>
  <c r="AU769" i="2"/>
  <c r="AV769" i="2"/>
  <c r="AW769" i="2"/>
  <c r="AM770" i="2"/>
  <c r="AQ770" i="2"/>
  <c r="AN770" i="2"/>
  <c r="AR770" i="2"/>
  <c r="AU770" i="2"/>
  <c r="AV770" i="2"/>
  <c r="AW770" i="2"/>
  <c r="AH761" i="2"/>
  <c r="AH762" i="2"/>
  <c r="AH763" i="2"/>
  <c r="AH764" i="2"/>
  <c r="AH765" i="2"/>
  <c r="AH766" i="2"/>
  <c r="AH767" i="2"/>
  <c r="AH768" i="2"/>
  <c r="AH769" i="2"/>
  <c r="AH770" i="2"/>
  <c r="V761" i="2"/>
  <c r="W761" i="2"/>
  <c r="V762" i="2"/>
  <c r="W762" i="2"/>
  <c r="V763" i="2"/>
  <c r="W763" i="2"/>
  <c r="V764" i="2"/>
  <c r="W764" i="2"/>
  <c r="V765" i="2"/>
  <c r="W765" i="2"/>
  <c r="V766" i="2"/>
  <c r="W766" i="2"/>
  <c r="V767" i="2"/>
  <c r="W767" i="2"/>
  <c r="V768" i="2"/>
  <c r="W768" i="2"/>
  <c r="V769" i="2"/>
  <c r="W769" i="2"/>
  <c r="V770" i="2"/>
  <c r="W770" i="2"/>
  <c r="AM756" i="2"/>
  <c r="AQ756" i="2"/>
  <c r="AN756" i="2"/>
  <c r="AR756" i="2"/>
  <c r="AU756" i="2"/>
  <c r="AV756" i="2"/>
  <c r="AW756" i="2"/>
  <c r="AM757" i="2"/>
  <c r="AQ757" i="2"/>
  <c r="AN757" i="2"/>
  <c r="AR757" i="2"/>
  <c r="AU757" i="2"/>
  <c r="AV757" i="2"/>
  <c r="AW757" i="2"/>
  <c r="AM758" i="2"/>
  <c r="AQ758" i="2"/>
  <c r="AN758" i="2"/>
  <c r="AR758" i="2"/>
  <c r="AU758" i="2"/>
  <c r="AV758" i="2"/>
  <c r="AW758" i="2"/>
  <c r="AM759" i="2"/>
  <c r="AQ759" i="2"/>
  <c r="AN759" i="2"/>
  <c r="AR759" i="2"/>
  <c r="AU759" i="2"/>
  <c r="AV759" i="2"/>
  <c r="AW759" i="2"/>
  <c r="AM871" i="2"/>
  <c r="AQ871" i="2"/>
  <c r="AN871" i="2"/>
  <c r="AR871" i="2"/>
  <c r="AU871" i="2"/>
  <c r="AV871" i="2"/>
  <c r="AW871" i="2"/>
  <c r="AH756" i="2"/>
  <c r="AH757" i="2"/>
  <c r="AH758" i="2"/>
  <c r="AH759" i="2"/>
  <c r="AH871" i="2"/>
  <c r="V756" i="2"/>
  <c r="W756" i="2"/>
  <c r="V757" i="2"/>
  <c r="W757" i="2"/>
  <c r="V758" i="2"/>
  <c r="W758" i="2"/>
  <c r="V759" i="2"/>
  <c r="W759" i="2"/>
  <c r="V871" i="2"/>
  <c r="W871" i="2"/>
  <c r="AH753" i="2"/>
  <c r="AL753" i="2"/>
  <c r="AH754" i="2"/>
  <c r="AL754" i="2"/>
  <c r="AM808" i="2"/>
  <c r="AQ808" i="2"/>
  <c r="AN808" i="2"/>
  <c r="AR808" i="2"/>
  <c r="AU808" i="2"/>
  <c r="AV808" i="2"/>
  <c r="AW808" i="2"/>
  <c r="AH808" i="2"/>
  <c r="V808" i="2"/>
  <c r="W808" i="2"/>
  <c r="AM753" i="2"/>
  <c r="AQ753" i="2"/>
  <c r="AN753" i="2"/>
  <c r="AR753" i="2"/>
  <c r="AU753" i="2"/>
  <c r="AV753" i="2"/>
  <c r="AW753" i="2"/>
  <c r="AM754" i="2"/>
  <c r="AQ754" i="2"/>
  <c r="AN754" i="2"/>
  <c r="AR754" i="2"/>
  <c r="AU754" i="2"/>
  <c r="AV754" i="2"/>
  <c r="AW754" i="2"/>
  <c r="V753" i="2"/>
  <c r="W753" i="2"/>
  <c r="V754" i="2"/>
  <c r="W754" i="2"/>
  <c r="AM752" i="2"/>
  <c r="AQ752" i="2"/>
  <c r="AN752" i="2"/>
  <c r="AR752" i="2"/>
  <c r="AU752" i="2"/>
  <c r="AV752" i="2"/>
  <c r="AW752" i="2"/>
  <c r="AH752" i="2"/>
  <c r="V752" i="2"/>
  <c r="W752" i="2"/>
  <c r="AM750" i="2"/>
  <c r="AQ750" i="2"/>
  <c r="AN750" i="2"/>
  <c r="AR750" i="2"/>
  <c r="AU750" i="2"/>
  <c r="AV750" i="2"/>
  <c r="AW750" i="2"/>
  <c r="AM751" i="2"/>
  <c r="AQ751" i="2"/>
  <c r="AN751" i="2"/>
  <c r="AR751" i="2"/>
  <c r="AU751" i="2"/>
  <c r="AV751" i="2"/>
  <c r="AW751" i="2"/>
  <c r="AH750" i="2"/>
  <c r="AH751" i="2"/>
  <c r="V750" i="2"/>
  <c r="W750" i="2"/>
  <c r="V751" i="2"/>
  <c r="W751" i="2"/>
  <c r="AM746" i="2"/>
  <c r="AQ746" i="2"/>
  <c r="AN746" i="2"/>
  <c r="AR746" i="2"/>
  <c r="AU746" i="2"/>
  <c r="AV746" i="2"/>
  <c r="AW746" i="2"/>
  <c r="AM747" i="2"/>
  <c r="AQ747" i="2"/>
  <c r="AN747" i="2"/>
  <c r="AR747" i="2"/>
  <c r="AU747" i="2"/>
  <c r="AV747" i="2"/>
  <c r="AW747" i="2"/>
  <c r="AM748" i="2"/>
  <c r="AQ748" i="2"/>
  <c r="AN748" i="2"/>
  <c r="AR748" i="2"/>
  <c r="AU748" i="2"/>
  <c r="AV748" i="2"/>
  <c r="AW748" i="2"/>
  <c r="AM749" i="2"/>
  <c r="AQ749" i="2"/>
  <c r="AN749" i="2"/>
  <c r="AR749" i="2"/>
  <c r="AU749" i="2"/>
  <c r="AV749" i="2"/>
  <c r="AW749" i="2"/>
  <c r="AH747" i="2"/>
  <c r="AH748" i="2"/>
  <c r="AH749" i="2"/>
  <c r="V747" i="2"/>
  <c r="W747" i="2"/>
  <c r="V748" i="2"/>
  <c r="W748" i="2"/>
  <c r="V749" i="2"/>
  <c r="W749" i="2"/>
  <c r="AH746" i="2"/>
  <c r="V746" i="2"/>
  <c r="W746" i="2"/>
  <c r="AM744" i="2"/>
  <c r="AQ744" i="2"/>
  <c r="AN744" i="2"/>
  <c r="AR744" i="2"/>
  <c r="AU744" i="2"/>
  <c r="AV744" i="2"/>
  <c r="AW744" i="2"/>
  <c r="AM745" i="2"/>
  <c r="AQ745" i="2"/>
  <c r="AN745" i="2"/>
  <c r="AR745" i="2"/>
  <c r="AU745" i="2"/>
  <c r="AV745" i="2"/>
  <c r="AW745" i="2"/>
  <c r="AH745" i="2"/>
  <c r="V745" i="2"/>
  <c r="W745" i="2"/>
  <c r="AH744" i="2"/>
  <c r="V744" i="2"/>
  <c r="W744" i="2"/>
  <c r="AM743" i="2"/>
  <c r="AQ743" i="2"/>
  <c r="AN743" i="2"/>
  <c r="AR743" i="2"/>
  <c r="AU743" i="2"/>
  <c r="AV743" i="2"/>
  <c r="AW743" i="2"/>
  <c r="AH743" i="2"/>
  <c r="V743" i="2"/>
  <c r="W743" i="2"/>
  <c r="AM741" i="2"/>
  <c r="AQ741" i="2"/>
  <c r="AN741" i="2"/>
  <c r="AR741" i="2"/>
  <c r="AU741" i="2"/>
  <c r="AV741" i="2"/>
  <c r="AW741" i="2"/>
  <c r="AM742" i="2"/>
  <c r="AQ742" i="2"/>
  <c r="AN742" i="2"/>
  <c r="AR742" i="2"/>
  <c r="AU742" i="2"/>
  <c r="AV742" i="2"/>
  <c r="AW742" i="2"/>
  <c r="AH741" i="2"/>
  <c r="AH742" i="2"/>
  <c r="V741" i="2"/>
  <c r="W741" i="2"/>
  <c r="V742" i="2"/>
  <c r="W742" i="2"/>
  <c r="AH739" i="2"/>
  <c r="AL739" i="2"/>
  <c r="AH740" i="2"/>
  <c r="AL740" i="2"/>
  <c r="AM739" i="2"/>
  <c r="AQ739" i="2"/>
  <c r="AN739" i="2"/>
  <c r="AR739" i="2"/>
  <c r="AU739" i="2"/>
  <c r="AV739" i="2"/>
  <c r="AW739" i="2"/>
  <c r="AM740" i="2"/>
  <c r="AQ740" i="2"/>
  <c r="AN740" i="2"/>
  <c r="AR740" i="2"/>
  <c r="AU740" i="2"/>
  <c r="AV740" i="2"/>
  <c r="AW740" i="2"/>
  <c r="V739" i="2"/>
  <c r="W739" i="2"/>
  <c r="V740" i="2"/>
  <c r="W740" i="2"/>
  <c r="AM737" i="2"/>
  <c r="AQ737" i="2"/>
  <c r="AN737" i="2"/>
  <c r="AR737" i="2"/>
  <c r="AU737" i="2"/>
  <c r="AV737" i="2"/>
  <c r="AW737" i="2"/>
  <c r="AM738" i="2"/>
  <c r="AQ738" i="2"/>
  <c r="AN738" i="2"/>
  <c r="AR738" i="2"/>
  <c r="AU738" i="2"/>
  <c r="AV738" i="2"/>
  <c r="AW738" i="2"/>
  <c r="AH737" i="2"/>
  <c r="AH738" i="2"/>
  <c r="V737" i="2"/>
  <c r="W737" i="2"/>
  <c r="V738" i="2"/>
  <c r="W738" i="2"/>
  <c r="AM736" i="2"/>
  <c r="AQ736" i="2"/>
  <c r="AN736" i="2"/>
  <c r="AR736" i="2"/>
  <c r="AU736" i="2"/>
  <c r="AV736" i="2"/>
  <c r="AW736" i="2"/>
  <c r="AH736" i="2"/>
  <c r="V736" i="2"/>
  <c r="W736" i="2"/>
  <c r="AM735" i="2"/>
  <c r="AQ735" i="2"/>
  <c r="AN735" i="2"/>
  <c r="AR735" i="2"/>
  <c r="AU735" i="2"/>
  <c r="AV735" i="2"/>
  <c r="AW735" i="2"/>
  <c r="AH735" i="2"/>
  <c r="V735" i="2"/>
  <c r="W735" i="2"/>
  <c r="AM733" i="2"/>
  <c r="AQ733" i="2"/>
  <c r="AN733" i="2"/>
  <c r="AR733" i="2"/>
  <c r="AU733" i="2"/>
  <c r="AV733" i="2"/>
  <c r="AW733" i="2"/>
  <c r="AM734" i="2"/>
  <c r="AQ734" i="2"/>
  <c r="AN734" i="2"/>
  <c r="AR734" i="2"/>
  <c r="AU734" i="2"/>
  <c r="AV734" i="2"/>
  <c r="AW734" i="2"/>
  <c r="AH733" i="2"/>
  <c r="AH734" i="2"/>
  <c r="V733" i="2"/>
  <c r="W733" i="2"/>
  <c r="V734" i="2"/>
  <c r="W734" i="2"/>
  <c r="AM731" i="2"/>
  <c r="AQ731" i="2"/>
  <c r="AN731" i="2"/>
  <c r="AR731" i="2"/>
  <c r="AU731" i="2"/>
  <c r="AV731" i="2"/>
  <c r="AW731" i="2"/>
  <c r="AM732" i="2"/>
  <c r="AQ732" i="2"/>
  <c r="AN732" i="2"/>
  <c r="AR732" i="2"/>
  <c r="AU732" i="2"/>
  <c r="AV732" i="2"/>
  <c r="AW732" i="2"/>
  <c r="AH731" i="2"/>
  <c r="AH732" i="2"/>
  <c r="V731" i="2"/>
  <c r="W731" i="2"/>
  <c r="V732" i="2"/>
  <c r="W732" i="2"/>
  <c r="AM730" i="2"/>
  <c r="AQ730" i="2"/>
  <c r="AN730" i="2"/>
  <c r="AR730" i="2"/>
  <c r="AU730" i="2"/>
  <c r="AV730" i="2"/>
  <c r="AW730" i="2"/>
  <c r="AH730" i="2"/>
  <c r="V730" i="2"/>
  <c r="W730" i="2"/>
  <c r="AM727" i="2"/>
  <c r="AQ727" i="2"/>
  <c r="AN727" i="2"/>
  <c r="AR727" i="2"/>
  <c r="AU727" i="2"/>
  <c r="AV727" i="2"/>
  <c r="AW727" i="2"/>
  <c r="AM728" i="2"/>
  <c r="AQ728" i="2"/>
  <c r="AN728" i="2"/>
  <c r="AR728" i="2"/>
  <c r="AU728" i="2"/>
  <c r="AV728" i="2"/>
  <c r="AW728" i="2"/>
  <c r="AM729" i="2"/>
  <c r="AQ729" i="2"/>
  <c r="AN729" i="2"/>
  <c r="AR729" i="2"/>
  <c r="AU729" i="2"/>
  <c r="AV729" i="2"/>
  <c r="AW729" i="2"/>
  <c r="AH727" i="2"/>
  <c r="AH728" i="2"/>
  <c r="AH729" i="2"/>
  <c r="V727" i="2"/>
  <c r="W727" i="2"/>
  <c r="V728" i="2"/>
  <c r="W728" i="2"/>
  <c r="V729" i="2"/>
  <c r="W729" i="2"/>
  <c r="AM718" i="2"/>
  <c r="AQ718" i="2"/>
  <c r="AN718" i="2"/>
  <c r="AR718" i="2"/>
  <c r="AU718" i="2"/>
  <c r="AV718" i="2"/>
  <c r="AW718" i="2"/>
  <c r="AM719" i="2"/>
  <c r="AQ719" i="2"/>
  <c r="AN719" i="2"/>
  <c r="AR719" i="2"/>
  <c r="AU719" i="2"/>
  <c r="AV719" i="2"/>
  <c r="AW719" i="2"/>
  <c r="AM720" i="2"/>
  <c r="AQ720" i="2"/>
  <c r="AN720" i="2"/>
  <c r="AR720" i="2"/>
  <c r="AU720" i="2"/>
  <c r="AV720" i="2"/>
  <c r="AW720" i="2"/>
  <c r="AM721" i="2"/>
  <c r="AQ721" i="2"/>
  <c r="AN721" i="2"/>
  <c r="AR721" i="2"/>
  <c r="AU721" i="2"/>
  <c r="AV721" i="2"/>
  <c r="AW721" i="2"/>
  <c r="AM722" i="2"/>
  <c r="AQ722" i="2"/>
  <c r="AN722" i="2"/>
  <c r="AR722" i="2"/>
  <c r="AU722" i="2"/>
  <c r="AV722" i="2"/>
  <c r="AW722" i="2"/>
  <c r="AM723" i="2"/>
  <c r="AQ723" i="2"/>
  <c r="AN723" i="2"/>
  <c r="AR723" i="2"/>
  <c r="AU723" i="2"/>
  <c r="AV723" i="2"/>
  <c r="AW723" i="2"/>
  <c r="AM724" i="2"/>
  <c r="AQ724" i="2"/>
  <c r="AN724" i="2"/>
  <c r="AR724" i="2"/>
  <c r="AU724" i="2"/>
  <c r="AV724" i="2"/>
  <c r="AW724" i="2"/>
  <c r="AM725" i="2"/>
  <c r="AQ725" i="2"/>
  <c r="AN725" i="2"/>
  <c r="AR725" i="2"/>
  <c r="AU725" i="2"/>
  <c r="AV725" i="2"/>
  <c r="AW725" i="2"/>
  <c r="AM726" i="2"/>
  <c r="AQ726" i="2"/>
  <c r="AN726" i="2"/>
  <c r="AR726" i="2"/>
  <c r="AU726" i="2"/>
  <c r="AV726" i="2"/>
  <c r="AW726" i="2"/>
  <c r="AH718" i="2"/>
  <c r="AH719" i="2"/>
  <c r="AH720" i="2"/>
  <c r="AH721" i="2"/>
  <c r="AH722" i="2"/>
  <c r="AH723" i="2"/>
  <c r="AH724" i="2"/>
  <c r="AH725" i="2"/>
  <c r="AH726" i="2"/>
  <c r="V718" i="2"/>
  <c r="W718" i="2"/>
  <c r="V719" i="2"/>
  <c r="W719" i="2"/>
  <c r="V720" i="2"/>
  <c r="W720" i="2"/>
  <c r="V721" i="2"/>
  <c r="W721" i="2"/>
  <c r="V722" i="2"/>
  <c r="W722" i="2"/>
  <c r="V723" i="2"/>
  <c r="W723" i="2"/>
  <c r="V724" i="2"/>
  <c r="W724" i="2"/>
  <c r="V725" i="2"/>
  <c r="W725" i="2"/>
  <c r="V726" i="2"/>
  <c r="W726" i="2"/>
  <c r="AM717" i="2"/>
  <c r="AQ717" i="2"/>
  <c r="AN717" i="2"/>
  <c r="AR717" i="2"/>
  <c r="AU717" i="2"/>
  <c r="AV717" i="2"/>
  <c r="AW717" i="2"/>
  <c r="AH717" i="2"/>
  <c r="V717" i="2"/>
  <c r="W717" i="2"/>
  <c r="AM716" i="2"/>
  <c r="AQ716" i="2"/>
  <c r="AN716" i="2"/>
  <c r="AR716" i="2"/>
  <c r="AU716" i="2"/>
  <c r="AV716" i="2"/>
  <c r="AW716" i="2"/>
  <c r="AH716" i="2"/>
  <c r="V716" i="2"/>
  <c r="W716" i="2"/>
  <c r="AM715" i="2"/>
  <c r="AQ715" i="2"/>
  <c r="AN715" i="2"/>
  <c r="AR715" i="2"/>
  <c r="AU715" i="2"/>
  <c r="AV715" i="2"/>
  <c r="AW715" i="2"/>
  <c r="AH715" i="2"/>
  <c r="V715" i="2"/>
  <c r="W715" i="2"/>
  <c r="AM714" i="2"/>
  <c r="AQ714" i="2"/>
  <c r="AN714" i="2"/>
  <c r="AR714" i="2"/>
  <c r="AU714" i="2"/>
  <c r="AV714" i="2"/>
  <c r="AW714" i="2"/>
  <c r="AH714" i="2"/>
  <c r="V714" i="2"/>
  <c r="W714" i="2"/>
  <c r="AH710" i="2"/>
  <c r="AL710" i="2"/>
  <c r="AH711" i="2"/>
  <c r="AL711" i="2"/>
  <c r="AM712" i="2"/>
  <c r="AQ712" i="2"/>
  <c r="AN712" i="2"/>
  <c r="AR712" i="2"/>
  <c r="AU712" i="2"/>
  <c r="AV712" i="2"/>
  <c r="AW712" i="2"/>
  <c r="AM713" i="2"/>
  <c r="AQ713" i="2"/>
  <c r="AN713" i="2"/>
  <c r="AR713" i="2"/>
  <c r="AU713" i="2"/>
  <c r="AV713" i="2"/>
  <c r="AW713" i="2"/>
  <c r="AH713" i="2"/>
  <c r="AH712" i="2"/>
  <c r="V712" i="2"/>
  <c r="W712" i="2"/>
  <c r="V713" i="2"/>
  <c r="W713" i="2"/>
  <c r="AM710" i="2"/>
  <c r="AQ710" i="2"/>
  <c r="AN710" i="2"/>
  <c r="AR710" i="2"/>
  <c r="AS710" i="2"/>
  <c r="AU710" i="2"/>
  <c r="AV710" i="2"/>
  <c r="AW710" i="2"/>
  <c r="AM711" i="2"/>
  <c r="AQ711" i="2"/>
  <c r="AN711" i="2"/>
  <c r="AR711" i="2"/>
  <c r="AS711" i="2"/>
  <c r="AU711" i="2"/>
  <c r="AV711" i="2"/>
  <c r="AW711" i="2"/>
  <c r="AT710" i="2"/>
  <c r="AT711" i="2"/>
  <c r="V710" i="2"/>
  <c r="W710" i="2"/>
  <c r="V711" i="2"/>
  <c r="W711" i="2"/>
  <c r="AV709" i="2"/>
  <c r="AU709" i="2"/>
  <c r="AW709" i="2"/>
  <c r="AQ709" i="2"/>
  <c r="AR709" i="2"/>
  <c r="AN709" i="2"/>
  <c r="AM709" i="2"/>
  <c r="AH709" i="2"/>
  <c r="AL709" i="2"/>
  <c r="V709" i="2"/>
  <c r="W709" i="2"/>
  <c r="AM708" i="2"/>
  <c r="AQ708" i="2"/>
  <c r="AN708" i="2"/>
  <c r="AR708" i="2"/>
  <c r="AU708" i="2"/>
  <c r="AV708" i="2"/>
  <c r="AW708" i="2"/>
  <c r="AH708" i="2"/>
  <c r="AL708" i="2"/>
  <c r="V708" i="2"/>
  <c r="W708" i="2"/>
  <c r="AM707" i="2"/>
  <c r="AQ707" i="2"/>
  <c r="AN707" i="2"/>
  <c r="AR707" i="2"/>
  <c r="AU707" i="2"/>
  <c r="AV707" i="2"/>
  <c r="AW707" i="2"/>
  <c r="AH707" i="2"/>
  <c r="AJ707" i="2"/>
  <c r="AI707" i="2"/>
  <c r="V707" i="2"/>
  <c r="AM706" i="2"/>
  <c r="AQ706" i="2"/>
  <c r="AN706" i="2"/>
  <c r="AR706" i="2"/>
  <c r="AU706" i="2"/>
  <c r="AV706" i="2"/>
  <c r="AW706" i="2"/>
  <c r="AH706" i="2"/>
  <c r="V706" i="2"/>
  <c r="W706" i="2"/>
  <c r="AV705" i="2"/>
  <c r="AU705" i="2"/>
  <c r="AW705" i="2"/>
  <c r="AQ705" i="2"/>
  <c r="AR705" i="2"/>
  <c r="AN705" i="2"/>
  <c r="AM705" i="2"/>
  <c r="AH705" i="2"/>
  <c r="V705" i="2"/>
  <c r="W705" i="2"/>
  <c r="AM704" i="2"/>
  <c r="AQ704" i="2"/>
  <c r="AN704" i="2"/>
  <c r="AR704" i="2"/>
  <c r="AU704" i="2"/>
  <c r="AV704" i="2"/>
  <c r="AW704" i="2"/>
  <c r="AH704" i="2"/>
  <c r="V704" i="2"/>
  <c r="W704" i="2"/>
  <c r="AM703" i="2"/>
  <c r="AQ703" i="2"/>
  <c r="AN703" i="2"/>
  <c r="AR703" i="2"/>
  <c r="AU703" i="2"/>
  <c r="AV703" i="2"/>
  <c r="AW703" i="2"/>
  <c r="AH703" i="2"/>
  <c r="V703" i="2"/>
  <c r="W703" i="2"/>
  <c r="AM702" i="2"/>
  <c r="AQ702" i="2"/>
  <c r="AN702" i="2"/>
  <c r="AR702" i="2"/>
  <c r="AU702" i="2"/>
  <c r="AV702" i="2"/>
  <c r="AW702" i="2"/>
  <c r="AH702" i="2"/>
  <c r="V702" i="2"/>
  <c r="W702" i="2"/>
  <c r="AM700" i="2"/>
  <c r="AQ700" i="2"/>
  <c r="AN700" i="2"/>
  <c r="AR700" i="2"/>
  <c r="AU700" i="2"/>
  <c r="AV700" i="2"/>
  <c r="AW700" i="2"/>
  <c r="AM701" i="2"/>
  <c r="AQ701" i="2"/>
  <c r="AN701" i="2"/>
  <c r="AR701" i="2"/>
  <c r="AU701" i="2"/>
  <c r="AV701" i="2"/>
  <c r="AW701" i="2"/>
  <c r="AH700" i="2"/>
  <c r="AH701" i="2"/>
  <c r="V700" i="2"/>
  <c r="W700" i="2"/>
  <c r="V701" i="2"/>
  <c r="W701" i="2"/>
  <c r="AM698" i="2"/>
  <c r="AQ698" i="2"/>
  <c r="AN698" i="2"/>
  <c r="AR698" i="2"/>
  <c r="AU698" i="2"/>
  <c r="AV698" i="2"/>
  <c r="AW698" i="2"/>
  <c r="AM699" i="2"/>
  <c r="AQ699" i="2"/>
  <c r="AN699" i="2"/>
  <c r="AR699" i="2"/>
  <c r="AU699" i="2"/>
  <c r="AV699" i="2"/>
  <c r="AW699" i="2"/>
  <c r="AH699" i="2"/>
  <c r="V698" i="2"/>
  <c r="W698" i="2"/>
  <c r="V699" i="2"/>
  <c r="W699" i="2"/>
  <c r="AH698" i="2"/>
  <c r="V697" i="2"/>
  <c r="W697" i="2"/>
  <c r="AM696" i="2"/>
  <c r="AQ696" i="2"/>
  <c r="AN696" i="2"/>
  <c r="AR696" i="2"/>
  <c r="AU696" i="2"/>
  <c r="AV696" i="2"/>
  <c r="AW696" i="2"/>
  <c r="AM697" i="2"/>
  <c r="AQ697" i="2"/>
  <c r="AN697" i="2"/>
  <c r="AR697" i="2"/>
  <c r="AU697" i="2"/>
  <c r="AV697" i="2"/>
  <c r="AW697" i="2"/>
  <c r="AH696" i="2"/>
  <c r="AH697" i="2"/>
  <c r="V696" i="2"/>
  <c r="W696" i="2"/>
  <c r="AM695" i="2"/>
  <c r="AQ695" i="2"/>
  <c r="AN695" i="2"/>
  <c r="AR695" i="2"/>
  <c r="AU695" i="2"/>
  <c r="AV695" i="2"/>
  <c r="AW695" i="2"/>
  <c r="AH695" i="2"/>
  <c r="V695" i="2"/>
  <c r="W695" i="2"/>
  <c r="AM694" i="2"/>
  <c r="AQ694" i="2"/>
  <c r="AN694" i="2"/>
  <c r="AR694" i="2"/>
  <c r="AU694" i="2"/>
  <c r="AV694" i="2"/>
  <c r="AW694" i="2"/>
  <c r="AH694" i="2"/>
  <c r="AS694" i="2"/>
  <c r="AL694" i="2"/>
  <c r="AT694" i="2"/>
  <c r="V694" i="2"/>
  <c r="W694" i="2"/>
  <c r="AM692" i="2"/>
  <c r="AQ692" i="2"/>
  <c r="AN692" i="2"/>
  <c r="AR692" i="2"/>
  <c r="AH692" i="2"/>
  <c r="AS692" i="2"/>
  <c r="AL692" i="2"/>
  <c r="AT692" i="2"/>
  <c r="AU692" i="2"/>
  <c r="AV692" i="2"/>
  <c r="AW692" i="2"/>
  <c r="AM693" i="2"/>
  <c r="AQ693" i="2"/>
  <c r="AN693" i="2"/>
  <c r="AR693" i="2"/>
  <c r="AH693" i="2"/>
  <c r="AS693" i="2"/>
  <c r="AL693" i="2"/>
  <c r="AT693" i="2"/>
  <c r="AU693" i="2"/>
  <c r="AV693" i="2"/>
  <c r="AW693" i="2"/>
  <c r="V691" i="2"/>
  <c r="W691" i="2"/>
  <c r="V692" i="2"/>
  <c r="W692" i="2"/>
  <c r="V693" i="2"/>
  <c r="W693" i="2"/>
  <c r="AM691" i="2"/>
  <c r="AQ691" i="2"/>
  <c r="AN691" i="2"/>
  <c r="AR691" i="2"/>
  <c r="AU691" i="2"/>
  <c r="AV691" i="2"/>
  <c r="AW691" i="2"/>
  <c r="AH691" i="2"/>
  <c r="AS691" i="2"/>
  <c r="AL691" i="2"/>
  <c r="AT691" i="2"/>
  <c r="AV690" i="2"/>
  <c r="AU690" i="2"/>
  <c r="AW690" i="2"/>
  <c r="AQ690" i="2"/>
  <c r="AR690" i="2"/>
  <c r="AN690" i="2"/>
  <c r="AM690" i="2"/>
  <c r="AH690" i="2"/>
  <c r="V690" i="2"/>
  <c r="W690" i="2"/>
  <c r="AM689" i="2"/>
  <c r="AQ689" i="2"/>
  <c r="AN689" i="2"/>
  <c r="AR689" i="2"/>
  <c r="AU689" i="2"/>
  <c r="AV689" i="2"/>
  <c r="AW689" i="2"/>
  <c r="AH689" i="2"/>
  <c r="V689" i="2"/>
  <c r="W689" i="2"/>
  <c r="AM688" i="2"/>
  <c r="AQ688" i="2"/>
  <c r="AN688" i="2"/>
  <c r="AR688" i="2"/>
  <c r="AU688" i="2"/>
  <c r="AV688" i="2"/>
  <c r="AW688" i="2"/>
  <c r="AH688" i="2"/>
  <c r="V688" i="2"/>
  <c r="W688" i="2"/>
  <c r="AH687" i="2"/>
  <c r="AL687" i="2"/>
  <c r="V687" i="2"/>
  <c r="W687" i="2"/>
  <c r="AM687" i="2"/>
  <c r="AQ687" i="2"/>
  <c r="AN687" i="2"/>
  <c r="AR687" i="2"/>
  <c r="AS687" i="2"/>
  <c r="AT687" i="2"/>
  <c r="AU687" i="2"/>
  <c r="AV687" i="2"/>
  <c r="AW687" i="2"/>
  <c r="AM686" i="2"/>
  <c r="AQ686" i="2"/>
  <c r="AN686" i="2"/>
  <c r="AR686" i="2"/>
  <c r="AU686" i="2"/>
  <c r="AV686" i="2"/>
  <c r="AW686" i="2"/>
  <c r="AH686" i="2"/>
  <c r="AS686" i="2"/>
  <c r="AL686" i="2"/>
  <c r="AT686" i="2"/>
  <c r="V686" i="2"/>
  <c r="W686" i="2"/>
  <c r="AM685" i="2"/>
  <c r="AQ685" i="2"/>
  <c r="AN685" i="2"/>
  <c r="AR685" i="2"/>
  <c r="AU685" i="2"/>
  <c r="AV685" i="2"/>
  <c r="AW685" i="2"/>
  <c r="AH685" i="2"/>
  <c r="V685" i="2"/>
  <c r="W685" i="2"/>
  <c r="AM684" i="2"/>
  <c r="AQ684" i="2"/>
  <c r="AN684" i="2"/>
  <c r="AR684" i="2"/>
  <c r="AU684" i="2"/>
  <c r="AV684" i="2"/>
  <c r="AW684" i="2"/>
  <c r="AH684" i="2"/>
  <c r="AL684" i="2"/>
  <c r="X684" i="2"/>
  <c r="V684" i="2"/>
  <c r="W684" i="2"/>
  <c r="X683" i="2"/>
  <c r="AM683" i="2"/>
  <c r="AQ683" i="2"/>
  <c r="AN683" i="2"/>
  <c r="AR683" i="2"/>
  <c r="AU683" i="2"/>
  <c r="AV683" i="2"/>
  <c r="AW683" i="2"/>
  <c r="AH681" i="2"/>
  <c r="AH683" i="2"/>
  <c r="AS683" i="2"/>
  <c r="AL683" i="2"/>
  <c r="AT683" i="2"/>
  <c r="V683" i="2"/>
  <c r="W683" i="2"/>
  <c r="AM682" i="2"/>
  <c r="AQ682" i="2"/>
  <c r="AN682" i="2"/>
  <c r="AR682" i="2"/>
  <c r="AU682" i="2"/>
  <c r="AV682" i="2"/>
  <c r="AW682" i="2"/>
  <c r="AH682" i="2"/>
  <c r="X682" i="2"/>
  <c r="V682" i="2"/>
  <c r="W682" i="2"/>
  <c r="AL681" i="2"/>
  <c r="AH677" i="2"/>
  <c r="AL677" i="2"/>
  <c r="AH678" i="2"/>
  <c r="AL678" i="2"/>
  <c r="AH679" i="2"/>
  <c r="AL679" i="2"/>
  <c r="AH680" i="2"/>
  <c r="AL680" i="2"/>
  <c r="AM677" i="2"/>
  <c r="AQ677" i="2"/>
  <c r="AN677" i="2"/>
  <c r="AR677" i="2"/>
  <c r="AS677" i="2"/>
  <c r="AU677" i="2"/>
  <c r="AV677" i="2"/>
  <c r="AW677" i="2"/>
  <c r="AM678" i="2"/>
  <c r="AQ678" i="2"/>
  <c r="AN678" i="2"/>
  <c r="AR678" i="2"/>
  <c r="AS678" i="2"/>
  <c r="AU678" i="2"/>
  <c r="AV678" i="2"/>
  <c r="AW678" i="2"/>
  <c r="AM679" i="2"/>
  <c r="AQ679" i="2"/>
  <c r="AN679" i="2"/>
  <c r="AR679" i="2"/>
  <c r="AS679" i="2"/>
  <c r="AU679" i="2"/>
  <c r="AV679" i="2"/>
  <c r="AW679" i="2"/>
  <c r="AM680" i="2"/>
  <c r="AQ680" i="2"/>
  <c r="AN680" i="2"/>
  <c r="AR680" i="2"/>
  <c r="AS680" i="2"/>
  <c r="AU680" i="2"/>
  <c r="AV680" i="2"/>
  <c r="AW680" i="2"/>
  <c r="AM681" i="2"/>
  <c r="AQ681" i="2"/>
  <c r="AN681" i="2"/>
  <c r="AR681" i="2"/>
  <c r="AS681" i="2"/>
  <c r="AU681" i="2"/>
  <c r="AW681" i="2"/>
  <c r="AT677" i="2"/>
  <c r="AT678" i="2"/>
  <c r="AT679" i="2"/>
  <c r="AT680" i="2"/>
  <c r="AT681" i="2"/>
  <c r="X677" i="2"/>
  <c r="X678" i="2"/>
  <c r="X679" i="2"/>
  <c r="X680" i="2"/>
  <c r="X681" i="2"/>
  <c r="AG681" i="2"/>
  <c r="AV681" i="2"/>
  <c r="V677" i="2"/>
  <c r="W677" i="2"/>
  <c r="V678" i="2"/>
  <c r="W678" i="2"/>
  <c r="V679" i="2"/>
  <c r="W679" i="2"/>
  <c r="V680" i="2"/>
  <c r="W680" i="2"/>
  <c r="V681" i="2"/>
  <c r="W681" i="2"/>
  <c r="AM668" i="2"/>
  <c r="AQ668" i="2"/>
  <c r="AN668" i="2"/>
  <c r="AR668" i="2"/>
  <c r="AU668" i="2"/>
  <c r="AV668" i="2"/>
  <c r="AW668" i="2"/>
  <c r="AM669" i="2"/>
  <c r="AQ669" i="2"/>
  <c r="AN669" i="2"/>
  <c r="AR669" i="2"/>
  <c r="AU669" i="2"/>
  <c r="AV669" i="2"/>
  <c r="AW669" i="2"/>
  <c r="AM670" i="2"/>
  <c r="AQ670" i="2"/>
  <c r="AN670" i="2"/>
  <c r="AR670" i="2"/>
  <c r="AU670" i="2"/>
  <c r="AV670" i="2"/>
  <c r="AW670" i="2"/>
  <c r="AM671" i="2"/>
  <c r="AQ671" i="2"/>
  <c r="AN671" i="2"/>
  <c r="AR671" i="2"/>
  <c r="AU671" i="2"/>
  <c r="AV671" i="2"/>
  <c r="AW671" i="2"/>
  <c r="AM672" i="2"/>
  <c r="AQ672" i="2"/>
  <c r="AN672" i="2"/>
  <c r="AR672" i="2"/>
  <c r="AU672" i="2"/>
  <c r="AV672" i="2"/>
  <c r="AW672" i="2"/>
  <c r="AM673" i="2"/>
  <c r="AQ673" i="2"/>
  <c r="AN673" i="2"/>
  <c r="AR673" i="2"/>
  <c r="AU673" i="2"/>
  <c r="AV673" i="2"/>
  <c r="AW673" i="2"/>
  <c r="AM674" i="2"/>
  <c r="AQ674" i="2"/>
  <c r="AN674" i="2"/>
  <c r="AR674" i="2"/>
  <c r="AU674" i="2"/>
  <c r="AV674" i="2"/>
  <c r="AW674" i="2"/>
  <c r="AM675" i="2"/>
  <c r="AQ675" i="2"/>
  <c r="AN675" i="2"/>
  <c r="AR675" i="2"/>
  <c r="AU675" i="2"/>
  <c r="AV675" i="2"/>
  <c r="AW675" i="2"/>
  <c r="AM676" i="2"/>
  <c r="AQ676" i="2"/>
  <c r="AN676" i="2"/>
  <c r="AR676" i="2"/>
  <c r="AU676" i="2"/>
  <c r="AV676" i="2"/>
  <c r="AW676" i="2"/>
  <c r="AH668" i="2"/>
  <c r="AH669" i="2"/>
  <c r="AH670" i="2"/>
  <c r="AH671" i="2"/>
  <c r="AH672" i="2"/>
  <c r="AH673" i="2"/>
  <c r="AH674" i="2"/>
  <c r="AH675" i="2"/>
  <c r="AH676" i="2"/>
  <c r="X669" i="2"/>
  <c r="X670" i="2"/>
  <c r="X671" i="2"/>
  <c r="X672" i="2"/>
  <c r="X673" i="2"/>
  <c r="X674" i="2"/>
  <c r="X675" i="2"/>
  <c r="X676" i="2"/>
  <c r="V668" i="2"/>
  <c r="W668" i="2"/>
  <c r="V669" i="2"/>
  <c r="W669" i="2"/>
  <c r="V670" i="2"/>
  <c r="W670" i="2"/>
  <c r="V671" i="2"/>
  <c r="W671" i="2"/>
  <c r="V672" i="2"/>
  <c r="W672" i="2"/>
  <c r="V673" i="2"/>
  <c r="W673" i="2"/>
  <c r="V674" i="2"/>
  <c r="W674" i="2"/>
  <c r="V675" i="2"/>
  <c r="W675" i="2"/>
  <c r="V676" i="2"/>
  <c r="W676" i="2"/>
  <c r="AM666" i="2"/>
  <c r="AQ666" i="2"/>
  <c r="AN666" i="2"/>
  <c r="AR666" i="2"/>
  <c r="AU666" i="2"/>
  <c r="AV666" i="2"/>
  <c r="AW666" i="2"/>
  <c r="AH666" i="2"/>
  <c r="X666" i="2"/>
  <c r="V666" i="2"/>
  <c r="W666" i="2"/>
  <c r="AM667" i="2"/>
  <c r="AQ667" i="2"/>
  <c r="AN667" i="2"/>
  <c r="AR667" i="2"/>
  <c r="AU667" i="2"/>
  <c r="AV667" i="2"/>
  <c r="AW667" i="2"/>
  <c r="AH667" i="2"/>
  <c r="X668" i="2"/>
  <c r="X667" i="2"/>
  <c r="V667" i="2"/>
  <c r="W667" i="2"/>
  <c r="AM665" i="2"/>
  <c r="AQ665" i="2"/>
  <c r="AN665" i="2"/>
  <c r="AR665" i="2"/>
  <c r="AU665" i="2"/>
  <c r="AV665" i="2"/>
  <c r="AW665" i="2"/>
  <c r="AH665" i="2"/>
  <c r="X665" i="2"/>
  <c r="V665" i="2"/>
  <c r="W665" i="2"/>
  <c r="AM664" i="2"/>
  <c r="AQ664" i="2"/>
  <c r="AN664" i="2"/>
  <c r="AR664" i="2"/>
  <c r="AU664" i="2"/>
  <c r="AV664" i="2"/>
  <c r="AW664" i="2"/>
  <c r="AH664" i="2"/>
  <c r="X664" i="2"/>
  <c r="V664" i="2"/>
  <c r="W664" i="2"/>
  <c r="AM663" i="2"/>
  <c r="AQ663" i="2"/>
  <c r="AN663" i="2"/>
  <c r="AR663" i="2"/>
  <c r="AU663" i="2"/>
  <c r="AV663" i="2"/>
  <c r="AW663" i="2"/>
  <c r="AH663" i="2"/>
  <c r="AS663" i="2"/>
  <c r="AL663" i="2"/>
  <c r="AT663" i="2"/>
  <c r="X663" i="2"/>
  <c r="V663" i="2"/>
  <c r="W663" i="2"/>
  <c r="AM662" i="2"/>
  <c r="AQ662" i="2"/>
  <c r="AN662" i="2"/>
  <c r="AR662" i="2"/>
  <c r="AU662" i="2"/>
  <c r="AV662" i="2"/>
  <c r="AW662" i="2"/>
  <c r="AH662" i="2"/>
  <c r="X662" i="2"/>
  <c r="V662" i="2"/>
  <c r="W662" i="2"/>
  <c r="AM661" i="2"/>
  <c r="AQ661" i="2"/>
  <c r="AN661" i="2"/>
  <c r="AR661" i="2"/>
  <c r="AU661" i="2"/>
  <c r="AV661" i="2"/>
  <c r="AW661" i="2"/>
  <c r="AH661" i="2"/>
  <c r="X661" i="2"/>
  <c r="V661" i="2"/>
  <c r="W661" i="2"/>
  <c r="AM660" i="2"/>
  <c r="AQ660" i="2"/>
  <c r="AN660" i="2"/>
  <c r="AR660" i="2"/>
  <c r="AU660" i="2"/>
  <c r="AV660" i="2"/>
  <c r="AW660" i="2"/>
  <c r="AH660" i="2"/>
  <c r="X660" i="2"/>
  <c r="V660" i="2"/>
  <c r="W660" i="2"/>
  <c r="AM659" i="2"/>
  <c r="AQ659" i="2"/>
  <c r="AN659" i="2"/>
  <c r="AR659" i="2"/>
  <c r="AU659" i="2"/>
  <c r="AV659" i="2"/>
  <c r="AW659" i="2"/>
  <c r="AH659" i="2"/>
  <c r="X659" i="2"/>
  <c r="V659" i="2"/>
  <c r="W659" i="2"/>
  <c r="AM658" i="2"/>
  <c r="AQ658" i="2"/>
  <c r="AN658" i="2"/>
  <c r="AR658" i="2"/>
  <c r="AU658" i="2"/>
  <c r="AV658" i="2"/>
  <c r="AW658" i="2"/>
  <c r="AH658" i="2"/>
  <c r="X658" i="2"/>
  <c r="V658" i="2"/>
  <c r="W658" i="2"/>
  <c r="V656" i="2"/>
  <c r="V657" i="2"/>
  <c r="AM657" i="2"/>
  <c r="AQ657" i="2"/>
  <c r="AN657" i="2"/>
  <c r="AR657" i="2"/>
  <c r="AU657" i="2"/>
  <c r="AV657" i="2"/>
  <c r="AW657" i="2"/>
  <c r="AH657" i="2"/>
  <c r="X657" i="2"/>
  <c r="W657" i="2"/>
  <c r="AM656" i="2"/>
  <c r="AQ656" i="2"/>
  <c r="AN656" i="2"/>
  <c r="AR656" i="2"/>
  <c r="AU656" i="2"/>
  <c r="AV656" i="2"/>
  <c r="AW656" i="2"/>
  <c r="AH656" i="2"/>
  <c r="X656" i="2"/>
  <c r="W656" i="2"/>
  <c r="AM655" i="2"/>
  <c r="AQ655" i="2"/>
  <c r="AN655" i="2"/>
  <c r="AR655" i="2"/>
  <c r="AU655" i="2"/>
  <c r="AV655" i="2"/>
  <c r="AW655" i="2"/>
  <c r="AH655" i="2"/>
  <c r="X655" i="2"/>
  <c r="V655" i="2"/>
  <c r="W655" i="2"/>
  <c r="AM654" i="2"/>
  <c r="AQ654" i="2"/>
  <c r="AN654" i="2"/>
  <c r="AR654" i="2"/>
  <c r="AU654" i="2"/>
  <c r="AW654" i="2"/>
  <c r="AH654" i="2"/>
  <c r="X654" i="2"/>
  <c r="AG654" i="2"/>
  <c r="AV654" i="2"/>
  <c r="X653" i="2"/>
  <c r="V654" i="2"/>
  <c r="W654" i="2"/>
  <c r="AH652" i="2"/>
  <c r="AH653" i="2"/>
  <c r="AM653" i="2"/>
  <c r="AQ653" i="2"/>
  <c r="AN653" i="2"/>
  <c r="AR653" i="2"/>
  <c r="AS653" i="2"/>
  <c r="AU653" i="2"/>
  <c r="AV653" i="2"/>
  <c r="AW653" i="2"/>
  <c r="AL652" i="2"/>
  <c r="AL653" i="2"/>
  <c r="AT653" i="2"/>
  <c r="V653" i="2"/>
  <c r="W653" i="2"/>
  <c r="AM652" i="2"/>
  <c r="AQ652" i="2"/>
  <c r="AN652" i="2"/>
  <c r="AR652" i="2"/>
  <c r="AS652" i="2"/>
  <c r="AT652" i="2"/>
  <c r="AU652" i="2"/>
  <c r="AV652" i="2"/>
  <c r="AW652" i="2"/>
  <c r="X652" i="2"/>
  <c r="V652" i="2"/>
  <c r="W652" i="2"/>
  <c r="X629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AE635" i="2"/>
  <c r="AH651" i="2"/>
  <c r="X651" i="2"/>
  <c r="AM642" i="2"/>
  <c r="AQ642" i="2"/>
  <c r="AN642" i="2"/>
  <c r="AR642" i="2"/>
  <c r="AU642" i="2"/>
  <c r="AW642" i="2"/>
  <c r="AM643" i="2"/>
  <c r="AQ643" i="2"/>
  <c r="AN643" i="2"/>
  <c r="AR643" i="2"/>
  <c r="AU643" i="2"/>
  <c r="AW643" i="2"/>
  <c r="AM644" i="2"/>
  <c r="AQ644" i="2"/>
  <c r="AN644" i="2"/>
  <c r="AR644" i="2"/>
  <c r="AU644" i="2"/>
  <c r="AW644" i="2"/>
  <c r="AM645" i="2"/>
  <c r="AQ645" i="2"/>
  <c r="AN645" i="2"/>
  <c r="AR645" i="2"/>
  <c r="AU645" i="2"/>
  <c r="AW645" i="2"/>
  <c r="AM646" i="2"/>
  <c r="AQ646" i="2"/>
  <c r="AN646" i="2"/>
  <c r="AR646" i="2"/>
  <c r="AU646" i="2"/>
  <c r="AW646" i="2"/>
  <c r="AM647" i="2"/>
  <c r="AQ647" i="2"/>
  <c r="AN647" i="2"/>
  <c r="AR647" i="2"/>
  <c r="AU647" i="2"/>
  <c r="AW647" i="2"/>
  <c r="AM648" i="2"/>
  <c r="AQ648" i="2"/>
  <c r="AN648" i="2"/>
  <c r="AR648" i="2"/>
  <c r="AU648" i="2"/>
  <c r="AW648" i="2"/>
  <c r="AM649" i="2"/>
  <c r="AQ649" i="2"/>
  <c r="AN649" i="2"/>
  <c r="AR649" i="2"/>
  <c r="AU649" i="2"/>
  <c r="AW649" i="2"/>
  <c r="AM650" i="2"/>
  <c r="AQ650" i="2"/>
  <c r="AN650" i="2"/>
  <c r="AR650" i="2"/>
  <c r="AU650" i="2"/>
  <c r="AW650" i="2"/>
  <c r="AM651" i="2"/>
  <c r="AQ651" i="2"/>
  <c r="AN651" i="2"/>
  <c r="AR651" i="2"/>
  <c r="AU651" i="2"/>
  <c r="AW651" i="2"/>
  <c r="AH642" i="2"/>
  <c r="AS642" i="2"/>
  <c r="AH643" i="2"/>
  <c r="AS643" i="2"/>
  <c r="AH644" i="2"/>
  <c r="AS644" i="2"/>
  <c r="AH645" i="2"/>
  <c r="AS645" i="2"/>
  <c r="AH646" i="2"/>
  <c r="AS646" i="2"/>
  <c r="AH647" i="2"/>
  <c r="AS647" i="2"/>
  <c r="AH648" i="2"/>
  <c r="AS648" i="2"/>
  <c r="AH649" i="2"/>
  <c r="AS649" i="2"/>
  <c r="AH650" i="2"/>
  <c r="AS650" i="2"/>
  <c r="AI650" i="2"/>
  <c r="AJ650" i="2"/>
  <c r="AL650" i="2"/>
  <c r="AT650" i="2"/>
  <c r="AS651" i="2"/>
  <c r="AE642" i="2"/>
  <c r="AE643" i="2"/>
  <c r="AE644" i="2"/>
  <c r="AE645" i="2"/>
  <c r="AE646" i="2"/>
  <c r="AE647" i="2"/>
  <c r="AE648" i="2"/>
  <c r="AE649" i="2"/>
  <c r="AE650" i="2"/>
  <c r="AG650" i="2"/>
  <c r="AV650" i="2"/>
  <c r="AE651" i="2"/>
  <c r="V642" i="2"/>
  <c r="W642" i="2"/>
  <c r="V643" i="2"/>
  <c r="W643" i="2"/>
  <c r="V644" i="2"/>
  <c r="W644" i="2"/>
  <c r="V645" i="2"/>
  <c r="W645" i="2"/>
  <c r="V646" i="2"/>
  <c r="W646" i="2"/>
  <c r="V647" i="2"/>
  <c r="W647" i="2"/>
  <c r="V648" i="2"/>
  <c r="W648" i="2"/>
  <c r="V649" i="2"/>
  <c r="W649" i="2"/>
  <c r="V650" i="2"/>
  <c r="W650" i="2"/>
  <c r="V651" i="2"/>
  <c r="W651" i="2"/>
  <c r="AE641" i="2"/>
  <c r="AM641" i="2"/>
  <c r="AQ641" i="2"/>
  <c r="AN641" i="2"/>
  <c r="AR641" i="2"/>
  <c r="AU641" i="2"/>
  <c r="AW641" i="2"/>
  <c r="AH641" i="2"/>
  <c r="AS641" i="2"/>
  <c r="V641" i="2"/>
  <c r="W641" i="2"/>
  <c r="AM640" i="2"/>
  <c r="AQ640" i="2"/>
  <c r="AN640" i="2"/>
  <c r="AR640" i="2"/>
  <c r="AU640" i="2"/>
  <c r="AW640" i="2"/>
  <c r="AH640" i="2"/>
  <c r="AS640" i="2"/>
  <c r="AE640" i="2"/>
  <c r="V640" i="2"/>
  <c r="W640" i="2"/>
  <c r="AM639" i="2"/>
  <c r="AQ639" i="2"/>
  <c r="AN639" i="2"/>
  <c r="AR639" i="2"/>
  <c r="AU639" i="2"/>
  <c r="AW639" i="2"/>
  <c r="AH639" i="2"/>
  <c r="AS639" i="2"/>
  <c r="AE639" i="2"/>
  <c r="AF639" i="2"/>
  <c r="V639" i="2"/>
  <c r="W639" i="2"/>
  <c r="AM638" i="2"/>
  <c r="AQ638" i="2"/>
  <c r="AN638" i="2"/>
  <c r="AR638" i="2"/>
  <c r="AU638" i="2"/>
  <c r="AW638" i="2"/>
  <c r="AH638" i="2"/>
  <c r="AS638" i="2"/>
  <c r="AE638" i="2"/>
  <c r="X638" i="2"/>
  <c r="V638" i="2"/>
  <c r="W638" i="2"/>
  <c r="X636" i="2"/>
  <c r="AM637" i="2"/>
  <c r="AQ637" i="2"/>
  <c r="AN637" i="2"/>
  <c r="AR637" i="2"/>
  <c r="AU637" i="2"/>
  <c r="AW637" i="2"/>
  <c r="AH637" i="2"/>
  <c r="AS637" i="2"/>
  <c r="AE637" i="2"/>
  <c r="X637" i="2"/>
  <c r="V637" i="2"/>
  <c r="W637" i="2"/>
  <c r="AM636" i="2"/>
  <c r="AQ636" i="2"/>
  <c r="AN636" i="2"/>
  <c r="AR636" i="2"/>
  <c r="AU636" i="2"/>
  <c r="AW636" i="2"/>
  <c r="AH636" i="2"/>
  <c r="AS636" i="2"/>
  <c r="AI636" i="2"/>
  <c r="AJ636" i="2"/>
  <c r="AK636" i="2"/>
  <c r="AL636" i="2"/>
  <c r="AT636" i="2"/>
  <c r="AE636" i="2"/>
  <c r="V636" i="2"/>
  <c r="W636" i="2"/>
  <c r="AH635" i="2"/>
  <c r="X635" i="2"/>
  <c r="X634" i="2"/>
  <c r="AM635" i="2"/>
  <c r="AQ635" i="2"/>
  <c r="AN635" i="2"/>
  <c r="AR635" i="2"/>
  <c r="AS635" i="2"/>
  <c r="AU635" i="2"/>
  <c r="AW635" i="2"/>
  <c r="V635" i="2"/>
  <c r="W635" i="2"/>
  <c r="AH634" i="2"/>
  <c r="AE634" i="2"/>
  <c r="V634" i="2"/>
  <c r="W634" i="2"/>
  <c r="AM634" i="2"/>
  <c r="AQ634" i="2"/>
  <c r="AN634" i="2"/>
  <c r="AR634" i="2"/>
  <c r="AU634" i="2"/>
  <c r="AW634" i="2"/>
  <c r="AS634" i="2"/>
  <c r="AE633" i="2"/>
  <c r="D106" i="3"/>
  <c r="D105" i="3"/>
  <c r="D104" i="3"/>
  <c r="D103" i="3"/>
  <c r="D102" i="3"/>
  <c r="D101" i="3"/>
  <c r="C13" i="1"/>
  <c r="I5" i="1"/>
  <c r="I88" i="1"/>
  <c r="AX88" i="1"/>
  <c r="F3" i="4"/>
  <c r="AJ88" i="1"/>
  <c r="W88" i="1"/>
  <c r="J88" i="1"/>
  <c r="H88" i="1"/>
  <c r="G88" i="1"/>
  <c r="F88" i="1"/>
  <c r="E88" i="1"/>
  <c r="AY6" i="2"/>
  <c r="AU633" i="2"/>
  <c r="AW633" i="2"/>
  <c r="AQ633" i="2"/>
  <c r="AR633" i="2"/>
  <c r="AM633" i="2"/>
  <c r="AH633" i="2"/>
  <c r="X633" i="2"/>
  <c r="AK633" i="2"/>
  <c r="V633" i="2"/>
  <c r="W633" i="2"/>
  <c r="AU632" i="2"/>
  <c r="AW632" i="2"/>
  <c r="AQ632" i="2"/>
  <c r="AM632" i="2"/>
  <c r="AH632" i="2"/>
  <c r="AE632" i="2"/>
  <c r="X632" i="2"/>
  <c r="AK632" i="2"/>
  <c r="V632" i="2"/>
  <c r="W632" i="2"/>
  <c r="AU631" i="2"/>
  <c r="AW631" i="2"/>
  <c r="AQ631" i="2"/>
  <c r="AR631" i="2"/>
  <c r="AM631" i="2"/>
  <c r="AH631" i="2"/>
  <c r="AE631" i="2"/>
  <c r="X631" i="2"/>
  <c r="V631" i="2"/>
  <c r="W631" i="2"/>
  <c r="AU630" i="2"/>
  <c r="AW630" i="2"/>
  <c r="AQ630" i="2"/>
  <c r="AM630" i="2"/>
  <c r="AH630" i="2"/>
  <c r="AS630" i="2"/>
  <c r="AE630" i="2"/>
  <c r="X630" i="2"/>
  <c r="V630" i="2"/>
  <c r="W630" i="2"/>
  <c r="AU629" i="2"/>
  <c r="AW629" i="2"/>
  <c r="AQ629" i="2"/>
  <c r="AN629" i="2"/>
  <c r="AM629" i="2"/>
  <c r="AH629" i="2"/>
  <c r="AE629" i="2"/>
  <c r="V629" i="2"/>
  <c r="W629" i="2"/>
  <c r="AU628" i="2"/>
  <c r="AW628" i="2"/>
  <c r="AQ628" i="2"/>
  <c r="AM628" i="2"/>
  <c r="AH628" i="2"/>
  <c r="AS628" i="2"/>
  <c r="AE628" i="2"/>
  <c r="X628" i="2"/>
  <c r="V628" i="2"/>
  <c r="W628" i="2"/>
  <c r="AU627" i="2"/>
  <c r="AW627" i="2"/>
  <c r="AQ627" i="2"/>
  <c r="AM627" i="2"/>
  <c r="AH627" i="2"/>
  <c r="AE627" i="2"/>
  <c r="X627" i="2"/>
  <c r="V627" i="2"/>
  <c r="W627" i="2"/>
  <c r="AU626" i="2"/>
  <c r="AW626" i="2"/>
  <c r="AQ626" i="2"/>
  <c r="AM626" i="2"/>
  <c r="AH626" i="2"/>
  <c r="AS626" i="2"/>
  <c r="AE626" i="2"/>
  <c r="X626" i="2"/>
  <c r="V626" i="2"/>
  <c r="W626" i="2"/>
  <c r="AU625" i="2"/>
  <c r="AW625" i="2"/>
  <c r="AQ625" i="2"/>
  <c r="AM625" i="2"/>
  <c r="AH625" i="2"/>
  <c r="AE625" i="2"/>
  <c r="X625" i="2"/>
  <c r="V625" i="2"/>
  <c r="W625" i="2"/>
  <c r="AU624" i="2"/>
  <c r="AW624" i="2"/>
  <c r="AQ624" i="2"/>
  <c r="AM624" i="2"/>
  <c r="AH624" i="2"/>
  <c r="AS624" i="2"/>
  <c r="AE624" i="2"/>
  <c r="X624" i="2"/>
  <c r="V624" i="2"/>
  <c r="W624" i="2"/>
  <c r="AU623" i="2"/>
  <c r="AW623" i="2"/>
  <c r="AQ623" i="2"/>
  <c r="AN623" i="2"/>
  <c r="AM623" i="2"/>
  <c r="AH623" i="2"/>
  <c r="AE623" i="2"/>
  <c r="X623" i="2"/>
  <c r="V623" i="2"/>
  <c r="W623" i="2"/>
  <c r="AU622" i="2"/>
  <c r="AW622" i="2"/>
  <c r="AQ622" i="2"/>
  <c r="AM622" i="2"/>
  <c r="AH622" i="2"/>
  <c r="AS622" i="2"/>
  <c r="AE622" i="2"/>
  <c r="X622" i="2"/>
  <c r="AK622" i="2"/>
  <c r="V622" i="2"/>
  <c r="W622" i="2"/>
  <c r="AU621" i="2"/>
  <c r="AW621" i="2"/>
  <c r="AQ621" i="2"/>
  <c r="AR621" i="2"/>
  <c r="AM621" i="2"/>
  <c r="AH621" i="2"/>
  <c r="AE621" i="2"/>
  <c r="X621" i="2"/>
  <c r="V621" i="2"/>
  <c r="W621" i="2"/>
  <c r="AU620" i="2"/>
  <c r="AW620" i="2"/>
  <c r="AQ620" i="2"/>
  <c r="AM620" i="2"/>
  <c r="AH620" i="2"/>
  <c r="AS620" i="2"/>
  <c r="AE620" i="2"/>
  <c r="X620" i="2"/>
  <c r="AK620" i="2"/>
  <c r="V620" i="2"/>
  <c r="W620" i="2"/>
  <c r="AU619" i="2"/>
  <c r="AW619" i="2"/>
  <c r="AQ619" i="2"/>
  <c r="AM619" i="2"/>
  <c r="AH619" i="2"/>
  <c r="AE619" i="2"/>
  <c r="X619" i="2"/>
  <c r="AK619" i="2"/>
  <c r="V619" i="2"/>
  <c r="W619" i="2"/>
  <c r="AU618" i="2"/>
  <c r="AW618" i="2"/>
  <c r="AQ618" i="2"/>
  <c r="AM618" i="2"/>
  <c r="AH618" i="2"/>
  <c r="AE618" i="2"/>
  <c r="X618" i="2"/>
  <c r="AK618" i="2"/>
  <c r="V618" i="2"/>
  <c r="W618" i="2"/>
  <c r="AU617" i="2"/>
  <c r="AW617" i="2"/>
  <c r="AQ617" i="2"/>
  <c r="AN617" i="2"/>
  <c r="AM617" i="2"/>
  <c r="AH617" i="2"/>
  <c r="AE617" i="2"/>
  <c r="X617" i="2"/>
  <c r="V617" i="2"/>
  <c r="W617" i="2"/>
  <c r="AU616" i="2"/>
  <c r="AW616" i="2"/>
  <c r="AQ616" i="2"/>
  <c r="AM616" i="2"/>
  <c r="AH616" i="2"/>
  <c r="AS616" i="2"/>
  <c r="AE616" i="2"/>
  <c r="X616" i="2"/>
  <c r="V616" i="2"/>
  <c r="W616" i="2"/>
  <c r="AU615" i="2"/>
  <c r="AW615" i="2"/>
  <c r="AQ615" i="2"/>
  <c r="AM615" i="2"/>
  <c r="AH615" i="2"/>
  <c r="AE615" i="2"/>
  <c r="X615" i="2"/>
  <c r="V615" i="2"/>
  <c r="W615" i="2"/>
  <c r="AU614" i="2"/>
  <c r="AW614" i="2"/>
  <c r="AQ614" i="2"/>
  <c r="AM614" i="2"/>
  <c r="AH614" i="2"/>
  <c r="AE614" i="2"/>
  <c r="X614" i="2"/>
  <c r="AK614" i="2"/>
  <c r="V614" i="2"/>
  <c r="W614" i="2"/>
  <c r="AU613" i="2"/>
  <c r="AW613" i="2"/>
  <c r="AQ613" i="2"/>
  <c r="AM613" i="2"/>
  <c r="AH613" i="2"/>
  <c r="AE613" i="2"/>
  <c r="X613" i="2"/>
  <c r="V613" i="2"/>
  <c r="W613" i="2"/>
  <c r="AU612" i="2"/>
  <c r="AW612" i="2"/>
  <c r="AQ612" i="2"/>
  <c r="AM612" i="2"/>
  <c r="AH612" i="2"/>
  <c r="AS612" i="2"/>
  <c r="AE612" i="2"/>
  <c r="X612" i="2"/>
  <c r="V612" i="2"/>
  <c r="W612" i="2"/>
  <c r="AU611" i="2"/>
  <c r="AW611" i="2"/>
  <c r="AQ611" i="2"/>
  <c r="AM611" i="2"/>
  <c r="AH611" i="2"/>
  <c r="AE611" i="2"/>
  <c r="X611" i="2"/>
  <c r="V611" i="2"/>
  <c r="W611" i="2"/>
  <c r="AU610" i="2"/>
  <c r="AW610" i="2"/>
  <c r="AQ610" i="2"/>
  <c r="AM610" i="2"/>
  <c r="AH610" i="2"/>
  <c r="AS610" i="2"/>
  <c r="AE610" i="2"/>
  <c r="X610" i="2"/>
  <c r="AK610" i="2"/>
  <c r="V610" i="2"/>
  <c r="W610" i="2"/>
  <c r="AU609" i="2"/>
  <c r="AW609" i="2"/>
  <c r="AQ609" i="2"/>
  <c r="AN609" i="2"/>
  <c r="AM609" i="2"/>
  <c r="AH609" i="2"/>
  <c r="AE609" i="2"/>
  <c r="X609" i="2"/>
  <c r="V609" i="2"/>
  <c r="W609" i="2"/>
  <c r="AU608" i="2"/>
  <c r="AW608" i="2"/>
  <c r="AQ608" i="2"/>
  <c r="AM608" i="2"/>
  <c r="AH608" i="2"/>
  <c r="AS608" i="2"/>
  <c r="AE608" i="2"/>
  <c r="X608" i="2"/>
  <c r="V608" i="2"/>
  <c r="W608" i="2"/>
  <c r="AU607" i="2"/>
  <c r="AW607" i="2"/>
  <c r="AQ607" i="2"/>
  <c r="AN607" i="2"/>
  <c r="AM607" i="2"/>
  <c r="AH607" i="2"/>
  <c r="AE607" i="2"/>
  <c r="X607" i="2"/>
  <c r="V607" i="2"/>
  <c r="W607" i="2"/>
  <c r="AU606" i="2"/>
  <c r="AW606" i="2"/>
  <c r="AQ606" i="2"/>
  <c r="AM606" i="2"/>
  <c r="AH606" i="2"/>
  <c r="AS606" i="2"/>
  <c r="AE606" i="2"/>
  <c r="X606" i="2"/>
  <c r="V606" i="2"/>
  <c r="W606" i="2"/>
  <c r="AU605" i="2"/>
  <c r="AW605" i="2"/>
  <c r="AQ605" i="2"/>
  <c r="AM605" i="2"/>
  <c r="AH605" i="2"/>
  <c r="AE605" i="2"/>
  <c r="X605" i="2"/>
  <c r="V605" i="2"/>
  <c r="W605" i="2"/>
  <c r="AU604" i="2"/>
  <c r="AW604" i="2"/>
  <c r="AQ604" i="2"/>
  <c r="AM604" i="2"/>
  <c r="AH604" i="2"/>
  <c r="AS604" i="2"/>
  <c r="AE604" i="2"/>
  <c r="X604" i="2"/>
  <c r="V604" i="2"/>
  <c r="W604" i="2"/>
  <c r="AU603" i="2"/>
  <c r="AW603" i="2"/>
  <c r="AQ603" i="2"/>
  <c r="AN603" i="2"/>
  <c r="AM603" i="2"/>
  <c r="AH603" i="2"/>
  <c r="AE603" i="2"/>
  <c r="X603" i="2"/>
  <c r="AK603" i="2"/>
  <c r="V603" i="2"/>
  <c r="W603" i="2"/>
  <c r="AU602" i="2"/>
  <c r="AW602" i="2"/>
  <c r="AQ602" i="2"/>
  <c r="AM602" i="2"/>
  <c r="AH602" i="2"/>
  <c r="AS602" i="2"/>
  <c r="AE602" i="2"/>
  <c r="X602" i="2"/>
  <c r="AK602" i="2"/>
  <c r="V602" i="2"/>
  <c r="W602" i="2"/>
  <c r="AU601" i="2"/>
  <c r="AW601" i="2"/>
  <c r="AQ601" i="2"/>
  <c r="AN601" i="2"/>
  <c r="AM601" i="2"/>
  <c r="AH601" i="2"/>
  <c r="AE601" i="2"/>
  <c r="X601" i="2"/>
  <c r="V601" i="2"/>
  <c r="W601" i="2"/>
  <c r="AU600" i="2"/>
  <c r="AW600" i="2"/>
  <c r="AQ600" i="2"/>
  <c r="AM600" i="2"/>
  <c r="AH600" i="2"/>
  <c r="AS600" i="2"/>
  <c r="AE600" i="2"/>
  <c r="X600" i="2"/>
  <c r="V600" i="2"/>
  <c r="W600" i="2"/>
  <c r="AU599" i="2"/>
  <c r="AW599" i="2"/>
  <c r="AQ599" i="2"/>
  <c r="AR599" i="2"/>
  <c r="AM599" i="2"/>
  <c r="AH599" i="2"/>
  <c r="X599" i="2"/>
  <c r="V599" i="2"/>
  <c r="W599" i="2"/>
  <c r="AU598" i="2"/>
  <c r="AW598" i="2"/>
  <c r="AQ598" i="2"/>
  <c r="AM598" i="2"/>
  <c r="AH598" i="2"/>
  <c r="AS598" i="2"/>
  <c r="AE598" i="2"/>
  <c r="X598" i="2"/>
  <c r="V598" i="2"/>
  <c r="W598" i="2"/>
  <c r="AU597" i="2"/>
  <c r="AW597" i="2"/>
  <c r="AQ597" i="2"/>
  <c r="AM597" i="2"/>
  <c r="AH597" i="2"/>
  <c r="AE597" i="2"/>
  <c r="X597" i="2"/>
  <c r="AK597" i="2"/>
  <c r="V597" i="2"/>
  <c r="W597" i="2"/>
  <c r="AU596" i="2"/>
  <c r="AW596" i="2"/>
  <c r="AQ596" i="2"/>
  <c r="AR596" i="2"/>
  <c r="AM596" i="2"/>
  <c r="AH596" i="2"/>
  <c r="AS596" i="2"/>
  <c r="AE596" i="2"/>
  <c r="X596" i="2"/>
  <c r="V596" i="2"/>
  <c r="W596" i="2"/>
  <c r="AU595" i="2"/>
  <c r="AW595" i="2"/>
  <c r="AQ595" i="2"/>
  <c r="AN595" i="2"/>
  <c r="AM595" i="2"/>
  <c r="AH595" i="2"/>
  <c r="AE595" i="2"/>
  <c r="X595" i="2"/>
  <c r="AK595" i="2"/>
  <c r="V595" i="2"/>
  <c r="W595" i="2"/>
  <c r="AU594" i="2"/>
  <c r="AW594" i="2"/>
  <c r="AQ594" i="2"/>
  <c r="AM594" i="2"/>
  <c r="AH594" i="2"/>
  <c r="AS594" i="2"/>
  <c r="AE594" i="2"/>
  <c r="X594" i="2"/>
  <c r="AK594" i="2"/>
  <c r="V594" i="2"/>
  <c r="W594" i="2"/>
  <c r="AU593" i="2"/>
  <c r="AW593" i="2"/>
  <c r="AQ593" i="2"/>
  <c r="AN593" i="2"/>
  <c r="AM593" i="2"/>
  <c r="AH593" i="2"/>
  <c r="AE593" i="2"/>
  <c r="X593" i="2"/>
  <c r="AK593" i="2"/>
  <c r="V593" i="2"/>
  <c r="W593" i="2"/>
  <c r="AU592" i="2"/>
  <c r="AW592" i="2"/>
  <c r="AQ592" i="2"/>
  <c r="AN592" i="2"/>
  <c r="AM592" i="2"/>
  <c r="AH592" i="2"/>
  <c r="AE592" i="2"/>
  <c r="X592" i="2"/>
  <c r="AK592" i="2"/>
  <c r="V592" i="2"/>
  <c r="W592" i="2"/>
  <c r="AU591" i="2"/>
  <c r="AW591" i="2"/>
  <c r="AQ591" i="2"/>
  <c r="AN591" i="2"/>
  <c r="AM591" i="2"/>
  <c r="AH591" i="2"/>
  <c r="AE591" i="2"/>
  <c r="X591" i="2"/>
  <c r="AK591" i="2"/>
  <c r="V591" i="2"/>
  <c r="W591" i="2"/>
  <c r="AU590" i="2"/>
  <c r="AW590" i="2"/>
  <c r="AQ590" i="2"/>
  <c r="AR590" i="2"/>
  <c r="AM590" i="2"/>
  <c r="AH590" i="2"/>
  <c r="AS590" i="2"/>
  <c r="AE590" i="2"/>
  <c r="X590" i="2"/>
  <c r="V590" i="2"/>
  <c r="W590" i="2"/>
  <c r="AU589" i="2"/>
  <c r="AW589" i="2"/>
  <c r="AQ589" i="2"/>
  <c r="AN589" i="2"/>
  <c r="AM589" i="2"/>
  <c r="AH589" i="2"/>
  <c r="AE589" i="2"/>
  <c r="X589" i="2"/>
  <c r="V589" i="2"/>
  <c r="W589" i="2"/>
  <c r="AU588" i="2"/>
  <c r="AW588" i="2"/>
  <c r="AQ588" i="2"/>
  <c r="AM588" i="2"/>
  <c r="AH588" i="2"/>
  <c r="AE588" i="2"/>
  <c r="X588" i="2"/>
  <c r="V588" i="2"/>
  <c r="W588" i="2"/>
  <c r="AU587" i="2"/>
  <c r="AW587" i="2"/>
  <c r="AQ587" i="2"/>
  <c r="AN587" i="2"/>
  <c r="AM587" i="2"/>
  <c r="AH587" i="2"/>
  <c r="AS587" i="2"/>
  <c r="AE587" i="2"/>
  <c r="X587" i="2"/>
  <c r="V587" i="2"/>
  <c r="W587" i="2"/>
  <c r="AU586" i="2"/>
  <c r="AW586" i="2"/>
  <c r="AQ586" i="2"/>
  <c r="AR586" i="2"/>
  <c r="AM586" i="2"/>
  <c r="AH586" i="2"/>
  <c r="AE586" i="2"/>
  <c r="X586" i="2"/>
  <c r="V586" i="2"/>
  <c r="W586" i="2"/>
  <c r="AU585" i="2"/>
  <c r="AW585" i="2"/>
  <c r="AQ585" i="2"/>
  <c r="AN585" i="2"/>
  <c r="AM585" i="2"/>
  <c r="AH585" i="2"/>
  <c r="AS585" i="2"/>
  <c r="AE585" i="2"/>
  <c r="X585" i="2"/>
  <c r="V585" i="2"/>
  <c r="W585" i="2"/>
  <c r="AU584" i="2"/>
  <c r="AW584" i="2"/>
  <c r="AQ584" i="2"/>
  <c r="AR584" i="2"/>
  <c r="AM584" i="2"/>
  <c r="AH584" i="2"/>
  <c r="AE584" i="2"/>
  <c r="X584" i="2"/>
  <c r="V584" i="2"/>
  <c r="W584" i="2"/>
  <c r="AU583" i="2"/>
  <c r="AW583" i="2"/>
  <c r="AQ583" i="2"/>
  <c r="AM583" i="2"/>
  <c r="AH583" i="2"/>
  <c r="AS583" i="2"/>
  <c r="AE583" i="2"/>
  <c r="X583" i="2"/>
  <c r="AK583" i="2"/>
  <c r="V583" i="2"/>
  <c r="W583" i="2"/>
  <c r="AU582" i="2"/>
  <c r="AW582" i="2"/>
  <c r="AQ582" i="2"/>
  <c r="AM582" i="2"/>
  <c r="AH582" i="2"/>
  <c r="AS582" i="2"/>
  <c r="AE582" i="2"/>
  <c r="X582" i="2"/>
  <c r="V582" i="2"/>
  <c r="W582" i="2"/>
  <c r="AU581" i="2"/>
  <c r="AW581" i="2"/>
  <c r="AQ581" i="2"/>
  <c r="AM581" i="2"/>
  <c r="AH581" i="2"/>
  <c r="AS581" i="2"/>
  <c r="AE581" i="2"/>
  <c r="X581" i="2"/>
  <c r="V581" i="2"/>
  <c r="W581" i="2"/>
  <c r="AU580" i="2"/>
  <c r="AW580" i="2"/>
  <c r="AQ580" i="2"/>
  <c r="AM580" i="2"/>
  <c r="AH580" i="2"/>
  <c r="AS580" i="2"/>
  <c r="AE580" i="2"/>
  <c r="X580" i="2"/>
  <c r="V580" i="2"/>
  <c r="W580" i="2"/>
  <c r="AU579" i="2"/>
  <c r="AW579" i="2"/>
  <c r="AQ579" i="2"/>
  <c r="AM579" i="2"/>
  <c r="AH579" i="2"/>
  <c r="AS579" i="2"/>
  <c r="AE579" i="2"/>
  <c r="X579" i="2"/>
  <c r="V579" i="2"/>
  <c r="W579" i="2"/>
  <c r="AU578" i="2"/>
  <c r="AW578" i="2"/>
  <c r="AQ578" i="2"/>
  <c r="AR578" i="2"/>
  <c r="AM578" i="2"/>
  <c r="AH578" i="2"/>
  <c r="AS578" i="2"/>
  <c r="AE578" i="2"/>
  <c r="X578" i="2"/>
  <c r="V578" i="2"/>
  <c r="W578" i="2"/>
  <c r="AU577" i="2"/>
  <c r="AW577" i="2"/>
  <c r="AQ577" i="2"/>
  <c r="AM577" i="2"/>
  <c r="AH577" i="2"/>
  <c r="AS577" i="2"/>
  <c r="AE577" i="2"/>
  <c r="X577" i="2"/>
  <c r="V577" i="2"/>
  <c r="W577" i="2"/>
  <c r="AU576" i="2"/>
  <c r="AW576" i="2"/>
  <c r="AQ576" i="2"/>
  <c r="AR576" i="2"/>
  <c r="AM576" i="2"/>
  <c r="AH576" i="2"/>
  <c r="AS576" i="2"/>
  <c r="AE576" i="2"/>
  <c r="X576" i="2"/>
  <c r="V576" i="2"/>
  <c r="W576" i="2"/>
  <c r="AU575" i="2"/>
  <c r="AW575" i="2"/>
  <c r="AQ575" i="2"/>
  <c r="AM575" i="2"/>
  <c r="AH575" i="2"/>
  <c r="AS575" i="2"/>
  <c r="AE575" i="2"/>
  <c r="X575" i="2"/>
  <c r="V575" i="2"/>
  <c r="W575" i="2"/>
  <c r="AU574" i="2"/>
  <c r="AW574" i="2"/>
  <c r="AQ574" i="2"/>
  <c r="AM574" i="2"/>
  <c r="AH574" i="2"/>
  <c r="AS574" i="2"/>
  <c r="AE574" i="2"/>
  <c r="X574" i="2"/>
  <c r="V574" i="2"/>
  <c r="W574" i="2"/>
  <c r="AU573" i="2"/>
  <c r="AW573" i="2"/>
  <c r="AQ573" i="2"/>
  <c r="AR573" i="2"/>
  <c r="AM573" i="2"/>
  <c r="AH573" i="2"/>
  <c r="AE573" i="2"/>
  <c r="X573" i="2"/>
  <c r="AK573" i="2"/>
  <c r="V573" i="2"/>
  <c r="W573" i="2"/>
  <c r="AU572" i="2"/>
  <c r="AW572" i="2"/>
  <c r="AQ572" i="2"/>
  <c r="AR572" i="2"/>
  <c r="AM572" i="2"/>
  <c r="AH572" i="2"/>
  <c r="AS572" i="2"/>
  <c r="AE572" i="2"/>
  <c r="X572" i="2"/>
  <c r="AK572" i="2"/>
  <c r="V572" i="2"/>
  <c r="W572" i="2"/>
  <c r="AU571" i="2"/>
  <c r="AW571" i="2"/>
  <c r="AQ571" i="2"/>
  <c r="AR571" i="2"/>
  <c r="AM571" i="2"/>
  <c r="AH571" i="2"/>
  <c r="AS571" i="2"/>
  <c r="AE571" i="2"/>
  <c r="X571" i="2"/>
  <c r="V571" i="2"/>
  <c r="W571" i="2"/>
  <c r="AU570" i="2"/>
  <c r="AW570" i="2"/>
  <c r="AQ570" i="2"/>
  <c r="AM570" i="2"/>
  <c r="AH570" i="2"/>
  <c r="AE570" i="2"/>
  <c r="X570" i="2"/>
  <c r="V570" i="2"/>
  <c r="W570" i="2"/>
  <c r="AU569" i="2"/>
  <c r="AW569" i="2"/>
  <c r="AQ569" i="2"/>
  <c r="AR569" i="2"/>
  <c r="AM569" i="2"/>
  <c r="AH569" i="2"/>
  <c r="AE569" i="2"/>
  <c r="X569" i="2"/>
  <c r="AK569" i="2"/>
  <c r="V569" i="2"/>
  <c r="W569" i="2"/>
  <c r="AU568" i="2"/>
  <c r="AW568" i="2"/>
  <c r="AQ568" i="2"/>
  <c r="AM568" i="2"/>
  <c r="AH568" i="2"/>
  <c r="AS568" i="2"/>
  <c r="AE568" i="2"/>
  <c r="X568" i="2"/>
  <c r="V568" i="2"/>
  <c r="W568" i="2"/>
  <c r="AU567" i="2"/>
  <c r="AW567" i="2"/>
  <c r="AQ567" i="2"/>
  <c r="AR567" i="2"/>
  <c r="AM567" i="2"/>
  <c r="AH567" i="2"/>
  <c r="AS567" i="2"/>
  <c r="AE567" i="2"/>
  <c r="X567" i="2"/>
  <c r="AK567" i="2"/>
  <c r="V567" i="2"/>
  <c r="W567" i="2"/>
  <c r="AU566" i="2"/>
  <c r="AW566" i="2"/>
  <c r="AQ566" i="2"/>
  <c r="AM566" i="2"/>
  <c r="AH566" i="2"/>
  <c r="AS566" i="2"/>
  <c r="AE566" i="2"/>
  <c r="X566" i="2"/>
  <c r="AK566" i="2"/>
  <c r="V566" i="2"/>
  <c r="W566" i="2"/>
  <c r="AU565" i="2"/>
  <c r="AW565" i="2"/>
  <c r="AQ565" i="2"/>
  <c r="AM565" i="2"/>
  <c r="AH565" i="2"/>
  <c r="AS565" i="2"/>
  <c r="AE565" i="2"/>
  <c r="X565" i="2"/>
  <c r="V565" i="2"/>
  <c r="W565" i="2"/>
  <c r="AU564" i="2"/>
  <c r="AW564" i="2"/>
  <c r="AQ564" i="2"/>
  <c r="AR564" i="2"/>
  <c r="AM564" i="2"/>
  <c r="AH564" i="2"/>
  <c r="AS564" i="2"/>
  <c r="AE564" i="2"/>
  <c r="X564" i="2"/>
  <c r="V564" i="2"/>
  <c r="W564" i="2"/>
  <c r="AU563" i="2"/>
  <c r="AW563" i="2"/>
  <c r="AQ563" i="2"/>
  <c r="AM563" i="2"/>
  <c r="AH563" i="2"/>
  <c r="AS563" i="2"/>
  <c r="AE563" i="2"/>
  <c r="X563" i="2"/>
  <c r="V563" i="2"/>
  <c r="W563" i="2"/>
  <c r="AU562" i="2"/>
  <c r="AW562" i="2"/>
  <c r="AQ562" i="2"/>
  <c r="AM562" i="2"/>
  <c r="AH562" i="2"/>
  <c r="AS562" i="2"/>
  <c r="AE562" i="2"/>
  <c r="X562" i="2"/>
  <c r="V562" i="2"/>
  <c r="W562" i="2"/>
  <c r="AU561" i="2"/>
  <c r="AW561" i="2"/>
  <c r="AQ561" i="2"/>
  <c r="AM561" i="2"/>
  <c r="AH561" i="2"/>
  <c r="AS561" i="2"/>
  <c r="AE561" i="2"/>
  <c r="X561" i="2"/>
  <c r="V561" i="2"/>
  <c r="W561" i="2"/>
  <c r="AU560" i="2"/>
  <c r="AW560" i="2"/>
  <c r="AQ560" i="2"/>
  <c r="AR560" i="2"/>
  <c r="AM560" i="2"/>
  <c r="AH560" i="2"/>
  <c r="AS560" i="2"/>
  <c r="AE560" i="2"/>
  <c r="X560" i="2"/>
  <c r="AK560" i="2"/>
  <c r="V560" i="2"/>
  <c r="W560" i="2"/>
  <c r="AU559" i="2"/>
  <c r="AW559" i="2"/>
  <c r="AQ559" i="2"/>
  <c r="AR559" i="2"/>
  <c r="AM559" i="2"/>
  <c r="AH559" i="2"/>
  <c r="AE559" i="2"/>
  <c r="X559" i="2"/>
  <c r="AK559" i="2"/>
  <c r="V559" i="2"/>
  <c r="W559" i="2"/>
  <c r="AU558" i="2"/>
  <c r="AW558" i="2"/>
  <c r="AQ558" i="2"/>
  <c r="AR558" i="2"/>
  <c r="AM558" i="2"/>
  <c r="AH558" i="2"/>
  <c r="AS558" i="2"/>
  <c r="AE558" i="2"/>
  <c r="X558" i="2"/>
  <c r="V558" i="2"/>
  <c r="W558" i="2"/>
  <c r="AU557" i="2"/>
  <c r="AW557" i="2"/>
  <c r="AQ557" i="2"/>
  <c r="AR557" i="2"/>
  <c r="AM557" i="2"/>
  <c r="AH557" i="2"/>
  <c r="AE557" i="2"/>
  <c r="X557" i="2"/>
  <c r="V557" i="2"/>
  <c r="W557" i="2"/>
  <c r="AU556" i="2"/>
  <c r="AW556" i="2"/>
  <c r="AQ556" i="2"/>
  <c r="AR556" i="2"/>
  <c r="AM556" i="2"/>
  <c r="AH556" i="2"/>
  <c r="AS556" i="2"/>
  <c r="AE556" i="2"/>
  <c r="X556" i="2"/>
  <c r="AK556" i="2"/>
  <c r="V556" i="2"/>
  <c r="W556" i="2"/>
  <c r="AU555" i="2"/>
  <c r="AW555" i="2"/>
  <c r="AQ555" i="2"/>
  <c r="AM555" i="2"/>
  <c r="AH555" i="2"/>
  <c r="AE555" i="2"/>
  <c r="X555" i="2"/>
  <c r="V555" i="2"/>
  <c r="W555" i="2"/>
  <c r="AU554" i="2"/>
  <c r="AW554" i="2"/>
  <c r="AQ554" i="2"/>
  <c r="AR554" i="2"/>
  <c r="AM554" i="2"/>
  <c r="AH554" i="2"/>
  <c r="AS554" i="2"/>
  <c r="AE554" i="2"/>
  <c r="X554" i="2"/>
  <c r="AK554" i="2"/>
  <c r="V554" i="2"/>
  <c r="W554" i="2"/>
  <c r="AU553" i="2"/>
  <c r="AW553" i="2"/>
  <c r="AQ553" i="2"/>
  <c r="AN553" i="2"/>
  <c r="AM553" i="2"/>
  <c r="AH553" i="2"/>
  <c r="AE553" i="2"/>
  <c r="X553" i="2"/>
  <c r="V553" i="2"/>
  <c r="W553" i="2"/>
  <c r="AU552" i="2"/>
  <c r="AW552" i="2"/>
  <c r="AQ552" i="2"/>
  <c r="AR552" i="2"/>
  <c r="AM552" i="2"/>
  <c r="AH552" i="2"/>
  <c r="AE552" i="2"/>
  <c r="X552" i="2"/>
  <c r="AK552" i="2"/>
  <c r="V552" i="2"/>
  <c r="W552" i="2"/>
  <c r="AU551" i="2"/>
  <c r="AW551" i="2"/>
  <c r="AQ551" i="2"/>
  <c r="AM551" i="2"/>
  <c r="AH551" i="2"/>
  <c r="AS551" i="2"/>
  <c r="AE551" i="2"/>
  <c r="X551" i="2"/>
  <c r="AK551" i="2"/>
  <c r="V551" i="2"/>
  <c r="W551" i="2"/>
  <c r="AU550" i="2"/>
  <c r="AW550" i="2"/>
  <c r="AQ550" i="2"/>
  <c r="AM550" i="2"/>
  <c r="AH550" i="2"/>
  <c r="AS550" i="2"/>
  <c r="AE550" i="2"/>
  <c r="X550" i="2"/>
  <c r="V550" i="2"/>
  <c r="W550" i="2"/>
  <c r="AU549" i="2"/>
  <c r="AW549" i="2"/>
  <c r="AQ549" i="2"/>
  <c r="AR549" i="2"/>
  <c r="AM549" i="2"/>
  <c r="AH549" i="2"/>
  <c r="AE549" i="2"/>
  <c r="X549" i="2"/>
  <c r="AK549" i="2"/>
  <c r="V549" i="2"/>
  <c r="W549" i="2"/>
  <c r="AU548" i="2"/>
  <c r="AW548" i="2"/>
  <c r="AQ548" i="2"/>
  <c r="AM548" i="2"/>
  <c r="AH548" i="2"/>
  <c r="AE548" i="2"/>
  <c r="X548" i="2"/>
  <c r="AK548" i="2"/>
  <c r="V548" i="2"/>
  <c r="W548" i="2"/>
  <c r="AU547" i="2"/>
  <c r="AW547" i="2"/>
  <c r="AQ547" i="2"/>
  <c r="AM547" i="2"/>
  <c r="AH547" i="2"/>
  <c r="AE547" i="2"/>
  <c r="X547" i="2"/>
  <c r="AK547" i="2"/>
  <c r="V547" i="2"/>
  <c r="W547" i="2"/>
  <c r="AU546" i="2"/>
  <c r="AW546" i="2"/>
  <c r="AQ546" i="2"/>
  <c r="AM546" i="2"/>
  <c r="AH546" i="2"/>
  <c r="AE546" i="2"/>
  <c r="X546" i="2"/>
  <c r="AK546" i="2"/>
  <c r="V546" i="2"/>
  <c r="W546" i="2"/>
  <c r="AU545" i="2"/>
  <c r="AW545" i="2"/>
  <c r="AQ545" i="2"/>
  <c r="AR545" i="2"/>
  <c r="AM545" i="2"/>
  <c r="AH545" i="2"/>
  <c r="AE545" i="2"/>
  <c r="X545" i="2"/>
  <c r="V545" i="2"/>
  <c r="W545" i="2"/>
  <c r="AU544" i="2"/>
  <c r="AW544" i="2"/>
  <c r="AQ544" i="2"/>
  <c r="AR544" i="2"/>
  <c r="AM544" i="2"/>
  <c r="AH544" i="2"/>
  <c r="AE544" i="2"/>
  <c r="X544" i="2"/>
  <c r="V544" i="2"/>
  <c r="W544" i="2"/>
  <c r="AU543" i="2"/>
  <c r="AW543" i="2"/>
  <c r="AQ543" i="2"/>
  <c r="AM543" i="2"/>
  <c r="AH543" i="2"/>
  <c r="AE543" i="2"/>
  <c r="X543" i="2"/>
  <c r="V543" i="2"/>
  <c r="W543" i="2"/>
  <c r="AU542" i="2"/>
  <c r="AW542" i="2"/>
  <c r="AQ542" i="2"/>
  <c r="AM542" i="2"/>
  <c r="AH542" i="2"/>
  <c r="AE542" i="2"/>
  <c r="X542" i="2"/>
  <c r="AK542" i="2"/>
  <c r="V542" i="2"/>
  <c r="W542" i="2"/>
  <c r="AU541" i="2"/>
  <c r="AW541" i="2"/>
  <c r="AQ541" i="2"/>
  <c r="AR541" i="2"/>
  <c r="AM541" i="2"/>
  <c r="AH541" i="2"/>
  <c r="AE541" i="2"/>
  <c r="X541" i="2"/>
  <c r="AK541" i="2"/>
  <c r="V541" i="2"/>
  <c r="W541" i="2"/>
  <c r="AU540" i="2"/>
  <c r="AW540" i="2"/>
  <c r="AQ540" i="2"/>
  <c r="AR540" i="2"/>
  <c r="AM540" i="2"/>
  <c r="AH540" i="2"/>
  <c r="AE540" i="2"/>
  <c r="X540" i="2"/>
  <c r="AK540" i="2"/>
  <c r="V540" i="2"/>
  <c r="W540" i="2"/>
  <c r="AU539" i="2"/>
  <c r="AW539" i="2"/>
  <c r="AQ539" i="2"/>
  <c r="AR539" i="2"/>
  <c r="AM539" i="2"/>
  <c r="AH539" i="2"/>
  <c r="AE539" i="2"/>
  <c r="X539" i="2"/>
  <c r="AK539" i="2"/>
  <c r="V539" i="2"/>
  <c r="W539" i="2"/>
  <c r="AU538" i="2"/>
  <c r="AW538" i="2"/>
  <c r="AQ538" i="2"/>
  <c r="AR538" i="2"/>
  <c r="AM538" i="2"/>
  <c r="AH538" i="2"/>
  <c r="AE538" i="2"/>
  <c r="X538" i="2"/>
  <c r="V538" i="2"/>
  <c r="W538" i="2"/>
  <c r="AU537" i="2"/>
  <c r="AW537" i="2"/>
  <c r="AQ537" i="2"/>
  <c r="AM537" i="2"/>
  <c r="AH537" i="2"/>
  <c r="AS537" i="2"/>
  <c r="AE537" i="2"/>
  <c r="X537" i="2"/>
  <c r="AK537" i="2"/>
  <c r="V537" i="2"/>
  <c r="W537" i="2"/>
  <c r="AU536" i="2"/>
  <c r="AW536" i="2"/>
  <c r="AQ536" i="2"/>
  <c r="AR536" i="2"/>
  <c r="AM536" i="2"/>
  <c r="AH536" i="2"/>
  <c r="AE536" i="2"/>
  <c r="X536" i="2"/>
  <c r="V536" i="2"/>
  <c r="W536" i="2"/>
  <c r="AU535" i="2"/>
  <c r="AW535" i="2"/>
  <c r="AQ535" i="2"/>
  <c r="AR535" i="2"/>
  <c r="AM535" i="2"/>
  <c r="AH535" i="2"/>
  <c r="AS535" i="2"/>
  <c r="AE535" i="2"/>
  <c r="X535" i="2"/>
  <c r="V535" i="2"/>
  <c r="W535" i="2"/>
  <c r="AU534" i="2"/>
  <c r="AW534" i="2"/>
  <c r="AQ534" i="2"/>
  <c r="AR534" i="2"/>
  <c r="AM534" i="2"/>
  <c r="AH534" i="2"/>
  <c r="AS534" i="2"/>
  <c r="AE534" i="2"/>
  <c r="X534" i="2"/>
  <c r="V534" i="2"/>
  <c r="W534" i="2"/>
  <c r="AU533" i="2"/>
  <c r="AW533" i="2"/>
  <c r="AQ533" i="2"/>
  <c r="AN533" i="2"/>
  <c r="AM533" i="2"/>
  <c r="AH533" i="2"/>
  <c r="AS533" i="2"/>
  <c r="AE533" i="2"/>
  <c r="X533" i="2"/>
  <c r="V533" i="2"/>
  <c r="W533" i="2"/>
  <c r="AU532" i="2"/>
  <c r="AW532" i="2"/>
  <c r="AQ532" i="2"/>
  <c r="AR532" i="2"/>
  <c r="AM532" i="2"/>
  <c r="AH532" i="2"/>
  <c r="AE532" i="2"/>
  <c r="X532" i="2"/>
  <c r="V532" i="2"/>
  <c r="W532" i="2"/>
  <c r="AU531" i="2"/>
  <c r="AW531" i="2"/>
  <c r="AQ531" i="2"/>
  <c r="AR531" i="2"/>
  <c r="AM531" i="2"/>
  <c r="AH531" i="2"/>
  <c r="AE531" i="2"/>
  <c r="X531" i="2"/>
  <c r="AK531" i="2"/>
  <c r="V531" i="2"/>
  <c r="W531" i="2"/>
  <c r="AU530" i="2"/>
  <c r="AW530" i="2"/>
  <c r="AQ530" i="2"/>
  <c r="AR530" i="2"/>
  <c r="AM530" i="2"/>
  <c r="AH530" i="2"/>
  <c r="AE530" i="2"/>
  <c r="X530" i="2"/>
  <c r="V530" i="2"/>
  <c r="W530" i="2"/>
  <c r="AU529" i="2"/>
  <c r="AW529" i="2"/>
  <c r="AQ529" i="2"/>
  <c r="AM529" i="2"/>
  <c r="AH529" i="2"/>
  <c r="AE529" i="2"/>
  <c r="X529" i="2"/>
  <c r="AK529" i="2"/>
  <c r="V529" i="2"/>
  <c r="W529" i="2"/>
  <c r="AU528" i="2"/>
  <c r="AW528" i="2"/>
  <c r="AQ528" i="2"/>
  <c r="AR528" i="2"/>
  <c r="AM528" i="2"/>
  <c r="AH528" i="2"/>
  <c r="AS528" i="2"/>
  <c r="AE528" i="2"/>
  <c r="X528" i="2"/>
  <c r="V528" i="2"/>
  <c r="W528" i="2"/>
  <c r="AU527" i="2"/>
  <c r="AW527" i="2"/>
  <c r="AQ527" i="2"/>
  <c r="AM527" i="2"/>
  <c r="AH527" i="2"/>
  <c r="AS527" i="2"/>
  <c r="AE527" i="2"/>
  <c r="X527" i="2"/>
  <c r="AK527" i="2"/>
  <c r="V527" i="2"/>
  <c r="W527" i="2"/>
  <c r="AU526" i="2"/>
  <c r="AW526" i="2"/>
  <c r="AQ526" i="2"/>
  <c r="AR526" i="2"/>
  <c r="AM526" i="2"/>
  <c r="AH526" i="2"/>
  <c r="AE526" i="2"/>
  <c r="X526" i="2"/>
  <c r="V526" i="2"/>
  <c r="W526" i="2"/>
  <c r="AU525" i="2"/>
  <c r="AW525" i="2"/>
  <c r="AQ525" i="2"/>
  <c r="AN525" i="2"/>
  <c r="AM525" i="2"/>
  <c r="AH525" i="2"/>
  <c r="AS525" i="2"/>
  <c r="AE525" i="2"/>
  <c r="X525" i="2"/>
  <c r="V525" i="2"/>
  <c r="W525" i="2"/>
  <c r="AU524" i="2"/>
  <c r="AW524" i="2"/>
  <c r="AQ524" i="2"/>
  <c r="AR524" i="2"/>
  <c r="AM524" i="2"/>
  <c r="AH524" i="2"/>
  <c r="AE524" i="2"/>
  <c r="X524" i="2"/>
  <c r="V524" i="2"/>
  <c r="W524" i="2"/>
  <c r="AU523" i="2"/>
  <c r="AW523" i="2"/>
  <c r="AQ523" i="2"/>
  <c r="AR523" i="2"/>
  <c r="AM523" i="2"/>
  <c r="AH523" i="2"/>
  <c r="AE523" i="2"/>
  <c r="X523" i="2"/>
  <c r="AK523" i="2"/>
  <c r="V523" i="2"/>
  <c r="W523" i="2"/>
  <c r="AU522" i="2"/>
  <c r="AW522" i="2"/>
  <c r="AQ522" i="2"/>
  <c r="AM522" i="2"/>
  <c r="AH522" i="2"/>
  <c r="AE522" i="2"/>
  <c r="X522" i="2"/>
  <c r="V522" i="2"/>
  <c r="W522" i="2"/>
  <c r="AU521" i="2"/>
  <c r="AW521" i="2"/>
  <c r="AQ521" i="2"/>
  <c r="AN521" i="2"/>
  <c r="AM521" i="2"/>
  <c r="AH521" i="2"/>
  <c r="AS521" i="2"/>
  <c r="AE521" i="2"/>
  <c r="X521" i="2"/>
  <c r="AK521" i="2"/>
  <c r="V521" i="2"/>
  <c r="W521" i="2"/>
  <c r="AU520" i="2"/>
  <c r="AW520" i="2"/>
  <c r="AQ520" i="2"/>
  <c r="AR520" i="2"/>
  <c r="AM520" i="2"/>
  <c r="AH520" i="2"/>
  <c r="AS520" i="2"/>
  <c r="AE520" i="2"/>
  <c r="X520" i="2"/>
  <c r="V520" i="2"/>
  <c r="W520" i="2"/>
  <c r="AU519" i="2"/>
  <c r="AW519" i="2"/>
  <c r="AQ519" i="2"/>
  <c r="AR519" i="2"/>
  <c r="AM519" i="2"/>
  <c r="AH519" i="2"/>
  <c r="AS519" i="2"/>
  <c r="AE519" i="2"/>
  <c r="X519" i="2"/>
  <c r="V519" i="2"/>
  <c r="W519" i="2"/>
  <c r="AU518" i="2"/>
  <c r="AW518" i="2"/>
  <c r="AQ518" i="2"/>
  <c r="AR518" i="2"/>
  <c r="AM518" i="2"/>
  <c r="AH518" i="2"/>
  <c r="AS518" i="2"/>
  <c r="AE518" i="2"/>
  <c r="X518" i="2"/>
  <c r="V518" i="2"/>
  <c r="W518" i="2"/>
  <c r="AU517" i="2"/>
  <c r="AW517" i="2"/>
  <c r="AQ517" i="2"/>
  <c r="AM517" i="2"/>
  <c r="AH517" i="2"/>
  <c r="AS517" i="2"/>
  <c r="AE517" i="2"/>
  <c r="X517" i="2"/>
  <c r="V517" i="2"/>
  <c r="W517" i="2"/>
  <c r="AU516" i="2"/>
  <c r="AW516" i="2"/>
  <c r="AQ516" i="2"/>
  <c r="AN516" i="2"/>
  <c r="AM516" i="2"/>
  <c r="AH516" i="2"/>
  <c r="AE516" i="2"/>
  <c r="X516" i="2"/>
  <c r="V516" i="2"/>
  <c r="W516" i="2"/>
  <c r="AU515" i="2"/>
  <c r="AW515" i="2"/>
  <c r="AQ515" i="2"/>
  <c r="AR515" i="2"/>
  <c r="AM515" i="2"/>
  <c r="AH515" i="2"/>
  <c r="AS515" i="2"/>
  <c r="AE515" i="2"/>
  <c r="X515" i="2"/>
  <c r="V515" i="2"/>
  <c r="W515" i="2"/>
  <c r="AU514" i="2"/>
  <c r="AW514" i="2"/>
  <c r="AQ514" i="2"/>
  <c r="AN514" i="2"/>
  <c r="AM514" i="2"/>
  <c r="AH514" i="2"/>
  <c r="AE514" i="2"/>
  <c r="X514" i="2"/>
  <c r="V514" i="2"/>
  <c r="W514" i="2"/>
  <c r="AU513" i="2"/>
  <c r="AW513" i="2"/>
  <c r="AQ513" i="2"/>
  <c r="AR513" i="2"/>
  <c r="AM513" i="2"/>
  <c r="AH513" i="2"/>
  <c r="AS513" i="2"/>
  <c r="AE513" i="2"/>
  <c r="X513" i="2"/>
  <c r="V513" i="2"/>
  <c r="W513" i="2"/>
  <c r="AU512" i="2"/>
  <c r="AW512" i="2"/>
  <c r="AQ512" i="2"/>
  <c r="AM512" i="2"/>
  <c r="AH512" i="2"/>
  <c r="AE512" i="2"/>
  <c r="X512" i="2"/>
  <c r="V512" i="2"/>
  <c r="W512" i="2"/>
  <c r="AU511" i="2"/>
  <c r="AW511" i="2"/>
  <c r="AQ511" i="2"/>
  <c r="AN511" i="2"/>
  <c r="AM511" i="2"/>
  <c r="AH511" i="2"/>
  <c r="AS511" i="2"/>
  <c r="AE511" i="2"/>
  <c r="X511" i="2"/>
  <c r="V511" i="2"/>
  <c r="W511" i="2"/>
  <c r="AU510" i="2"/>
  <c r="AW510" i="2"/>
  <c r="AQ510" i="2"/>
  <c r="AM510" i="2"/>
  <c r="AH510" i="2"/>
  <c r="AE510" i="2"/>
  <c r="X510" i="2"/>
  <c r="V510" i="2"/>
  <c r="W510" i="2"/>
  <c r="AU509" i="2"/>
  <c r="AW509" i="2"/>
  <c r="AQ509" i="2"/>
  <c r="AM509" i="2"/>
  <c r="AH509" i="2"/>
  <c r="AS509" i="2"/>
  <c r="AE509" i="2"/>
  <c r="X509" i="2"/>
  <c r="V509" i="2"/>
  <c r="W509" i="2"/>
  <c r="AU508" i="2"/>
  <c r="AW508" i="2"/>
  <c r="AQ508" i="2"/>
  <c r="AM508" i="2"/>
  <c r="AH508" i="2"/>
  <c r="AE508" i="2"/>
  <c r="X508" i="2"/>
  <c r="V508" i="2"/>
  <c r="W508" i="2"/>
  <c r="AU507" i="2"/>
  <c r="AW507" i="2"/>
  <c r="AQ507" i="2"/>
  <c r="AM507" i="2"/>
  <c r="AH507" i="2"/>
  <c r="AS507" i="2"/>
  <c r="AE507" i="2"/>
  <c r="X507" i="2"/>
  <c r="V507" i="2"/>
  <c r="W507" i="2"/>
  <c r="AU506" i="2"/>
  <c r="AW506" i="2"/>
  <c r="AQ506" i="2"/>
  <c r="AM506" i="2"/>
  <c r="AH506" i="2"/>
  <c r="AE506" i="2"/>
  <c r="X506" i="2"/>
  <c r="V506" i="2"/>
  <c r="W506" i="2"/>
  <c r="AU505" i="2"/>
  <c r="AW505" i="2"/>
  <c r="AQ505" i="2"/>
  <c r="AM505" i="2"/>
  <c r="AH505" i="2"/>
  <c r="AS505" i="2"/>
  <c r="AE505" i="2"/>
  <c r="X505" i="2"/>
  <c r="V505" i="2"/>
  <c r="W505" i="2"/>
  <c r="AU504" i="2"/>
  <c r="AW504" i="2"/>
  <c r="AQ504" i="2"/>
  <c r="AN504" i="2"/>
  <c r="AM504" i="2"/>
  <c r="AH504" i="2"/>
  <c r="AE504" i="2"/>
  <c r="X504" i="2"/>
  <c r="V504" i="2"/>
  <c r="W504" i="2"/>
  <c r="AU503" i="2"/>
  <c r="AW503" i="2"/>
  <c r="AQ503" i="2"/>
  <c r="AM503" i="2"/>
  <c r="AH503" i="2"/>
  <c r="AS503" i="2"/>
  <c r="AE503" i="2"/>
  <c r="X503" i="2"/>
  <c r="V503" i="2"/>
  <c r="W503" i="2"/>
  <c r="AU502" i="2"/>
  <c r="AW502" i="2"/>
  <c r="AQ502" i="2"/>
  <c r="AN502" i="2"/>
  <c r="AM502" i="2"/>
  <c r="AH502" i="2"/>
  <c r="X502" i="2"/>
  <c r="AK502" i="2"/>
  <c r="V502" i="2"/>
  <c r="W502" i="2"/>
  <c r="AU501" i="2"/>
  <c r="AW501" i="2"/>
  <c r="AQ501" i="2"/>
  <c r="AM501" i="2"/>
  <c r="AH501" i="2"/>
  <c r="AS501" i="2"/>
  <c r="X501" i="2"/>
  <c r="AC501" i="2"/>
  <c r="AE501" i="2"/>
  <c r="V501" i="2"/>
  <c r="W501" i="2"/>
  <c r="AU500" i="2"/>
  <c r="AW500" i="2"/>
  <c r="AQ500" i="2"/>
  <c r="AM500" i="2"/>
  <c r="AH500" i="2"/>
  <c r="AS500" i="2"/>
  <c r="X500" i="2"/>
  <c r="V500" i="2"/>
  <c r="W500" i="2"/>
  <c r="AU499" i="2"/>
  <c r="AW499" i="2"/>
  <c r="AQ499" i="2"/>
  <c r="AR499" i="2"/>
  <c r="AM499" i="2"/>
  <c r="AH499" i="2"/>
  <c r="X499" i="2"/>
  <c r="V499" i="2"/>
  <c r="W499" i="2"/>
  <c r="AU498" i="2"/>
  <c r="AW498" i="2"/>
  <c r="AQ498" i="2"/>
  <c r="AR498" i="2"/>
  <c r="AM498" i="2"/>
  <c r="AH498" i="2"/>
  <c r="AS498" i="2"/>
  <c r="X498" i="2"/>
  <c r="AK498" i="2"/>
  <c r="V498" i="2"/>
  <c r="W498" i="2"/>
  <c r="AU497" i="2"/>
  <c r="AW497" i="2"/>
  <c r="AQ497" i="2"/>
  <c r="AM497" i="2"/>
  <c r="AH497" i="2"/>
  <c r="X497" i="2"/>
  <c r="V497" i="2"/>
  <c r="W497" i="2"/>
  <c r="AU496" i="2"/>
  <c r="AW496" i="2"/>
  <c r="AQ496" i="2"/>
  <c r="AR496" i="2"/>
  <c r="AM496" i="2"/>
  <c r="AH496" i="2"/>
  <c r="X496" i="2"/>
  <c r="AC496" i="2"/>
  <c r="AE496" i="2"/>
  <c r="AG496" i="2"/>
  <c r="AV496" i="2"/>
  <c r="V496" i="2"/>
  <c r="W496" i="2"/>
  <c r="AU495" i="2"/>
  <c r="AW495" i="2"/>
  <c r="AQ495" i="2"/>
  <c r="AN495" i="2"/>
  <c r="AM495" i="2"/>
  <c r="AH495" i="2"/>
  <c r="X495" i="2"/>
  <c r="V495" i="2"/>
  <c r="W495" i="2"/>
  <c r="AU494" i="2"/>
  <c r="AW494" i="2"/>
  <c r="AQ494" i="2"/>
  <c r="AN494" i="2"/>
  <c r="AM494" i="2"/>
  <c r="AH494" i="2"/>
  <c r="X494" i="2"/>
  <c r="V494" i="2"/>
  <c r="W494" i="2"/>
  <c r="AU493" i="2"/>
  <c r="AW493" i="2"/>
  <c r="AQ493" i="2"/>
  <c r="AR493" i="2"/>
  <c r="AM493" i="2"/>
  <c r="AH493" i="2"/>
  <c r="AS493" i="2"/>
  <c r="X493" i="2"/>
  <c r="V493" i="2"/>
  <c r="W493" i="2"/>
  <c r="AU492" i="2"/>
  <c r="AW492" i="2"/>
  <c r="AQ492" i="2"/>
  <c r="AM492" i="2"/>
  <c r="AH492" i="2"/>
  <c r="AS492" i="2"/>
  <c r="X492" i="2"/>
  <c r="AC492" i="2"/>
  <c r="AE492" i="2"/>
  <c r="V492" i="2"/>
  <c r="W492" i="2"/>
  <c r="AU491" i="2"/>
  <c r="AW491" i="2"/>
  <c r="AQ491" i="2"/>
  <c r="AM491" i="2"/>
  <c r="AH491" i="2"/>
  <c r="X491" i="2"/>
  <c r="V491" i="2"/>
  <c r="W491" i="2"/>
  <c r="AU490" i="2"/>
  <c r="AW490" i="2"/>
  <c r="AQ490" i="2"/>
  <c r="AR490" i="2"/>
  <c r="AM490" i="2"/>
  <c r="AH490" i="2"/>
  <c r="AS490" i="2"/>
  <c r="X490" i="2"/>
  <c r="V490" i="2"/>
  <c r="W490" i="2"/>
  <c r="AU489" i="2"/>
  <c r="AW489" i="2"/>
  <c r="AQ489" i="2"/>
  <c r="AR489" i="2"/>
  <c r="AM489" i="2"/>
  <c r="AH489" i="2"/>
  <c r="X489" i="2"/>
  <c r="AC489" i="2"/>
  <c r="AE489" i="2"/>
  <c r="AG489" i="2"/>
  <c r="AV489" i="2"/>
  <c r="V489" i="2"/>
  <c r="W489" i="2"/>
  <c r="AU488" i="2"/>
  <c r="AW488" i="2"/>
  <c r="AQ488" i="2"/>
  <c r="AR488" i="2"/>
  <c r="AM488" i="2"/>
  <c r="AH488" i="2"/>
  <c r="X488" i="2"/>
  <c r="AK488" i="2"/>
  <c r="V488" i="2"/>
  <c r="W488" i="2"/>
  <c r="AU487" i="2"/>
  <c r="AW487" i="2"/>
  <c r="AQ487" i="2"/>
  <c r="AN487" i="2"/>
  <c r="AM487" i="2"/>
  <c r="AH487" i="2"/>
  <c r="X487" i="2"/>
  <c r="AC487" i="2"/>
  <c r="AE487" i="2"/>
  <c r="V487" i="2"/>
  <c r="W487" i="2"/>
  <c r="AU486" i="2"/>
  <c r="AW486" i="2"/>
  <c r="AQ486" i="2"/>
  <c r="AM486" i="2"/>
  <c r="AH486" i="2"/>
  <c r="X486" i="2"/>
  <c r="V486" i="2"/>
  <c r="W486" i="2"/>
  <c r="AU485" i="2"/>
  <c r="AW485" i="2"/>
  <c r="AQ485" i="2"/>
  <c r="AM485" i="2"/>
  <c r="AH485" i="2"/>
  <c r="AS485" i="2"/>
  <c r="X485" i="2"/>
  <c r="V485" i="2"/>
  <c r="W485" i="2"/>
  <c r="AU484" i="2"/>
  <c r="AW484" i="2"/>
  <c r="AQ484" i="2"/>
  <c r="AM484" i="2"/>
  <c r="AH484" i="2"/>
  <c r="AS484" i="2"/>
  <c r="X484" i="2"/>
  <c r="AC484" i="2"/>
  <c r="AE484" i="2"/>
  <c r="V484" i="2"/>
  <c r="W484" i="2"/>
  <c r="AU483" i="2"/>
  <c r="AW483" i="2"/>
  <c r="AQ483" i="2"/>
  <c r="AR483" i="2"/>
  <c r="AM483" i="2"/>
  <c r="AH483" i="2"/>
  <c r="X483" i="2"/>
  <c r="V483" i="2"/>
  <c r="W483" i="2"/>
  <c r="AU482" i="2"/>
  <c r="AW482" i="2"/>
  <c r="AQ482" i="2"/>
  <c r="AM482" i="2"/>
  <c r="AH482" i="2"/>
  <c r="X482" i="2"/>
  <c r="AK482" i="2"/>
  <c r="V482" i="2"/>
  <c r="W482" i="2"/>
  <c r="AU481" i="2"/>
  <c r="AW481" i="2"/>
  <c r="AQ481" i="2"/>
  <c r="AM481" i="2"/>
  <c r="AH481" i="2"/>
  <c r="X481" i="2"/>
  <c r="V481" i="2"/>
  <c r="W481" i="2"/>
  <c r="AU480" i="2"/>
  <c r="AW480" i="2"/>
  <c r="AQ480" i="2"/>
  <c r="AR480" i="2"/>
  <c r="AM480" i="2"/>
  <c r="AH480" i="2"/>
  <c r="X480" i="2"/>
  <c r="AK480" i="2"/>
  <c r="V480" i="2"/>
  <c r="W480" i="2"/>
  <c r="AU479" i="2"/>
  <c r="AW479" i="2"/>
  <c r="AQ479" i="2"/>
  <c r="AN479" i="2"/>
  <c r="AM479" i="2"/>
  <c r="AH479" i="2"/>
  <c r="X479" i="2"/>
  <c r="AC479" i="2"/>
  <c r="AE479" i="2"/>
  <c r="V479" i="2"/>
  <c r="W479" i="2"/>
  <c r="AU478" i="2"/>
  <c r="AW478" i="2"/>
  <c r="AQ478" i="2"/>
  <c r="AN478" i="2"/>
  <c r="AM478" i="2"/>
  <c r="AH478" i="2"/>
  <c r="X478" i="2"/>
  <c r="V478" i="2"/>
  <c r="W478" i="2"/>
  <c r="AU477" i="2"/>
  <c r="AW477" i="2"/>
  <c r="AQ477" i="2"/>
  <c r="AM477" i="2"/>
  <c r="AH477" i="2"/>
  <c r="X477" i="2"/>
  <c r="AC477" i="2"/>
  <c r="AE477" i="2"/>
  <c r="AG477" i="2"/>
  <c r="AV477" i="2"/>
  <c r="V477" i="2"/>
  <c r="W477" i="2"/>
  <c r="AU476" i="2"/>
  <c r="AW476" i="2"/>
  <c r="AQ476" i="2"/>
  <c r="AR476" i="2"/>
  <c r="AM476" i="2"/>
  <c r="AH476" i="2"/>
  <c r="AS476" i="2"/>
  <c r="X476" i="2"/>
  <c r="V476" i="2"/>
  <c r="W476" i="2"/>
  <c r="AU475" i="2"/>
  <c r="AW475" i="2"/>
  <c r="AQ475" i="2"/>
  <c r="AM475" i="2"/>
  <c r="AH475" i="2"/>
  <c r="AS475" i="2"/>
  <c r="X475" i="2"/>
  <c r="V475" i="2"/>
  <c r="W475" i="2"/>
  <c r="AU474" i="2"/>
  <c r="AW474" i="2"/>
  <c r="AQ474" i="2"/>
  <c r="AR474" i="2"/>
  <c r="AM474" i="2"/>
  <c r="AH474" i="2"/>
  <c r="AS474" i="2"/>
  <c r="X474" i="2"/>
  <c r="AK474" i="2"/>
  <c r="V474" i="2"/>
  <c r="W474" i="2"/>
  <c r="AU473" i="2"/>
  <c r="AW473" i="2"/>
  <c r="AQ473" i="2"/>
  <c r="AN473" i="2"/>
  <c r="AM473" i="2"/>
  <c r="AH473" i="2"/>
  <c r="X473" i="2"/>
  <c r="V473" i="2"/>
  <c r="W473" i="2"/>
  <c r="AU472" i="2"/>
  <c r="AW472" i="2"/>
  <c r="AQ472" i="2"/>
  <c r="AM472" i="2"/>
  <c r="AH472" i="2"/>
  <c r="AS472" i="2"/>
  <c r="X472" i="2"/>
  <c r="AK472" i="2"/>
  <c r="V472" i="2"/>
  <c r="W472" i="2"/>
  <c r="AU471" i="2"/>
  <c r="AW471" i="2"/>
  <c r="AQ471" i="2"/>
  <c r="AR471" i="2"/>
  <c r="AM471" i="2"/>
  <c r="AH471" i="2"/>
  <c r="AS471" i="2"/>
  <c r="X471" i="2"/>
  <c r="AC471" i="2"/>
  <c r="AE471" i="2"/>
  <c r="V471" i="2"/>
  <c r="W471" i="2"/>
  <c r="AU470" i="2"/>
  <c r="AW470" i="2"/>
  <c r="AQ470" i="2"/>
  <c r="AM470" i="2"/>
  <c r="AH470" i="2"/>
  <c r="X470" i="2"/>
  <c r="AC470" i="2"/>
  <c r="AE470" i="2"/>
  <c r="AG470" i="2"/>
  <c r="AV470" i="2"/>
  <c r="V470" i="2"/>
  <c r="W470" i="2"/>
  <c r="AU469" i="2"/>
  <c r="AW469" i="2"/>
  <c r="AQ469" i="2"/>
  <c r="AR469" i="2"/>
  <c r="AM469" i="2"/>
  <c r="AH469" i="2"/>
  <c r="X469" i="2"/>
  <c r="AC469" i="2"/>
  <c r="AE469" i="2"/>
  <c r="V469" i="2"/>
  <c r="W469" i="2"/>
  <c r="AU468" i="2"/>
  <c r="AW468" i="2"/>
  <c r="AQ468" i="2"/>
  <c r="AM468" i="2"/>
  <c r="AH468" i="2"/>
  <c r="AS468" i="2"/>
  <c r="X468" i="2"/>
  <c r="AC468" i="2"/>
  <c r="AE468" i="2"/>
  <c r="AG468" i="2"/>
  <c r="AV468" i="2"/>
  <c r="V468" i="2"/>
  <c r="W468" i="2"/>
  <c r="AU467" i="2"/>
  <c r="AW467" i="2"/>
  <c r="AQ467" i="2"/>
  <c r="AR467" i="2"/>
  <c r="AM467" i="2"/>
  <c r="AH467" i="2"/>
  <c r="AS467" i="2"/>
  <c r="X467" i="2"/>
  <c r="V467" i="2"/>
  <c r="W467" i="2"/>
  <c r="AU466" i="2"/>
  <c r="AW466" i="2"/>
  <c r="AQ466" i="2"/>
  <c r="AM466" i="2"/>
  <c r="AH466" i="2"/>
  <c r="AS466" i="2"/>
  <c r="X466" i="2"/>
  <c r="V466" i="2"/>
  <c r="W466" i="2"/>
  <c r="AU465" i="2"/>
  <c r="AW465" i="2"/>
  <c r="AQ465" i="2"/>
  <c r="AM465" i="2"/>
  <c r="AH465" i="2"/>
  <c r="X465" i="2"/>
  <c r="V465" i="2"/>
  <c r="W465" i="2"/>
  <c r="AU464" i="2"/>
  <c r="AW464" i="2"/>
  <c r="AQ464" i="2"/>
  <c r="AM464" i="2"/>
  <c r="AH464" i="2"/>
  <c r="AS464" i="2"/>
  <c r="X464" i="2"/>
  <c r="V464" i="2"/>
  <c r="W464" i="2"/>
  <c r="AU463" i="2"/>
  <c r="AW463" i="2"/>
  <c r="AQ463" i="2"/>
  <c r="AN463" i="2"/>
  <c r="AM463" i="2"/>
  <c r="AH463" i="2"/>
  <c r="X463" i="2"/>
  <c r="V463" i="2"/>
  <c r="W463" i="2"/>
  <c r="AU462" i="2"/>
  <c r="AW462" i="2"/>
  <c r="AQ462" i="2"/>
  <c r="AM462" i="2"/>
  <c r="AH462" i="2"/>
  <c r="X462" i="2"/>
  <c r="V462" i="2"/>
  <c r="W462" i="2"/>
  <c r="AU461" i="2"/>
  <c r="AW461" i="2"/>
  <c r="AQ461" i="2"/>
  <c r="AR461" i="2"/>
  <c r="AM461" i="2"/>
  <c r="AH461" i="2"/>
  <c r="AS461" i="2"/>
  <c r="X461" i="2"/>
  <c r="V461" i="2"/>
  <c r="W461" i="2"/>
  <c r="AU460" i="2"/>
  <c r="AW460" i="2"/>
  <c r="AQ460" i="2"/>
  <c r="AN460" i="2"/>
  <c r="AM460" i="2"/>
  <c r="AH460" i="2"/>
  <c r="X460" i="2"/>
  <c r="V460" i="2"/>
  <c r="W460" i="2"/>
  <c r="AU459" i="2"/>
  <c r="AW459" i="2"/>
  <c r="AQ459" i="2"/>
  <c r="AM459" i="2"/>
  <c r="AH459" i="2"/>
  <c r="X459" i="2"/>
  <c r="AK459" i="2"/>
  <c r="V459" i="2"/>
  <c r="W459" i="2"/>
  <c r="AU458" i="2"/>
  <c r="AW458" i="2"/>
  <c r="AQ458" i="2"/>
  <c r="AM458" i="2"/>
  <c r="AH458" i="2"/>
  <c r="AS458" i="2"/>
  <c r="X458" i="2"/>
  <c r="V458" i="2"/>
  <c r="W458" i="2"/>
  <c r="AU457" i="2"/>
  <c r="AW457" i="2"/>
  <c r="AQ457" i="2"/>
  <c r="AR457" i="2"/>
  <c r="AM457" i="2"/>
  <c r="AH457" i="2"/>
  <c r="X457" i="2"/>
  <c r="AC457" i="2"/>
  <c r="AE457" i="2"/>
  <c r="AG457" i="2"/>
  <c r="AV457" i="2"/>
  <c r="V457" i="2"/>
  <c r="W457" i="2"/>
  <c r="AU456" i="2"/>
  <c r="AW456" i="2"/>
  <c r="AQ456" i="2"/>
  <c r="AM456" i="2"/>
  <c r="AH456" i="2"/>
  <c r="X456" i="2"/>
  <c r="AC456" i="2"/>
  <c r="AE456" i="2"/>
  <c r="AG456" i="2"/>
  <c r="AV456" i="2"/>
  <c r="V456" i="2"/>
  <c r="W456" i="2"/>
  <c r="AU455" i="2"/>
  <c r="AW455" i="2"/>
  <c r="AQ455" i="2"/>
  <c r="AR455" i="2"/>
  <c r="AM455" i="2"/>
  <c r="AH455" i="2"/>
  <c r="AS455" i="2"/>
  <c r="X455" i="2"/>
  <c r="V455" i="2"/>
  <c r="W455" i="2"/>
  <c r="AU454" i="2"/>
  <c r="AW454" i="2"/>
  <c r="AQ454" i="2"/>
  <c r="AR454" i="2"/>
  <c r="AM454" i="2"/>
  <c r="AH454" i="2"/>
  <c r="X454" i="2"/>
  <c r="V454" i="2"/>
  <c r="W454" i="2"/>
  <c r="AU453" i="2"/>
  <c r="AW453" i="2"/>
  <c r="AQ453" i="2"/>
  <c r="AM453" i="2"/>
  <c r="AH453" i="2"/>
  <c r="X453" i="2"/>
  <c r="V453" i="2"/>
  <c r="W453" i="2"/>
  <c r="AU452" i="2"/>
  <c r="AW452" i="2"/>
  <c r="AQ452" i="2"/>
  <c r="AM452" i="2"/>
  <c r="AH452" i="2"/>
  <c r="AS452" i="2"/>
  <c r="X452" i="2"/>
  <c r="AC452" i="2"/>
  <c r="AE452" i="2"/>
  <c r="AG452" i="2"/>
  <c r="AV452" i="2"/>
  <c r="V452" i="2"/>
  <c r="W452" i="2"/>
  <c r="AU451" i="2"/>
  <c r="AW451" i="2"/>
  <c r="AQ451" i="2"/>
  <c r="AM451" i="2"/>
  <c r="AH451" i="2"/>
  <c r="X451" i="2"/>
  <c r="AK451" i="2"/>
  <c r="V451" i="2"/>
  <c r="W451" i="2"/>
  <c r="AU450" i="2"/>
  <c r="AW450" i="2"/>
  <c r="AQ450" i="2"/>
  <c r="AR450" i="2"/>
  <c r="AM450" i="2"/>
  <c r="AH450" i="2"/>
  <c r="AS450" i="2"/>
  <c r="X450" i="2"/>
  <c r="V450" i="2"/>
  <c r="W450" i="2"/>
  <c r="AU449" i="2"/>
  <c r="AW449" i="2"/>
  <c r="AQ449" i="2"/>
  <c r="AR449" i="2"/>
  <c r="AM449" i="2"/>
  <c r="AH449" i="2"/>
  <c r="X449" i="2"/>
  <c r="V449" i="2"/>
  <c r="W449" i="2"/>
  <c r="AU448" i="2"/>
  <c r="AW448" i="2"/>
  <c r="AQ448" i="2"/>
  <c r="AR448" i="2"/>
  <c r="AM448" i="2"/>
  <c r="AH448" i="2"/>
  <c r="AS448" i="2"/>
  <c r="X448" i="2"/>
  <c r="V448" i="2"/>
  <c r="W448" i="2"/>
  <c r="AU447" i="2"/>
  <c r="AW447" i="2"/>
  <c r="AQ447" i="2"/>
  <c r="AR447" i="2"/>
  <c r="AM447" i="2"/>
  <c r="AH447" i="2"/>
  <c r="X447" i="2"/>
  <c r="AC447" i="2"/>
  <c r="AE447" i="2"/>
  <c r="AG447" i="2"/>
  <c r="AV447" i="2"/>
  <c r="V447" i="2"/>
  <c r="W447" i="2"/>
  <c r="AU446" i="2"/>
  <c r="AW446" i="2"/>
  <c r="AQ446" i="2"/>
  <c r="AM446" i="2"/>
  <c r="AH446" i="2"/>
  <c r="AS446" i="2"/>
  <c r="X446" i="2"/>
  <c r="AK446" i="2"/>
  <c r="V446" i="2"/>
  <c r="W446" i="2"/>
  <c r="AU445" i="2"/>
  <c r="AW445" i="2"/>
  <c r="AQ445" i="2"/>
  <c r="AR445" i="2"/>
  <c r="AM445" i="2"/>
  <c r="AH445" i="2"/>
  <c r="AS445" i="2"/>
  <c r="X445" i="2"/>
  <c r="AC445" i="2"/>
  <c r="AE445" i="2"/>
  <c r="V445" i="2"/>
  <c r="W445" i="2"/>
  <c r="AU444" i="2"/>
  <c r="AW444" i="2"/>
  <c r="AQ444" i="2"/>
  <c r="AM444" i="2"/>
  <c r="AH444" i="2"/>
  <c r="AS444" i="2"/>
  <c r="X444" i="2"/>
  <c r="AC444" i="2"/>
  <c r="AE444" i="2"/>
  <c r="AG444" i="2"/>
  <c r="AV444" i="2"/>
  <c r="V444" i="2"/>
  <c r="W444" i="2"/>
  <c r="AU443" i="2"/>
  <c r="AW443" i="2"/>
  <c r="AQ443" i="2"/>
  <c r="AR443" i="2"/>
  <c r="AM443" i="2"/>
  <c r="AH443" i="2"/>
  <c r="X443" i="2"/>
  <c r="V443" i="2"/>
  <c r="W443" i="2"/>
  <c r="AU442" i="2"/>
  <c r="AW442" i="2"/>
  <c r="AQ442" i="2"/>
  <c r="AR442" i="2"/>
  <c r="AM442" i="2"/>
  <c r="AH442" i="2"/>
  <c r="X442" i="2"/>
  <c r="AC442" i="2"/>
  <c r="AE442" i="2"/>
  <c r="AG442" i="2"/>
  <c r="AV442" i="2"/>
  <c r="V442" i="2"/>
  <c r="W442" i="2"/>
  <c r="AU441" i="2"/>
  <c r="AW441" i="2"/>
  <c r="AQ441" i="2"/>
  <c r="AR441" i="2"/>
  <c r="AM441" i="2"/>
  <c r="AH441" i="2"/>
  <c r="AS441" i="2"/>
  <c r="X441" i="2"/>
  <c r="AC441" i="2"/>
  <c r="AE441" i="2"/>
  <c r="V441" i="2"/>
  <c r="W441" i="2"/>
  <c r="AU440" i="2"/>
  <c r="AW440" i="2"/>
  <c r="AQ440" i="2"/>
  <c r="AR440" i="2"/>
  <c r="AM440" i="2"/>
  <c r="AH440" i="2"/>
  <c r="AS440" i="2"/>
  <c r="X440" i="2"/>
  <c r="V440" i="2"/>
  <c r="W440" i="2"/>
  <c r="AU439" i="2"/>
  <c r="AW439" i="2"/>
  <c r="AQ439" i="2"/>
  <c r="AR439" i="2"/>
  <c r="AM439" i="2"/>
  <c r="AH439" i="2"/>
  <c r="X439" i="2"/>
  <c r="AC439" i="2"/>
  <c r="AE439" i="2"/>
  <c r="AG439" i="2"/>
  <c r="AV439" i="2"/>
  <c r="V439" i="2"/>
  <c r="W439" i="2"/>
  <c r="AU438" i="2"/>
  <c r="AW438" i="2"/>
  <c r="AQ438" i="2"/>
  <c r="AM438" i="2"/>
  <c r="AH438" i="2"/>
  <c r="AS438" i="2"/>
  <c r="X438" i="2"/>
  <c r="AC438" i="2"/>
  <c r="AE438" i="2"/>
  <c r="V438" i="2"/>
  <c r="W438" i="2"/>
  <c r="AU437" i="2"/>
  <c r="AW437" i="2"/>
  <c r="AQ437" i="2"/>
  <c r="AR437" i="2"/>
  <c r="AM437" i="2"/>
  <c r="AH437" i="2"/>
  <c r="X437" i="2"/>
  <c r="V437" i="2"/>
  <c r="W437" i="2"/>
  <c r="AU436" i="2"/>
  <c r="AW436" i="2"/>
  <c r="AQ436" i="2"/>
  <c r="AM436" i="2"/>
  <c r="AH436" i="2"/>
  <c r="AS436" i="2"/>
  <c r="X436" i="2"/>
  <c r="AK436" i="2"/>
  <c r="V436" i="2"/>
  <c r="W436" i="2"/>
  <c r="AU435" i="2"/>
  <c r="AW435" i="2"/>
  <c r="AQ435" i="2"/>
  <c r="AR435" i="2"/>
  <c r="AM435" i="2"/>
  <c r="AH435" i="2"/>
  <c r="X435" i="2"/>
  <c r="AK435" i="2"/>
  <c r="V435" i="2"/>
  <c r="W435" i="2"/>
  <c r="AU434" i="2"/>
  <c r="AW434" i="2"/>
  <c r="AQ434" i="2"/>
  <c r="AM434" i="2"/>
  <c r="AH434" i="2"/>
  <c r="X434" i="2"/>
  <c r="AC434" i="2"/>
  <c r="AE434" i="2"/>
  <c r="AG434" i="2"/>
  <c r="AV434" i="2"/>
  <c r="V434" i="2"/>
  <c r="W434" i="2"/>
  <c r="AU433" i="2"/>
  <c r="AW433" i="2"/>
  <c r="AQ433" i="2"/>
  <c r="AM433" i="2"/>
  <c r="AH433" i="2"/>
  <c r="AS433" i="2"/>
  <c r="X433" i="2"/>
  <c r="AC433" i="2"/>
  <c r="V433" i="2"/>
  <c r="W433" i="2"/>
  <c r="AU432" i="2"/>
  <c r="AW432" i="2"/>
  <c r="AQ432" i="2"/>
  <c r="AR432" i="2"/>
  <c r="AM432" i="2"/>
  <c r="AH432" i="2"/>
  <c r="X432" i="2"/>
  <c r="AK432" i="2"/>
  <c r="V432" i="2"/>
  <c r="W432" i="2"/>
  <c r="AU431" i="2"/>
  <c r="AW431" i="2"/>
  <c r="AQ431" i="2"/>
  <c r="AM431" i="2"/>
  <c r="AH431" i="2"/>
  <c r="AS431" i="2"/>
  <c r="X431" i="2"/>
  <c r="AK431" i="2"/>
  <c r="V431" i="2"/>
  <c r="W431" i="2"/>
  <c r="AU430" i="2"/>
  <c r="AW430" i="2"/>
  <c r="AQ430" i="2"/>
  <c r="AR430" i="2"/>
  <c r="AM430" i="2"/>
  <c r="AH430" i="2"/>
  <c r="AS430" i="2"/>
  <c r="X430" i="2"/>
  <c r="V430" i="2"/>
  <c r="W430" i="2"/>
  <c r="AU429" i="2"/>
  <c r="AW429" i="2"/>
  <c r="AQ429" i="2"/>
  <c r="AN429" i="2"/>
  <c r="AM429" i="2"/>
  <c r="AH429" i="2"/>
  <c r="X429" i="2"/>
  <c r="AC429" i="2"/>
  <c r="AE429" i="2"/>
  <c r="V429" i="2"/>
  <c r="W429" i="2"/>
  <c r="AU428" i="2"/>
  <c r="AW428" i="2"/>
  <c r="AQ428" i="2"/>
  <c r="AR428" i="2"/>
  <c r="AM428" i="2"/>
  <c r="AH428" i="2"/>
  <c r="X428" i="2"/>
  <c r="AC428" i="2"/>
  <c r="AE428" i="2"/>
  <c r="V428" i="2"/>
  <c r="W428" i="2"/>
  <c r="AU427" i="2"/>
  <c r="AW427" i="2"/>
  <c r="AQ427" i="2"/>
  <c r="AM427" i="2"/>
  <c r="AH427" i="2"/>
  <c r="AS427" i="2"/>
  <c r="X427" i="2"/>
  <c r="AC427" i="2"/>
  <c r="AE427" i="2"/>
  <c r="AG427" i="2"/>
  <c r="AV427" i="2"/>
  <c r="V427" i="2"/>
  <c r="W427" i="2"/>
  <c r="AU426" i="2"/>
  <c r="AW426" i="2"/>
  <c r="AQ426" i="2"/>
  <c r="AM426" i="2"/>
  <c r="AH426" i="2"/>
  <c r="X426" i="2"/>
  <c r="AC426" i="2"/>
  <c r="AE426" i="2"/>
  <c r="AG426" i="2"/>
  <c r="AV426" i="2"/>
  <c r="V426" i="2"/>
  <c r="W426" i="2"/>
  <c r="AU425" i="2"/>
  <c r="AW425" i="2"/>
  <c r="AQ425" i="2"/>
  <c r="AN425" i="2"/>
  <c r="AM425" i="2"/>
  <c r="AH425" i="2"/>
  <c r="X425" i="2"/>
  <c r="V425" i="2"/>
  <c r="W425" i="2"/>
  <c r="AU424" i="2"/>
  <c r="AW424" i="2"/>
  <c r="AQ424" i="2"/>
  <c r="AM424" i="2"/>
  <c r="AH424" i="2"/>
  <c r="X424" i="2"/>
  <c r="AK424" i="2"/>
  <c r="V424" i="2"/>
  <c r="W424" i="2"/>
  <c r="AU423" i="2"/>
  <c r="AW423" i="2"/>
  <c r="AQ423" i="2"/>
  <c r="AR423" i="2"/>
  <c r="AM423" i="2"/>
  <c r="AH423" i="2"/>
  <c r="AS423" i="2"/>
  <c r="X423" i="2"/>
  <c r="V423" i="2"/>
  <c r="W423" i="2"/>
  <c r="AU422" i="2"/>
  <c r="AW422" i="2"/>
  <c r="AQ422" i="2"/>
  <c r="AM422" i="2"/>
  <c r="AH422" i="2"/>
  <c r="AS422" i="2"/>
  <c r="X422" i="2"/>
  <c r="AC422" i="2"/>
  <c r="AE422" i="2"/>
  <c r="V422" i="2"/>
  <c r="W422" i="2"/>
  <c r="AU421" i="2"/>
  <c r="AW421" i="2"/>
  <c r="AQ421" i="2"/>
  <c r="AN421" i="2"/>
  <c r="AM421" i="2"/>
  <c r="AH421" i="2"/>
  <c r="X421" i="2"/>
  <c r="V421" i="2"/>
  <c r="W421" i="2"/>
  <c r="AU420" i="2"/>
  <c r="AW420" i="2"/>
  <c r="AQ420" i="2"/>
  <c r="AM420" i="2"/>
  <c r="AH420" i="2"/>
  <c r="AS420" i="2"/>
  <c r="X420" i="2"/>
  <c r="V420" i="2"/>
  <c r="W420" i="2"/>
  <c r="AU419" i="2"/>
  <c r="AW419" i="2"/>
  <c r="AQ419" i="2"/>
  <c r="AM419" i="2"/>
  <c r="AH419" i="2"/>
  <c r="AS419" i="2"/>
  <c r="X419" i="2"/>
  <c r="AC419" i="2"/>
  <c r="V419" i="2"/>
  <c r="W419" i="2"/>
  <c r="AU418" i="2"/>
  <c r="AW418" i="2"/>
  <c r="AQ418" i="2"/>
  <c r="AM418" i="2"/>
  <c r="AH418" i="2"/>
  <c r="X418" i="2"/>
  <c r="AK418" i="2"/>
  <c r="V418" i="2"/>
  <c r="W418" i="2"/>
  <c r="AU417" i="2"/>
  <c r="AW417" i="2"/>
  <c r="AQ417" i="2"/>
  <c r="AR417" i="2"/>
  <c r="AM417" i="2"/>
  <c r="AH417" i="2"/>
  <c r="X417" i="2"/>
  <c r="AK417" i="2"/>
  <c r="V417" i="2"/>
  <c r="W417" i="2"/>
  <c r="AU416" i="2"/>
  <c r="AW416" i="2"/>
  <c r="AQ416" i="2"/>
  <c r="AR416" i="2"/>
  <c r="AM416" i="2"/>
  <c r="AH416" i="2"/>
  <c r="AS416" i="2"/>
  <c r="X416" i="2"/>
  <c r="AC416" i="2"/>
  <c r="AE416" i="2"/>
  <c r="AG416" i="2"/>
  <c r="AV416" i="2"/>
  <c r="V416" i="2"/>
  <c r="W416" i="2"/>
  <c r="AU415" i="2"/>
  <c r="AW415" i="2"/>
  <c r="AQ415" i="2"/>
  <c r="AM415" i="2"/>
  <c r="AH415" i="2"/>
  <c r="X415" i="2"/>
  <c r="AK415" i="2"/>
  <c r="V415" i="2"/>
  <c r="W415" i="2"/>
  <c r="AU414" i="2"/>
  <c r="AW414" i="2"/>
  <c r="AQ414" i="2"/>
  <c r="AM414" i="2"/>
  <c r="AH414" i="2"/>
  <c r="X414" i="2"/>
  <c r="V414" i="2"/>
  <c r="W414" i="2"/>
  <c r="AU413" i="2"/>
  <c r="AW413" i="2"/>
  <c r="AQ413" i="2"/>
  <c r="AR413" i="2"/>
  <c r="AM413" i="2"/>
  <c r="AH413" i="2"/>
  <c r="X413" i="2"/>
  <c r="AC413" i="2"/>
  <c r="AE413" i="2"/>
  <c r="AG413" i="2"/>
  <c r="AV413" i="2"/>
  <c r="V413" i="2"/>
  <c r="W413" i="2"/>
  <c r="AU412" i="2"/>
  <c r="AW412" i="2"/>
  <c r="AQ412" i="2"/>
  <c r="AM412" i="2"/>
  <c r="AH412" i="2"/>
  <c r="X412" i="2"/>
  <c r="AK412" i="2"/>
  <c r="V412" i="2"/>
  <c r="W412" i="2"/>
  <c r="AU411" i="2"/>
  <c r="AW411" i="2"/>
  <c r="AQ411" i="2"/>
  <c r="AN411" i="2"/>
  <c r="AM411" i="2"/>
  <c r="AH411" i="2"/>
  <c r="X411" i="2"/>
  <c r="AK411" i="2"/>
  <c r="V411" i="2"/>
  <c r="W411" i="2"/>
  <c r="AU410" i="2"/>
  <c r="AW410" i="2"/>
  <c r="AQ410" i="2"/>
  <c r="AM410" i="2"/>
  <c r="AH410" i="2"/>
  <c r="AS410" i="2"/>
  <c r="X410" i="2"/>
  <c r="AC410" i="2"/>
  <c r="AE410" i="2"/>
  <c r="V410" i="2"/>
  <c r="W410" i="2"/>
  <c r="AU409" i="2"/>
  <c r="AW409" i="2"/>
  <c r="AQ409" i="2"/>
  <c r="AR409" i="2"/>
  <c r="AM409" i="2"/>
  <c r="AH409" i="2"/>
  <c r="X409" i="2"/>
  <c r="AC409" i="2"/>
  <c r="AE409" i="2"/>
  <c r="AG409" i="2"/>
  <c r="AV409" i="2"/>
  <c r="V409" i="2"/>
  <c r="W409" i="2"/>
  <c r="AU408" i="2"/>
  <c r="AW408" i="2"/>
  <c r="AQ408" i="2"/>
  <c r="AR408" i="2"/>
  <c r="AM408" i="2"/>
  <c r="AH408" i="2"/>
  <c r="AS408" i="2"/>
  <c r="X408" i="2"/>
  <c r="V408" i="2"/>
  <c r="W408" i="2"/>
  <c r="AU407" i="2"/>
  <c r="AW407" i="2"/>
  <c r="AQ407" i="2"/>
  <c r="AM407" i="2"/>
  <c r="AH407" i="2"/>
  <c r="X407" i="2"/>
  <c r="AK407" i="2"/>
  <c r="V407" i="2"/>
  <c r="W407" i="2"/>
  <c r="AU406" i="2"/>
  <c r="AW406" i="2"/>
  <c r="AQ406" i="2"/>
  <c r="AM406" i="2"/>
  <c r="AH406" i="2"/>
  <c r="X406" i="2"/>
  <c r="AC406" i="2"/>
  <c r="AE406" i="2"/>
  <c r="AG406" i="2"/>
  <c r="AV406" i="2"/>
  <c r="V406" i="2"/>
  <c r="W406" i="2"/>
  <c r="AU405" i="2"/>
  <c r="AW405" i="2"/>
  <c r="AQ405" i="2"/>
  <c r="AM405" i="2"/>
  <c r="AH405" i="2"/>
  <c r="X405" i="2"/>
  <c r="V405" i="2"/>
  <c r="W405" i="2"/>
  <c r="AU404" i="2"/>
  <c r="AW404" i="2"/>
  <c r="AQ404" i="2"/>
  <c r="AM404" i="2"/>
  <c r="AH404" i="2"/>
  <c r="X404" i="2"/>
  <c r="AK404" i="2"/>
  <c r="V404" i="2"/>
  <c r="W404" i="2"/>
  <c r="AU403" i="2"/>
  <c r="AW403" i="2"/>
  <c r="AQ403" i="2"/>
  <c r="AM403" i="2"/>
  <c r="AH403" i="2"/>
  <c r="X403" i="2"/>
  <c r="V403" i="2"/>
  <c r="W403" i="2"/>
  <c r="AU402" i="2"/>
  <c r="AW402" i="2"/>
  <c r="AQ402" i="2"/>
  <c r="AR402" i="2"/>
  <c r="AM402" i="2"/>
  <c r="AH402" i="2"/>
  <c r="AS402" i="2"/>
  <c r="X402" i="2"/>
  <c r="AC402" i="2"/>
  <c r="AE402" i="2"/>
  <c r="V402" i="2"/>
  <c r="W402" i="2"/>
  <c r="AU401" i="2"/>
  <c r="AW401" i="2"/>
  <c r="AQ401" i="2"/>
  <c r="AM401" i="2"/>
  <c r="AH401" i="2"/>
  <c r="AS401" i="2"/>
  <c r="X401" i="2"/>
  <c r="AC401" i="2"/>
  <c r="AE401" i="2"/>
  <c r="AG401" i="2"/>
  <c r="AV401" i="2"/>
  <c r="V401" i="2"/>
  <c r="W401" i="2"/>
  <c r="AU400" i="2"/>
  <c r="AW400" i="2"/>
  <c r="AQ400" i="2"/>
  <c r="AM400" i="2"/>
  <c r="AH400" i="2"/>
  <c r="AS400" i="2"/>
  <c r="X400" i="2"/>
  <c r="V400" i="2"/>
  <c r="W400" i="2"/>
  <c r="AU399" i="2"/>
  <c r="AW399" i="2"/>
  <c r="AQ399" i="2"/>
  <c r="AR399" i="2"/>
  <c r="AM399" i="2"/>
  <c r="AH399" i="2"/>
  <c r="X399" i="2"/>
  <c r="AK399" i="2"/>
  <c r="V399" i="2"/>
  <c r="W399" i="2"/>
  <c r="AU398" i="2"/>
  <c r="AW398" i="2"/>
  <c r="AQ398" i="2"/>
  <c r="AR398" i="2"/>
  <c r="AM398" i="2"/>
  <c r="AH398" i="2"/>
  <c r="X398" i="2"/>
  <c r="AC398" i="2"/>
  <c r="AE398" i="2"/>
  <c r="AG398" i="2"/>
  <c r="AV398" i="2"/>
  <c r="V398" i="2"/>
  <c r="W398" i="2"/>
  <c r="AU397" i="2"/>
  <c r="AW397" i="2"/>
  <c r="AQ397" i="2"/>
  <c r="AM397" i="2"/>
  <c r="AH397" i="2"/>
  <c r="X397" i="2"/>
  <c r="V397" i="2"/>
  <c r="W397" i="2"/>
  <c r="AU396" i="2"/>
  <c r="AW396" i="2"/>
  <c r="AQ396" i="2"/>
  <c r="AR396" i="2"/>
  <c r="AM396" i="2"/>
  <c r="AH396" i="2"/>
  <c r="X396" i="2"/>
  <c r="AK396" i="2"/>
  <c r="V396" i="2"/>
  <c r="W396" i="2"/>
  <c r="AU395" i="2"/>
  <c r="AW395" i="2"/>
  <c r="AQ395" i="2"/>
  <c r="AM395" i="2"/>
  <c r="AH395" i="2"/>
  <c r="X395" i="2"/>
  <c r="V395" i="2"/>
  <c r="W395" i="2"/>
  <c r="AU394" i="2"/>
  <c r="AW394" i="2"/>
  <c r="AQ394" i="2"/>
  <c r="AR394" i="2"/>
  <c r="AM394" i="2"/>
  <c r="AH394" i="2"/>
  <c r="X394" i="2"/>
  <c r="V394" i="2"/>
  <c r="W394" i="2"/>
  <c r="AU393" i="2"/>
  <c r="AW393" i="2"/>
  <c r="AQ393" i="2"/>
  <c r="AM393" i="2"/>
  <c r="AH393" i="2"/>
  <c r="X393" i="2"/>
  <c r="AC393" i="2"/>
  <c r="AE393" i="2"/>
  <c r="AG393" i="2"/>
  <c r="AV393" i="2"/>
  <c r="V393" i="2"/>
  <c r="W393" i="2"/>
  <c r="AU392" i="2"/>
  <c r="AW392" i="2"/>
  <c r="AQ392" i="2"/>
  <c r="AR392" i="2"/>
  <c r="AM392" i="2"/>
  <c r="AH392" i="2"/>
  <c r="AS392" i="2"/>
  <c r="X392" i="2"/>
  <c r="V392" i="2"/>
  <c r="W392" i="2"/>
  <c r="AU391" i="2"/>
  <c r="AW391" i="2"/>
  <c r="AQ391" i="2"/>
  <c r="AR391" i="2"/>
  <c r="AM391" i="2"/>
  <c r="AH391" i="2"/>
  <c r="AS391" i="2"/>
  <c r="X391" i="2"/>
  <c r="V391" i="2"/>
  <c r="W391" i="2"/>
  <c r="AU390" i="2"/>
  <c r="AW390" i="2"/>
  <c r="AQ390" i="2"/>
  <c r="AM390" i="2"/>
  <c r="AH390" i="2"/>
  <c r="X390" i="2"/>
  <c r="V390" i="2"/>
  <c r="W390" i="2"/>
  <c r="AU389" i="2"/>
  <c r="AW389" i="2"/>
  <c r="AQ389" i="2"/>
  <c r="AR389" i="2"/>
  <c r="AM389" i="2"/>
  <c r="AH389" i="2"/>
  <c r="X389" i="2"/>
  <c r="V389" i="2"/>
  <c r="W389" i="2"/>
  <c r="AU388" i="2"/>
  <c r="AW388" i="2"/>
  <c r="AQ388" i="2"/>
  <c r="AN388" i="2"/>
  <c r="AM388" i="2"/>
  <c r="AH388" i="2"/>
  <c r="X388" i="2"/>
  <c r="AK388" i="2"/>
  <c r="V388" i="2"/>
  <c r="W388" i="2"/>
  <c r="AU387" i="2"/>
  <c r="AW387" i="2"/>
  <c r="AQ387" i="2"/>
  <c r="AN387" i="2"/>
  <c r="AM387" i="2"/>
  <c r="AH387" i="2"/>
  <c r="X387" i="2"/>
  <c r="AC387" i="2"/>
  <c r="AE387" i="2"/>
  <c r="AG387" i="2"/>
  <c r="AV387" i="2"/>
  <c r="V387" i="2"/>
  <c r="W387" i="2"/>
  <c r="AU386" i="2"/>
  <c r="AW386" i="2"/>
  <c r="AQ386" i="2"/>
  <c r="AN386" i="2"/>
  <c r="AM386" i="2"/>
  <c r="AH386" i="2"/>
  <c r="AS386" i="2"/>
  <c r="X386" i="2"/>
  <c r="V386" i="2"/>
  <c r="W386" i="2"/>
  <c r="AU385" i="2"/>
  <c r="AW385" i="2"/>
  <c r="AQ385" i="2"/>
  <c r="AM385" i="2"/>
  <c r="AH385" i="2"/>
  <c r="AS385" i="2"/>
  <c r="X385" i="2"/>
  <c r="AK385" i="2"/>
  <c r="V385" i="2"/>
  <c r="W385" i="2"/>
  <c r="AU384" i="2"/>
  <c r="AW384" i="2"/>
  <c r="AQ384" i="2"/>
  <c r="AR384" i="2"/>
  <c r="AM384" i="2"/>
  <c r="AH384" i="2"/>
  <c r="AS384" i="2"/>
  <c r="X384" i="2"/>
  <c r="V384" i="2"/>
  <c r="W384" i="2"/>
  <c r="AU383" i="2"/>
  <c r="AW383" i="2"/>
  <c r="AQ383" i="2"/>
  <c r="AR383" i="2"/>
  <c r="AM383" i="2"/>
  <c r="AH383" i="2"/>
  <c r="AS383" i="2"/>
  <c r="X383" i="2"/>
  <c r="AK383" i="2"/>
  <c r="V383" i="2"/>
  <c r="W383" i="2"/>
  <c r="AU382" i="2"/>
  <c r="AW382" i="2"/>
  <c r="AQ382" i="2"/>
  <c r="AR382" i="2"/>
  <c r="AM382" i="2"/>
  <c r="AH382" i="2"/>
  <c r="X382" i="2"/>
  <c r="V382" i="2"/>
  <c r="W382" i="2"/>
  <c r="AU381" i="2"/>
  <c r="AW381" i="2"/>
  <c r="AQ381" i="2"/>
  <c r="AM381" i="2"/>
  <c r="AH381" i="2"/>
  <c r="X381" i="2"/>
  <c r="V381" i="2"/>
  <c r="W381" i="2"/>
  <c r="AU380" i="2"/>
  <c r="AW380" i="2"/>
  <c r="AQ380" i="2"/>
  <c r="AR380" i="2"/>
  <c r="AM380" i="2"/>
  <c r="AH380" i="2"/>
  <c r="X380" i="2"/>
  <c r="AK380" i="2"/>
  <c r="V380" i="2"/>
  <c r="W380" i="2"/>
  <c r="AU379" i="2"/>
  <c r="AW379" i="2"/>
  <c r="AQ379" i="2"/>
  <c r="AN379" i="2"/>
  <c r="AM379" i="2"/>
  <c r="AH379" i="2"/>
  <c r="X379" i="2"/>
  <c r="V379" i="2"/>
  <c r="W379" i="2"/>
  <c r="AU378" i="2"/>
  <c r="AW378" i="2"/>
  <c r="AQ378" i="2"/>
  <c r="AR378" i="2"/>
  <c r="AM378" i="2"/>
  <c r="AH378" i="2"/>
  <c r="X378" i="2"/>
  <c r="AC378" i="2"/>
  <c r="AE378" i="2"/>
  <c r="V378" i="2"/>
  <c r="W378" i="2"/>
  <c r="AU377" i="2"/>
  <c r="AW377" i="2"/>
  <c r="AQ377" i="2"/>
  <c r="AM377" i="2"/>
  <c r="AH377" i="2"/>
  <c r="AS377" i="2"/>
  <c r="X377" i="2"/>
  <c r="V377" i="2"/>
  <c r="W377" i="2"/>
  <c r="AU376" i="2"/>
  <c r="AW376" i="2"/>
  <c r="AQ376" i="2"/>
  <c r="AM376" i="2"/>
  <c r="AH376" i="2"/>
  <c r="AS376" i="2"/>
  <c r="X376" i="2"/>
  <c r="V376" i="2"/>
  <c r="W376" i="2"/>
  <c r="AU375" i="2"/>
  <c r="AW375" i="2"/>
  <c r="AQ375" i="2"/>
  <c r="AM375" i="2"/>
  <c r="AH375" i="2"/>
  <c r="AS375" i="2"/>
  <c r="X375" i="2"/>
  <c r="V375" i="2"/>
  <c r="W375" i="2"/>
  <c r="AU374" i="2"/>
  <c r="AW374" i="2"/>
  <c r="AQ374" i="2"/>
  <c r="AR374" i="2"/>
  <c r="AM374" i="2"/>
  <c r="AH374" i="2"/>
  <c r="AS374" i="2"/>
  <c r="X374" i="2"/>
  <c r="V374" i="2"/>
  <c r="W374" i="2"/>
  <c r="AU373" i="2"/>
  <c r="AW373" i="2"/>
  <c r="AQ373" i="2"/>
  <c r="AR373" i="2"/>
  <c r="AM373" i="2"/>
  <c r="AH373" i="2"/>
  <c r="AS373" i="2"/>
  <c r="X373" i="2"/>
  <c r="AK373" i="2"/>
  <c r="V373" i="2"/>
  <c r="W373" i="2"/>
  <c r="AU372" i="2"/>
  <c r="AW372" i="2"/>
  <c r="AQ372" i="2"/>
  <c r="AN372" i="2"/>
  <c r="AM372" i="2"/>
  <c r="AH372" i="2"/>
  <c r="AS372" i="2"/>
  <c r="X372" i="2"/>
  <c r="V372" i="2"/>
  <c r="W372" i="2"/>
  <c r="AU371" i="2"/>
  <c r="AW371" i="2"/>
  <c r="AQ371" i="2"/>
  <c r="AN371" i="2"/>
  <c r="AM371" i="2"/>
  <c r="AH371" i="2"/>
  <c r="X371" i="2"/>
  <c r="V371" i="2"/>
  <c r="W371" i="2"/>
  <c r="AU370" i="2"/>
  <c r="AW370" i="2"/>
  <c r="AQ370" i="2"/>
  <c r="AR370" i="2"/>
  <c r="AM370" i="2"/>
  <c r="AH370" i="2"/>
  <c r="X370" i="2"/>
  <c r="V370" i="2"/>
  <c r="W370" i="2"/>
  <c r="AU369" i="2"/>
  <c r="AW369" i="2"/>
  <c r="AQ369" i="2"/>
  <c r="AN369" i="2"/>
  <c r="AM369" i="2"/>
  <c r="AH369" i="2"/>
  <c r="AS369" i="2"/>
  <c r="X369" i="2"/>
  <c r="AK369" i="2"/>
  <c r="V369" i="2"/>
  <c r="W369" i="2"/>
  <c r="AU368" i="2"/>
  <c r="AW368" i="2"/>
  <c r="AQ368" i="2"/>
  <c r="AM368" i="2"/>
  <c r="AH368" i="2"/>
  <c r="AS368" i="2"/>
  <c r="X368" i="2"/>
  <c r="AK368" i="2"/>
  <c r="V368" i="2"/>
  <c r="W368" i="2"/>
  <c r="AU367" i="2"/>
  <c r="AW367" i="2"/>
  <c r="AQ367" i="2"/>
  <c r="AM367" i="2"/>
  <c r="AH367" i="2"/>
  <c r="AS367" i="2"/>
  <c r="X367" i="2"/>
  <c r="V367" i="2"/>
  <c r="W367" i="2"/>
  <c r="AU366" i="2"/>
  <c r="AW366" i="2"/>
  <c r="AQ366" i="2"/>
  <c r="AN366" i="2"/>
  <c r="AM366" i="2"/>
  <c r="AH366" i="2"/>
  <c r="AS366" i="2"/>
  <c r="X366" i="2"/>
  <c r="V366" i="2"/>
  <c r="W366" i="2"/>
  <c r="AU365" i="2"/>
  <c r="AW365" i="2"/>
  <c r="AQ365" i="2"/>
  <c r="AM365" i="2"/>
  <c r="AH365" i="2"/>
  <c r="AS365" i="2"/>
  <c r="X365" i="2"/>
  <c r="V365" i="2"/>
  <c r="W365" i="2"/>
  <c r="AU364" i="2"/>
  <c r="AW364" i="2"/>
  <c r="AQ364" i="2"/>
  <c r="AN364" i="2"/>
  <c r="AM364" i="2"/>
  <c r="AH364" i="2"/>
  <c r="X364" i="2"/>
  <c r="AC364" i="2"/>
  <c r="AE364" i="2"/>
  <c r="AG364" i="2"/>
  <c r="AV364" i="2"/>
  <c r="V364" i="2"/>
  <c r="W364" i="2"/>
  <c r="AU363" i="2"/>
  <c r="AW363" i="2"/>
  <c r="AQ363" i="2"/>
  <c r="AN363" i="2"/>
  <c r="AM363" i="2"/>
  <c r="AH363" i="2"/>
  <c r="AS363" i="2"/>
  <c r="X363" i="2"/>
  <c r="AK363" i="2"/>
  <c r="V363" i="2"/>
  <c r="W363" i="2"/>
  <c r="AU362" i="2"/>
  <c r="AW362" i="2"/>
  <c r="AQ362" i="2"/>
  <c r="AR362" i="2"/>
  <c r="AM362" i="2"/>
  <c r="AH362" i="2"/>
  <c r="X362" i="2"/>
  <c r="V362" i="2"/>
  <c r="W362" i="2"/>
  <c r="AU361" i="2"/>
  <c r="AW361" i="2"/>
  <c r="AQ361" i="2"/>
  <c r="AM361" i="2"/>
  <c r="AH361" i="2"/>
  <c r="X361" i="2"/>
  <c r="V361" i="2"/>
  <c r="W361" i="2"/>
  <c r="AU360" i="2"/>
  <c r="AW360" i="2"/>
  <c r="AQ360" i="2"/>
  <c r="AR360" i="2"/>
  <c r="AM360" i="2"/>
  <c r="AH360" i="2"/>
  <c r="AS360" i="2"/>
  <c r="X360" i="2"/>
  <c r="AC360" i="2"/>
  <c r="AE360" i="2"/>
  <c r="V360" i="2"/>
  <c r="W360" i="2"/>
  <c r="AU359" i="2"/>
  <c r="AW359" i="2"/>
  <c r="AQ359" i="2"/>
  <c r="AM359" i="2"/>
  <c r="AH359" i="2"/>
  <c r="AS359" i="2"/>
  <c r="X359" i="2"/>
  <c r="V359" i="2"/>
  <c r="W359" i="2"/>
  <c r="AU358" i="2"/>
  <c r="AW358" i="2"/>
  <c r="AQ358" i="2"/>
  <c r="AM358" i="2"/>
  <c r="AH358" i="2"/>
  <c r="X358" i="2"/>
  <c r="V358" i="2"/>
  <c r="W358" i="2"/>
  <c r="AU357" i="2"/>
  <c r="AW357" i="2"/>
  <c r="AQ357" i="2"/>
  <c r="AR357" i="2"/>
  <c r="AM357" i="2"/>
  <c r="AH357" i="2"/>
  <c r="AS357" i="2"/>
  <c r="X357" i="2"/>
  <c r="V357" i="2"/>
  <c r="W357" i="2"/>
  <c r="AU356" i="2"/>
  <c r="AW356" i="2"/>
  <c r="AQ356" i="2"/>
  <c r="AM356" i="2"/>
  <c r="AH356" i="2"/>
  <c r="X356" i="2"/>
  <c r="V356" i="2"/>
  <c r="W356" i="2"/>
  <c r="AU355" i="2"/>
  <c r="AW355" i="2"/>
  <c r="AQ355" i="2"/>
  <c r="AM355" i="2"/>
  <c r="AH355" i="2"/>
  <c r="X355" i="2"/>
  <c r="V355" i="2"/>
  <c r="W355" i="2"/>
  <c r="AU354" i="2"/>
  <c r="AW354" i="2"/>
  <c r="AQ354" i="2"/>
  <c r="AR354" i="2"/>
  <c r="AM354" i="2"/>
  <c r="AH354" i="2"/>
  <c r="AS354" i="2"/>
  <c r="X354" i="2"/>
  <c r="V354" i="2"/>
  <c r="W354" i="2"/>
  <c r="AU353" i="2"/>
  <c r="AW353" i="2"/>
  <c r="AQ353" i="2"/>
  <c r="AN353" i="2"/>
  <c r="AM353" i="2"/>
  <c r="AH353" i="2"/>
  <c r="X353" i="2"/>
  <c r="AC353" i="2"/>
  <c r="AE353" i="2"/>
  <c r="V353" i="2"/>
  <c r="W353" i="2"/>
  <c r="AU352" i="2"/>
  <c r="AW352" i="2"/>
  <c r="AQ352" i="2"/>
  <c r="AR352" i="2"/>
  <c r="AM352" i="2"/>
  <c r="AH352" i="2"/>
  <c r="AS352" i="2"/>
  <c r="X352" i="2"/>
  <c r="AC352" i="2"/>
  <c r="AE352" i="2"/>
  <c r="V352" i="2"/>
  <c r="W352" i="2"/>
  <c r="AU351" i="2"/>
  <c r="AW351" i="2"/>
  <c r="AQ351" i="2"/>
  <c r="AN351" i="2"/>
  <c r="AM351" i="2"/>
  <c r="AH351" i="2"/>
  <c r="AS351" i="2"/>
  <c r="X351" i="2"/>
  <c r="V351" i="2"/>
  <c r="W351" i="2"/>
  <c r="AU350" i="2"/>
  <c r="AW350" i="2"/>
  <c r="AQ350" i="2"/>
  <c r="AM350" i="2"/>
  <c r="AH350" i="2"/>
  <c r="AS350" i="2"/>
  <c r="X350" i="2"/>
  <c r="V350" i="2"/>
  <c r="W350" i="2"/>
  <c r="AU349" i="2"/>
  <c r="AW349" i="2"/>
  <c r="AQ349" i="2"/>
  <c r="AM349" i="2"/>
  <c r="AH349" i="2"/>
  <c r="AS349" i="2"/>
  <c r="X349" i="2"/>
  <c r="V349" i="2"/>
  <c r="W349" i="2"/>
  <c r="AU348" i="2"/>
  <c r="AW348" i="2"/>
  <c r="AQ348" i="2"/>
  <c r="AN348" i="2"/>
  <c r="AM348" i="2"/>
  <c r="AH348" i="2"/>
  <c r="X348" i="2"/>
  <c r="AC348" i="2"/>
  <c r="AE348" i="2"/>
  <c r="AG348" i="2"/>
  <c r="AV348" i="2"/>
  <c r="V348" i="2"/>
  <c r="W348" i="2"/>
  <c r="AU347" i="2"/>
  <c r="AW347" i="2"/>
  <c r="AQ347" i="2"/>
  <c r="AN347" i="2"/>
  <c r="AM347" i="2"/>
  <c r="AH347" i="2"/>
  <c r="X347" i="2"/>
  <c r="AK347" i="2"/>
  <c r="V347" i="2"/>
  <c r="W347" i="2"/>
  <c r="AU346" i="2"/>
  <c r="AW346" i="2"/>
  <c r="AQ346" i="2"/>
  <c r="AR346" i="2"/>
  <c r="AM346" i="2"/>
  <c r="AH346" i="2"/>
  <c r="X346" i="2"/>
  <c r="V346" i="2"/>
  <c r="W346" i="2"/>
  <c r="AU345" i="2"/>
  <c r="AW345" i="2"/>
  <c r="AQ345" i="2"/>
  <c r="AM345" i="2"/>
  <c r="AH345" i="2"/>
  <c r="X345" i="2"/>
  <c r="AC345" i="2"/>
  <c r="AE345" i="2"/>
  <c r="V345" i="2"/>
  <c r="W345" i="2"/>
  <c r="AU344" i="2"/>
  <c r="AW344" i="2"/>
  <c r="AQ344" i="2"/>
  <c r="AR344" i="2"/>
  <c r="AM344" i="2"/>
  <c r="AH344" i="2"/>
  <c r="AS344" i="2"/>
  <c r="X344" i="2"/>
  <c r="AC344" i="2"/>
  <c r="AE344" i="2"/>
  <c r="V344" i="2"/>
  <c r="W344" i="2"/>
  <c r="AU343" i="2"/>
  <c r="AW343" i="2"/>
  <c r="AQ343" i="2"/>
  <c r="AN343" i="2"/>
  <c r="AM343" i="2"/>
  <c r="AH343" i="2"/>
  <c r="AS343" i="2"/>
  <c r="X343" i="2"/>
  <c r="V343" i="2"/>
  <c r="W343" i="2"/>
  <c r="AU342" i="2"/>
  <c r="AW342" i="2"/>
  <c r="AQ342" i="2"/>
  <c r="AM342" i="2"/>
  <c r="AH342" i="2"/>
  <c r="X342" i="2"/>
  <c r="AC342" i="2"/>
  <c r="AE342" i="2"/>
  <c r="AG342" i="2"/>
  <c r="AV342" i="2"/>
  <c r="V342" i="2"/>
  <c r="W342" i="2"/>
  <c r="AU341" i="2"/>
  <c r="AW341" i="2"/>
  <c r="AQ341" i="2"/>
  <c r="AN341" i="2"/>
  <c r="AM341" i="2"/>
  <c r="AH341" i="2"/>
  <c r="AS341" i="2"/>
  <c r="X341" i="2"/>
  <c r="V341" i="2"/>
  <c r="W341" i="2"/>
  <c r="AU340" i="2"/>
  <c r="AW340" i="2"/>
  <c r="AQ340" i="2"/>
  <c r="AM340" i="2"/>
  <c r="AH340" i="2"/>
  <c r="X340" i="2"/>
  <c r="V340" i="2"/>
  <c r="W340" i="2"/>
  <c r="AU339" i="2"/>
  <c r="AW339" i="2"/>
  <c r="AT339" i="2"/>
  <c r="AQ339" i="2"/>
  <c r="AR339" i="2"/>
  <c r="AM339" i="2"/>
  <c r="AH339" i="2"/>
  <c r="AS339" i="2"/>
  <c r="X339" i="2"/>
  <c r="AC339" i="2"/>
  <c r="AE339" i="2"/>
  <c r="V339" i="2"/>
  <c r="W339" i="2"/>
  <c r="AU338" i="2"/>
  <c r="AW338" i="2"/>
  <c r="AQ338" i="2"/>
  <c r="AN338" i="2"/>
  <c r="AM338" i="2"/>
  <c r="AH338" i="2"/>
  <c r="AS338" i="2"/>
  <c r="X338" i="2"/>
  <c r="AC338" i="2"/>
  <c r="AE338" i="2"/>
  <c r="V338" i="2"/>
  <c r="W338" i="2"/>
  <c r="AU337" i="2"/>
  <c r="AW337" i="2"/>
  <c r="AQ337" i="2"/>
  <c r="AM337" i="2"/>
  <c r="AH337" i="2"/>
  <c r="X337" i="2"/>
  <c r="AK337" i="2"/>
  <c r="V337" i="2"/>
  <c r="W337" i="2"/>
  <c r="AU336" i="2"/>
  <c r="AW336" i="2"/>
  <c r="AQ336" i="2"/>
  <c r="AR336" i="2"/>
  <c r="AM336" i="2"/>
  <c r="AH336" i="2"/>
  <c r="AS336" i="2"/>
  <c r="X336" i="2"/>
  <c r="V336" i="2"/>
  <c r="W336" i="2"/>
  <c r="AU335" i="2"/>
  <c r="AW335" i="2"/>
  <c r="AQ335" i="2"/>
  <c r="AM335" i="2"/>
  <c r="AH335" i="2"/>
  <c r="X335" i="2"/>
  <c r="V335" i="2"/>
  <c r="W335" i="2"/>
  <c r="AU334" i="2"/>
  <c r="AW334" i="2"/>
  <c r="AQ334" i="2"/>
  <c r="AM334" i="2"/>
  <c r="AH334" i="2"/>
  <c r="AS334" i="2"/>
  <c r="X334" i="2"/>
  <c r="AK334" i="2"/>
  <c r="V334" i="2"/>
  <c r="W334" i="2"/>
  <c r="AU333" i="2"/>
  <c r="AW333" i="2"/>
  <c r="AQ333" i="2"/>
  <c r="AR333" i="2"/>
  <c r="AM333" i="2"/>
  <c r="AH333" i="2"/>
  <c r="X333" i="2"/>
  <c r="V333" i="2"/>
  <c r="W333" i="2"/>
  <c r="AU332" i="2"/>
  <c r="AW332" i="2"/>
  <c r="AQ332" i="2"/>
  <c r="AN332" i="2"/>
  <c r="AM332" i="2"/>
  <c r="AH332" i="2"/>
  <c r="X332" i="2"/>
  <c r="AC332" i="2"/>
  <c r="AE332" i="2"/>
  <c r="V332" i="2"/>
  <c r="W332" i="2"/>
  <c r="AU331" i="2"/>
  <c r="AW331" i="2"/>
  <c r="AQ331" i="2"/>
  <c r="AN331" i="2"/>
  <c r="AM331" i="2"/>
  <c r="AH331" i="2"/>
  <c r="AS331" i="2"/>
  <c r="X331" i="2"/>
  <c r="V331" i="2"/>
  <c r="W331" i="2"/>
  <c r="AU330" i="2"/>
  <c r="AW330" i="2"/>
  <c r="AQ330" i="2"/>
  <c r="AM330" i="2"/>
  <c r="AH330" i="2"/>
  <c r="AS330" i="2"/>
  <c r="X330" i="2"/>
  <c r="V330" i="2"/>
  <c r="W330" i="2"/>
  <c r="AU329" i="2"/>
  <c r="AW329" i="2"/>
  <c r="AQ329" i="2"/>
  <c r="AM329" i="2"/>
  <c r="AH329" i="2"/>
  <c r="AS329" i="2"/>
  <c r="X329" i="2"/>
  <c r="AK329" i="2"/>
  <c r="V329" i="2"/>
  <c r="W329" i="2"/>
  <c r="AU328" i="2"/>
  <c r="AW328" i="2"/>
  <c r="AQ328" i="2"/>
  <c r="AR328" i="2"/>
  <c r="AM328" i="2"/>
  <c r="AH328" i="2"/>
  <c r="AS328" i="2"/>
  <c r="X328" i="2"/>
  <c r="AK328" i="2"/>
  <c r="V328" i="2"/>
  <c r="AU327" i="2"/>
  <c r="AW327" i="2"/>
  <c r="AQ327" i="2"/>
  <c r="AM327" i="2"/>
  <c r="AH327" i="2"/>
  <c r="X327" i="2"/>
  <c r="AC327" i="2"/>
  <c r="AE327" i="2"/>
  <c r="AG327" i="2"/>
  <c r="AV327" i="2"/>
  <c r="V327" i="2"/>
  <c r="W327" i="2"/>
  <c r="AU326" i="2"/>
  <c r="AW326" i="2"/>
  <c r="AQ326" i="2"/>
  <c r="AR326" i="2"/>
  <c r="AM326" i="2"/>
  <c r="AH326" i="2"/>
  <c r="AS326" i="2"/>
  <c r="X326" i="2"/>
  <c r="V326" i="2"/>
  <c r="W326" i="2"/>
  <c r="AU325" i="2"/>
  <c r="AW325" i="2"/>
  <c r="AQ325" i="2"/>
  <c r="AN325" i="2"/>
  <c r="AM325" i="2"/>
  <c r="AH325" i="2"/>
  <c r="X325" i="2"/>
  <c r="V325" i="2"/>
  <c r="W325" i="2"/>
  <c r="AU324" i="2"/>
  <c r="AW324" i="2"/>
  <c r="AQ324" i="2"/>
  <c r="AR324" i="2"/>
  <c r="AM324" i="2"/>
  <c r="AH324" i="2"/>
  <c r="AS324" i="2"/>
  <c r="X324" i="2"/>
  <c r="AK324" i="2"/>
  <c r="V324" i="2"/>
  <c r="W324" i="2"/>
  <c r="AU323" i="2"/>
  <c r="AW323" i="2"/>
  <c r="AQ323" i="2"/>
  <c r="AN323" i="2"/>
  <c r="AM323" i="2"/>
  <c r="AH323" i="2"/>
  <c r="X323" i="2"/>
  <c r="AK323" i="2"/>
  <c r="V323" i="2"/>
  <c r="W323" i="2"/>
  <c r="AU322" i="2"/>
  <c r="AW322" i="2"/>
  <c r="AQ322" i="2"/>
  <c r="AN322" i="2"/>
  <c r="AM322" i="2"/>
  <c r="AH322" i="2"/>
  <c r="X322" i="2"/>
  <c r="AC322" i="2"/>
  <c r="AE322" i="2"/>
  <c r="AG322" i="2"/>
  <c r="AV322" i="2"/>
  <c r="V322" i="2"/>
  <c r="W322" i="2"/>
  <c r="AU321" i="2"/>
  <c r="AW321" i="2"/>
  <c r="AQ321" i="2"/>
  <c r="AM321" i="2"/>
  <c r="AH321" i="2"/>
  <c r="AS321" i="2"/>
  <c r="X321" i="2"/>
  <c r="AK321" i="2"/>
  <c r="V321" i="2"/>
  <c r="W321" i="2"/>
  <c r="AU320" i="2"/>
  <c r="AW320" i="2"/>
  <c r="AQ320" i="2"/>
  <c r="AM320" i="2"/>
  <c r="AH320" i="2"/>
  <c r="X320" i="2"/>
  <c r="AK320" i="2"/>
  <c r="V320" i="2"/>
  <c r="W320" i="2"/>
  <c r="AU319" i="2"/>
  <c r="AW319" i="2"/>
  <c r="AT319" i="2"/>
  <c r="AQ319" i="2"/>
  <c r="AN319" i="2"/>
  <c r="AM319" i="2"/>
  <c r="AH319" i="2"/>
  <c r="X319" i="2"/>
  <c r="V319" i="2"/>
  <c r="W319" i="2"/>
  <c r="AU318" i="2"/>
  <c r="AW318" i="2"/>
  <c r="AQ318" i="2"/>
  <c r="AN318" i="2"/>
  <c r="AM318" i="2"/>
  <c r="AH318" i="2"/>
  <c r="X318" i="2"/>
  <c r="V318" i="2"/>
  <c r="AU317" i="2"/>
  <c r="AW317" i="2"/>
  <c r="AT317" i="2"/>
  <c r="AQ317" i="2"/>
  <c r="AN317" i="2"/>
  <c r="AM317" i="2"/>
  <c r="AH317" i="2"/>
  <c r="AS317" i="2"/>
  <c r="X317" i="2"/>
  <c r="AC317" i="2"/>
  <c r="AE317" i="2"/>
  <c r="AG317" i="2"/>
  <c r="AV317" i="2"/>
  <c r="V317" i="2"/>
  <c r="W317" i="2"/>
  <c r="AU316" i="2"/>
  <c r="AW316" i="2"/>
  <c r="AQ316" i="2"/>
  <c r="AR316" i="2"/>
  <c r="AM316" i="2"/>
  <c r="AH316" i="2"/>
  <c r="AS316" i="2"/>
  <c r="X316" i="2"/>
  <c r="AK316" i="2"/>
  <c r="V316" i="2"/>
  <c r="W316" i="2"/>
  <c r="AU315" i="2"/>
  <c r="AW315" i="2"/>
  <c r="AQ315" i="2"/>
  <c r="AR315" i="2"/>
  <c r="AM315" i="2"/>
  <c r="AH315" i="2"/>
  <c r="X315" i="2"/>
  <c r="V315" i="2"/>
  <c r="W315" i="2"/>
  <c r="AU314" i="2"/>
  <c r="AW314" i="2"/>
  <c r="AT314" i="2"/>
  <c r="AQ314" i="2"/>
  <c r="AR314" i="2"/>
  <c r="AM314" i="2"/>
  <c r="AH314" i="2"/>
  <c r="AS314" i="2"/>
  <c r="X314" i="2"/>
  <c r="AC314" i="2"/>
  <c r="AE314" i="2"/>
  <c r="V314" i="2"/>
  <c r="W314" i="2"/>
  <c r="AU313" i="2"/>
  <c r="AW313" i="2"/>
  <c r="AQ313" i="2"/>
  <c r="AR313" i="2"/>
  <c r="AM313" i="2"/>
  <c r="AH313" i="2"/>
  <c r="AS313" i="2"/>
  <c r="X313" i="2"/>
  <c r="AC313" i="2"/>
  <c r="AE313" i="2"/>
  <c r="AG313" i="2"/>
  <c r="AV313" i="2"/>
  <c r="V313" i="2"/>
  <c r="W313" i="2"/>
  <c r="AU312" i="2"/>
  <c r="AW312" i="2"/>
  <c r="AT312" i="2"/>
  <c r="AQ312" i="2"/>
  <c r="AR312" i="2"/>
  <c r="AM312" i="2"/>
  <c r="AH312" i="2"/>
  <c r="AS312" i="2"/>
  <c r="X312" i="2"/>
  <c r="AK312" i="2"/>
  <c r="V312" i="2"/>
  <c r="W312" i="2"/>
  <c r="AU311" i="2"/>
  <c r="AW311" i="2"/>
  <c r="AT311" i="2"/>
  <c r="AQ311" i="2"/>
  <c r="AN311" i="2"/>
  <c r="AM311" i="2"/>
  <c r="AH311" i="2"/>
  <c r="AS311" i="2"/>
  <c r="X311" i="2"/>
  <c r="V311" i="2"/>
  <c r="W311" i="2"/>
  <c r="AU310" i="2"/>
  <c r="AW310" i="2"/>
  <c r="AQ310" i="2"/>
  <c r="AR310" i="2"/>
  <c r="AM310" i="2"/>
  <c r="AH310" i="2"/>
  <c r="AS310" i="2"/>
  <c r="X310" i="2"/>
  <c r="AC310" i="2"/>
  <c r="AE310" i="2"/>
  <c r="V310" i="2"/>
  <c r="W310" i="2"/>
  <c r="AU309" i="2"/>
  <c r="AW309" i="2"/>
  <c r="AQ309" i="2"/>
  <c r="AR309" i="2"/>
  <c r="AM309" i="2"/>
  <c r="AH309" i="2"/>
  <c r="AS309" i="2"/>
  <c r="X309" i="2"/>
  <c r="AK309" i="2"/>
  <c r="V309" i="2"/>
  <c r="W309" i="2"/>
  <c r="AU308" i="2"/>
  <c r="AW308" i="2"/>
  <c r="AQ308" i="2"/>
  <c r="AR308" i="2"/>
  <c r="AM308" i="2"/>
  <c r="AH308" i="2"/>
  <c r="X308" i="2"/>
  <c r="AC308" i="2"/>
  <c r="AE308" i="2"/>
  <c r="AG308" i="2"/>
  <c r="AV308" i="2"/>
  <c r="V308" i="2"/>
  <c r="W308" i="2"/>
  <c r="AU307" i="2"/>
  <c r="AW307" i="2"/>
  <c r="AQ307" i="2"/>
  <c r="AN307" i="2"/>
  <c r="AM307" i="2"/>
  <c r="AH307" i="2"/>
  <c r="X307" i="2"/>
  <c r="AK307" i="2"/>
  <c r="V307" i="2"/>
  <c r="W307" i="2"/>
  <c r="AU306" i="2"/>
  <c r="AW306" i="2"/>
  <c r="AQ306" i="2"/>
  <c r="AN306" i="2"/>
  <c r="AM306" i="2"/>
  <c r="AH306" i="2"/>
  <c r="X306" i="2"/>
  <c r="AK306" i="2"/>
  <c r="V306" i="2"/>
  <c r="W306" i="2"/>
  <c r="AU305" i="2"/>
  <c r="AW305" i="2"/>
  <c r="AQ305" i="2"/>
  <c r="AR305" i="2"/>
  <c r="AM305" i="2"/>
  <c r="AH305" i="2"/>
  <c r="AS305" i="2"/>
  <c r="X305" i="2"/>
  <c r="V305" i="2"/>
  <c r="W305" i="2"/>
  <c r="AU304" i="2"/>
  <c r="AW304" i="2"/>
  <c r="AQ304" i="2"/>
  <c r="AR304" i="2"/>
  <c r="AM304" i="2"/>
  <c r="AH304" i="2"/>
  <c r="AS304" i="2"/>
  <c r="X304" i="2"/>
  <c r="AK304" i="2"/>
  <c r="V304" i="2"/>
  <c r="W304" i="2"/>
  <c r="AU303" i="2"/>
  <c r="AW303" i="2"/>
  <c r="AQ303" i="2"/>
  <c r="AR303" i="2"/>
  <c r="AM303" i="2"/>
  <c r="AH303" i="2"/>
  <c r="X303" i="2"/>
  <c r="AC303" i="2"/>
  <c r="AE303" i="2"/>
  <c r="AG303" i="2"/>
  <c r="AV303" i="2"/>
  <c r="V303" i="2"/>
  <c r="W303" i="2"/>
  <c r="AU302" i="2"/>
  <c r="AW302" i="2"/>
  <c r="AQ302" i="2"/>
  <c r="AR302" i="2"/>
  <c r="AM302" i="2"/>
  <c r="AH302" i="2"/>
  <c r="AS302" i="2"/>
  <c r="X302" i="2"/>
  <c r="V302" i="2"/>
  <c r="W302" i="2"/>
  <c r="AU301" i="2"/>
  <c r="AW301" i="2"/>
  <c r="AQ301" i="2"/>
  <c r="AR301" i="2"/>
  <c r="AM301" i="2"/>
  <c r="AH301" i="2"/>
  <c r="X301" i="2"/>
  <c r="AC301" i="2"/>
  <c r="AE301" i="2"/>
  <c r="AG301" i="2"/>
  <c r="AV301" i="2"/>
  <c r="V301" i="2"/>
  <c r="W301" i="2"/>
  <c r="AU300" i="2"/>
  <c r="AW300" i="2"/>
  <c r="AQ300" i="2"/>
  <c r="AR300" i="2"/>
  <c r="AM300" i="2"/>
  <c r="AH300" i="2"/>
  <c r="X300" i="2"/>
  <c r="V300" i="2"/>
  <c r="W300" i="2"/>
  <c r="AU299" i="2"/>
  <c r="AW299" i="2"/>
  <c r="AQ299" i="2"/>
  <c r="AM299" i="2"/>
  <c r="AH299" i="2"/>
  <c r="AS299" i="2"/>
  <c r="X299" i="2"/>
  <c r="V299" i="2"/>
  <c r="W299" i="2"/>
  <c r="AU298" i="2"/>
  <c r="AW298" i="2"/>
  <c r="AQ298" i="2"/>
  <c r="AN298" i="2"/>
  <c r="AM298" i="2"/>
  <c r="AH298" i="2"/>
  <c r="X298" i="2"/>
  <c r="AK298" i="2"/>
  <c r="V298" i="2"/>
  <c r="W298" i="2"/>
  <c r="AU297" i="2"/>
  <c r="AW297" i="2"/>
  <c r="AQ297" i="2"/>
  <c r="AR297" i="2"/>
  <c r="AM297" i="2"/>
  <c r="AH297" i="2"/>
  <c r="AS297" i="2"/>
  <c r="X297" i="2"/>
  <c r="AK297" i="2"/>
  <c r="V297" i="2"/>
  <c r="W297" i="2"/>
  <c r="AU296" i="2"/>
  <c r="AW296" i="2"/>
  <c r="AR296" i="2"/>
  <c r="AN296" i="2"/>
  <c r="AM296" i="2"/>
  <c r="AH296" i="2"/>
  <c r="X296" i="2"/>
  <c r="AC296" i="2"/>
  <c r="AE296" i="2"/>
  <c r="AG296" i="2"/>
  <c r="AV296" i="2"/>
  <c r="V296" i="2"/>
  <c r="AU295" i="2"/>
  <c r="AW295" i="2"/>
  <c r="AR295" i="2"/>
  <c r="AN295" i="2"/>
  <c r="AM295" i="2"/>
  <c r="AH295" i="2"/>
  <c r="AS295" i="2"/>
  <c r="X295" i="2"/>
  <c r="AC295" i="2"/>
  <c r="AE295" i="2"/>
  <c r="V295" i="2"/>
  <c r="AU294" i="2"/>
  <c r="AW294" i="2"/>
  <c r="AR294" i="2"/>
  <c r="AN294" i="2"/>
  <c r="AM294" i="2"/>
  <c r="AH294" i="2"/>
  <c r="X294" i="2"/>
  <c r="AC294" i="2"/>
  <c r="AE294" i="2"/>
  <c r="AG294" i="2"/>
  <c r="AV294" i="2"/>
  <c r="V294" i="2"/>
  <c r="AV293" i="2"/>
  <c r="AU293" i="2"/>
  <c r="AW293" i="2"/>
  <c r="AS293" i="2"/>
  <c r="AR293" i="2"/>
  <c r="AN293" i="2"/>
  <c r="AM293" i="2"/>
  <c r="AL293" i="2"/>
  <c r="AT293" i="2"/>
  <c r="V293" i="2"/>
  <c r="AU292" i="2"/>
  <c r="AW292" i="2"/>
  <c r="AR292" i="2"/>
  <c r="AN292" i="2"/>
  <c r="AM292" i="2"/>
  <c r="AH292" i="2"/>
  <c r="AS292" i="2"/>
  <c r="X292" i="2"/>
  <c r="AK292" i="2"/>
  <c r="V292" i="2"/>
  <c r="AU291" i="2"/>
  <c r="AW291" i="2"/>
  <c r="AQ291" i="2"/>
  <c r="AN291" i="2"/>
  <c r="AM291" i="2"/>
  <c r="AH291" i="2"/>
  <c r="X291" i="2"/>
  <c r="AC291" i="2"/>
  <c r="AE291" i="2"/>
  <c r="AG291" i="2"/>
  <c r="AV291" i="2"/>
  <c r="V291" i="2"/>
  <c r="W291" i="2"/>
  <c r="AU290" i="2"/>
  <c r="AW290" i="2"/>
  <c r="AQ290" i="2"/>
  <c r="AR290" i="2"/>
  <c r="AM290" i="2"/>
  <c r="AH290" i="2"/>
  <c r="AS290" i="2"/>
  <c r="X290" i="2"/>
  <c r="AC290" i="2"/>
  <c r="AE290" i="2"/>
  <c r="V290" i="2"/>
  <c r="W290" i="2"/>
  <c r="AU289" i="2"/>
  <c r="AW289" i="2"/>
  <c r="AQ289" i="2"/>
  <c r="AM289" i="2"/>
  <c r="AH289" i="2"/>
  <c r="AS289" i="2"/>
  <c r="X289" i="2"/>
  <c r="V289" i="2"/>
  <c r="W289" i="2"/>
  <c r="AU288" i="2"/>
  <c r="AW288" i="2"/>
  <c r="AQ288" i="2"/>
  <c r="AN288" i="2"/>
  <c r="AM288" i="2"/>
  <c r="AH288" i="2"/>
  <c r="X288" i="2"/>
  <c r="V288" i="2"/>
  <c r="W288" i="2"/>
  <c r="AU287" i="2"/>
  <c r="AW287" i="2"/>
  <c r="AQ287" i="2"/>
  <c r="AR287" i="2"/>
  <c r="AM287" i="2"/>
  <c r="AH287" i="2"/>
  <c r="AS287" i="2"/>
  <c r="X287" i="2"/>
  <c r="AK287" i="2"/>
  <c r="V287" i="2"/>
  <c r="W287" i="2"/>
  <c r="AU286" i="2"/>
  <c r="AW286" i="2"/>
  <c r="AQ286" i="2"/>
  <c r="AR286" i="2"/>
  <c r="AM286" i="2"/>
  <c r="AH286" i="2"/>
  <c r="X286" i="2"/>
  <c r="AC286" i="2"/>
  <c r="AE286" i="2"/>
  <c r="AG286" i="2"/>
  <c r="AV286" i="2"/>
  <c r="V286" i="2"/>
  <c r="W286" i="2"/>
  <c r="AU285" i="2"/>
  <c r="AW285" i="2"/>
  <c r="AQ285" i="2"/>
  <c r="AN285" i="2"/>
  <c r="AM285" i="2"/>
  <c r="AH285" i="2"/>
  <c r="X285" i="2"/>
  <c r="AC285" i="2"/>
  <c r="AE285" i="2"/>
  <c r="AG285" i="2"/>
  <c r="AV285" i="2"/>
  <c r="V285" i="2"/>
  <c r="W285" i="2"/>
  <c r="AU284" i="2"/>
  <c r="AW284" i="2"/>
  <c r="AQ284" i="2"/>
  <c r="AR284" i="2"/>
  <c r="AM284" i="2"/>
  <c r="AH284" i="2"/>
  <c r="AS284" i="2"/>
  <c r="X284" i="2"/>
  <c r="V284" i="2"/>
  <c r="W284" i="2"/>
  <c r="AU283" i="2"/>
  <c r="AW283" i="2"/>
  <c r="AQ283" i="2"/>
  <c r="AR283" i="2"/>
  <c r="AM283" i="2"/>
  <c r="AH283" i="2"/>
  <c r="X283" i="2"/>
  <c r="V283" i="2"/>
  <c r="W283" i="2"/>
  <c r="AU282" i="2"/>
  <c r="AW282" i="2"/>
  <c r="AQ282" i="2"/>
  <c r="AR282" i="2"/>
  <c r="AM282" i="2"/>
  <c r="AH282" i="2"/>
  <c r="X282" i="2"/>
  <c r="AK282" i="2"/>
  <c r="V282" i="2"/>
  <c r="W282" i="2"/>
  <c r="AU281" i="2"/>
  <c r="AW281" i="2"/>
  <c r="AQ281" i="2"/>
  <c r="AN281" i="2"/>
  <c r="AM281" i="2"/>
  <c r="AH281" i="2"/>
  <c r="AS281" i="2"/>
  <c r="X281" i="2"/>
  <c r="AK281" i="2"/>
  <c r="V281" i="2"/>
  <c r="W281" i="2"/>
  <c r="AU280" i="2"/>
  <c r="AW280" i="2"/>
  <c r="AQ280" i="2"/>
  <c r="AM280" i="2"/>
  <c r="AH280" i="2"/>
  <c r="X280" i="2"/>
  <c r="AK280" i="2"/>
  <c r="V280" i="2"/>
  <c r="W280" i="2"/>
  <c r="AU279" i="2"/>
  <c r="AW279" i="2"/>
  <c r="AT279" i="2"/>
  <c r="AQ279" i="2"/>
  <c r="AM279" i="2"/>
  <c r="X279" i="2"/>
  <c r="AC279" i="2"/>
  <c r="AE279" i="2"/>
  <c r="V279" i="2"/>
  <c r="W279" i="2"/>
  <c r="AU278" i="2"/>
  <c r="AW278" i="2"/>
  <c r="AS278" i="2"/>
  <c r="AQ278" i="2"/>
  <c r="AR278" i="2"/>
  <c r="AM278" i="2"/>
  <c r="X278" i="2"/>
  <c r="AK278" i="2"/>
  <c r="AL278" i="2"/>
  <c r="AT278" i="2"/>
  <c r="V278" i="2"/>
  <c r="W278" i="2"/>
  <c r="AU277" i="2"/>
  <c r="AW277" i="2"/>
  <c r="AQ277" i="2"/>
  <c r="AN277" i="2"/>
  <c r="AM277" i="2"/>
  <c r="AH277" i="2"/>
  <c r="AS277" i="2"/>
  <c r="X277" i="2"/>
  <c r="AK277" i="2"/>
  <c r="V277" i="2"/>
  <c r="W277" i="2"/>
  <c r="AU276" i="2"/>
  <c r="AW276" i="2"/>
  <c r="AT276" i="2"/>
  <c r="AQ276" i="2"/>
  <c r="AN276" i="2"/>
  <c r="AM276" i="2"/>
  <c r="X276" i="2"/>
  <c r="AC276" i="2"/>
  <c r="AE276" i="2"/>
  <c r="AG276" i="2"/>
  <c r="AV276" i="2"/>
  <c r="V276" i="2"/>
  <c r="W276" i="2"/>
  <c r="AU275" i="2"/>
  <c r="AW275" i="2"/>
  <c r="AQ275" i="2"/>
  <c r="AR275" i="2"/>
  <c r="AM275" i="2"/>
  <c r="AH275" i="2"/>
  <c r="AS275" i="2"/>
  <c r="X275" i="2"/>
  <c r="AC275" i="2"/>
  <c r="AE275" i="2"/>
  <c r="AG275" i="2"/>
  <c r="AV275" i="2"/>
  <c r="V275" i="2"/>
  <c r="W275" i="2"/>
  <c r="AU274" i="2"/>
  <c r="AW274" i="2"/>
  <c r="AQ274" i="2"/>
  <c r="AR274" i="2"/>
  <c r="AM274" i="2"/>
  <c r="AH274" i="2"/>
  <c r="X274" i="2"/>
  <c r="AC274" i="2"/>
  <c r="AE274" i="2"/>
  <c r="AG274" i="2"/>
  <c r="AV274" i="2"/>
  <c r="V274" i="2"/>
  <c r="W274" i="2"/>
  <c r="AU273" i="2"/>
  <c r="AW273" i="2"/>
  <c r="AQ273" i="2"/>
  <c r="AR273" i="2"/>
  <c r="AM273" i="2"/>
  <c r="AH273" i="2"/>
  <c r="AS273" i="2"/>
  <c r="X273" i="2"/>
  <c r="AK273" i="2"/>
  <c r="V273" i="2"/>
  <c r="W273" i="2"/>
  <c r="AU272" i="2"/>
  <c r="AW272" i="2"/>
  <c r="AQ272" i="2"/>
  <c r="AR272" i="2"/>
  <c r="AM272" i="2"/>
  <c r="AH272" i="2"/>
  <c r="AS272" i="2"/>
  <c r="X272" i="2"/>
  <c r="AC272" i="2"/>
  <c r="AE272" i="2"/>
  <c r="AG272" i="2"/>
  <c r="AV272" i="2"/>
  <c r="V272" i="2"/>
  <c r="W272" i="2"/>
  <c r="AU271" i="2"/>
  <c r="AW271" i="2"/>
  <c r="AQ271" i="2"/>
  <c r="AN271" i="2"/>
  <c r="AM271" i="2"/>
  <c r="AH271" i="2"/>
  <c r="AS271" i="2"/>
  <c r="X271" i="2"/>
  <c r="AC271" i="2"/>
  <c r="AE271" i="2"/>
  <c r="V271" i="2"/>
  <c r="W271" i="2"/>
  <c r="AU270" i="2"/>
  <c r="AW270" i="2"/>
  <c r="AQ270" i="2"/>
  <c r="AR270" i="2"/>
  <c r="AM270" i="2"/>
  <c r="X270" i="2"/>
  <c r="V270" i="2"/>
  <c r="W270" i="2"/>
  <c r="AU269" i="2"/>
  <c r="AW269" i="2"/>
  <c r="AQ269" i="2"/>
  <c r="AM269" i="2"/>
  <c r="X269" i="2"/>
  <c r="AH269" i="2"/>
  <c r="V269" i="2"/>
  <c r="W269" i="2"/>
  <c r="AU268" i="2"/>
  <c r="AW268" i="2"/>
  <c r="AQ268" i="2"/>
  <c r="AN268" i="2"/>
  <c r="AM268" i="2"/>
  <c r="AH268" i="2"/>
  <c r="AS268" i="2"/>
  <c r="X268" i="2"/>
  <c r="AK268" i="2"/>
  <c r="V268" i="2"/>
  <c r="W268" i="2"/>
  <c r="AU267" i="2"/>
  <c r="AW267" i="2"/>
  <c r="AQ267" i="2"/>
  <c r="AN267" i="2"/>
  <c r="AM267" i="2"/>
  <c r="AH267" i="2"/>
  <c r="X267" i="2"/>
  <c r="AC267" i="2"/>
  <c r="AE267" i="2"/>
  <c r="V267" i="2"/>
  <c r="W267" i="2"/>
  <c r="AU266" i="2"/>
  <c r="AW266" i="2"/>
  <c r="AQ266" i="2"/>
  <c r="AR266" i="2"/>
  <c r="AM266" i="2"/>
  <c r="AH266" i="2"/>
  <c r="AS266" i="2"/>
  <c r="X266" i="2"/>
  <c r="V266" i="2"/>
  <c r="W266" i="2"/>
  <c r="AU265" i="2"/>
  <c r="AW265" i="2"/>
  <c r="AQ265" i="2"/>
  <c r="AR265" i="2"/>
  <c r="AM265" i="2"/>
  <c r="AH265" i="2"/>
  <c r="X265" i="2"/>
  <c r="V265" i="2"/>
  <c r="W265" i="2"/>
  <c r="AU264" i="2"/>
  <c r="AW264" i="2"/>
  <c r="AQ264" i="2"/>
  <c r="AR264" i="2"/>
  <c r="AM264" i="2"/>
  <c r="AH264" i="2"/>
  <c r="AS264" i="2"/>
  <c r="X264" i="2"/>
  <c r="V264" i="2"/>
  <c r="W264" i="2"/>
  <c r="AU263" i="2"/>
  <c r="AW263" i="2"/>
  <c r="AQ263" i="2"/>
  <c r="AR263" i="2"/>
  <c r="AM263" i="2"/>
  <c r="AH263" i="2"/>
  <c r="AS263" i="2"/>
  <c r="X263" i="2"/>
  <c r="AK263" i="2"/>
  <c r="V263" i="2"/>
  <c r="W263" i="2"/>
  <c r="AU262" i="2"/>
  <c r="AW262" i="2"/>
  <c r="AQ262" i="2"/>
  <c r="AR262" i="2"/>
  <c r="AM262" i="2"/>
  <c r="AH262" i="2"/>
  <c r="AS262" i="2"/>
  <c r="X262" i="2"/>
  <c r="V262" i="2"/>
  <c r="W262" i="2"/>
  <c r="AV261" i="2"/>
  <c r="AU261" i="2"/>
  <c r="AW261" i="2"/>
  <c r="AQ261" i="2"/>
  <c r="AR261" i="2"/>
  <c r="AM261" i="2"/>
  <c r="AK261" i="2"/>
  <c r="AH261" i="2"/>
  <c r="AC261" i="2"/>
  <c r="AE261" i="2"/>
  <c r="V261" i="2"/>
  <c r="W261" i="2"/>
  <c r="AU260" i="2"/>
  <c r="AW260" i="2"/>
  <c r="AQ260" i="2"/>
  <c r="AN260" i="2"/>
  <c r="AM260" i="2"/>
  <c r="AH260" i="2"/>
  <c r="AS260" i="2"/>
  <c r="X260" i="2"/>
  <c r="V260" i="2"/>
  <c r="W260" i="2"/>
  <c r="AU259" i="2"/>
  <c r="AW259" i="2"/>
  <c r="AQ259" i="2"/>
  <c r="AM259" i="2"/>
  <c r="AH259" i="2"/>
  <c r="X259" i="2"/>
  <c r="AC259" i="2"/>
  <c r="AE259" i="2"/>
  <c r="V259" i="2"/>
  <c r="W259" i="2"/>
  <c r="AU258" i="2"/>
  <c r="AW258" i="2"/>
  <c r="AQ258" i="2"/>
  <c r="AR258" i="2"/>
  <c r="AM258" i="2"/>
  <c r="AH258" i="2"/>
  <c r="AS258" i="2"/>
  <c r="X258" i="2"/>
  <c r="V258" i="2"/>
  <c r="W258" i="2"/>
  <c r="AV257" i="2"/>
  <c r="AU257" i="2"/>
  <c r="AW257" i="2"/>
  <c r="AT257" i="2"/>
  <c r="AS257" i="2"/>
  <c r="AQ257" i="2"/>
  <c r="AR257" i="2"/>
  <c r="AM257" i="2"/>
  <c r="V257" i="2"/>
  <c r="W257" i="2"/>
  <c r="AV256" i="2"/>
  <c r="AU256" i="2"/>
  <c r="AW256" i="2"/>
  <c r="AT256" i="2"/>
  <c r="AS256" i="2"/>
  <c r="AQ256" i="2"/>
  <c r="AR256" i="2"/>
  <c r="AM256" i="2"/>
  <c r="V256" i="2"/>
  <c r="W256" i="2"/>
  <c r="AV255" i="2"/>
  <c r="AU255" i="2"/>
  <c r="AW255" i="2"/>
  <c r="AT255" i="2"/>
  <c r="AS255" i="2"/>
  <c r="AQ255" i="2"/>
  <c r="AR255" i="2"/>
  <c r="AM255" i="2"/>
  <c r="V255" i="2"/>
  <c r="W255" i="2"/>
  <c r="AV254" i="2"/>
  <c r="AU254" i="2"/>
  <c r="AW254" i="2"/>
  <c r="AT254" i="2"/>
  <c r="AS254" i="2"/>
  <c r="AQ254" i="2"/>
  <c r="AR254" i="2"/>
  <c r="AM254" i="2"/>
  <c r="V254" i="2"/>
  <c r="W254" i="2"/>
  <c r="AV253" i="2"/>
  <c r="AU253" i="2"/>
  <c r="AW253" i="2"/>
  <c r="AT253" i="2"/>
  <c r="AS253" i="2"/>
  <c r="AQ253" i="2"/>
  <c r="AR253" i="2"/>
  <c r="AM253" i="2"/>
  <c r="V253" i="2"/>
  <c r="W253" i="2"/>
  <c r="AV252" i="2"/>
  <c r="AU252" i="2"/>
  <c r="AW252" i="2"/>
  <c r="AT252" i="2"/>
  <c r="AS252" i="2"/>
  <c r="AQ252" i="2"/>
  <c r="AR252" i="2"/>
  <c r="AM252" i="2"/>
  <c r="V252" i="2"/>
  <c r="W252" i="2"/>
  <c r="AV251" i="2"/>
  <c r="AU251" i="2"/>
  <c r="AW251" i="2"/>
  <c r="AT251" i="2"/>
  <c r="AS251" i="2"/>
  <c r="AQ251" i="2"/>
  <c r="AR251" i="2"/>
  <c r="AM251" i="2"/>
  <c r="V251" i="2"/>
  <c r="W251" i="2"/>
  <c r="AV250" i="2"/>
  <c r="AU250" i="2"/>
  <c r="AW250" i="2"/>
  <c r="AT250" i="2"/>
  <c r="AS250" i="2"/>
  <c r="AQ250" i="2"/>
  <c r="AR250" i="2"/>
  <c r="AM250" i="2"/>
  <c r="V250" i="2"/>
  <c r="W250" i="2"/>
  <c r="AV249" i="2"/>
  <c r="AU249" i="2"/>
  <c r="AW249" i="2"/>
  <c r="AT249" i="2"/>
  <c r="AS249" i="2"/>
  <c r="AQ249" i="2"/>
  <c r="AR249" i="2"/>
  <c r="AM249" i="2"/>
  <c r="V249" i="2"/>
  <c r="W249" i="2"/>
  <c r="AV248" i="2"/>
  <c r="AU248" i="2"/>
  <c r="AW248" i="2"/>
  <c r="AT248" i="2"/>
  <c r="AS248" i="2"/>
  <c r="AQ248" i="2"/>
  <c r="AR248" i="2"/>
  <c r="AM248" i="2"/>
  <c r="V248" i="2"/>
  <c r="W248" i="2"/>
  <c r="AV247" i="2"/>
  <c r="AU247" i="2"/>
  <c r="AW247" i="2"/>
  <c r="AT247" i="2"/>
  <c r="AS247" i="2"/>
  <c r="AQ247" i="2"/>
  <c r="AM247" i="2"/>
  <c r="V247" i="2"/>
  <c r="W247" i="2"/>
  <c r="AV246" i="2"/>
  <c r="AU246" i="2"/>
  <c r="AW246" i="2"/>
  <c r="AT246" i="2"/>
  <c r="AS246" i="2"/>
  <c r="AQ246" i="2"/>
  <c r="AR246" i="2"/>
  <c r="AM246" i="2"/>
  <c r="V246" i="2"/>
  <c r="W246" i="2"/>
  <c r="AV245" i="2"/>
  <c r="AU245" i="2"/>
  <c r="AW245" i="2"/>
  <c r="AT245" i="2"/>
  <c r="AS245" i="2"/>
  <c r="AQ245" i="2"/>
  <c r="AM245" i="2"/>
  <c r="V245" i="2"/>
  <c r="W245" i="2"/>
  <c r="AV244" i="2"/>
  <c r="AU244" i="2"/>
  <c r="AW244" i="2"/>
  <c r="AT244" i="2"/>
  <c r="AS244" i="2"/>
  <c r="AQ244" i="2"/>
  <c r="AR244" i="2"/>
  <c r="AM244" i="2"/>
  <c r="V244" i="2"/>
  <c r="W244" i="2"/>
  <c r="AV243" i="2"/>
  <c r="AU243" i="2"/>
  <c r="AW243" i="2"/>
  <c r="AT243" i="2"/>
  <c r="AS243" i="2"/>
  <c r="AQ243" i="2"/>
  <c r="AM243" i="2"/>
  <c r="V243" i="2"/>
  <c r="W243" i="2"/>
  <c r="AV242" i="2"/>
  <c r="AU242" i="2"/>
  <c r="AW242" i="2"/>
  <c r="AT242" i="2"/>
  <c r="AS242" i="2"/>
  <c r="AQ242" i="2"/>
  <c r="AM242" i="2"/>
  <c r="V242" i="2"/>
  <c r="W242" i="2"/>
  <c r="AV241" i="2"/>
  <c r="AU241" i="2"/>
  <c r="AW241" i="2"/>
  <c r="AT241" i="2"/>
  <c r="AS241" i="2"/>
  <c r="AQ241" i="2"/>
  <c r="AM241" i="2"/>
  <c r="V241" i="2"/>
  <c r="W241" i="2"/>
  <c r="AV240" i="2"/>
  <c r="AU240" i="2"/>
  <c r="AW240" i="2"/>
  <c r="AT240" i="2"/>
  <c r="AS240" i="2"/>
  <c r="AQ240" i="2"/>
  <c r="AR240" i="2"/>
  <c r="AM240" i="2"/>
  <c r="V240" i="2"/>
  <c r="W240" i="2"/>
  <c r="AV239" i="2"/>
  <c r="AU239" i="2"/>
  <c r="AW239" i="2"/>
  <c r="AT239" i="2"/>
  <c r="AS239" i="2"/>
  <c r="AQ239" i="2"/>
  <c r="AM239" i="2"/>
  <c r="V239" i="2"/>
  <c r="W239" i="2"/>
  <c r="AV238" i="2"/>
  <c r="AU238" i="2"/>
  <c r="AW238" i="2"/>
  <c r="AT238" i="2"/>
  <c r="AS238" i="2"/>
  <c r="AQ238" i="2"/>
  <c r="AM238" i="2"/>
  <c r="V238" i="2"/>
  <c r="W238" i="2"/>
  <c r="AV237" i="2"/>
  <c r="AU237" i="2"/>
  <c r="AW237" i="2"/>
  <c r="AT237" i="2"/>
  <c r="AS237" i="2"/>
  <c r="AQ237" i="2"/>
  <c r="AM237" i="2"/>
  <c r="V237" i="2"/>
  <c r="W237" i="2"/>
  <c r="AV236" i="2"/>
  <c r="AU236" i="2"/>
  <c r="AW236" i="2"/>
  <c r="AT236" i="2"/>
  <c r="AS236" i="2"/>
  <c r="AQ236" i="2"/>
  <c r="AR236" i="2"/>
  <c r="AM236" i="2"/>
  <c r="V236" i="2"/>
  <c r="W236" i="2"/>
  <c r="AV235" i="2"/>
  <c r="AU235" i="2"/>
  <c r="AW235" i="2"/>
  <c r="AT235" i="2"/>
  <c r="AS235" i="2"/>
  <c r="AQ235" i="2"/>
  <c r="AM235" i="2"/>
  <c r="V235" i="2"/>
  <c r="W235" i="2"/>
  <c r="AV234" i="2"/>
  <c r="AU234" i="2"/>
  <c r="AW234" i="2"/>
  <c r="AT234" i="2"/>
  <c r="AS234" i="2"/>
  <c r="AQ234" i="2"/>
  <c r="AR234" i="2"/>
  <c r="AM234" i="2"/>
  <c r="V234" i="2"/>
  <c r="W234" i="2"/>
  <c r="AV233" i="2"/>
  <c r="AU233" i="2"/>
  <c r="AW233" i="2"/>
  <c r="AT233" i="2"/>
  <c r="AS233" i="2"/>
  <c r="AQ233" i="2"/>
  <c r="AM233" i="2"/>
  <c r="V233" i="2"/>
  <c r="W233" i="2"/>
  <c r="AV232" i="2"/>
  <c r="AU232" i="2"/>
  <c r="AW232" i="2"/>
  <c r="AT232" i="2"/>
  <c r="AS232" i="2"/>
  <c r="AQ232" i="2"/>
  <c r="AR232" i="2"/>
  <c r="AM232" i="2"/>
  <c r="V232" i="2"/>
  <c r="W232" i="2"/>
  <c r="AV231" i="2"/>
  <c r="AU231" i="2"/>
  <c r="AW231" i="2"/>
  <c r="AT231" i="2"/>
  <c r="AS231" i="2"/>
  <c r="AQ231" i="2"/>
  <c r="AM231" i="2"/>
  <c r="V231" i="2"/>
  <c r="W231" i="2"/>
  <c r="AV230" i="2"/>
  <c r="AU230" i="2"/>
  <c r="AW230" i="2"/>
  <c r="AT230" i="2"/>
  <c r="AS230" i="2"/>
  <c r="AQ230" i="2"/>
  <c r="AR230" i="2"/>
  <c r="AM230" i="2"/>
  <c r="V230" i="2"/>
  <c r="W230" i="2"/>
  <c r="AV229" i="2"/>
  <c r="AU229" i="2"/>
  <c r="AW229" i="2"/>
  <c r="AT229" i="2"/>
  <c r="AS229" i="2"/>
  <c r="AQ229" i="2"/>
  <c r="AM229" i="2"/>
  <c r="V229" i="2"/>
  <c r="W229" i="2"/>
  <c r="AV228" i="2"/>
  <c r="AU228" i="2"/>
  <c r="AW228" i="2"/>
  <c r="AT228" i="2"/>
  <c r="AS228" i="2"/>
  <c r="AQ228" i="2"/>
  <c r="AR228" i="2"/>
  <c r="AM228" i="2"/>
  <c r="V228" i="2"/>
  <c r="W228" i="2"/>
  <c r="AV227" i="2"/>
  <c r="AU227" i="2"/>
  <c r="AW227" i="2"/>
  <c r="AT227" i="2"/>
  <c r="AS227" i="2"/>
  <c r="AQ227" i="2"/>
  <c r="AM227" i="2"/>
  <c r="V227" i="2"/>
  <c r="W227" i="2"/>
  <c r="AV226" i="2"/>
  <c r="AU226" i="2"/>
  <c r="AW226" i="2"/>
  <c r="AT226" i="2"/>
  <c r="AS226" i="2"/>
  <c r="AQ226" i="2"/>
  <c r="AM226" i="2"/>
  <c r="V226" i="2"/>
  <c r="W226" i="2"/>
  <c r="AV225" i="2"/>
  <c r="AU225" i="2"/>
  <c r="AW225" i="2"/>
  <c r="AT225" i="2"/>
  <c r="AS225" i="2"/>
  <c r="AQ225" i="2"/>
  <c r="AM225" i="2"/>
  <c r="V225" i="2"/>
  <c r="W225" i="2"/>
  <c r="AV224" i="2"/>
  <c r="AU224" i="2"/>
  <c r="AW224" i="2"/>
  <c r="AT224" i="2"/>
  <c r="AS224" i="2"/>
  <c r="AQ224" i="2"/>
  <c r="AR224" i="2"/>
  <c r="AM224" i="2"/>
  <c r="V224" i="2"/>
  <c r="W224" i="2"/>
  <c r="AV223" i="2"/>
  <c r="AU223" i="2"/>
  <c r="AW223" i="2"/>
  <c r="AT223" i="2"/>
  <c r="AS223" i="2"/>
  <c r="AQ223" i="2"/>
  <c r="AM223" i="2"/>
  <c r="V223" i="2"/>
  <c r="W223" i="2"/>
  <c r="AV222" i="2"/>
  <c r="AU222" i="2"/>
  <c r="AW222" i="2"/>
  <c r="AT222" i="2"/>
  <c r="AS222" i="2"/>
  <c r="AQ222" i="2"/>
  <c r="AR222" i="2"/>
  <c r="AM222" i="2"/>
  <c r="V222" i="2"/>
  <c r="W222" i="2"/>
  <c r="AV221" i="2"/>
  <c r="AU221" i="2"/>
  <c r="AW221" i="2"/>
  <c r="AT221" i="2"/>
  <c r="AS221" i="2"/>
  <c r="AQ221" i="2"/>
  <c r="AM221" i="2"/>
  <c r="V221" i="2"/>
  <c r="W221" i="2"/>
  <c r="AV220" i="2"/>
  <c r="AU220" i="2"/>
  <c r="AW220" i="2"/>
  <c r="AT220" i="2"/>
  <c r="AS220" i="2"/>
  <c r="AQ220" i="2"/>
  <c r="AR220" i="2"/>
  <c r="AM220" i="2"/>
  <c r="V220" i="2"/>
  <c r="W220" i="2"/>
  <c r="AV219" i="2"/>
  <c r="AU219" i="2"/>
  <c r="AW219" i="2"/>
  <c r="AT219" i="2"/>
  <c r="AS219" i="2"/>
  <c r="AQ219" i="2"/>
  <c r="AM219" i="2"/>
  <c r="V219" i="2"/>
  <c r="W219" i="2"/>
  <c r="AV218" i="2"/>
  <c r="AU218" i="2"/>
  <c r="AW218" i="2"/>
  <c r="AT218" i="2"/>
  <c r="AS218" i="2"/>
  <c r="AQ218" i="2"/>
  <c r="AR218" i="2"/>
  <c r="AM218" i="2"/>
  <c r="V218" i="2"/>
  <c r="W218" i="2"/>
  <c r="AV217" i="2"/>
  <c r="AU217" i="2"/>
  <c r="AW217" i="2"/>
  <c r="AT217" i="2"/>
  <c r="AS217" i="2"/>
  <c r="AQ217" i="2"/>
  <c r="AM217" i="2"/>
  <c r="V217" i="2"/>
  <c r="W217" i="2"/>
  <c r="AV216" i="2"/>
  <c r="AU216" i="2"/>
  <c r="AW216" i="2"/>
  <c r="AT216" i="2"/>
  <c r="AS216" i="2"/>
  <c r="AQ216" i="2"/>
  <c r="AR216" i="2"/>
  <c r="AM216" i="2"/>
  <c r="V216" i="2"/>
  <c r="W216" i="2"/>
  <c r="AV215" i="2"/>
  <c r="AU215" i="2"/>
  <c r="AW215" i="2"/>
  <c r="AT215" i="2"/>
  <c r="AS215" i="2"/>
  <c r="AQ215" i="2"/>
  <c r="AM215" i="2"/>
  <c r="V215" i="2"/>
  <c r="W215" i="2"/>
  <c r="AV214" i="2"/>
  <c r="AU214" i="2"/>
  <c r="AW214" i="2"/>
  <c r="AT214" i="2"/>
  <c r="AS214" i="2"/>
  <c r="AQ214" i="2"/>
  <c r="AR214" i="2"/>
  <c r="AM214" i="2"/>
  <c r="V214" i="2"/>
  <c r="W214" i="2"/>
  <c r="AV213" i="2"/>
  <c r="AU213" i="2"/>
  <c r="AW213" i="2"/>
  <c r="AT213" i="2"/>
  <c r="AS213" i="2"/>
  <c r="AQ213" i="2"/>
  <c r="AM213" i="2"/>
  <c r="V213" i="2"/>
  <c r="W213" i="2"/>
  <c r="AV212" i="2"/>
  <c r="AU212" i="2"/>
  <c r="AW212" i="2"/>
  <c r="AT212" i="2"/>
  <c r="AS212" i="2"/>
  <c r="AQ212" i="2"/>
  <c r="AR212" i="2"/>
  <c r="AM212" i="2"/>
  <c r="V212" i="2"/>
  <c r="W212" i="2"/>
  <c r="AV211" i="2"/>
  <c r="AU211" i="2"/>
  <c r="AW211" i="2"/>
  <c r="AT211" i="2"/>
  <c r="AS211" i="2"/>
  <c r="AQ211" i="2"/>
  <c r="AM211" i="2"/>
  <c r="V211" i="2"/>
  <c r="W211" i="2"/>
  <c r="AV210" i="2"/>
  <c r="AU210" i="2"/>
  <c r="AW210" i="2"/>
  <c r="AT210" i="2"/>
  <c r="AS210" i="2"/>
  <c r="AQ210" i="2"/>
  <c r="AM210" i="2"/>
  <c r="V210" i="2"/>
  <c r="W210" i="2"/>
  <c r="AV209" i="2"/>
  <c r="AU209" i="2"/>
  <c r="AW209" i="2"/>
  <c r="AT209" i="2"/>
  <c r="AS209" i="2"/>
  <c r="AQ209" i="2"/>
  <c r="AM209" i="2"/>
  <c r="V209" i="2"/>
  <c r="W209" i="2"/>
  <c r="AV208" i="2"/>
  <c r="AU208" i="2"/>
  <c r="AW208" i="2"/>
  <c r="AT208" i="2"/>
  <c r="AS208" i="2"/>
  <c r="AQ208" i="2"/>
  <c r="AR208" i="2"/>
  <c r="AM208" i="2"/>
  <c r="V208" i="2"/>
  <c r="W208" i="2"/>
  <c r="AV207" i="2"/>
  <c r="AU207" i="2"/>
  <c r="AW207" i="2"/>
  <c r="AT207" i="2"/>
  <c r="AS207" i="2"/>
  <c r="AQ207" i="2"/>
  <c r="AM207" i="2"/>
  <c r="V207" i="2"/>
  <c r="W207" i="2"/>
  <c r="AV206" i="2"/>
  <c r="AU206" i="2"/>
  <c r="AW206" i="2"/>
  <c r="AT206" i="2"/>
  <c r="AS206" i="2"/>
  <c r="AQ206" i="2"/>
  <c r="AM206" i="2"/>
  <c r="V206" i="2"/>
  <c r="W206" i="2"/>
  <c r="AV205" i="2"/>
  <c r="AU205" i="2"/>
  <c r="AW205" i="2"/>
  <c r="AT205" i="2"/>
  <c r="AS205" i="2"/>
  <c r="AQ205" i="2"/>
  <c r="AM205" i="2"/>
  <c r="V205" i="2"/>
  <c r="W205" i="2"/>
  <c r="AV204" i="2"/>
  <c r="AU204" i="2"/>
  <c r="AW204" i="2"/>
  <c r="AT204" i="2"/>
  <c r="AS204" i="2"/>
  <c r="AQ204" i="2"/>
  <c r="AR204" i="2"/>
  <c r="AM204" i="2"/>
  <c r="V204" i="2"/>
  <c r="W204" i="2"/>
  <c r="AV203" i="2"/>
  <c r="AU203" i="2"/>
  <c r="AW203" i="2"/>
  <c r="AT203" i="2"/>
  <c r="AS203" i="2"/>
  <c r="AQ203" i="2"/>
  <c r="AM203" i="2"/>
  <c r="V203" i="2"/>
  <c r="W203" i="2"/>
  <c r="AV202" i="2"/>
  <c r="AU202" i="2"/>
  <c r="AW202" i="2"/>
  <c r="AT202" i="2"/>
  <c r="AS202" i="2"/>
  <c r="AQ202" i="2"/>
  <c r="AR202" i="2"/>
  <c r="AM202" i="2"/>
  <c r="V202" i="2"/>
  <c r="W202" i="2"/>
  <c r="AV201" i="2"/>
  <c r="AU201" i="2"/>
  <c r="AW201" i="2"/>
  <c r="AT201" i="2"/>
  <c r="AS201" i="2"/>
  <c r="AQ201" i="2"/>
  <c r="AM201" i="2"/>
  <c r="V201" i="2"/>
  <c r="W201" i="2"/>
  <c r="AV200" i="2"/>
  <c r="AU200" i="2"/>
  <c r="AW200" i="2"/>
  <c r="AT200" i="2"/>
  <c r="AS200" i="2"/>
  <c r="AQ200" i="2"/>
  <c r="AR200" i="2"/>
  <c r="AM200" i="2"/>
  <c r="V200" i="2"/>
  <c r="W200" i="2"/>
  <c r="AV199" i="2"/>
  <c r="AU199" i="2"/>
  <c r="AW199" i="2"/>
  <c r="AT199" i="2"/>
  <c r="AS199" i="2"/>
  <c r="AQ199" i="2"/>
  <c r="AM199" i="2"/>
  <c r="V199" i="2"/>
  <c r="W199" i="2"/>
  <c r="AV198" i="2"/>
  <c r="AU198" i="2"/>
  <c r="AW198" i="2"/>
  <c r="AT198" i="2"/>
  <c r="AS198" i="2"/>
  <c r="AQ198" i="2"/>
  <c r="AR198" i="2"/>
  <c r="AM198" i="2"/>
  <c r="V198" i="2"/>
  <c r="W198" i="2"/>
  <c r="AV197" i="2"/>
  <c r="AU197" i="2"/>
  <c r="AW197" i="2"/>
  <c r="AT197" i="2"/>
  <c r="AS197" i="2"/>
  <c r="AQ197" i="2"/>
  <c r="AM197" i="2"/>
  <c r="V197" i="2"/>
  <c r="W197" i="2"/>
  <c r="AV196" i="2"/>
  <c r="AU196" i="2"/>
  <c r="AW196" i="2"/>
  <c r="AT196" i="2"/>
  <c r="AS196" i="2"/>
  <c r="AQ196" i="2"/>
  <c r="AR196" i="2"/>
  <c r="AM196" i="2"/>
  <c r="V196" i="2"/>
  <c r="W196" i="2"/>
  <c r="AV195" i="2"/>
  <c r="AU195" i="2"/>
  <c r="AW195" i="2"/>
  <c r="AT195" i="2"/>
  <c r="AS195" i="2"/>
  <c r="AQ195" i="2"/>
  <c r="AR195" i="2"/>
  <c r="AM195" i="2"/>
  <c r="V195" i="2"/>
  <c r="W195" i="2"/>
  <c r="AV194" i="2"/>
  <c r="AU194" i="2"/>
  <c r="AW194" i="2"/>
  <c r="AT194" i="2"/>
  <c r="AS194" i="2"/>
  <c r="AQ194" i="2"/>
  <c r="AR194" i="2"/>
  <c r="AM194" i="2"/>
  <c r="V194" i="2"/>
  <c r="W194" i="2"/>
  <c r="AV193" i="2"/>
  <c r="AU193" i="2"/>
  <c r="AW193" i="2"/>
  <c r="AT193" i="2"/>
  <c r="AS193" i="2"/>
  <c r="AQ193" i="2"/>
  <c r="AR193" i="2"/>
  <c r="AM193" i="2"/>
  <c r="V193" i="2"/>
  <c r="W193" i="2"/>
  <c r="AV192" i="2"/>
  <c r="AU192" i="2"/>
  <c r="AW192" i="2"/>
  <c r="AT192" i="2"/>
  <c r="AS192" i="2"/>
  <c r="AQ192" i="2"/>
  <c r="AR192" i="2"/>
  <c r="AM192" i="2"/>
  <c r="V192" i="2"/>
  <c r="W192" i="2"/>
  <c r="AV191" i="2"/>
  <c r="AU191" i="2"/>
  <c r="AW191" i="2"/>
  <c r="AT191" i="2"/>
  <c r="AS191" i="2"/>
  <c r="AQ191" i="2"/>
  <c r="AR191" i="2"/>
  <c r="AM191" i="2"/>
  <c r="V191" i="2"/>
  <c r="W191" i="2"/>
  <c r="AV190" i="2"/>
  <c r="AU190" i="2"/>
  <c r="AW190" i="2"/>
  <c r="AT190" i="2"/>
  <c r="AS190" i="2"/>
  <c r="AQ190" i="2"/>
  <c r="AM190" i="2"/>
  <c r="V190" i="2"/>
  <c r="W190" i="2"/>
  <c r="AV189" i="2"/>
  <c r="AU189" i="2"/>
  <c r="AW189" i="2"/>
  <c r="AT189" i="2"/>
  <c r="AS189" i="2"/>
  <c r="AQ189" i="2"/>
  <c r="AN189" i="2"/>
  <c r="AM189" i="2"/>
  <c r="V189" i="2"/>
  <c r="W189" i="2"/>
  <c r="AV188" i="2"/>
  <c r="AU188" i="2"/>
  <c r="AW188" i="2"/>
  <c r="AT188" i="2"/>
  <c r="AS188" i="2"/>
  <c r="AQ188" i="2"/>
  <c r="AR188" i="2"/>
  <c r="AM188" i="2"/>
  <c r="V188" i="2"/>
  <c r="W188" i="2"/>
  <c r="AV187" i="2"/>
  <c r="AU187" i="2"/>
  <c r="AW187" i="2"/>
  <c r="AT187" i="2"/>
  <c r="AS187" i="2"/>
  <c r="AQ187" i="2"/>
  <c r="AN187" i="2"/>
  <c r="AM187" i="2"/>
  <c r="V187" i="2"/>
  <c r="W187" i="2"/>
  <c r="AV186" i="2"/>
  <c r="AU186" i="2"/>
  <c r="AW186" i="2"/>
  <c r="AT186" i="2"/>
  <c r="AS186" i="2"/>
  <c r="AQ186" i="2"/>
  <c r="AR186" i="2"/>
  <c r="AM186" i="2"/>
  <c r="V186" i="2"/>
  <c r="AV185" i="2"/>
  <c r="AU185" i="2"/>
  <c r="AW185" i="2"/>
  <c r="AT185" i="2"/>
  <c r="AS185" i="2"/>
  <c r="AQ185" i="2"/>
  <c r="AM185" i="2"/>
  <c r="V185" i="2"/>
  <c r="W185" i="2"/>
  <c r="AV184" i="2"/>
  <c r="AU184" i="2"/>
  <c r="AW184" i="2"/>
  <c r="AT184" i="2"/>
  <c r="AS184" i="2"/>
  <c r="AQ184" i="2"/>
  <c r="AR184" i="2"/>
  <c r="AM184" i="2"/>
  <c r="V184" i="2"/>
  <c r="W184" i="2"/>
  <c r="AV183" i="2"/>
  <c r="AU183" i="2"/>
  <c r="AW183" i="2"/>
  <c r="AT183" i="2"/>
  <c r="AS183" i="2"/>
  <c r="AQ183" i="2"/>
  <c r="AM183" i="2"/>
  <c r="V183" i="2"/>
  <c r="W183" i="2"/>
  <c r="AV182" i="2"/>
  <c r="AU182" i="2"/>
  <c r="AW182" i="2"/>
  <c r="AT182" i="2"/>
  <c r="AS182" i="2"/>
  <c r="AQ182" i="2"/>
  <c r="AR182" i="2"/>
  <c r="AM182" i="2"/>
  <c r="V182" i="2"/>
  <c r="W182" i="2"/>
  <c r="AV181" i="2"/>
  <c r="AU181" i="2"/>
  <c r="AW181" i="2"/>
  <c r="AT181" i="2"/>
  <c r="AS181" i="2"/>
  <c r="AQ181" i="2"/>
  <c r="AM181" i="2"/>
  <c r="V181" i="2"/>
  <c r="W181" i="2"/>
  <c r="AV180" i="2"/>
  <c r="AU180" i="2"/>
  <c r="AW180" i="2"/>
  <c r="AT180" i="2"/>
  <c r="AS180" i="2"/>
  <c r="AQ180" i="2"/>
  <c r="AR180" i="2"/>
  <c r="AM180" i="2"/>
  <c r="V180" i="2"/>
  <c r="AV179" i="2"/>
  <c r="AU179" i="2"/>
  <c r="AW179" i="2"/>
  <c r="AT179" i="2"/>
  <c r="AS179" i="2"/>
  <c r="AQ179" i="2"/>
  <c r="AN179" i="2"/>
  <c r="AM179" i="2"/>
  <c r="V179" i="2"/>
  <c r="W179" i="2"/>
  <c r="AV178" i="2"/>
  <c r="AU178" i="2"/>
  <c r="AW178" i="2"/>
  <c r="AT178" i="2"/>
  <c r="AS178" i="2"/>
  <c r="AQ178" i="2"/>
  <c r="AN178" i="2"/>
  <c r="AM178" i="2"/>
  <c r="V178" i="2"/>
  <c r="W178" i="2"/>
  <c r="AV177" i="2"/>
  <c r="AU177" i="2"/>
  <c r="AW177" i="2"/>
  <c r="AT177" i="2"/>
  <c r="AS177" i="2"/>
  <c r="AQ177" i="2"/>
  <c r="AR177" i="2"/>
  <c r="AM177" i="2"/>
  <c r="V177" i="2"/>
  <c r="W177" i="2"/>
  <c r="AV176" i="2"/>
  <c r="AU176" i="2"/>
  <c r="AW176" i="2"/>
  <c r="AT176" i="2"/>
  <c r="AS176" i="2"/>
  <c r="AQ176" i="2"/>
  <c r="AN176" i="2"/>
  <c r="AM176" i="2"/>
  <c r="V176" i="2"/>
  <c r="W176" i="2"/>
  <c r="AV175" i="2"/>
  <c r="AU175" i="2"/>
  <c r="AW175" i="2"/>
  <c r="AT175" i="2"/>
  <c r="AS175" i="2"/>
  <c r="AQ175" i="2"/>
  <c r="AR175" i="2"/>
  <c r="AM175" i="2"/>
  <c r="V175" i="2"/>
  <c r="W175" i="2"/>
  <c r="AV174" i="2"/>
  <c r="AU174" i="2"/>
  <c r="AW174" i="2"/>
  <c r="AT174" i="2"/>
  <c r="AS174" i="2"/>
  <c r="AQ174" i="2"/>
  <c r="AN174" i="2"/>
  <c r="AM174" i="2"/>
  <c r="V174" i="2"/>
  <c r="W174" i="2"/>
  <c r="AV173" i="2"/>
  <c r="AU173" i="2"/>
  <c r="AW173" i="2"/>
  <c r="AT173" i="2"/>
  <c r="AS173" i="2"/>
  <c r="AQ173" i="2"/>
  <c r="AN173" i="2"/>
  <c r="AM173" i="2"/>
  <c r="V173" i="2"/>
  <c r="W173" i="2"/>
  <c r="AV172" i="2"/>
  <c r="AU172" i="2"/>
  <c r="AW172" i="2"/>
  <c r="AT172" i="2"/>
  <c r="AS172" i="2"/>
  <c r="AQ172" i="2"/>
  <c r="AM172" i="2"/>
  <c r="V172" i="2"/>
  <c r="W172" i="2"/>
  <c r="AV171" i="2"/>
  <c r="AU171" i="2"/>
  <c r="AW171" i="2"/>
  <c r="AT171" i="2"/>
  <c r="AS171" i="2"/>
  <c r="AQ171" i="2"/>
  <c r="AR171" i="2"/>
  <c r="AM171" i="2"/>
  <c r="V171" i="2"/>
  <c r="W171" i="2"/>
  <c r="AV170" i="2"/>
  <c r="AU170" i="2"/>
  <c r="AW170" i="2"/>
  <c r="AT170" i="2"/>
  <c r="AS170" i="2"/>
  <c r="AQ170" i="2"/>
  <c r="AN170" i="2"/>
  <c r="AM170" i="2"/>
  <c r="V170" i="2"/>
  <c r="W170" i="2"/>
  <c r="AV169" i="2"/>
  <c r="AU169" i="2"/>
  <c r="AW169" i="2"/>
  <c r="AT169" i="2"/>
  <c r="AS169" i="2"/>
  <c r="AQ169" i="2"/>
  <c r="AN169" i="2"/>
  <c r="AM169" i="2"/>
  <c r="V169" i="2"/>
  <c r="W169" i="2"/>
  <c r="AV168" i="2"/>
  <c r="AU168" i="2"/>
  <c r="AW168" i="2"/>
  <c r="AT168" i="2"/>
  <c r="AS168" i="2"/>
  <c r="AQ168" i="2"/>
  <c r="AN168" i="2"/>
  <c r="AM168" i="2"/>
  <c r="V168" i="2"/>
  <c r="W168" i="2"/>
  <c r="AV167" i="2"/>
  <c r="AU167" i="2"/>
  <c r="AW167" i="2"/>
  <c r="AT167" i="2"/>
  <c r="AS167" i="2"/>
  <c r="AQ167" i="2"/>
  <c r="AR167" i="2"/>
  <c r="AM167" i="2"/>
  <c r="V167" i="2"/>
  <c r="W167" i="2"/>
  <c r="AV166" i="2"/>
  <c r="AU166" i="2"/>
  <c r="AW166" i="2"/>
  <c r="AT166" i="2"/>
  <c r="AS166" i="2"/>
  <c r="AQ166" i="2"/>
  <c r="AN166" i="2"/>
  <c r="AM166" i="2"/>
  <c r="V166" i="2"/>
  <c r="AV165" i="2"/>
  <c r="AU165" i="2"/>
  <c r="AW165" i="2"/>
  <c r="AT165" i="2"/>
  <c r="AS165" i="2"/>
  <c r="AQ165" i="2"/>
  <c r="AN165" i="2"/>
  <c r="AM165" i="2"/>
  <c r="V165" i="2"/>
  <c r="W165" i="2"/>
  <c r="AV164" i="2"/>
  <c r="AU164" i="2"/>
  <c r="AW164" i="2"/>
  <c r="AT164" i="2"/>
  <c r="AS164" i="2"/>
  <c r="AQ164" i="2"/>
  <c r="AN164" i="2"/>
  <c r="AM164" i="2"/>
  <c r="V164" i="2"/>
  <c r="W164" i="2"/>
  <c r="AV163" i="2"/>
  <c r="AU163" i="2"/>
  <c r="AW163" i="2"/>
  <c r="AT163" i="2"/>
  <c r="AS163" i="2"/>
  <c r="AQ163" i="2"/>
  <c r="AN163" i="2"/>
  <c r="AM163" i="2"/>
  <c r="V163" i="2"/>
  <c r="W163" i="2"/>
  <c r="AV162" i="2"/>
  <c r="AU162" i="2"/>
  <c r="AW162" i="2"/>
  <c r="AT162" i="2"/>
  <c r="AS162" i="2"/>
  <c r="AQ162" i="2"/>
  <c r="AN162" i="2"/>
  <c r="AM162" i="2"/>
  <c r="V162" i="2"/>
  <c r="W162" i="2"/>
  <c r="AV161" i="2"/>
  <c r="AU161" i="2"/>
  <c r="AW161" i="2"/>
  <c r="AT161" i="2"/>
  <c r="AS161" i="2"/>
  <c r="AQ161" i="2"/>
  <c r="AN161" i="2"/>
  <c r="AM161" i="2"/>
  <c r="V161" i="2"/>
  <c r="AV160" i="2"/>
  <c r="AU160" i="2"/>
  <c r="AW160" i="2"/>
  <c r="AT160" i="2"/>
  <c r="AS160" i="2"/>
  <c r="AQ160" i="2"/>
  <c r="AR160" i="2"/>
  <c r="AM160" i="2"/>
  <c r="V160" i="2"/>
  <c r="W160" i="2"/>
  <c r="AV159" i="2"/>
  <c r="AU159" i="2"/>
  <c r="AW159" i="2"/>
  <c r="AT159" i="2"/>
  <c r="AS159" i="2"/>
  <c r="AQ159" i="2"/>
  <c r="AR159" i="2"/>
  <c r="AM159" i="2"/>
  <c r="V159" i="2"/>
  <c r="W159" i="2"/>
  <c r="AV158" i="2"/>
  <c r="AU158" i="2"/>
  <c r="AW158" i="2"/>
  <c r="AT158" i="2"/>
  <c r="AS158" i="2"/>
  <c r="AQ158" i="2"/>
  <c r="AR158" i="2"/>
  <c r="AM158" i="2"/>
  <c r="V158" i="2"/>
  <c r="W158" i="2"/>
  <c r="AV157" i="2"/>
  <c r="AU157" i="2"/>
  <c r="AW157" i="2"/>
  <c r="AT157" i="2"/>
  <c r="AS157" i="2"/>
  <c r="AQ157" i="2"/>
  <c r="AR157" i="2"/>
  <c r="AM157" i="2"/>
  <c r="V157" i="2"/>
  <c r="W157" i="2"/>
  <c r="AV156" i="2"/>
  <c r="AU156" i="2"/>
  <c r="AW156" i="2"/>
  <c r="AT156" i="2"/>
  <c r="AS156" i="2"/>
  <c r="AQ156" i="2"/>
  <c r="AN156" i="2"/>
  <c r="AM156" i="2"/>
  <c r="V156" i="2"/>
  <c r="W156" i="2"/>
  <c r="AV155" i="2"/>
  <c r="AU155" i="2"/>
  <c r="AW155" i="2"/>
  <c r="AT155" i="2"/>
  <c r="AS155" i="2"/>
  <c r="AQ155" i="2"/>
  <c r="AR155" i="2"/>
  <c r="AM155" i="2"/>
  <c r="V155" i="2"/>
  <c r="W155" i="2"/>
  <c r="AV154" i="2"/>
  <c r="AU154" i="2"/>
  <c r="AW154" i="2"/>
  <c r="AT154" i="2"/>
  <c r="AS154" i="2"/>
  <c r="AQ154" i="2"/>
  <c r="AR154" i="2"/>
  <c r="AM154" i="2"/>
  <c r="V154" i="2"/>
  <c r="AV153" i="2"/>
  <c r="AU153" i="2"/>
  <c r="AW153" i="2"/>
  <c r="AT153" i="2"/>
  <c r="AS153" i="2"/>
  <c r="AQ153" i="2"/>
  <c r="AR153" i="2"/>
  <c r="AM153" i="2"/>
  <c r="V153" i="2"/>
  <c r="AV152" i="2"/>
  <c r="AU152" i="2"/>
  <c r="AW152" i="2"/>
  <c r="AT152" i="2"/>
  <c r="AS152" i="2"/>
  <c r="AQ152" i="2"/>
  <c r="AM152" i="2"/>
  <c r="V152" i="2"/>
  <c r="AV151" i="2"/>
  <c r="AU151" i="2"/>
  <c r="AW151" i="2"/>
  <c r="AT151" i="2"/>
  <c r="AS151" i="2"/>
  <c r="AQ151" i="2"/>
  <c r="AN151" i="2"/>
  <c r="AM151" i="2"/>
  <c r="V151" i="2"/>
  <c r="AV150" i="2"/>
  <c r="AU150" i="2"/>
  <c r="AW150" i="2"/>
  <c r="AT150" i="2"/>
  <c r="AS150" i="2"/>
  <c r="AQ150" i="2"/>
  <c r="AR150" i="2"/>
  <c r="AM150" i="2"/>
  <c r="V150" i="2"/>
  <c r="AV149" i="2"/>
  <c r="AU149" i="2"/>
  <c r="AW149" i="2"/>
  <c r="AT149" i="2"/>
  <c r="AS149" i="2"/>
  <c r="AQ149" i="2"/>
  <c r="AM149" i="2"/>
  <c r="V149" i="2"/>
  <c r="AV148" i="2"/>
  <c r="AU148" i="2"/>
  <c r="AW148" i="2"/>
  <c r="AT148" i="2"/>
  <c r="AS148" i="2"/>
  <c r="AQ148" i="2"/>
  <c r="AN148" i="2"/>
  <c r="AM148" i="2"/>
  <c r="V148" i="2"/>
  <c r="AV147" i="2"/>
  <c r="AU147" i="2"/>
  <c r="AW147" i="2"/>
  <c r="AT147" i="2"/>
  <c r="AS147" i="2"/>
  <c r="AQ147" i="2"/>
  <c r="AR147" i="2"/>
  <c r="AM147" i="2"/>
  <c r="V147" i="2"/>
  <c r="AV146" i="2"/>
  <c r="AU146" i="2"/>
  <c r="AW146" i="2"/>
  <c r="AT146" i="2"/>
  <c r="AS146" i="2"/>
  <c r="AQ146" i="2"/>
  <c r="AR146" i="2"/>
  <c r="AM146" i="2"/>
  <c r="V146" i="2"/>
  <c r="AV145" i="2"/>
  <c r="AU145" i="2"/>
  <c r="AW145" i="2"/>
  <c r="AT145" i="2"/>
  <c r="AS145" i="2"/>
  <c r="AQ145" i="2"/>
  <c r="AR145" i="2"/>
  <c r="AM145" i="2"/>
  <c r="V145" i="2"/>
  <c r="AV144" i="2"/>
  <c r="AU144" i="2"/>
  <c r="AW144" i="2"/>
  <c r="AT144" i="2"/>
  <c r="AS144" i="2"/>
  <c r="AQ144" i="2"/>
  <c r="AR144" i="2"/>
  <c r="AM144" i="2"/>
  <c r="V144" i="2"/>
  <c r="AV143" i="2"/>
  <c r="AU143" i="2"/>
  <c r="AW143" i="2"/>
  <c r="AT143" i="2"/>
  <c r="AS143" i="2"/>
  <c r="AQ143" i="2"/>
  <c r="AN143" i="2"/>
  <c r="AM143" i="2"/>
  <c r="V143" i="2"/>
  <c r="AV142" i="2"/>
  <c r="AU142" i="2"/>
  <c r="AW142" i="2"/>
  <c r="AT142" i="2"/>
  <c r="AS142" i="2"/>
  <c r="AQ142" i="2"/>
  <c r="AM142" i="2"/>
  <c r="V142" i="2"/>
  <c r="AV141" i="2"/>
  <c r="AU141" i="2"/>
  <c r="AW141" i="2"/>
  <c r="AT141" i="2"/>
  <c r="AS141" i="2"/>
  <c r="AQ141" i="2"/>
  <c r="AM141" i="2"/>
  <c r="V141" i="2"/>
  <c r="AV140" i="2"/>
  <c r="AU140" i="2"/>
  <c r="AW140" i="2"/>
  <c r="AT140" i="2"/>
  <c r="AS140" i="2"/>
  <c r="AQ140" i="2"/>
  <c r="AN140" i="2"/>
  <c r="AM140" i="2"/>
  <c r="V140" i="2"/>
  <c r="W140" i="2"/>
  <c r="AV139" i="2"/>
  <c r="AU139" i="2"/>
  <c r="AW139" i="2"/>
  <c r="AT139" i="2"/>
  <c r="AS139" i="2"/>
  <c r="AQ139" i="2"/>
  <c r="AM139" i="2"/>
  <c r="V139" i="2"/>
  <c r="W139" i="2"/>
  <c r="AV138" i="2"/>
  <c r="AU138" i="2"/>
  <c r="AW138" i="2"/>
  <c r="AT138" i="2"/>
  <c r="AS138" i="2"/>
  <c r="AQ138" i="2"/>
  <c r="AN138" i="2"/>
  <c r="AM138" i="2"/>
  <c r="V138" i="2"/>
  <c r="W138" i="2"/>
  <c r="AV137" i="2"/>
  <c r="AU137" i="2"/>
  <c r="AW137" i="2"/>
  <c r="AT137" i="2"/>
  <c r="AS137" i="2"/>
  <c r="AQ137" i="2"/>
  <c r="AR137" i="2"/>
  <c r="AM137" i="2"/>
  <c r="V137" i="2"/>
  <c r="AV136" i="2"/>
  <c r="AU136" i="2"/>
  <c r="AW136" i="2"/>
  <c r="AT136" i="2"/>
  <c r="AS136" i="2"/>
  <c r="AQ136" i="2"/>
  <c r="AN136" i="2"/>
  <c r="AM136" i="2"/>
  <c r="V136" i="2"/>
  <c r="AV135" i="2"/>
  <c r="AU135" i="2"/>
  <c r="AW135" i="2"/>
  <c r="AT135" i="2"/>
  <c r="AS135" i="2"/>
  <c r="AQ135" i="2"/>
  <c r="AM135" i="2"/>
  <c r="V135" i="2"/>
  <c r="W135" i="2"/>
  <c r="AV134" i="2"/>
  <c r="AU134" i="2"/>
  <c r="AW134" i="2"/>
  <c r="AT134" i="2"/>
  <c r="AS134" i="2"/>
  <c r="AQ134" i="2"/>
  <c r="AN134" i="2"/>
  <c r="AM134" i="2"/>
  <c r="V134" i="2"/>
  <c r="W134" i="2"/>
  <c r="AV133" i="2"/>
  <c r="AU133" i="2"/>
  <c r="AW133" i="2"/>
  <c r="AT133" i="2"/>
  <c r="AS133" i="2"/>
  <c r="AQ133" i="2"/>
  <c r="AM133" i="2"/>
  <c r="V133" i="2"/>
  <c r="W133" i="2"/>
  <c r="AV132" i="2"/>
  <c r="AU132" i="2"/>
  <c r="AW132" i="2"/>
  <c r="AT132" i="2"/>
  <c r="AS132" i="2"/>
  <c r="AQ132" i="2"/>
  <c r="AR132" i="2"/>
  <c r="AM132" i="2"/>
  <c r="V132" i="2"/>
  <c r="W132" i="2"/>
  <c r="AV131" i="2"/>
  <c r="AU131" i="2"/>
  <c r="AW131" i="2"/>
  <c r="AT131" i="2"/>
  <c r="AS131" i="2"/>
  <c r="AQ131" i="2"/>
  <c r="AM131" i="2"/>
  <c r="V131" i="2"/>
  <c r="W131" i="2"/>
  <c r="AV130" i="2"/>
  <c r="AU130" i="2"/>
  <c r="AW130" i="2"/>
  <c r="AT130" i="2"/>
  <c r="AS130" i="2"/>
  <c r="AQ130" i="2"/>
  <c r="AM130" i="2"/>
  <c r="V130" i="2"/>
  <c r="W130" i="2"/>
  <c r="AV129" i="2"/>
  <c r="AU129" i="2"/>
  <c r="AW129" i="2"/>
  <c r="AT129" i="2"/>
  <c r="AS129" i="2"/>
  <c r="AQ129" i="2"/>
  <c r="AM129" i="2"/>
  <c r="V129" i="2"/>
  <c r="W129" i="2"/>
  <c r="AV128" i="2"/>
  <c r="AU128" i="2"/>
  <c r="AW128" i="2"/>
  <c r="AT128" i="2"/>
  <c r="AS128" i="2"/>
  <c r="AQ128" i="2"/>
  <c r="AM128" i="2"/>
  <c r="V128" i="2"/>
  <c r="W128" i="2"/>
  <c r="AV127" i="2"/>
  <c r="AU127" i="2"/>
  <c r="AW127" i="2"/>
  <c r="AT127" i="2"/>
  <c r="AS127" i="2"/>
  <c r="AQ127" i="2"/>
  <c r="AM127" i="2"/>
  <c r="V127" i="2"/>
  <c r="W127" i="2"/>
  <c r="AV126" i="2"/>
  <c r="AU126" i="2"/>
  <c r="AW126" i="2"/>
  <c r="AT126" i="2"/>
  <c r="AS126" i="2"/>
  <c r="AQ126" i="2"/>
  <c r="AN126" i="2"/>
  <c r="AM126" i="2"/>
  <c r="V126" i="2"/>
  <c r="W126" i="2"/>
  <c r="AV125" i="2"/>
  <c r="AU125" i="2"/>
  <c r="AW125" i="2"/>
  <c r="AT125" i="2"/>
  <c r="AS125" i="2"/>
  <c r="AQ125" i="2"/>
  <c r="AM125" i="2"/>
  <c r="V125" i="2"/>
  <c r="W125" i="2"/>
  <c r="AV124" i="2"/>
  <c r="AU124" i="2"/>
  <c r="AW124" i="2"/>
  <c r="AT124" i="2"/>
  <c r="AS124" i="2"/>
  <c r="AQ124" i="2"/>
  <c r="AM124" i="2"/>
  <c r="V124" i="2"/>
  <c r="W124" i="2"/>
  <c r="AV123" i="2"/>
  <c r="AU123" i="2"/>
  <c r="AW123" i="2"/>
  <c r="AT123" i="2"/>
  <c r="AS123" i="2"/>
  <c r="AQ123" i="2"/>
  <c r="AM123" i="2"/>
  <c r="V123" i="2"/>
  <c r="W123" i="2"/>
  <c r="AV122" i="2"/>
  <c r="AU122" i="2"/>
  <c r="AW122" i="2"/>
  <c r="AT122" i="2"/>
  <c r="AS122" i="2"/>
  <c r="AQ122" i="2"/>
  <c r="AN122" i="2"/>
  <c r="AM122" i="2"/>
  <c r="V122" i="2"/>
  <c r="W122" i="2"/>
  <c r="AV121" i="2"/>
  <c r="AU121" i="2"/>
  <c r="AW121" i="2"/>
  <c r="AT121" i="2"/>
  <c r="AS121" i="2"/>
  <c r="AQ121" i="2"/>
  <c r="AM121" i="2"/>
  <c r="V121" i="2"/>
  <c r="W121" i="2"/>
  <c r="AV120" i="2"/>
  <c r="AU120" i="2"/>
  <c r="AW120" i="2"/>
  <c r="AT120" i="2"/>
  <c r="AS120" i="2"/>
  <c r="AQ120" i="2"/>
  <c r="AR120" i="2"/>
  <c r="AM120" i="2"/>
  <c r="V120" i="2"/>
  <c r="W120" i="2"/>
  <c r="AV119" i="2"/>
  <c r="AU119" i="2"/>
  <c r="AW119" i="2"/>
  <c r="AT119" i="2"/>
  <c r="AS119" i="2"/>
  <c r="AQ119" i="2"/>
  <c r="AM119" i="2"/>
  <c r="V119" i="2"/>
  <c r="W119" i="2"/>
  <c r="AV118" i="2"/>
  <c r="AU118" i="2"/>
  <c r="AW118" i="2"/>
  <c r="AT118" i="2"/>
  <c r="AS118" i="2"/>
  <c r="AQ118" i="2"/>
  <c r="AN118" i="2"/>
  <c r="AM118" i="2"/>
  <c r="V118" i="2"/>
  <c r="W118" i="2"/>
  <c r="AV117" i="2"/>
  <c r="AU117" i="2"/>
  <c r="AW117" i="2"/>
  <c r="AT117" i="2"/>
  <c r="AS117" i="2"/>
  <c r="AQ117" i="2"/>
  <c r="AM117" i="2"/>
  <c r="V117" i="2"/>
  <c r="W117" i="2"/>
  <c r="AV116" i="2"/>
  <c r="AU116" i="2"/>
  <c r="AW116" i="2"/>
  <c r="AT116" i="2"/>
  <c r="AS116" i="2"/>
  <c r="AQ116" i="2"/>
  <c r="AR116" i="2"/>
  <c r="AM116" i="2"/>
  <c r="V116" i="2"/>
  <c r="W116" i="2"/>
  <c r="AV115" i="2"/>
  <c r="AU115" i="2"/>
  <c r="AW115" i="2"/>
  <c r="AT115" i="2"/>
  <c r="AS115" i="2"/>
  <c r="AQ115" i="2"/>
  <c r="AM115" i="2"/>
  <c r="V115" i="2"/>
  <c r="W115" i="2"/>
  <c r="AV114" i="2"/>
  <c r="AU114" i="2"/>
  <c r="AW114" i="2"/>
  <c r="AT114" i="2"/>
  <c r="AS114" i="2"/>
  <c r="AQ114" i="2"/>
  <c r="AM114" i="2"/>
  <c r="V114" i="2"/>
  <c r="W114" i="2"/>
  <c r="AV113" i="2"/>
  <c r="AU113" i="2"/>
  <c r="AW113" i="2"/>
  <c r="AT113" i="2"/>
  <c r="AS113" i="2"/>
  <c r="AQ113" i="2"/>
  <c r="AM113" i="2"/>
  <c r="V113" i="2"/>
  <c r="W113" i="2"/>
  <c r="AV112" i="2"/>
  <c r="AU112" i="2"/>
  <c r="AW112" i="2"/>
  <c r="AT112" i="2"/>
  <c r="AS112" i="2"/>
  <c r="AQ112" i="2"/>
  <c r="AR112" i="2"/>
  <c r="AM112" i="2"/>
  <c r="V112" i="2"/>
  <c r="W112" i="2"/>
  <c r="AV111" i="2"/>
  <c r="AU111" i="2"/>
  <c r="AW111" i="2"/>
  <c r="AT111" i="2"/>
  <c r="AS111" i="2"/>
  <c r="AQ111" i="2"/>
  <c r="AM111" i="2"/>
  <c r="V111" i="2"/>
  <c r="W111" i="2"/>
  <c r="AV110" i="2"/>
  <c r="AU110" i="2"/>
  <c r="AW110" i="2"/>
  <c r="AT110" i="2"/>
  <c r="AS110" i="2"/>
  <c r="AQ110" i="2"/>
  <c r="AN110" i="2"/>
  <c r="AM110" i="2"/>
  <c r="V110" i="2"/>
  <c r="W110" i="2"/>
  <c r="AV109" i="2"/>
  <c r="AU109" i="2"/>
  <c r="AW109" i="2"/>
  <c r="AT109" i="2"/>
  <c r="AS109" i="2"/>
  <c r="AQ109" i="2"/>
  <c r="AM109" i="2"/>
  <c r="V109" i="2"/>
  <c r="W109" i="2"/>
  <c r="AV108" i="2"/>
  <c r="AU108" i="2"/>
  <c r="AW108" i="2"/>
  <c r="AT108" i="2"/>
  <c r="AS108" i="2"/>
  <c r="AQ108" i="2"/>
  <c r="AR108" i="2"/>
  <c r="AM108" i="2"/>
  <c r="V108" i="2"/>
  <c r="W108" i="2"/>
  <c r="AV107" i="2"/>
  <c r="AU107" i="2"/>
  <c r="AW107" i="2"/>
  <c r="AT107" i="2"/>
  <c r="AS107" i="2"/>
  <c r="AQ107" i="2"/>
  <c r="AM107" i="2"/>
  <c r="V107" i="2"/>
  <c r="W107" i="2"/>
  <c r="AV106" i="2"/>
  <c r="AU106" i="2"/>
  <c r="AW106" i="2"/>
  <c r="AT106" i="2"/>
  <c r="AS106" i="2"/>
  <c r="AQ106" i="2"/>
  <c r="AN106" i="2"/>
  <c r="AM106" i="2"/>
  <c r="V106" i="2"/>
  <c r="W106" i="2"/>
  <c r="AV105" i="2"/>
  <c r="AU105" i="2"/>
  <c r="AW105" i="2"/>
  <c r="AT105" i="2"/>
  <c r="AS105" i="2"/>
  <c r="AQ105" i="2"/>
  <c r="AM105" i="2"/>
  <c r="V105" i="2"/>
  <c r="W105" i="2"/>
  <c r="AV104" i="2"/>
  <c r="AU104" i="2"/>
  <c r="AW104" i="2"/>
  <c r="AT104" i="2"/>
  <c r="AS104" i="2"/>
  <c r="AQ104" i="2"/>
  <c r="AR104" i="2"/>
  <c r="AM104" i="2"/>
  <c r="V104" i="2"/>
  <c r="W104" i="2"/>
  <c r="AV103" i="2"/>
  <c r="AU103" i="2"/>
  <c r="AW103" i="2"/>
  <c r="AT103" i="2"/>
  <c r="AS103" i="2"/>
  <c r="AQ103" i="2"/>
  <c r="AM103" i="2"/>
  <c r="V103" i="2"/>
  <c r="W103" i="2"/>
  <c r="AV102" i="2"/>
  <c r="AU102" i="2"/>
  <c r="AW102" i="2"/>
  <c r="AT102" i="2"/>
  <c r="AS102" i="2"/>
  <c r="AQ102" i="2"/>
  <c r="AN102" i="2"/>
  <c r="AM102" i="2"/>
  <c r="V102" i="2"/>
  <c r="W102" i="2"/>
  <c r="AV101" i="2"/>
  <c r="AU101" i="2"/>
  <c r="AW101" i="2"/>
  <c r="AT101" i="2"/>
  <c r="AS101" i="2"/>
  <c r="AQ101" i="2"/>
  <c r="AM101" i="2"/>
  <c r="V101" i="2"/>
  <c r="W101" i="2"/>
  <c r="AV100" i="2"/>
  <c r="AU100" i="2"/>
  <c r="AW100" i="2"/>
  <c r="AT100" i="2"/>
  <c r="AS100" i="2"/>
  <c r="AQ100" i="2"/>
  <c r="AR100" i="2"/>
  <c r="AM100" i="2"/>
  <c r="V100" i="2"/>
  <c r="W100" i="2"/>
  <c r="AV99" i="2"/>
  <c r="AU99" i="2"/>
  <c r="AW99" i="2"/>
  <c r="AT99" i="2"/>
  <c r="AS99" i="2"/>
  <c r="AQ99" i="2"/>
  <c r="AM99" i="2"/>
  <c r="V99" i="2"/>
  <c r="W99" i="2"/>
  <c r="AV98" i="2"/>
  <c r="AU98" i="2"/>
  <c r="AW98" i="2"/>
  <c r="AT98" i="2"/>
  <c r="AS98" i="2"/>
  <c r="AQ98" i="2"/>
  <c r="AM98" i="2"/>
  <c r="V98" i="2"/>
  <c r="AV97" i="2"/>
  <c r="AU97" i="2"/>
  <c r="AW97" i="2"/>
  <c r="AT97" i="2"/>
  <c r="AS97" i="2"/>
  <c r="AQ97" i="2"/>
  <c r="AR97" i="2"/>
  <c r="AM97" i="2"/>
  <c r="V97" i="2"/>
  <c r="W97" i="2"/>
  <c r="AV96" i="2"/>
  <c r="AU96" i="2"/>
  <c r="AW96" i="2"/>
  <c r="AT96" i="2"/>
  <c r="AS96" i="2"/>
  <c r="AQ96" i="2"/>
  <c r="AN96" i="2"/>
  <c r="AM96" i="2"/>
  <c r="V96" i="2"/>
  <c r="W96" i="2"/>
  <c r="AV95" i="2"/>
  <c r="AU95" i="2"/>
  <c r="AW95" i="2"/>
  <c r="AT95" i="2"/>
  <c r="AS95" i="2"/>
  <c r="AQ95" i="2"/>
  <c r="AN95" i="2"/>
  <c r="AM95" i="2"/>
  <c r="V95" i="2"/>
  <c r="W95" i="2"/>
  <c r="AV94" i="2"/>
  <c r="AU94" i="2"/>
  <c r="AW94" i="2"/>
  <c r="AT94" i="2"/>
  <c r="AS94" i="2"/>
  <c r="AQ94" i="2"/>
  <c r="AN94" i="2"/>
  <c r="AM94" i="2"/>
  <c r="V94" i="2"/>
  <c r="W94" i="2"/>
  <c r="AV93" i="2"/>
  <c r="AU93" i="2"/>
  <c r="AW93" i="2"/>
  <c r="AT93" i="2"/>
  <c r="AS93" i="2"/>
  <c r="AQ93" i="2"/>
  <c r="AM93" i="2"/>
  <c r="V93" i="2"/>
  <c r="W93" i="2"/>
  <c r="AV92" i="2"/>
  <c r="AU92" i="2"/>
  <c r="AW92" i="2"/>
  <c r="AT92" i="2"/>
  <c r="AS92" i="2"/>
  <c r="AQ92" i="2"/>
  <c r="AN92" i="2"/>
  <c r="AM92" i="2"/>
  <c r="V92" i="2"/>
  <c r="W92" i="2"/>
  <c r="AV91" i="2"/>
  <c r="AU91" i="2"/>
  <c r="AW91" i="2"/>
  <c r="AT91" i="2"/>
  <c r="AS91" i="2"/>
  <c r="AQ91" i="2"/>
  <c r="AN91" i="2"/>
  <c r="AM91" i="2"/>
  <c r="V91" i="2"/>
  <c r="W91" i="2"/>
  <c r="AV90" i="2"/>
  <c r="AU90" i="2"/>
  <c r="AW90" i="2"/>
  <c r="AT90" i="2"/>
  <c r="AS90" i="2"/>
  <c r="AQ90" i="2"/>
  <c r="AM90" i="2"/>
  <c r="V90" i="2"/>
  <c r="W90" i="2"/>
  <c r="AV89" i="2"/>
  <c r="AU89" i="2"/>
  <c r="AW89" i="2"/>
  <c r="AT89" i="2"/>
  <c r="AS89" i="2"/>
  <c r="AQ89" i="2"/>
  <c r="AR89" i="2"/>
  <c r="AM89" i="2"/>
  <c r="V89" i="2"/>
  <c r="W89" i="2"/>
  <c r="AV88" i="2"/>
  <c r="AU88" i="2"/>
  <c r="AW88" i="2"/>
  <c r="AT88" i="2"/>
  <c r="AS88" i="2"/>
  <c r="AQ88" i="2"/>
  <c r="AM88" i="2"/>
  <c r="V88" i="2"/>
  <c r="W88" i="2"/>
  <c r="AV87" i="2"/>
  <c r="AU87" i="2"/>
  <c r="AW87" i="2"/>
  <c r="AT87" i="2"/>
  <c r="AS87" i="2"/>
  <c r="AQ87" i="2"/>
  <c r="AR87" i="2"/>
  <c r="AM87" i="2"/>
  <c r="V87" i="2"/>
  <c r="W87" i="2"/>
  <c r="AV86" i="2"/>
  <c r="AU86" i="2"/>
  <c r="AW86" i="2"/>
  <c r="AT86" i="2"/>
  <c r="AS86" i="2"/>
  <c r="AQ86" i="2"/>
  <c r="AN86" i="2"/>
  <c r="AM86" i="2"/>
  <c r="V86" i="2"/>
  <c r="W86" i="2"/>
  <c r="AV85" i="2"/>
  <c r="AU85" i="2"/>
  <c r="AW85" i="2"/>
  <c r="AT85" i="2"/>
  <c r="AS85" i="2"/>
  <c r="AQ85" i="2"/>
  <c r="AR85" i="2"/>
  <c r="AM85" i="2"/>
  <c r="V85" i="2"/>
  <c r="W85" i="2"/>
  <c r="AV84" i="2"/>
  <c r="AU84" i="2"/>
  <c r="AW84" i="2"/>
  <c r="AT84" i="2"/>
  <c r="AS84" i="2"/>
  <c r="AQ84" i="2"/>
  <c r="AN84" i="2"/>
  <c r="AM84" i="2"/>
  <c r="V84" i="2"/>
  <c r="AV83" i="2"/>
  <c r="AU83" i="2"/>
  <c r="AW83" i="2"/>
  <c r="AT83" i="2"/>
  <c r="AS83" i="2"/>
  <c r="AQ83" i="2"/>
  <c r="AN83" i="2"/>
  <c r="AM83" i="2"/>
  <c r="V83" i="2"/>
  <c r="AV82" i="2"/>
  <c r="AU82" i="2"/>
  <c r="AW82" i="2"/>
  <c r="AT82" i="2"/>
  <c r="AS82" i="2"/>
  <c r="AQ82" i="2"/>
  <c r="AR82" i="2"/>
  <c r="AM82" i="2"/>
  <c r="V82" i="2"/>
  <c r="W82" i="2"/>
  <c r="AV81" i="2"/>
  <c r="AU81" i="2"/>
  <c r="AW81" i="2"/>
  <c r="AT81" i="2"/>
  <c r="AS81" i="2"/>
  <c r="AQ81" i="2"/>
  <c r="AM81" i="2"/>
  <c r="V81" i="2"/>
  <c r="W81" i="2"/>
  <c r="AV80" i="2"/>
  <c r="AU80" i="2"/>
  <c r="AW80" i="2"/>
  <c r="AT80" i="2"/>
  <c r="AS80" i="2"/>
  <c r="AQ80" i="2"/>
  <c r="AR80" i="2"/>
  <c r="AM80" i="2"/>
  <c r="V80" i="2"/>
  <c r="W80" i="2"/>
  <c r="AV79" i="2"/>
  <c r="AU79" i="2"/>
  <c r="AW79" i="2"/>
  <c r="AT79" i="2"/>
  <c r="AS79" i="2"/>
  <c r="AQ79" i="2"/>
  <c r="AR79" i="2"/>
  <c r="AM79" i="2"/>
  <c r="V79" i="2"/>
  <c r="W79" i="2"/>
  <c r="AV78" i="2"/>
  <c r="AU78" i="2"/>
  <c r="AW78" i="2"/>
  <c r="AT78" i="2"/>
  <c r="AS78" i="2"/>
  <c r="AQ78" i="2"/>
  <c r="AR78" i="2"/>
  <c r="AM78" i="2"/>
  <c r="V78" i="2"/>
  <c r="W78" i="2"/>
  <c r="AV77" i="2"/>
  <c r="AU77" i="2"/>
  <c r="AW77" i="2"/>
  <c r="AT77" i="2"/>
  <c r="AS77" i="2"/>
  <c r="AQ77" i="2"/>
  <c r="AR77" i="2"/>
  <c r="AM77" i="2"/>
  <c r="V77" i="2"/>
  <c r="W77" i="2"/>
  <c r="AV76" i="2"/>
  <c r="AU76" i="2"/>
  <c r="AW76" i="2"/>
  <c r="AT76" i="2"/>
  <c r="AS76" i="2"/>
  <c r="AQ76" i="2"/>
  <c r="AN76" i="2"/>
  <c r="AM76" i="2"/>
  <c r="V76" i="2"/>
  <c r="W76" i="2"/>
  <c r="AV75" i="2"/>
  <c r="AU75" i="2"/>
  <c r="AW75" i="2"/>
  <c r="AT75" i="2"/>
  <c r="AS75" i="2"/>
  <c r="AQ75" i="2"/>
  <c r="AM75" i="2"/>
  <c r="V75" i="2"/>
  <c r="W75" i="2"/>
  <c r="AV74" i="2"/>
  <c r="AU74" i="2"/>
  <c r="AW74" i="2"/>
  <c r="AT74" i="2"/>
  <c r="AS74" i="2"/>
  <c r="AQ74" i="2"/>
  <c r="AN74" i="2"/>
  <c r="AM74" i="2"/>
  <c r="V74" i="2"/>
  <c r="W74" i="2"/>
  <c r="AV73" i="2"/>
  <c r="AU73" i="2"/>
  <c r="AW73" i="2"/>
  <c r="AT73" i="2"/>
  <c r="AS73" i="2"/>
  <c r="AQ73" i="2"/>
  <c r="AM73" i="2"/>
  <c r="V73" i="2"/>
  <c r="W73" i="2"/>
  <c r="AV72" i="2"/>
  <c r="AU72" i="2"/>
  <c r="AW72" i="2"/>
  <c r="AT72" i="2"/>
  <c r="AS72" i="2"/>
  <c r="AQ72" i="2"/>
  <c r="AM72" i="2"/>
  <c r="V72" i="2"/>
  <c r="W72" i="2"/>
  <c r="AV71" i="2"/>
  <c r="AU71" i="2"/>
  <c r="AW71" i="2"/>
  <c r="AT71" i="2"/>
  <c r="AS71" i="2"/>
  <c r="AQ71" i="2"/>
  <c r="AR71" i="2"/>
  <c r="AM71" i="2"/>
  <c r="V71" i="2"/>
  <c r="W71" i="2"/>
  <c r="AV70" i="2"/>
  <c r="AU70" i="2"/>
  <c r="AW70" i="2"/>
  <c r="AT70" i="2"/>
  <c r="AS70" i="2"/>
  <c r="AQ70" i="2"/>
  <c r="AR70" i="2"/>
  <c r="AM70" i="2"/>
  <c r="V70" i="2"/>
  <c r="W70" i="2"/>
  <c r="AV69" i="2"/>
  <c r="AU69" i="2"/>
  <c r="AW69" i="2"/>
  <c r="AT69" i="2"/>
  <c r="AS69" i="2"/>
  <c r="AQ69" i="2"/>
  <c r="AR69" i="2"/>
  <c r="AM69" i="2"/>
  <c r="V69" i="2"/>
  <c r="W69" i="2"/>
  <c r="AV68" i="2"/>
  <c r="AU68" i="2"/>
  <c r="AW68" i="2"/>
  <c r="AT68" i="2"/>
  <c r="AS68" i="2"/>
  <c r="AQ68" i="2"/>
  <c r="AN68" i="2"/>
  <c r="AM68" i="2"/>
  <c r="V68" i="2"/>
  <c r="W68" i="2"/>
  <c r="AV67" i="2"/>
  <c r="AU67" i="2"/>
  <c r="AW67" i="2"/>
  <c r="AT67" i="2"/>
  <c r="AS67" i="2"/>
  <c r="AQ67" i="2"/>
  <c r="AR67" i="2"/>
  <c r="AM67" i="2"/>
  <c r="V67" i="2"/>
  <c r="W67" i="2"/>
  <c r="AV66" i="2"/>
  <c r="AU66" i="2"/>
  <c r="AW66" i="2"/>
  <c r="AT66" i="2"/>
  <c r="AS66" i="2"/>
  <c r="AQ66" i="2"/>
  <c r="AN66" i="2"/>
  <c r="AM66" i="2"/>
  <c r="V66" i="2"/>
  <c r="W66" i="2"/>
  <c r="AV65" i="2"/>
  <c r="AU65" i="2"/>
  <c r="AW65" i="2"/>
  <c r="AT65" i="2"/>
  <c r="AS65" i="2"/>
  <c r="AQ65" i="2"/>
  <c r="AM65" i="2"/>
  <c r="V65" i="2"/>
  <c r="W65" i="2"/>
  <c r="AV64" i="2"/>
  <c r="AU64" i="2"/>
  <c r="AW64" i="2"/>
  <c r="AT64" i="2"/>
  <c r="AS64" i="2"/>
  <c r="AQ64" i="2"/>
  <c r="AN64" i="2"/>
  <c r="AM64" i="2"/>
  <c r="V64" i="2"/>
  <c r="W64" i="2"/>
  <c r="AV63" i="2"/>
  <c r="AU63" i="2"/>
  <c r="AW63" i="2"/>
  <c r="AT63" i="2"/>
  <c r="AS63" i="2"/>
  <c r="AQ63" i="2"/>
  <c r="AR63" i="2"/>
  <c r="AM63" i="2"/>
  <c r="V63" i="2"/>
  <c r="W63" i="2"/>
  <c r="AV62" i="2"/>
  <c r="AU62" i="2"/>
  <c r="AW62" i="2"/>
  <c r="AT62" i="2"/>
  <c r="AS62" i="2"/>
  <c r="AQ62" i="2"/>
  <c r="AR62" i="2"/>
  <c r="AM62" i="2"/>
  <c r="V62" i="2"/>
  <c r="W62" i="2"/>
  <c r="AV61" i="2"/>
  <c r="AU61" i="2"/>
  <c r="AW61" i="2"/>
  <c r="AT61" i="2"/>
  <c r="AS61" i="2"/>
  <c r="AQ61" i="2"/>
  <c r="AR61" i="2"/>
  <c r="AM61" i="2"/>
  <c r="V61" i="2"/>
  <c r="AV60" i="2"/>
  <c r="AU60" i="2"/>
  <c r="AW60" i="2"/>
  <c r="AT60" i="2"/>
  <c r="AS60" i="2"/>
  <c r="AQ60" i="2"/>
  <c r="AM60" i="2"/>
  <c r="V60" i="2"/>
  <c r="W60" i="2"/>
  <c r="AV59" i="2"/>
  <c r="AU59" i="2"/>
  <c r="AW59" i="2"/>
  <c r="AT59" i="2"/>
  <c r="AS59" i="2"/>
  <c r="AQ59" i="2"/>
  <c r="AM59" i="2"/>
  <c r="V59" i="2"/>
  <c r="W59" i="2"/>
  <c r="AV58" i="2"/>
  <c r="AU58" i="2"/>
  <c r="AW58" i="2"/>
  <c r="AT58" i="2"/>
  <c r="AS58" i="2"/>
  <c r="AQ58" i="2"/>
  <c r="AM58" i="2"/>
  <c r="V58" i="2"/>
  <c r="W58" i="2"/>
  <c r="AV57" i="2"/>
  <c r="AU57" i="2"/>
  <c r="AW57" i="2"/>
  <c r="AT57" i="2"/>
  <c r="AS57" i="2"/>
  <c r="AQ57" i="2"/>
  <c r="AN57" i="2"/>
  <c r="AM57" i="2"/>
  <c r="V57" i="2"/>
  <c r="W57" i="2"/>
  <c r="AV56" i="2"/>
  <c r="AU56" i="2"/>
  <c r="AW56" i="2"/>
  <c r="AT56" i="2"/>
  <c r="AS56" i="2"/>
  <c r="AQ56" i="2"/>
  <c r="AM56" i="2"/>
  <c r="V56" i="2"/>
  <c r="W56" i="2"/>
  <c r="AV55" i="2"/>
  <c r="AU55" i="2"/>
  <c r="AW55" i="2"/>
  <c r="AT55" i="2"/>
  <c r="AS55" i="2"/>
  <c r="AQ55" i="2"/>
  <c r="AN55" i="2"/>
  <c r="AM55" i="2"/>
  <c r="V55" i="2"/>
  <c r="W55" i="2"/>
  <c r="AV54" i="2"/>
  <c r="AU54" i="2"/>
  <c r="AW54" i="2"/>
  <c r="AT54" i="2"/>
  <c r="AS54" i="2"/>
  <c r="AQ54" i="2"/>
  <c r="AM54" i="2"/>
  <c r="V54" i="2"/>
  <c r="W54" i="2"/>
  <c r="AV53" i="2"/>
  <c r="AU53" i="2"/>
  <c r="AW53" i="2"/>
  <c r="AT53" i="2"/>
  <c r="AS53" i="2"/>
  <c r="AQ53" i="2"/>
  <c r="AN53" i="2"/>
  <c r="AM53" i="2"/>
  <c r="V53" i="2"/>
  <c r="W53" i="2"/>
  <c r="AV52" i="2"/>
  <c r="AU52" i="2"/>
  <c r="AW52" i="2"/>
  <c r="AT52" i="2"/>
  <c r="AS52" i="2"/>
  <c r="AQ52" i="2"/>
  <c r="AM52" i="2"/>
  <c r="V52" i="2"/>
  <c r="W52" i="2"/>
  <c r="AV51" i="2"/>
  <c r="AU51" i="2"/>
  <c r="AW51" i="2"/>
  <c r="AT51" i="2"/>
  <c r="AS51" i="2"/>
  <c r="AQ51" i="2"/>
  <c r="AM51" i="2"/>
  <c r="V51" i="2"/>
  <c r="W51" i="2"/>
  <c r="AV50" i="2"/>
  <c r="AU50" i="2"/>
  <c r="AW50" i="2"/>
  <c r="AT50" i="2"/>
  <c r="AS50" i="2"/>
  <c r="AQ50" i="2"/>
  <c r="AM50" i="2"/>
  <c r="V50" i="2"/>
  <c r="W50" i="2"/>
  <c r="AV49" i="2"/>
  <c r="AU49" i="2"/>
  <c r="AW49" i="2"/>
  <c r="AT49" i="2"/>
  <c r="AS49" i="2"/>
  <c r="AQ49" i="2"/>
  <c r="AN49" i="2"/>
  <c r="AM49" i="2"/>
  <c r="V49" i="2"/>
  <c r="W49" i="2"/>
  <c r="AV48" i="2"/>
  <c r="AU48" i="2"/>
  <c r="AW48" i="2"/>
  <c r="AT48" i="2"/>
  <c r="AS48" i="2"/>
  <c r="AQ48" i="2"/>
  <c r="AM48" i="2"/>
  <c r="V48" i="2"/>
  <c r="W48" i="2"/>
  <c r="AV47" i="2"/>
  <c r="AU47" i="2"/>
  <c r="AW47" i="2"/>
  <c r="AT47" i="2"/>
  <c r="AS47" i="2"/>
  <c r="AQ47" i="2"/>
  <c r="AN47" i="2"/>
  <c r="AM47" i="2"/>
  <c r="V47" i="2"/>
  <c r="W47" i="2"/>
  <c r="AV46" i="2"/>
  <c r="AU46" i="2"/>
  <c r="AW46" i="2"/>
  <c r="AT46" i="2"/>
  <c r="AS46" i="2"/>
  <c r="AQ46" i="2"/>
  <c r="AM46" i="2"/>
  <c r="V46" i="2"/>
  <c r="W46" i="2"/>
  <c r="AV45" i="2"/>
  <c r="AU45" i="2"/>
  <c r="AW45" i="2"/>
  <c r="AT45" i="2"/>
  <c r="AS45" i="2"/>
  <c r="AQ45" i="2"/>
  <c r="AN45" i="2"/>
  <c r="AM45" i="2"/>
  <c r="V45" i="2"/>
  <c r="W45" i="2"/>
  <c r="AV44" i="2"/>
  <c r="AU44" i="2"/>
  <c r="AW44" i="2"/>
  <c r="AT44" i="2"/>
  <c r="AS44" i="2"/>
  <c r="AQ44" i="2"/>
  <c r="AM44" i="2"/>
  <c r="V44" i="2"/>
  <c r="W44" i="2"/>
  <c r="AV43" i="2"/>
  <c r="AU43" i="2"/>
  <c r="AW43" i="2"/>
  <c r="AT43" i="2"/>
  <c r="AS43" i="2"/>
  <c r="AQ43" i="2"/>
  <c r="AM43" i="2"/>
  <c r="V43" i="2"/>
  <c r="W43" i="2"/>
  <c r="AV42" i="2"/>
  <c r="AU42" i="2"/>
  <c r="AW42" i="2"/>
  <c r="AT42" i="2"/>
  <c r="AS42" i="2"/>
  <c r="AQ42" i="2"/>
  <c r="AM42" i="2"/>
  <c r="V42" i="2"/>
  <c r="W42" i="2"/>
  <c r="AV41" i="2"/>
  <c r="AU41" i="2"/>
  <c r="AW41" i="2"/>
  <c r="AT41" i="2"/>
  <c r="AS41" i="2"/>
  <c r="AQ41" i="2"/>
  <c r="AN41" i="2"/>
  <c r="AM41" i="2"/>
  <c r="V41" i="2"/>
  <c r="W41" i="2"/>
  <c r="AV40" i="2"/>
  <c r="AU40" i="2"/>
  <c r="AW40" i="2"/>
  <c r="AT40" i="2"/>
  <c r="AS40" i="2"/>
  <c r="AQ40" i="2"/>
  <c r="AM40" i="2"/>
  <c r="V40" i="2"/>
  <c r="W40" i="2"/>
  <c r="AV39" i="2"/>
  <c r="AU39" i="2"/>
  <c r="AW39" i="2"/>
  <c r="AT39" i="2"/>
  <c r="AS39" i="2"/>
  <c r="AQ39" i="2"/>
  <c r="AN39" i="2"/>
  <c r="AM39" i="2"/>
  <c r="V39" i="2"/>
  <c r="W39" i="2"/>
  <c r="AV38" i="2"/>
  <c r="AU38" i="2"/>
  <c r="AW38" i="2"/>
  <c r="AT38" i="2"/>
  <c r="AS38" i="2"/>
  <c r="AQ38" i="2"/>
  <c r="AM38" i="2"/>
  <c r="V38" i="2"/>
  <c r="W38" i="2"/>
  <c r="AV37" i="2"/>
  <c r="AU37" i="2"/>
  <c r="AW37" i="2"/>
  <c r="AT37" i="2"/>
  <c r="AS37" i="2"/>
  <c r="AQ37" i="2"/>
  <c r="AN37" i="2"/>
  <c r="AM37" i="2"/>
  <c r="V37" i="2"/>
  <c r="W37" i="2"/>
  <c r="AV36" i="2"/>
  <c r="AU36" i="2"/>
  <c r="AW36" i="2"/>
  <c r="AT36" i="2"/>
  <c r="AS36" i="2"/>
  <c r="AQ36" i="2"/>
  <c r="AM36" i="2"/>
  <c r="V36" i="2"/>
  <c r="W36" i="2"/>
  <c r="AN35" i="2"/>
  <c r="AM35" i="2"/>
  <c r="V35" i="2"/>
  <c r="W35" i="2"/>
  <c r="AV34" i="2"/>
  <c r="AU34" i="2"/>
  <c r="AW34" i="2"/>
  <c r="AT34" i="2"/>
  <c r="AS34" i="2"/>
  <c r="AQ34" i="2"/>
  <c r="AN34" i="2"/>
  <c r="AM34" i="2"/>
  <c r="V34" i="2"/>
  <c r="W34" i="2"/>
  <c r="AV33" i="2"/>
  <c r="AU33" i="2"/>
  <c r="AW33" i="2"/>
  <c r="AT33" i="2"/>
  <c r="AS33" i="2"/>
  <c r="AQ33" i="2"/>
  <c r="AR33" i="2"/>
  <c r="AM33" i="2"/>
  <c r="V33" i="2"/>
  <c r="W33" i="2"/>
  <c r="AV32" i="2"/>
  <c r="AU32" i="2"/>
  <c r="AW32" i="2"/>
  <c r="AT32" i="2"/>
  <c r="AS32" i="2"/>
  <c r="AQ32" i="2"/>
  <c r="AN32" i="2"/>
  <c r="AM32" i="2"/>
  <c r="V32" i="2"/>
  <c r="W32" i="2"/>
  <c r="AV31" i="2"/>
  <c r="AU31" i="2"/>
  <c r="AW31" i="2"/>
  <c r="AT31" i="2"/>
  <c r="AS31" i="2"/>
  <c r="AQ31" i="2"/>
  <c r="AR31" i="2"/>
  <c r="AM31" i="2"/>
  <c r="V31" i="2"/>
  <c r="AV30" i="2"/>
  <c r="AU30" i="2"/>
  <c r="AW30" i="2"/>
  <c r="AT30" i="2"/>
  <c r="AS30" i="2"/>
  <c r="AQ30" i="2"/>
  <c r="AM30" i="2"/>
  <c r="V30" i="2"/>
  <c r="AV29" i="2"/>
  <c r="AU29" i="2"/>
  <c r="AW29" i="2"/>
  <c r="AT29" i="2"/>
  <c r="AS29" i="2"/>
  <c r="AQ29" i="2"/>
  <c r="AM29" i="2"/>
  <c r="V29" i="2"/>
  <c r="W29" i="2"/>
  <c r="AV28" i="2"/>
  <c r="AU28" i="2"/>
  <c r="AW28" i="2"/>
  <c r="AT28" i="2"/>
  <c r="AS28" i="2"/>
  <c r="AQ28" i="2"/>
  <c r="AR28" i="2"/>
  <c r="AM28" i="2"/>
  <c r="V28" i="2"/>
  <c r="W28" i="2"/>
  <c r="AV27" i="2"/>
  <c r="AU27" i="2"/>
  <c r="AW27" i="2"/>
  <c r="AT27" i="2"/>
  <c r="AS27" i="2"/>
  <c r="AQ27" i="2"/>
  <c r="AN27" i="2"/>
  <c r="AM27" i="2"/>
  <c r="V27" i="2"/>
  <c r="W27" i="2"/>
  <c r="AV26" i="2"/>
  <c r="AU26" i="2"/>
  <c r="AW26" i="2"/>
  <c r="AT26" i="2"/>
  <c r="AS26" i="2"/>
  <c r="AQ26" i="2"/>
  <c r="AR26" i="2"/>
  <c r="AM26" i="2"/>
  <c r="V26" i="2"/>
  <c r="W26" i="2"/>
  <c r="AV25" i="2"/>
  <c r="AU25" i="2"/>
  <c r="AW25" i="2"/>
  <c r="AT25" i="2"/>
  <c r="AS25" i="2"/>
  <c r="AQ25" i="2"/>
  <c r="AN25" i="2"/>
  <c r="AM25" i="2"/>
  <c r="V25" i="2"/>
  <c r="W25" i="2"/>
  <c r="AV24" i="2"/>
  <c r="AU24" i="2"/>
  <c r="AW24" i="2"/>
  <c r="AT24" i="2"/>
  <c r="AS24" i="2"/>
  <c r="AQ24" i="2"/>
  <c r="AR24" i="2"/>
  <c r="AM24" i="2"/>
  <c r="V24" i="2"/>
  <c r="AV23" i="2"/>
  <c r="AU23" i="2"/>
  <c r="AW23" i="2"/>
  <c r="AT23" i="2"/>
  <c r="AS23" i="2"/>
  <c r="AQ23" i="2"/>
  <c r="AM23" i="2"/>
  <c r="V23" i="2"/>
  <c r="W23" i="2"/>
  <c r="AV22" i="2"/>
  <c r="AU22" i="2"/>
  <c r="AW22" i="2"/>
  <c r="AT22" i="2"/>
  <c r="AS22" i="2"/>
  <c r="AQ22" i="2"/>
  <c r="AM22" i="2"/>
  <c r="V22" i="2"/>
  <c r="AV21" i="2"/>
  <c r="AU21" i="2"/>
  <c r="AW21" i="2"/>
  <c r="AT21" i="2"/>
  <c r="AS21" i="2"/>
  <c r="AQ21" i="2"/>
  <c r="AN21" i="2"/>
  <c r="AM21" i="2"/>
  <c r="V21" i="2"/>
  <c r="AV20" i="2"/>
  <c r="AU20" i="2"/>
  <c r="AW20" i="2"/>
  <c r="AT20" i="2"/>
  <c r="AS20" i="2"/>
  <c r="AQ20" i="2"/>
  <c r="AN20" i="2"/>
  <c r="AM20" i="2"/>
  <c r="V20" i="2"/>
  <c r="W20" i="2"/>
  <c r="AV19" i="2"/>
  <c r="AU19" i="2"/>
  <c r="AW19" i="2"/>
  <c r="AT19" i="2"/>
  <c r="AS19" i="2"/>
  <c r="AQ19" i="2"/>
  <c r="AM19" i="2"/>
  <c r="V19" i="2"/>
  <c r="W19" i="2"/>
  <c r="AV18" i="2"/>
  <c r="AU18" i="2"/>
  <c r="AW18" i="2"/>
  <c r="AT18" i="2"/>
  <c r="AS18" i="2"/>
  <c r="AQ18" i="2"/>
  <c r="AR18" i="2"/>
  <c r="AM18" i="2"/>
  <c r="V18" i="2"/>
  <c r="W18" i="2"/>
  <c r="AV17" i="2"/>
  <c r="AU17" i="2"/>
  <c r="AW17" i="2"/>
  <c r="AT17" i="2"/>
  <c r="AS17" i="2"/>
  <c r="AQ17" i="2"/>
  <c r="AM17" i="2"/>
  <c r="V17" i="2"/>
  <c r="AV16" i="2"/>
  <c r="AU16" i="2"/>
  <c r="AW16" i="2"/>
  <c r="AT16" i="2"/>
  <c r="AS16" i="2"/>
  <c r="AQ16" i="2"/>
  <c r="AM16" i="2"/>
  <c r="V16" i="2"/>
  <c r="AV15" i="2"/>
  <c r="AU15" i="2"/>
  <c r="AW15" i="2"/>
  <c r="AT15" i="2"/>
  <c r="AS15" i="2"/>
  <c r="AQ15" i="2"/>
  <c r="AN15" i="2"/>
  <c r="AM15" i="2"/>
  <c r="V15" i="2"/>
  <c r="AV14" i="2"/>
  <c r="AU14" i="2"/>
  <c r="AW14" i="2"/>
  <c r="AT14" i="2"/>
  <c r="AS14" i="2"/>
  <c r="AQ14" i="2"/>
  <c r="AN14" i="2"/>
  <c r="AM14" i="2"/>
  <c r="V14" i="2"/>
  <c r="AV13" i="2"/>
  <c r="AU13" i="2"/>
  <c r="AW13" i="2"/>
  <c r="AT13" i="2"/>
  <c r="AS13" i="2"/>
  <c r="AQ13" i="2"/>
  <c r="AN13" i="2"/>
  <c r="AM13" i="2"/>
  <c r="V13" i="2"/>
  <c r="AV12" i="2"/>
  <c r="AU12" i="2"/>
  <c r="AW12" i="2"/>
  <c r="AT12" i="2"/>
  <c r="AS12" i="2"/>
  <c r="AQ12" i="2"/>
  <c r="AM12" i="2"/>
  <c r="V12" i="2"/>
  <c r="AV11" i="2"/>
  <c r="AU11" i="2"/>
  <c r="AW11" i="2"/>
  <c r="AT11" i="2"/>
  <c r="AS11" i="2"/>
  <c r="AQ11" i="2"/>
  <c r="AR11" i="2"/>
  <c r="AM11" i="2"/>
  <c r="V11" i="2"/>
  <c r="AV10" i="2"/>
  <c r="AU10" i="2"/>
  <c r="AW10" i="2"/>
  <c r="AT10" i="2"/>
  <c r="AS10" i="2"/>
  <c r="AQ10" i="2"/>
  <c r="AR10" i="2"/>
  <c r="AM10" i="2"/>
  <c r="V10" i="2"/>
  <c r="AV9" i="2"/>
  <c r="AU9" i="2"/>
  <c r="AW9" i="2"/>
  <c r="AT9" i="2"/>
  <c r="AS9" i="2"/>
  <c r="AQ9" i="2"/>
  <c r="AM9" i="2"/>
  <c r="V9" i="2"/>
  <c r="AV8" i="2"/>
  <c r="AU8" i="2"/>
  <c r="AW8" i="2"/>
  <c r="AT8" i="2"/>
  <c r="AS8" i="2"/>
  <c r="AQ8" i="2"/>
  <c r="AN8" i="2"/>
  <c r="AM8" i="2"/>
  <c r="V8" i="2"/>
  <c r="AV7" i="2"/>
  <c r="AU7" i="2"/>
  <c r="AW7" i="2"/>
  <c r="AT7" i="2"/>
  <c r="AS7" i="2"/>
  <c r="AQ7" i="2"/>
  <c r="AN7" i="2"/>
  <c r="AM7" i="2"/>
  <c r="V7" i="2"/>
  <c r="AV6" i="2"/>
  <c r="AU6" i="2"/>
  <c r="AW6" i="2"/>
  <c r="AT6" i="2"/>
  <c r="AS6" i="2"/>
  <c r="AQ6" i="2"/>
  <c r="AR6" i="2"/>
  <c r="AM6" i="2"/>
  <c r="V6" i="2"/>
  <c r="AV5" i="2"/>
  <c r="AU5" i="2"/>
  <c r="AW5" i="2"/>
  <c r="AT5" i="2"/>
  <c r="AS5" i="2"/>
  <c r="AQ5" i="2"/>
  <c r="AN5" i="2"/>
  <c r="AM5" i="2"/>
  <c r="V5" i="2"/>
  <c r="AV4" i="2"/>
  <c r="AU4" i="2"/>
  <c r="AW4" i="2"/>
  <c r="AT4" i="2"/>
  <c r="AS4" i="2"/>
  <c r="AQ4" i="2"/>
  <c r="AN4" i="2"/>
  <c r="AM4" i="2"/>
  <c r="V4" i="2"/>
  <c r="AV3" i="2"/>
  <c r="AU3" i="2"/>
  <c r="AW3" i="2"/>
  <c r="AT3" i="2"/>
  <c r="AS3" i="2"/>
  <c r="AQ3" i="2"/>
  <c r="AR3" i="2"/>
  <c r="AM3" i="2"/>
  <c r="V3" i="2"/>
  <c r="AV2" i="2"/>
  <c r="AU2" i="2"/>
  <c r="AW2" i="2"/>
  <c r="AT2" i="2"/>
  <c r="AS2" i="2"/>
  <c r="AQ2" i="2"/>
  <c r="AN2" i="2"/>
  <c r="AM2" i="2"/>
  <c r="J168" i="1"/>
  <c r="AZ141" i="1"/>
  <c r="AY141" i="1"/>
  <c r="B137" i="1"/>
  <c r="I16" i="4"/>
  <c r="AZ122" i="1"/>
  <c r="AJ122" i="1"/>
  <c r="W122" i="1"/>
  <c r="H122" i="1"/>
  <c r="G122" i="1"/>
  <c r="F122" i="1"/>
  <c r="E122" i="1"/>
  <c r="AZ109" i="1"/>
  <c r="J109" i="1"/>
  <c r="H109" i="1"/>
  <c r="I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Z88" i="1"/>
  <c r="AJ79" i="1"/>
  <c r="W79" i="1"/>
  <c r="J79" i="1"/>
  <c r="AJ65" i="1"/>
  <c r="W65" i="1"/>
  <c r="E25" i="4"/>
  <c r="J65" i="1"/>
  <c r="D25" i="4"/>
  <c r="I65" i="1"/>
  <c r="AX25" i="1"/>
  <c r="AX141" i="1"/>
  <c r="AJ25" i="1"/>
  <c r="AJ141" i="1"/>
  <c r="W25" i="1"/>
  <c r="W141" i="1"/>
  <c r="J25" i="1"/>
  <c r="J141" i="1"/>
  <c r="H25" i="1"/>
  <c r="G25" i="1"/>
  <c r="F25" i="1"/>
  <c r="E25" i="1"/>
  <c r="B16" i="1"/>
  <c r="B14" i="1"/>
  <c r="AS690" i="2"/>
  <c r="AL690" i="2"/>
  <c r="AT690" i="2"/>
  <c r="AS689" i="2"/>
  <c r="AL689" i="2"/>
  <c r="AT689" i="2"/>
  <c r="AS682" i="2"/>
  <c r="AL682" i="2"/>
  <c r="AT682" i="2"/>
  <c r="AS685" i="2"/>
  <c r="AL685" i="2"/>
  <c r="AT685" i="2"/>
  <c r="AT684" i="2"/>
  <c r="AS684" i="2"/>
  <c r="AS676" i="2"/>
  <c r="AL676" i="2"/>
  <c r="AT676" i="2"/>
  <c r="AS675" i="2"/>
  <c r="AL675" i="2"/>
  <c r="AT675" i="2"/>
  <c r="AS674" i="2"/>
  <c r="AL674" i="2"/>
  <c r="AT674" i="2"/>
  <c r="AS673" i="2"/>
  <c r="AL673" i="2"/>
  <c r="AT673" i="2"/>
  <c r="AS672" i="2"/>
  <c r="AL672" i="2"/>
  <c r="AT672" i="2"/>
  <c r="AS671" i="2"/>
  <c r="AL671" i="2"/>
  <c r="AT671" i="2"/>
  <c r="AS670" i="2"/>
  <c r="AL670" i="2"/>
  <c r="AT670" i="2"/>
  <c r="AS669" i="2"/>
  <c r="AL669" i="2"/>
  <c r="AT669" i="2"/>
  <c r="AS668" i="2"/>
  <c r="AL668" i="2"/>
  <c r="AT668" i="2"/>
  <c r="AS666" i="2"/>
  <c r="AL666" i="2"/>
  <c r="AT666" i="2"/>
  <c r="AS664" i="2"/>
  <c r="AL664" i="2"/>
  <c r="AT664" i="2"/>
  <c r="AL665" i="2"/>
  <c r="AT665" i="2"/>
  <c r="AS665" i="2"/>
  <c r="AS667" i="2"/>
  <c r="AL667" i="2"/>
  <c r="AT667" i="2"/>
  <c r="AS662" i="2"/>
  <c r="AL662" i="2"/>
  <c r="AT662" i="2"/>
  <c r="AS654" i="2"/>
  <c r="AL654" i="2"/>
  <c r="AT654" i="2"/>
  <c r="AS655" i="2"/>
  <c r="AL655" i="2"/>
  <c r="AT655" i="2"/>
  <c r="AS656" i="2"/>
  <c r="AL656" i="2"/>
  <c r="AT656" i="2"/>
  <c r="AS657" i="2"/>
  <c r="AL657" i="2"/>
  <c r="AT657" i="2"/>
  <c r="AS658" i="2"/>
  <c r="AL658" i="2"/>
  <c r="AT658" i="2"/>
  <c r="AS659" i="2"/>
  <c r="AL659" i="2"/>
  <c r="AT659" i="2"/>
  <c r="AS660" i="2"/>
  <c r="AL660" i="2"/>
  <c r="AT660" i="2"/>
  <c r="AS661" i="2"/>
  <c r="AL661" i="2"/>
  <c r="AT661" i="2"/>
  <c r="AG636" i="2"/>
  <c r="AV636" i="2"/>
  <c r="AG635" i="2"/>
  <c r="AI637" i="2"/>
  <c r="AJ637" i="2"/>
  <c r="AK637" i="2"/>
  <c r="AL637" i="2"/>
  <c r="AT637" i="2"/>
  <c r="AG637" i="2"/>
  <c r="AV637" i="2"/>
  <c r="AI638" i="2"/>
  <c r="AJ638" i="2"/>
  <c r="AK638" i="2"/>
  <c r="AL638" i="2"/>
  <c r="AT638" i="2"/>
  <c r="AG638" i="2"/>
  <c r="AV638" i="2"/>
  <c r="AG649" i="2"/>
  <c r="AV649" i="2"/>
  <c r="AI649" i="2"/>
  <c r="AJ649" i="2"/>
  <c r="AL649" i="2"/>
  <c r="AT649" i="2"/>
  <c r="AG648" i="2"/>
  <c r="AV648" i="2"/>
  <c r="AI648" i="2"/>
  <c r="AJ648" i="2"/>
  <c r="AL648" i="2"/>
  <c r="AT648" i="2"/>
  <c r="AG647" i="2"/>
  <c r="AV647" i="2"/>
  <c r="AI647" i="2"/>
  <c r="AJ647" i="2"/>
  <c r="AL647" i="2"/>
  <c r="AT647" i="2"/>
  <c r="AG646" i="2"/>
  <c r="AV646" i="2"/>
  <c r="AI646" i="2"/>
  <c r="AJ646" i="2"/>
  <c r="AL646" i="2"/>
  <c r="AT646" i="2"/>
  <c r="AG645" i="2"/>
  <c r="AV645" i="2"/>
  <c r="AI645" i="2"/>
  <c r="AJ645" i="2"/>
  <c r="AL645" i="2"/>
  <c r="AT645" i="2"/>
  <c r="AG644" i="2"/>
  <c r="AV644" i="2"/>
  <c r="AI644" i="2"/>
  <c r="AJ644" i="2"/>
  <c r="AL644" i="2"/>
  <c r="AT644" i="2"/>
  <c r="AG643" i="2"/>
  <c r="AV643" i="2"/>
  <c r="AI643" i="2"/>
  <c r="AJ643" i="2"/>
  <c r="AL643" i="2"/>
  <c r="AT643" i="2"/>
  <c r="AV642" i="2"/>
  <c r="AI642" i="2"/>
  <c r="AJ642" i="2"/>
  <c r="AL642" i="2"/>
  <c r="AT642" i="2"/>
  <c r="AG651" i="2"/>
  <c r="AV651" i="2"/>
  <c r="AI651" i="2"/>
  <c r="AJ651" i="2"/>
  <c r="AV641" i="2"/>
  <c r="AI641" i="2"/>
  <c r="AJ641" i="2"/>
  <c r="AL641" i="2"/>
  <c r="AT641" i="2"/>
  <c r="AV640" i="2"/>
  <c r="AI640" i="2"/>
  <c r="AJ640" i="2"/>
  <c r="AL640" i="2"/>
  <c r="AT640" i="2"/>
  <c r="AG639" i="2"/>
  <c r="AI639" i="2"/>
  <c r="AJ639" i="2"/>
  <c r="AL639" i="2"/>
  <c r="AT639" i="2"/>
  <c r="AV635" i="2"/>
  <c r="AI635" i="2"/>
  <c r="AJ635" i="2"/>
  <c r="AK635" i="2"/>
  <c r="AL635" i="2"/>
  <c r="AT635" i="2"/>
  <c r="AG634" i="2"/>
  <c r="AK634" i="2"/>
  <c r="AI634" i="2"/>
  <c r="AJ634" i="2"/>
  <c r="AL634" i="2"/>
  <c r="AV634" i="2"/>
  <c r="AT634" i="2"/>
  <c r="K5" i="1"/>
  <c r="L5" i="1"/>
  <c r="AK489" i="2"/>
  <c r="AL489" i="2"/>
  <c r="AT489" i="2"/>
  <c r="AL569" i="2"/>
  <c r="AT569" i="2"/>
  <c r="AI570" i="2"/>
  <c r="AJ570" i="2"/>
  <c r="AR156" i="2"/>
  <c r="AN526" i="2"/>
  <c r="AK413" i="2"/>
  <c r="AL413" i="2"/>
  <c r="AT413" i="2"/>
  <c r="AG532" i="2"/>
  <c r="AV532" i="2"/>
  <c r="AC502" i="2"/>
  <c r="AE502" i="2"/>
  <c r="AG502" i="2"/>
  <c r="AV502" i="2"/>
  <c r="AR138" i="2"/>
  <c r="AI348" i="2"/>
  <c r="AJ348" i="2"/>
  <c r="AI406" i="2"/>
  <c r="AJ406" i="2"/>
  <c r="AC306" i="2"/>
  <c r="AE306" i="2"/>
  <c r="AG306" i="2"/>
  <c r="AV306" i="2"/>
  <c r="AR66" i="2"/>
  <c r="AN382" i="2"/>
  <c r="AK419" i="2"/>
  <c r="AL419" i="2"/>
  <c r="AT419" i="2"/>
  <c r="AG541" i="2"/>
  <c r="AV541" i="2"/>
  <c r="AI607" i="2"/>
  <c r="AJ607" i="2"/>
  <c r="AI609" i="2"/>
  <c r="AJ609" i="2"/>
  <c r="AN530" i="2"/>
  <c r="AI356" i="2"/>
  <c r="AJ356" i="2"/>
  <c r="AR21" i="2"/>
  <c r="AK364" i="2"/>
  <c r="AL364" i="2"/>
  <c r="AT364" i="2"/>
  <c r="AI409" i="2"/>
  <c r="AJ409" i="2"/>
  <c r="AK456" i="2"/>
  <c r="AL456" i="2"/>
  <c r="AT456" i="2"/>
  <c r="AR169" i="2"/>
  <c r="AL273" i="2"/>
  <c r="AT273" i="2"/>
  <c r="AN315" i="2"/>
  <c r="AR348" i="2"/>
  <c r="AN394" i="2"/>
  <c r="AN437" i="2"/>
  <c r="AN513" i="2"/>
  <c r="AG528" i="2"/>
  <c r="AV528" i="2"/>
  <c r="AG547" i="2"/>
  <c r="AV547" i="2"/>
  <c r="AG624" i="2"/>
  <c r="AV624" i="2"/>
  <c r="AV629" i="2"/>
  <c r="AK444" i="2"/>
  <c r="AL444" i="2"/>
  <c r="AT444" i="2"/>
  <c r="AN515" i="2"/>
  <c r="AN544" i="2"/>
  <c r="AR179" i="2"/>
  <c r="AN273" i="2"/>
  <c r="AL304" i="2"/>
  <c r="AT304" i="2"/>
  <c r="AI342" i="2"/>
  <c r="AJ342" i="2"/>
  <c r="AN357" i="2"/>
  <c r="AK401" i="2"/>
  <c r="AL401" i="2"/>
  <c r="AT401" i="2"/>
  <c r="AC472" i="2"/>
  <c r="AE472" i="2"/>
  <c r="AG472" i="2"/>
  <c r="AV472" i="2"/>
  <c r="AR516" i="2"/>
  <c r="AK528" i="2"/>
  <c r="AL528" i="2"/>
  <c r="AT528" i="2"/>
  <c r="AI577" i="2"/>
  <c r="AJ577" i="2"/>
  <c r="AR74" i="2"/>
  <c r="AN297" i="2"/>
  <c r="AC363" i="2"/>
  <c r="AE363" i="2"/>
  <c r="AG363" i="2"/>
  <c r="AV363" i="2"/>
  <c r="AR369" i="2"/>
  <c r="AN432" i="2"/>
  <c r="AI580" i="2"/>
  <c r="AJ580" i="2"/>
  <c r="AR2" i="2"/>
  <c r="AR140" i="2"/>
  <c r="AL594" i="2"/>
  <c r="AT594" i="2"/>
  <c r="AN26" i="2"/>
  <c r="AR341" i="2"/>
  <c r="AR388" i="2"/>
  <c r="AR473" i="2"/>
  <c r="AI508" i="2"/>
  <c r="AJ508" i="2"/>
  <c r="AN532" i="2"/>
  <c r="AG602" i="2"/>
  <c r="AV602" i="2"/>
  <c r="AG611" i="2"/>
  <c r="AV611" i="2"/>
  <c r="AG613" i="2"/>
  <c r="AV613" i="2"/>
  <c r="AR37" i="2"/>
  <c r="AR110" i="2"/>
  <c r="AN112" i="2"/>
  <c r="AR148" i="2"/>
  <c r="AN301" i="2"/>
  <c r="AN302" i="2"/>
  <c r="AR351" i="2"/>
  <c r="AR363" i="2"/>
  <c r="AN439" i="2"/>
  <c r="AN440" i="2"/>
  <c r="AN441" i="2"/>
  <c r="AG523" i="2"/>
  <c r="AV523" i="2"/>
  <c r="AI572" i="2"/>
  <c r="AJ572" i="2"/>
  <c r="AR47" i="2"/>
  <c r="AN137" i="2"/>
  <c r="AR174" i="2"/>
  <c r="AC278" i="2"/>
  <c r="AE278" i="2"/>
  <c r="AG278" i="2"/>
  <c r="AV278" i="2"/>
  <c r="AR298" i="2"/>
  <c r="AC324" i="2"/>
  <c r="AE324" i="2"/>
  <c r="AG324" i="2"/>
  <c r="AV324" i="2"/>
  <c r="AK342" i="2"/>
  <c r="AL342" i="2"/>
  <c r="AT342" i="2"/>
  <c r="AL373" i="2"/>
  <c r="AT373" i="2"/>
  <c r="AI378" i="2"/>
  <c r="AJ378" i="2"/>
  <c r="AK409" i="2"/>
  <c r="AL409" i="2"/>
  <c r="AT409" i="2"/>
  <c r="AI471" i="2"/>
  <c r="AJ471" i="2"/>
  <c r="AN489" i="2"/>
  <c r="AN490" i="2"/>
  <c r="AC498" i="2"/>
  <c r="AE498" i="2"/>
  <c r="AG498" i="2"/>
  <c r="AV498" i="2"/>
  <c r="AI522" i="2"/>
  <c r="AJ522" i="2"/>
  <c r="AI524" i="2"/>
  <c r="AJ524" i="2"/>
  <c r="AG618" i="2"/>
  <c r="AV618" i="2"/>
  <c r="AN328" i="2"/>
  <c r="AN339" i="2"/>
  <c r="AI367" i="2"/>
  <c r="AJ367" i="2"/>
  <c r="AC368" i="2"/>
  <c r="AE368" i="2"/>
  <c r="AG368" i="2"/>
  <c r="AV368" i="2"/>
  <c r="AC373" i="2"/>
  <c r="AE373" i="2"/>
  <c r="AG373" i="2"/>
  <c r="AV373" i="2"/>
  <c r="AN408" i="2"/>
  <c r="AN449" i="2"/>
  <c r="AK470" i="2"/>
  <c r="AL470" i="2"/>
  <c r="AT470" i="2"/>
  <c r="AK471" i="2"/>
  <c r="AL471" i="2"/>
  <c r="AT471" i="2"/>
  <c r="AI484" i="2"/>
  <c r="AJ484" i="2"/>
  <c r="AN520" i="2"/>
  <c r="AN538" i="2"/>
  <c r="AN573" i="2"/>
  <c r="AI618" i="2"/>
  <c r="AJ618" i="2"/>
  <c r="AI619" i="2"/>
  <c r="AJ619" i="2"/>
  <c r="AG622" i="2"/>
  <c r="AV622" i="2"/>
  <c r="AR5" i="2"/>
  <c r="AR55" i="2"/>
  <c r="AR14" i="2"/>
  <c r="AR57" i="2"/>
  <c r="AR95" i="2"/>
  <c r="AR166" i="2"/>
  <c r="AN167" i="2"/>
  <c r="AN195" i="2"/>
  <c r="AN256" i="2"/>
  <c r="AG263" i="2"/>
  <c r="AV263" i="2"/>
  <c r="AN266" i="2"/>
  <c r="AI301" i="2"/>
  <c r="AJ301" i="2"/>
  <c r="AG353" i="2"/>
  <c r="AV353" i="2"/>
  <c r="AR372" i="2"/>
  <c r="AL399" i="2"/>
  <c r="AT399" i="2"/>
  <c r="AN496" i="2"/>
  <c r="AI515" i="2"/>
  <c r="AJ515" i="2"/>
  <c r="AG591" i="2"/>
  <c r="AV591" i="2"/>
  <c r="AN144" i="2"/>
  <c r="AN200" i="2"/>
  <c r="AL297" i="2"/>
  <c r="AT297" i="2"/>
  <c r="AK301" i="2"/>
  <c r="AL301" i="2"/>
  <c r="AT301" i="2"/>
  <c r="AS342" i="2"/>
  <c r="AN528" i="2"/>
  <c r="AN540" i="2"/>
  <c r="AN559" i="2"/>
  <c r="AN586" i="2"/>
  <c r="AL591" i="2"/>
  <c r="AT591" i="2"/>
  <c r="AG597" i="2"/>
  <c r="AV597" i="2"/>
  <c r="AN631" i="2"/>
  <c r="AR7" i="2"/>
  <c r="AR39" i="2"/>
  <c r="AN87" i="2"/>
  <c r="AN153" i="2"/>
  <c r="AN158" i="2"/>
  <c r="AN177" i="2"/>
  <c r="AL268" i="2"/>
  <c r="AT268" i="2"/>
  <c r="AC273" i="2"/>
  <c r="AE273" i="2"/>
  <c r="AG273" i="2"/>
  <c r="AV273" i="2"/>
  <c r="AN283" i="2"/>
  <c r="AC287" i="2"/>
  <c r="AE287" i="2"/>
  <c r="AG287" i="2"/>
  <c r="AV287" i="2"/>
  <c r="AC297" i="2"/>
  <c r="AE297" i="2"/>
  <c r="AG297" i="2"/>
  <c r="AV297" i="2"/>
  <c r="AS301" i="2"/>
  <c r="AN305" i="2"/>
  <c r="AL316" i="2"/>
  <c r="AT316" i="2"/>
  <c r="AI320" i="2"/>
  <c r="AJ320" i="2"/>
  <c r="AI322" i="2"/>
  <c r="AJ322" i="2"/>
  <c r="AL329" i="2"/>
  <c r="AT329" i="2"/>
  <c r="AG332" i="2"/>
  <c r="AV332" i="2"/>
  <c r="AC337" i="2"/>
  <c r="AE337" i="2"/>
  <c r="AG337" i="2"/>
  <c r="AV337" i="2"/>
  <c r="AR347" i="2"/>
  <c r="AG367" i="2"/>
  <c r="AV367" i="2"/>
  <c r="AI399" i="2"/>
  <c r="AJ399" i="2"/>
  <c r="AL407" i="2"/>
  <c r="AT407" i="2"/>
  <c r="AR421" i="2"/>
  <c r="AN455" i="2"/>
  <c r="AR463" i="2"/>
  <c r="AC480" i="2"/>
  <c r="AE480" i="2"/>
  <c r="AG480" i="2"/>
  <c r="AV480" i="2"/>
  <c r="AN488" i="2"/>
  <c r="AG531" i="2"/>
  <c r="AV531" i="2"/>
  <c r="AN534" i="2"/>
  <c r="AN552" i="2"/>
  <c r="AI581" i="2"/>
  <c r="AJ581" i="2"/>
  <c r="AN596" i="2"/>
  <c r="AI597" i="2"/>
  <c r="AJ597" i="2"/>
  <c r="AN621" i="2"/>
  <c r="AN89" i="2"/>
  <c r="AR106" i="2"/>
  <c r="AN154" i="2"/>
  <c r="AR163" i="2"/>
  <c r="AN171" i="2"/>
  <c r="AR187" i="2"/>
  <c r="AN232" i="2"/>
  <c r="AK269" i="2"/>
  <c r="AL269" i="2"/>
  <c r="AT269" i="2"/>
  <c r="AN270" i="2"/>
  <c r="AN272" i="2"/>
  <c r="AN284" i="2"/>
  <c r="AC298" i="2"/>
  <c r="AE298" i="2"/>
  <c r="AG298" i="2"/>
  <c r="AV298" i="2"/>
  <c r="AI330" i="2"/>
  <c r="AJ330" i="2"/>
  <c r="AN336" i="2"/>
  <c r="AI364" i="2"/>
  <c r="AJ364" i="2"/>
  <c r="AK367" i="2"/>
  <c r="AL367" i="2"/>
  <c r="AT367" i="2"/>
  <c r="AC369" i="2"/>
  <c r="AE369" i="2"/>
  <c r="AG369" i="2"/>
  <c r="AV369" i="2"/>
  <c r="AI377" i="2"/>
  <c r="AJ377" i="2"/>
  <c r="AC385" i="2"/>
  <c r="AE385" i="2"/>
  <c r="AG385" i="2"/>
  <c r="AV385" i="2"/>
  <c r="AN396" i="2"/>
  <c r="AN398" i="2"/>
  <c r="AN402" i="2"/>
  <c r="AR411" i="2"/>
  <c r="AN428" i="2"/>
  <c r="AL446" i="2"/>
  <c r="AT446" i="2"/>
  <c r="AL451" i="2"/>
  <c r="AT451" i="2"/>
  <c r="AR511" i="2"/>
  <c r="AI512" i="2"/>
  <c r="AJ512" i="2"/>
  <c r="AN518" i="2"/>
  <c r="AG524" i="2"/>
  <c r="AV524" i="2"/>
  <c r="AN535" i="2"/>
  <c r="AK286" i="2"/>
  <c r="AL286" i="2"/>
  <c r="AT286" i="2"/>
  <c r="AK322" i="2"/>
  <c r="AL322" i="2"/>
  <c r="AT322" i="2"/>
  <c r="AN413" i="2"/>
  <c r="AL472" i="2"/>
  <c r="AT472" i="2"/>
  <c r="AK477" i="2"/>
  <c r="AL477" i="2"/>
  <c r="AT477" i="2"/>
  <c r="AN531" i="2"/>
  <c r="AN536" i="2"/>
  <c r="AL547" i="2"/>
  <c r="AT547" i="2"/>
  <c r="AS570" i="2"/>
  <c r="AN572" i="2"/>
  <c r="AN584" i="2"/>
  <c r="AR623" i="2"/>
  <c r="AI298" i="2"/>
  <c r="AJ298" i="2"/>
  <c r="AR277" i="2"/>
  <c r="AR322" i="2"/>
  <c r="AC347" i="2"/>
  <c r="AE347" i="2"/>
  <c r="AG347" i="2"/>
  <c r="AV347" i="2"/>
  <c r="AI385" i="2"/>
  <c r="AJ385" i="2"/>
  <c r="AS399" i="2"/>
  <c r="AS409" i="2"/>
  <c r="AR4" i="2"/>
  <c r="AN78" i="2"/>
  <c r="AN147" i="2"/>
  <c r="AI303" i="2"/>
  <c r="AJ303" i="2"/>
  <c r="AS320" i="2"/>
  <c r="AN324" i="2"/>
  <c r="AI343" i="2"/>
  <c r="AJ343" i="2"/>
  <c r="AG345" i="2"/>
  <c r="AV345" i="2"/>
  <c r="AG419" i="2"/>
  <c r="AV419" i="2"/>
  <c r="AR425" i="2"/>
  <c r="AK439" i="2"/>
  <c r="AL439" i="2"/>
  <c r="AT439" i="2"/>
  <c r="AI442" i="2"/>
  <c r="AJ442" i="2"/>
  <c r="AN445" i="2"/>
  <c r="AN447" i="2"/>
  <c r="AN461" i="2"/>
  <c r="AI511" i="2"/>
  <c r="AJ511" i="2"/>
  <c r="AG539" i="2"/>
  <c r="AV539" i="2"/>
  <c r="AR603" i="2"/>
  <c r="AN6" i="2"/>
  <c r="AN33" i="2"/>
  <c r="AN132" i="2"/>
  <c r="AN236" i="2"/>
  <c r="AL281" i="2"/>
  <c r="AT281" i="2"/>
  <c r="AC282" i="2"/>
  <c r="AE282" i="2"/>
  <c r="AG282" i="2"/>
  <c r="AV282" i="2"/>
  <c r="AK303" i="2"/>
  <c r="AL303" i="2"/>
  <c r="AT303" i="2"/>
  <c r="AN374" i="2"/>
  <c r="AI516" i="2"/>
  <c r="AJ516" i="2"/>
  <c r="AN524" i="2"/>
  <c r="AL529" i="2"/>
  <c r="AT529" i="2"/>
  <c r="AG569" i="2"/>
  <c r="AV569" i="2"/>
  <c r="AI593" i="2"/>
  <c r="AJ593" i="2"/>
  <c r="AC265" i="2"/>
  <c r="AE265" i="2"/>
  <c r="AG265" i="2"/>
  <c r="AV265" i="2"/>
  <c r="AK265" i="2"/>
  <c r="AL265" i="2"/>
  <c r="AT265" i="2"/>
  <c r="AS333" i="2"/>
  <c r="AI333" i="2"/>
  <c r="AJ333" i="2"/>
  <c r="AK405" i="2"/>
  <c r="AL405" i="2"/>
  <c r="AT405" i="2"/>
  <c r="AI405" i="2"/>
  <c r="AJ405" i="2"/>
  <c r="AI417" i="2"/>
  <c r="AJ417" i="2"/>
  <c r="AL417" i="2"/>
  <c r="AT417" i="2"/>
  <c r="AI573" i="2"/>
  <c r="AJ573" i="2"/>
  <c r="AS573" i="2"/>
  <c r="AR580" i="2"/>
  <c r="AN580" i="2"/>
  <c r="AK587" i="2"/>
  <c r="AL587" i="2"/>
  <c r="AT587" i="2"/>
  <c r="AG587" i="2"/>
  <c r="AV587" i="2"/>
  <c r="AN24" i="2"/>
  <c r="AR34" i="2"/>
  <c r="AR49" i="2"/>
  <c r="AN85" i="2"/>
  <c r="AR91" i="2"/>
  <c r="AI265" i="2"/>
  <c r="AJ265" i="2"/>
  <c r="AN299" i="2"/>
  <c r="AR299" i="2"/>
  <c r="AR307" i="2"/>
  <c r="AN316" i="2"/>
  <c r="AC381" i="2"/>
  <c r="AE381" i="2"/>
  <c r="AG381" i="2"/>
  <c r="AV381" i="2"/>
  <c r="AK381" i="2"/>
  <c r="AL381" i="2"/>
  <c r="AT381" i="2"/>
  <c r="AC405" i="2"/>
  <c r="AE405" i="2"/>
  <c r="AG405" i="2"/>
  <c r="AV405" i="2"/>
  <c r="AN114" i="2"/>
  <c r="AR114" i="2"/>
  <c r="AR477" i="2"/>
  <c r="AN477" i="2"/>
  <c r="AR8" i="2"/>
  <c r="AR12" i="2"/>
  <c r="AN12" i="2"/>
  <c r="AR173" i="2"/>
  <c r="AR321" i="2"/>
  <c r="AN321" i="2"/>
  <c r="AR462" i="2"/>
  <c r="AN462" i="2"/>
  <c r="AN475" i="2"/>
  <c r="AR475" i="2"/>
  <c r="AN625" i="2"/>
  <c r="AR625" i="2"/>
  <c r="AR627" i="2"/>
  <c r="AN627" i="2"/>
  <c r="AR13" i="2"/>
  <c r="AN28" i="2"/>
  <c r="AN43" i="2"/>
  <c r="AR43" i="2"/>
  <c r="AR53" i="2"/>
  <c r="AR68" i="2"/>
  <c r="AN80" i="2"/>
  <c r="AN104" i="2"/>
  <c r="AN120" i="2"/>
  <c r="AN275" i="2"/>
  <c r="AL306" i="2"/>
  <c r="AT306" i="2"/>
  <c r="AI306" i="2"/>
  <c r="AJ306" i="2"/>
  <c r="AC340" i="2"/>
  <c r="AE340" i="2"/>
  <c r="AG340" i="2"/>
  <c r="AV340" i="2"/>
  <c r="AK340" i="2"/>
  <c r="AL340" i="2"/>
  <c r="AT340" i="2"/>
  <c r="AR407" i="2"/>
  <c r="AN407" i="2"/>
  <c r="AG429" i="2"/>
  <c r="AV429" i="2"/>
  <c r="AC431" i="2"/>
  <c r="AE431" i="2"/>
  <c r="AG431" i="2"/>
  <c r="AV431" i="2"/>
  <c r="AN459" i="2"/>
  <c r="AR459" i="2"/>
  <c r="AR466" i="2"/>
  <c r="AN466" i="2"/>
  <c r="AR497" i="2"/>
  <c r="AN497" i="2"/>
  <c r="AN506" i="2"/>
  <c r="AR506" i="2"/>
  <c r="AN522" i="2"/>
  <c r="AR522" i="2"/>
  <c r="AK535" i="2"/>
  <c r="AL535" i="2"/>
  <c r="AT535" i="2"/>
  <c r="AG535" i="2"/>
  <c r="AV535" i="2"/>
  <c r="AR605" i="2"/>
  <c r="AN605" i="2"/>
  <c r="AR617" i="2"/>
  <c r="AR629" i="2"/>
  <c r="AR75" i="2"/>
  <c r="AN75" i="2"/>
  <c r="AI337" i="2"/>
  <c r="AJ337" i="2"/>
  <c r="AS337" i="2"/>
  <c r="AR271" i="2"/>
  <c r="AR470" i="2"/>
  <c r="AN470" i="2"/>
  <c r="AN29" i="2"/>
  <c r="AR29" i="2"/>
  <c r="AN259" i="2"/>
  <c r="AR259" i="2"/>
  <c r="AR291" i="2"/>
  <c r="AC315" i="2"/>
  <c r="AE315" i="2"/>
  <c r="AG315" i="2"/>
  <c r="AV315" i="2"/>
  <c r="AK315" i="2"/>
  <c r="AL315" i="2"/>
  <c r="AT315" i="2"/>
  <c r="AI340" i="2"/>
  <c r="AJ340" i="2"/>
  <c r="AK362" i="2"/>
  <c r="AL362" i="2"/>
  <c r="AT362" i="2"/>
  <c r="AC362" i="2"/>
  <c r="AE362" i="2"/>
  <c r="AG362" i="2"/>
  <c r="AV362" i="2"/>
  <c r="AS389" i="2"/>
  <c r="AI389" i="2"/>
  <c r="AJ389" i="2"/>
  <c r="AR406" i="2"/>
  <c r="AN406" i="2"/>
  <c r="AN507" i="2"/>
  <c r="AR507" i="2"/>
  <c r="AR514" i="2"/>
  <c r="AN51" i="2"/>
  <c r="AR51" i="2"/>
  <c r="AR41" i="2"/>
  <c r="AR102" i="2"/>
  <c r="AN16" i="2"/>
  <c r="AR16" i="2"/>
  <c r="AR32" i="2"/>
  <c r="AR45" i="2"/>
  <c r="AR72" i="2"/>
  <c r="AN72" i="2"/>
  <c r="AN88" i="2"/>
  <c r="AR88" i="2"/>
  <c r="AR96" i="2"/>
  <c r="AN97" i="2"/>
  <c r="AR122" i="2"/>
  <c r="AR165" i="2"/>
  <c r="AC319" i="2"/>
  <c r="AE319" i="2"/>
  <c r="AG319" i="2"/>
  <c r="AV319" i="2"/>
  <c r="AK319" i="2"/>
  <c r="AR338" i="2"/>
  <c r="AN22" i="2"/>
  <c r="AR22" i="2"/>
  <c r="AN59" i="2"/>
  <c r="AR59" i="2"/>
  <c r="AN98" i="2"/>
  <c r="AR98" i="2"/>
  <c r="AK288" i="2"/>
  <c r="AL288" i="2"/>
  <c r="AT288" i="2"/>
  <c r="AC288" i="2"/>
  <c r="AE288" i="2"/>
  <c r="AG288" i="2"/>
  <c r="AV288" i="2"/>
  <c r="AI546" i="2"/>
  <c r="AJ546" i="2"/>
  <c r="AS546" i="2"/>
  <c r="AR93" i="2"/>
  <c r="AN93" i="2"/>
  <c r="AN130" i="2"/>
  <c r="AR130" i="2"/>
  <c r="AN248" i="2"/>
  <c r="AK283" i="2"/>
  <c r="AL283" i="2"/>
  <c r="AT283" i="2"/>
  <c r="AC283" i="2"/>
  <c r="AE283" i="2"/>
  <c r="AG283" i="2"/>
  <c r="AV283" i="2"/>
  <c r="AC333" i="2"/>
  <c r="AE333" i="2"/>
  <c r="AG333" i="2"/>
  <c r="AV333" i="2"/>
  <c r="AK333" i="2"/>
  <c r="AL333" i="2"/>
  <c r="AT333" i="2"/>
  <c r="AR353" i="2"/>
  <c r="AK358" i="2"/>
  <c r="AL358" i="2"/>
  <c r="AT358" i="2"/>
  <c r="AC358" i="2"/>
  <c r="AE358" i="2"/>
  <c r="AG358" i="2"/>
  <c r="AV358" i="2"/>
  <c r="AR386" i="2"/>
  <c r="AG422" i="2"/>
  <c r="AV422" i="2"/>
  <c r="AC448" i="2"/>
  <c r="AE448" i="2"/>
  <c r="AG448" i="2"/>
  <c r="AV448" i="2"/>
  <c r="AK448" i="2"/>
  <c r="AL448" i="2"/>
  <c r="AT448" i="2"/>
  <c r="AI448" i="2"/>
  <c r="AJ448" i="2"/>
  <c r="AN182" i="2"/>
  <c r="AN264" i="2"/>
  <c r="AL282" i="2"/>
  <c r="AT282" i="2"/>
  <c r="AS303" i="2"/>
  <c r="AK348" i="2"/>
  <c r="AL348" i="2"/>
  <c r="AT348" i="2"/>
  <c r="AL369" i="2"/>
  <c r="AT369" i="2"/>
  <c r="AN378" i="2"/>
  <c r="AN380" i="2"/>
  <c r="AN389" i="2"/>
  <c r="AS407" i="2"/>
  <c r="AC414" i="2"/>
  <c r="AE414" i="2"/>
  <c r="AG414" i="2"/>
  <c r="AV414" i="2"/>
  <c r="AK414" i="2"/>
  <c r="AL414" i="2"/>
  <c r="AT414" i="2"/>
  <c r="AR456" i="2"/>
  <c r="AN456" i="2"/>
  <c r="AN508" i="2"/>
  <c r="AR508" i="2"/>
  <c r="AN509" i="2"/>
  <c r="AR509" i="2"/>
  <c r="AR527" i="2"/>
  <c r="AN527" i="2"/>
  <c r="AS529" i="2"/>
  <c r="AI529" i="2"/>
  <c r="AJ529" i="2"/>
  <c r="AN545" i="2"/>
  <c r="AS549" i="2"/>
  <c r="AI549" i="2"/>
  <c r="AJ549" i="2"/>
  <c r="AI288" i="2"/>
  <c r="AJ288" i="2"/>
  <c r="AL334" i="2"/>
  <c r="AT334" i="2"/>
  <c r="AI362" i="2"/>
  <c r="AJ362" i="2"/>
  <c r="AR404" i="2"/>
  <c r="AN404" i="2"/>
  <c r="AN438" i="2"/>
  <c r="AR438" i="2"/>
  <c r="AN453" i="2"/>
  <c r="AR453" i="2"/>
  <c r="AK486" i="2"/>
  <c r="AL486" i="2"/>
  <c r="AT486" i="2"/>
  <c r="AC486" i="2"/>
  <c r="AE486" i="2"/>
  <c r="AG486" i="2"/>
  <c r="AV486" i="2"/>
  <c r="AR517" i="2"/>
  <c r="AN517" i="2"/>
  <c r="AN598" i="2"/>
  <c r="AR598" i="2"/>
  <c r="AN175" i="2"/>
  <c r="AN216" i="2"/>
  <c r="AN287" i="2"/>
  <c r="AL321" i="2"/>
  <c r="AT321" i="2"/>
  <c r="AC334" i="2"/>
  <c r="AE334" i="2"/>
  <c r="AG334" i="2"/>
  <c r="AV334" i="2"/>
  <c r="AI359" i="2"/>
  <c r="AJ359" i="2"/>
  <c r="AI363" i="2"/>
  <c r="AJ363" i="2"/>
  <c r="AC367" i="2"/>
  <c r="AN424" i="2"/>
  <c r="AR424" i="2"/>
  <c r="AK462" i="2"/>
  <c r="AL462" i="2"/>
  <c r="AT462" i="2"/>
  <c r="AC462" i="2"/>
  <c r="AE462" i="2"/>
  <c r="AG462" i="2"/>
  <c r="AV462" i="2"/>
  <c r="AK481" i="2"/>
  <c r="AL481" i="2"/>
  <c r="AT481" i="2"/>
  <c r="AC481" i="2"/>
  <c r="AE481" i="2"/>
  <c r="AG481" i="2"/>
  <c r="AV481" i="2"/>
  <c r="AK487" i="2"/>
  <c r="AL487" i="2"/>
  <c r="AT487" i="2"/>
  <c r="AG492" i="2"/>
  <c r="AV492" i="2"/>
  <c r="AK497" i="2"/>
  <c r="AL497" i="2"/>
  <c r="AT497" i="2"/>
  <c r="AC497" i="2"/>
  <c r="AE497" i="2"/>
  <c r="AG497" i="2"/>
  <c r="AV497" i="2"/>
  <c r="AI542" i="2"/>
  <c r="AJ542" i="2"/>
  <c r="AR548" i="2"/>
  <c r="AN548" i="2"/>
  <c r="AG555" i="2"/>
  <c r="AV555" i="2"/>
  <c r="AK555" i="2"/>
  <c r="AL555" i="2"/>
  <c r="AT555" i="2"/>
  <c r="AG567" i="2"/>
  <c r="AV567" i="2"/>
  <c r="AR574" i="2"/>
  <c r="AN574" i="2"/>
  <c r="AR601" i="2"/>
  <c r="AN611" i="2"/>
  <c r="AR611" i="2"/>
  <c r="AL614" i="2"/>
  <c r="AT614" i="2"/>
  <c r="AR485" i="2"/>
  <c r="AN485" i="2"/>
  <c r="AK496" i="2"/>
  <c r="AL496" i="2"/>
  <c r="AT496" i="2"/>
  <c r="AN588" i="2"/>
  <c r="AR588" i="2"/>
  <c r="AN590" i="2"/>
  <c r="AR268" i="2"/>
  <c r="AK275" i="2"/>
  <c r="AL275" i="2"/>
  <c r="AT275" i="2"/>
  <c r="AR288" i="2"/>
  <c r="AR323" i="2"/>
  <c r="AI324" i="2"/>
  <c r="AJ324" i="2"/>
  <c r="AL328" i="2"/>
  <c r="AT328" i="2"/>
  <c r="AI335" i="2"/>
  <c r="AJ335" i="2"/>
  <c r="AI338" i="2"/>
  <c r="AJ338" i="2"/>
  <c r="AR343" i="2"/>
  <c r="AR364" i="2"/>
  <c r="AR371" i="2"/>
  <c r="AI376" i="2"/>
  <c r="AJ376" i="2"/>
  <c r="AK393" i="2"/>
  <c r="AL393" i="2"/>
  <c r="AT393" i="2"/>
  <c r="AC395" i="2"/>
  <c r="AE395" i="2"/>
  <c r="AG395" i="2"/>
  <c r="AV395" i="2"/>
  <c r="AK395" i="2"/>
  <c r="AL395" i="2"/>
  <c r="AT395" i="2"/>
  <c r="AR405" i="2"/>
  <c r="AN405" i="2"/>
  <c r="AK406" i="2"/>
  <c r="AL406" i="2"/>
  <c r="AT406" i="2"/>
  <c r="AS459" i="2"/>
  <c r="AL459" i="2"/>
  <c r="AT459" i="2"/>
  <c r="AI459" i="2"/>
  <c r="AJ459" i="2"/>
  <c r="AK492" i="2"/>
  <c r="AL492" i="2"/>
  <c r="AT492" i="2"/>
  <c r="AL537" i="2"/>
  <c r="AT537" i="2"/>
  <c r="AR83" i="2"/>
  <c r="AR118" i="2"/>
  <c r="AR161" i="2"/>
  <c r="AI259" i="2"/>
  <c r="AJ259" i="2"/>
  <c r="AC263" i="2"/>
  <c r="AE263" i="2"/>
  <c r="AK308" i="2"/>
  <c r="AL308" i="2"/>
  <c r="AT308" i="2"/>
  <c r="AC312" i="2"/>
  <c r="AE312" i="2"/>
  <c r="AG312" i="2"/>
  <c r="AV312" i="2"/>
  <c r="AI329" i="2"/>
  <c r="AJ329" i="2"/>
  <c r="AS362" i="2"/>
  <c r="AI369" i="2"/>
  <c r="AJ369" i="2"/>
  <c r="AI373" i="2"/>
  <c r="AJ373" i="2"/>
  <c r="AI401" i="2"/>
  <c r="AJ401" i="2"/>
  <c r="AC411" i="2"/>
  <c r="AE411" i="2"/>
  <c r="AG411" i="2"/>
  <c r="AV411" i="2"/>
  <c r="AC436" i="2"/>
  <c r="AE436" i="2"/>
  <c r="AG436" i="2"/>
  <c r="AV436" i="2"/>
  <c r="AK454" i="2"/>
  <c r="AL454" i="2"/>
  <c r="AT454" i="2"/>
  <c r="AC454" i="2"/>
  <c r="AE454" i="2"/>
  <c r="AG454" i="2"/>
  <c r="AV454" i="2"/>
  <c r="AN481" i="2"/>
  <c r="AR481" i="2"/>
  <c r="AR542" i="2"/>
  <c r="AN542" i="2"/>
  <c r="AN543" i="2"/>
  <c r="AR543" i="2"/>
  <c r="AR570" i="2"/>
  <c r="AN570" i="2"/>
  <c r="AI598" i="2"/>
  <c r="AJ598" i="2"/>
  <c r="AK598" i="2"/>
  <c r="AL598" i="2"/>
  <c r="AT598" i="2"/>
  <c r="AK426" i="2"/>
  <c r="AL426" i="2"/>
  <c r="AT426" i="2"/>
  <c r="AK427" i="2"/>
  <c r="AL427" i="2"/>
  <c r="AT427" i="2"/>
  <c r="AI443" i="2"/>
  <c r="AJ443" i="2"/>
  <c r="AK447" i="2"/>
  <c r="AL447" i="2"/>
  <c r="AT447" i="2"/>
  <c r="AL498" i="2"/>
  <c r="AT498" i="2"/>
  <c r="AI504" i="2"/>
  <c r="AJ504" i="2"/>
  <c r="AG546" i="2"/>
  <c r="AV546" i="2"/>
  <c r="AL618" i="2"/>
  <c r="AT618" i="2"/>
  <c r="AS618" i="2"/>
  <c r="AL622" i="2"/>
  <c r="AT622" i="2"/>
  <c r="AI445" i="2"/>
  <c r="AJ445" i="2"/>
  <c r="AI492" i="2"/>
  <c r="AJ492" i="2"/>
  <c r="AI507" i="2"/>
  <c r="AJ507" i="2"/>
  <c r="AL592" i="2"/>
  <c r="AT592" i="2"/>
  <c r="AI398" i="2"/>
  <c r="AJ398" i="2"/>
  <c r="AS443" i="2"/>
  <c r="AR479" i="2"/>
  <c r="AI481" i="2"/>
  <c r="AJ481" i="2"/>
  <c r="AR487" i="2"/>
  <c r="AI528" i="2"/>
  <c r="AJ528" i="2"/>
  <c r="AG549" i="2"/>
  <c r="AV549" i="2"/>
  <c r="AG550" i="2"/>
  <c r="AV550" i="2"/>
  <c r="AL556" i="2"/>
  <c r="AT556" i="2"/>
  <c r="AN569" i="2"/>
  <c r="AI602" i="2"/>
  <c r="AJ602" i="2"/>
  <c r="AL566" i="2"/>
  <c r="AT566" i="2"/>
  <c r="AL620" i="2"/>
  <c r="AT620" i="2"/>
  <c r="AI474" i="2"/>
  <c r="AJ474" i="2"/>
  <c r="AK484" i="2"/>
  <c r="AL484" i="2"/>
  <c r="AT484" i="2"/>
  <c r="AG556" i="2"/>
  <c r="AV556" i="2"/>
  <c r="AL572" i="2"/>
  <c r="AT572" i="2"/>
  <c r="AR592" i="2"/>
  <c r="AG596" i="2"/>
  <c r="AV596" i="2"/>
  <c r="AG621" i="2"/>
  <c r="AV621" i="2"/>
  <c r="AR152" i="2"/>
  <c r="AN152" i="2"/>
  <c r="AR451" i="2"/>
  <c r="AN451" i="2"/>
  <c r="AR15" i="2"/>
  <c r="AR20" i="2"/>
  <c r="AR206" i="2"/>
  <c r="AN206" i="2"/>
  <c r="AK270" i="2"/>
  <c r="AH270" i="2"/>
  <c r="AI270" i="2"/>
  <c r="AJ270" i="2"/>
  <c r="AR318" i="2"/>
  <c r="AK354" i="2"/>
  <c r="AL354" i="2"/>
  <c r="AT354" i="2"/>
  <c r="AI354" i="2"/>
  <c r="AJ354" i="2"/>
  <c r="AR390" i="2"/>
  <c r="AN390" i="2"/>
  <c r="AN395" i="2"/>
  <c r="AR395" i="2"/>
  <c r="AR397" i="2"/>
  <c r="AN397" i="2"/>
  <c r="AN61" i="2"/>
  <c r="AN69" i="2"/>
  <c r="AR76" i="2"/>
  <c r="AR134" i="2"/>
  <c r="AR190" i="2"/>
  <c r="AN190" i="2"/>
  <c r="AR238" i="2"/>
  <c r="AN238" i="2"/>
  <c r="AL261" i="2"/>
  <c r="AT261" i="2"/>
  <c r="AS261" i="2"/>
  <c r="AC270" i="2"/>
  <c r="AE270" i="2"/>
  <c r="AG270" i="2"/>
  <c r="AV270" i="2"/>
  <c r="AH276" i="2"/>
  <c r="AI276" i="2"/>
  <c r="AJ276" i="2"/>
  <c r="AR306" i="2"/>
  <c r="AC307" i="2"/>
  <c r="AE307" i="2"/>
  <c r="AG307" i="2"/>
  <c r="AV307" i="2"/>
  <c r="AN313" i="2"/>
  <c r="AI314" i="2"/>
  <c r="AJ314" i="2"/>
  <c r="AC321" i="2"/>
  <c r="AE321" i="2"/>
  <c r="AG321" i="2"/>
  <c r="AV321" i="2"/>
  <c r="AR325" i="2"/>
  <c r="AC354" i="2"/>
  <c r="AE354" i="2"/>
  <c r="AG354" i="2"/>
  <c r="AV354" i="2"/>
  <c r="AR366" i="2"/>
  <c r="AI383" i="2"/>
  <c r="AJ383" i="2"/>
  <c r="AR64" i="2"/>
  <c r="AN18" i="2"/>
  <c r="AN62" i="2"/>
  <c r="AN70" i="2"/>
  <c r="AN77" i="2"/>
  <c r="AN146" i="2"/>
  <c r="AN172" i="2"/>
  <c r="AR172" i="2"/>
  <c r="AN192" i="2"/>
  <c r="AN220" i="2"/>
  <c r="AN252" i="2"/>
  <c r="AR260" i="2"/>
  <c r="AK290" i="2"/>
  <c r="AL290" i="2"/>
  <c r="AT290" i="2"/>
  <c r="AG290" i="2"/>
  <c r="AV290" i="2"/>
  <c r="AL309" i="2"/>
  <c r="AT309" i="2"/>
  <c r="AI317" i="2"/>
  <c r="AJ317" i="2"/>
  <c r="AK317" i="2"/>
  <c r="AI350" i="2"/>
  <c r="AJ350" i="2"/>
  <c r="AC350" i="2"/>
  <c r="AE350" i="2"/>
  <c r="AG350" i="2"/>
  <c r="AV350" i="2"/>
  <c r="AK350" i="2"/>
  <c r="AL350" i="2"/>
  <c r="AT350" i="2"/>
  <c r="AI283" i="2"/>
  <c r="AJ283" i="2"/>
  <c r="AN486" i="2"/>
  <c r="AR486" i="2"/>
  <c r="AN90" i="2"/>
  <c r="AR90" i="2"/>
  <c r="AN327" i="2"/>
  <c r="AR327" i="2"/>
  <c r="AR458" i="2"/>
  <c r="AN458" i="2"/>
  <c r="AR124" i="2"/>
  <c r="AN124" i="2"/>
  <c r="AR410" i="2"/>
  <c r="AN410" i="2"/>
  <c r="AN63" i="2"/>
  <c r="AN67" i="2"/>
  <c r="AN82" i="2"/>
  <c r="AN100" i="2"/>
  <c r="AN108" i="2"/>
  <c r="AN116" i="2"/>
  <c r="AR126" i="2"/>
  <c r="AN160" i="2"/>
  <c r="AK267" i="2"/>
  <c r="AL267" i="2"/>
  <c r="AT267" i="2"/>
  <c r="AG267" i="2"/>
  <c r="AV267" i="2"/>
  <c r="AK296" i="2"/>
  <c r="AL296" i="2"/>
  <c r="AT296" i="2"/>
  <c r="AI296" i="2"/>
  <c r="AJ296" i="2"/>
  <c r="AC346" i="2"/>
  <c r="AE346" i="2"/>
  <c r="AG346" i="2"/>
  <c r="AV346" i="2"/>
  <c r="AK346" i="2"/>
  <c r="AL346" i="2"/>
  <c r="AT346" i="2"/>
  <c r="AS428" i="2"/>
  <c r="AI428" i="2"/>
  <c r="AJ428" i="2"/>
  <c r="AK585" i="2"/>
  <c r="AL585" i="2"/>
  <c r="AT585" i="2"/>
  <c r="AG585" i="2"/>
  <c r="AV585" i="2"/>
  <c r="AR128" i="2"/>
  <c r="AN128" i="2"/>
  <c r="AR139" i="2"/>
  <c r="AN139" i="2"/>
  <c r="AN180" i="2"/>
  <c r="AN202" i="2"/>
  <c r="AN234" i="2"/>
  <c r="AK259" i="2"/>
  <c r="AL259" i="2"/>
  <c r="AT259" i="2"/>
  <c r="AG259" i="2"/>
  <c r="AV259" i="2"/>
  <c r="AN262" i="2"/>
  <c r="AR279" i="2"/>
  <c r="AN279" i="2"/>
  <c r="AN289" i="2"/>
  <c r="AR289" i="2"/>
  <c r="AS291" i="2"/>
  <c r="AK300" i="2"/>
  <c r="AL300" i="2"/>
  <c r="AT300" i="2"/>
  <c r="AS346" i="2"/>
  <c r="AI346" i="2"/>
  <c r="AJ346" i="2"/>
  <c r="AN355" i="2"/>
  <c r="AR355" i="2"/>
  <c r="AN356" i="2"/>
  <c r="AR356" i="2"/>
  <c r="AS415" i="2"/>
  <c r="AL415" i="2"/>
  <c r="AT415" i="2"/>
  <c r="AS477" i="2"/>
  <c r="AI477" i="2"/>
  <c r="AJ477" i="2"/>
  <c r="AK478" i="2"/>
  <c r="AL478" i="2"/>
  <c r="AT478" i="2"/>
  <c r="AC478" i="2"/>
  <c r="AE478" i="2"/>
  <c r="AG478" i="2"/>
  <c r="AV478" i="2"/>
  <c r="AN555" i="2"/>
  <c r="AR555" i="2"/>
  <c r="AG558" i="2"/>
  <c r="AV558" i="2"/>
  <c r="AK558" i="2"/>
  <c r="AL558" i="2"/>
  <c r="AT558" i="2"/>
  <c r="AI558" i="2"/>
  <c r="AJ558" i="2"/>
  <c r="AI595" i="2"/>
  <c r="AJ595" i="2"/>
  <c r="AS595" i="2"/>
  <c r="AL595" i="2"/>
  <c r="AT595" i="2"/>
  <c r="AK608" i="2"/>
  <c r="AL608" i="2"/>
  <c r="AT608" i="2"/>
  <c r="AI608" i="2"/>
  <c r="AJ608" i="2"/>
  <c r="AS381" i="2"/>
  <c r="AI381" i="2"/>
  <c r="AJ381" i="2"/>
  <c r="AN280" i="2"/>
  <c r="AR280" i="2"/>
  <c r="AS283" i="2"/>
  <c r="AI291" i="2"/>
  <c r="AJ291" i="2"/>
  <c r="AC300" i="2"/>
  <c r="AE300" i="2"/>
  <c r="AG300" i="2"/>
  <c r="AV300" i="2"/>
  <c r="AR311" i="2"/>
  <c r="AI319" i="2"/>
  <c r="AJ319" i="2"/>
  <c r="AS319" i="2"/>
  <c r="AC329" i="2"/>
  <c r="AE329" i="2"/>
  <c r="AG329" i="2"/>
  <c r="AV329" i="2"/>
  <c r="AI358" i="2"/>
  <c r="AJ358" i="2"/>
  <c r="AS358" i="2"/>
  <c r="AS397" i="2"/>
  <c r="AI397" i="2"/>
  <c r="AJ397" i="2"/>
  <c r="AN403" i="2"/>
  <c r="AR403" i="2"/>
  <c r="AC408" i="2"/>
  <c r="AE408" i="2"/>
  <c r="AG408" i="2"/>
  <c r="AV408" i="2"/>
  <c r="AN184" i="2"/>
  <c r="AN193" i="2"/>
  <c r="AN222" i="2"/>
  <c r="AN254" i="2"/>
  <c r="AN258" i="2"/>
  <c r="AS265" i="2"/>
  <c r="AN278" i="2"/>
  <c r="AS282" i="2"/>
  <c r="AS286" i="2"/>
  <c r="AK291" i="2"/>
  <c r="AL291" i="2"/>
  <c r="AT291" i="2"/>
  <c r="AS296" i="2"/>
  <c r="AN304" i="2"/>
  <c r="AN308" i="2"/>
  <c r="AL324" i="2"/>
  <c r="AT324" i="2"/>
  <c r="AN330" i="2"/>
  <c r="AR330" i="2"/>
  <c r="AK335" i="2"/>
  <c r="AL335" i="2"/>
  <c r="AT335" i="2"/>
  <c r="AC335" i="2"/>
  <c r="AE335" i="2"/>
  <c r="AG335" i="2"/>
  <c r="AV335" i="2"/>
  <c r="AN340" i="2"/>
  <c r="AR340" i="2"/>
  <c r="AI351" i="2"/>
  <c r="AJ351" i="2"/>
  <c r="AC361" i="2"/>
  <c r="AE361" i="2"/>
  <c r="AG361" i="2"/>
  <c r="AV361" i="2"/>
  <c r="AC377" i="2"/>
  <c r="AE377" i="2"/>
  <c r="AG377" i="2"/>
  <c r="AV377" i="2"/>
  <c r="AK377" i="2"/>
  <c r="AL377" i="2"/>
  <c r="AT377" i="2"/>
  <c r="AR381" i="2"/>
  <c r="AN381" i="2"/>
  <c r="AN412" i="2"/>
  <c r="AR412" i="2"/>
  <c r="AC423" i="2"/>
  <c r="AE423" i="2"/>
  <c r="AG423" i="2"/>
  <c r="AV423" i="2"/>
  <c r="AK423" i="2"/>
  <c r="AL423" i="2"/>
  <c r="AT423" i="2"/>
  <c r="AR426" i="2"/>
  <c r="AN426" i="2"/>
  <c r="AR427" i="2"/>
  <c r="AN427" i="2"/>
  <c r="AR464" i="2"/>
  <c r="AN464" i="2"/>
  <c r="AN468" i="2"/>
  <c r="AR468" i="2"/>
  <c r="AK494" i="2"/>
  <c r="AL494" i="2"/>
  <c r="AT494" i="2"/>
  <c r="AC494" i="2"/>
  <c r="AE494" i="2"/>
  <c r="AG494" i="2"/>
  <c r="AV494" i="2"/>
  <c r="AR501" i="2"/>
  <c r="AN501" i="2"/>
  <c r="AS530" i="2"/>
  <c r="AI530" i="2"/>
  <c r="AJ530" i="2"/>
  <c r="AN583" i="2"/>
  <c r="AR583" i="2"/>
  <c r="AN204" i="2"/>
  <c r="AI290" i="2"/>
  <c r="AJ290" i="2"/>
  <c r="AI321" i="2"/>
  <c r="AJ321" i="2"/>
  <c r="AN345" i="2"/>
  <c r="AR345" i="2"/>
  <c r="AI347" i="2"/>
  <c r="AJ347" i="2"/>
  <c r="AS347" i="2"/>
  <c r="AC366" i="2"/>
  <c r="AE366" i="2"/>
  <c r="AG366" i="2"/>
  <c r="AV366" i="2"/>
  <c r="AK366" i="2"/>
  <c r="AL366" i="2"/>
  <c r="AT366" i="2"/>
  <c r="AN465" i="2"/>
  <c r="AR465" i="2"/>
  <c r="AC473" i="2"/>
  <c r="AE473" i="2"/>
  <c r="AG473" i="2"/>
  <c r="AV473" i="2"/>
  <c r="AK473" i="2"/>
  <c r="AL473" i="2"/>
  <c r="AT473" i="2"/>
  <c r="AS482" i="2"/>
  <c r="AI482" i="2"/>
  <c r="AJ482" i="2"/>
  <c r="AN145" i="2"/>
  <c r="AR170" i="2"/>
  <c r="AR178" i="2"/>
  <c r="AR189" i="2"/>
  <c r="AN218" i="2"/>
  <c r="AN250" i="2"/>
  <c r="AR276" i="2"/>
  <c r="AR285" i="2"/>
  <c r="AI286" i="2"/>
  <c r="AJ286" i="2"/>
  <c r="AL292" i="2"/>
  <c r="AT292" i="2"/>
  <c r="AI304" i="2"/>
  <c r="AJ304" i="2"/>
  <c r="AN309" i="2"/>
  <c r="AG310" i="2"/>
  <c r="AV310" i="2"/>
  <c r="AN314" i="2"/>
  <c r="AR319" i="2"/>
  <c r="AC320" i="2"/>
  <c r="AE320" i="2"/>
  <c r="AG320" i="2"/>
  <c r="AV320" i="2"/>
  <c r="AL323" i="2"/>
  <c r="AT323" i="2"/>
  <c r="AS325" i="2"/>
  <c r="AI325" i="2"/>
  <c r="AJ325" i="2"/>
  <c r="AC330" i="2"/>
  <c r="AE330" i="2"/>
  <c r="AG330" i="2"/>
  <c r="AV330" i="2"/>
  <c r="AR331" i="2"/>
  <c r="AN334" i="2"/>
  <c r="AR334" i="2"/>
  <c r="AR349" i="2"/>
  <c r="AN349" i="2"/>
  <c r="AK355" i="2"/>
  <c r="AL355" i="2"/>
  <c r="AT355" i="2"/>
  <c r="AC355" i="2"/>
  <c r="AE355" i="2"/>
  <c r="AG355" i="2"/>
  <c r="AV355" i="2"/>
  <c r="AK356" i="2"/>
  <c r="AL356" i="2"/>
  <c r="AT356" i="2"/>
  <c r="AC356" i="2"/>
  <c r="AE356" i="2"/>
  <c r="AG356" i="2"/>
  <c r="AV356" i="2"/>
  <c r="AI393" i="2"/>
  <c r="AJ393" i="2"/>
  <c r="AS393" i="2"/>
  <c r="AI394" i="2"/>
  <c r="AJ394" i="2"/>
  <c r="AS394" i="2"/>
  <c r="AN414" i="2"/>
  <c r="AR414" i="2"/>
  <c r="AR415" i="2"/>
  <c r="AN415" i="2"/>
  <c r="AI473" i="2"/>
  <c r="AJ473" i="2"/>
  <c r="AN503" i="2"/>
  <c r="AR503" i="2"/>
  <c r="AN529" i="2"/>
  <c r="AR529" i="2"/>
  <c r="AR281" i="2"/>
  <c r="AC292" i="2"/>
  <c r="AE292" i="2"/>
  <c r="AG292" i="2"/>
  <c r="AV292" i="2"/>
  <c r="AC304" i="2"/>
  <c r="AE304" i="2"/>
  <c r="AG304" i="2"/>
  <c r="AV304" i="2"/>
  <c r="AI326" i="2"/>
  <c r="AJ326" i="2"/>
  <c r="AN335" i="2"/>
  <c r="AR335" i="2"/>
  <c r="AI355" i="2"/>
  <c r="AJ355" i="2"/>
  <c r="AS355" i="2"/>
  <c r="AN361" i="2"/>
  <c r="AR361" i="2"/>
  <c r="AR376" i="2"/>
  <c r="AN376" i="2"/>
  <c r="AC379" i="2"/>
  <c r="AE379" i="2"/>
  <c r="AG379" i="2"/>
  <c r="AV379" i="2"/>
  <c r="AK379" i="2"/>
  <c r="AL379" i="2"/>
  <c r="AT379" i="2"/>
  <c r="AC389" i="2"/>
  <c r="AE389" i="2"/>
  <c r="AG389" i="2"/>
  <c r="AV389" i="2"/>
  <c r="AK389" i="2"/>
  <c r="AL389" i="2"/>
  <c r="AT389" i="2"/>
  <c r="AR419" i="2"/>
  <c r="AN419" i="2"/>
  <c r="AR420" i="2"/>
  <c r="AN420" i="2"/>
  <c r="AR433" i="2"/>
  <c r="AN433" i="2"/>
  <c r="AK458" i="2"/>
  <c r="AL458" i="2"/>
  <c r="AT458" i="2"/>
  <c r="AC458" i="2"/>
  <c r="AE458" i="2"/>
  <c r="AG458" i="2"/>
  <c r="AV458" i="2"/>
  <c r="AK463" i="2"/>
  <c r="AL463" i="2"/>
  <c r="AT463" i="2"/>
  <c r="AC463" i="2"/>
  <c r="AE463" i="2"/>
  <c r="AG463" i="2"/>
  <c r="AV463" i="2"/>
  <c r="AN482" i="2"/>
  <c r="AR482" i="2"/>
  <c r="AR168" i="2"/>
  <c r="AR176" i="2"/>
  <c r="AC269" i="2"/>
  <c r="AE269" i="2"/>
  <c r="AG269" i="2"/>
  <c r="AV269" i="2"/>
  <c r="AL277" i="2"/>
  <c r="AT277" i="2"/>
  <c r="AC280" i="2"/>
  <c r="AE280" i="2"/>
  <c r="AG280" i="2"/>
  <c r="AV280" i="2"/>
  <c r="AL287" i="2"/>
  <c r="AT287" i="2"/>
  <c r="AI311" i="2"/>
  <c r="AJ311" i="2"/>
  <c r="AL320" i="2"/>
  <c r="AT320" i="2"/>
  <c r="AC326" i="2"/>
  <c r="AE326" i="2"/>
  <c r="AG326" i="2"/>
  <c r="AV326" i="2"/>
  <c r="AR329" i="2"/>
  <c r="AN329" i="2"/>
  <c r="AR332" i="2"/>
  <c r="AR359" i="2"/>
  <c r="AN359" i="2"/>
  <c r="AN365" i="2"/>
  <c r="AR365" i="2"/>
  <c r="AI366" i="2"/>
  <c r="AJ366" i="2"/>
  <c r="AR367" i="2"/>
  <c r="AN367" i="2"/>
  <c r="AN368" i="2"/>
  <c r="AR368" i="2"/>
  <c r="AK371" i="2"/>
  <c r="AL371" i="2"/>
  <c r="AT371" i="2"/>
  <c r="AC371" i="2"/>
  <c r="AE371" i="2"/>
  <c r="AG371" i="2"/>
  <c r="AV371" i="2"/>
  <c r="AK397" i="2"/>
  <c r="AL397" i="2"/>
  <c r="AT397" i="2"/>
  <c r="AC397" i="2"/>
  <c r="AE397" i="2"/>
  <c r="AG397" i="2"/>
  <c r="AV397" i="2"/>
  <c r="AK403" i="2"/>
  <c r="AL403" i="2"/>
  <c r="AT403" i="2"/>
  <c r="AC403" i="2"/>
  <c r="AE403" i="2"/>
  <c r="AG403" i="2"/>
  <c r="AV403" i="2"/>
  <c r="AN452" i="2"/>
  <c r="AR452" i="2"/>
  <c r="AK457" i="2"/>
  <c r="AL457" i="2"/>
  <c r="AT457" i="2"/>
  <c r="AR472" i="2"/>
  <c r="AN472" i="2"/>
  <c r="AR505" i="2"/>
  <c r="AN505" i="2"/>
  <c r="AR591" i="2"/>
  <c r="AK628" i="2"/>
  <c r="AL628" i="2"/>
  <c r="AT628" i="2"/>
  <c r="AG628" i="2"/>
  <c r="AV628" i="2"/>
  <c r="AI628" i="2"/>
  <c r="AJ628" i="2"/>
  <c r="AL363" i="2"/>
  <c r="AT363" i="2"/>
  <c r="AL383" i="2"/>
  <c r="AT383" i="2"/>
  <c r="AL385" i="2"/>
  <c r="AT385" i="2"/>
  <c r="AK387" i="2"/>
  <c r="AL387" i="2"/>
  <c r="AT387" i="2"/>
  <c r="AI419" i="2"/>
  <c r="AJ419" i="2"/>
  <c r="AL435" i="2"/>
  <c r="AT435" i="2"/>
  <c r="AG438" i="2"/>
  <c r="AV438" i="2"/>
  <c r="AK438" i="2"/>
  <c r="AL438" i="2"/>
  <c r="AT438" i="2"/>
  <c r="AC460" i="2"/>
  <c r="AE460" i="2"/>
  <c r="AG460" i="2"/>
  <c r="AV460" i="2"/>
  <c r="AK460" i="2"/>
  <c r="AL460" i="2"/>
  <c r="AT460" i="2"/>
  <c r="AN510" i="2"/>
  <c r="AR510" i="2"/>
  <c r="AS536" i="2"/>
  <c r="AI536" i="2"/>
  <c r="AJ536" i="2"/>
  <c r="AG544" i="2"/>
  <c r="AV544" i="2"/>
  <c r="AK544" i="2"/>
  <c r="AL544" i="2"/>
  <c r="AT544" i="2"/>
  <c r="AL559" i="2"/>
  <c r="AT559" i="2"/>
  <c r="AI559" i="2"/>
  <c r="AJ559" i="2"/>
  <c r="AS559" i="2"/>
  <c r="AK561" i="2"/>
  <c r="AL561" i="2"/>
  <c r="AT561" i="2"/>
  <c r="AG561" i="2"/>
  <c r="AV561" i="2"/>
  <c r="AR575" i="2"/>
  <c r="AN575" i="2"/>
  <c r="AN594" i="2"/>
  <c r="AR594" i="2"/>
  <c r="AK612" i="2"/>
  <c r="AL612" i="2"/>
  <c r="AT612" i="2"/>
  <c r="AG612" i="2"/>
  <c r="AV612" i="2"/>
  <c r="AI630" i="2"/>
  <c r="AJ630" i="2"/>
  <c r="AG630" i="2"/>
  <c r="AV630" i="2"/>
  <c r="AL347" i="2"/>
  <c r="AT347" i="2"/>
  <c r="AN373" i="2"/>
  <c r="AI412" i="2"/>
  <c r="AJ412" i="2"/>
  <c r="AS412" i="2"/>
  <c r="AC424" i="2"/>
  <c r="AE424" i="2"/>
  <c r="AG424" i="2"/>
  <c r="AV424" i="2"/>
  <c r="AR436" i="2"/>
  <c r="AN436" i="2"/>
  <c r="AC465" i="2"/>
  <c r="AE465" i="2"/>
  <c r="AG465" i="2"/>
  <c r="AV465" i="2"/>
  <c r="AK465" i="2"/>
  <c r="AL465" i="2"/>
  <c r="AT465" i="2"/>
  <c r="AG623" i="2"/>
  <c r="AV623" i="2"/>
  <c r="AK623" i="2"/>
  <c r="AL623" i="2"/>
  <c r="AT623" i="2"/>
  <c r="AI623" i="2"/>
  <c r="AJ623" i="2"/>
  <c r="AL337" i="2"/>
  <c r="AT337" i="2"/>
  <c r="AG338" i="2"/>
  <c r="AV338" i="2"/>
  <c r="AR379" i="2"/>
  <c r="AR387" i="2"/>
  <c r="AC418" i="2"/>
  <c r="AE418" i="2"/>
  <c r="AG418" i="2"/>
  <c r="AV418" i="2"/>
  <c r="AL424" i="2"/>
  <c r="AT424" i="2"/>
  <c r="AI427" i="2"/>
  <c r="AJ427" i="2"/>
  <c r="AC432" i="2"/>
  <c r="AE432" i="2"/>
  <c r="AG432" i="2"/>
  <c r="AV432" i="2"/>
  <c r="AG445" i="2"/>
  <c r="AV445" i="2"/>
  <c r="AN446" i="2"/>
  <c r="AR446" i="2"/>
  <c r="AC449" i="2"/>
  <c r="AE449" i="2"/>
  <c r="AG449" i="2"/>
  <c r="AV449" i="2"/>
  <c r="AK449" i="2"/>
  <c r="AL449" i="2"/>
  <c r="AT449" i="2"/>
  <c r="AL474" i="2"/>
  <c r="AT474" i="2"/>
  <c r="AR495" i="2"/>
  <c r="AG522" i="2"/>
  <c r="AV522" i="2"/>
  <c r="AK522" i="2"/>
  <c r="AL522" i="2"/>
  <c r="AT522" i="2"/>
  <c r="AS522" i="2"/>
  <c r="AI537" i="2"/>
  <c r="AJ537" i="2"/>
  <c r="AG538" i="2"/>
  <c r="AV538" i="2"/>
  <c r="AK538" i="2"/>
  <c r="AK571" i="2"/>
  <c r="AL571" i="2"/>
  <c r="AT571" i="2"/>
  <c r="AG571" i="2"/>
  <c r="AV571" i="2"/>
  <c r="AI571" i="2"/>
  <c r="AJ571" i="2"/>
  <c r="AG589" i="2"/>
  <c r="AV589" i="2"/>
  <c r="AK589" i="2"/>
  <c r="AL589" i="2"/>
  <c r="AT589" i="2"/>
  <c r="AN619" i="2"/>
  <c r="AR619" i="2"/>
  <c r="AL418" i="2"/>
  <c r="AT418" i="2"/>
  <c r="AK440" i="2"/>
  <c r="AL440" i="2"/>
  <c r="AT440" i="2"/>
  <c r="AI440" i="2"/>
  <c r="AJ440" i="2"/>
  <c r="AG520" i="2"/>
  <c r="AV520" i="2"/>
  <c r="AK520" i="2"/>
  <c r="AL520" i="2"/>
  <c r="AT520" i="2"/>
  <c r="AG530" i="2"/>
  <c r="AV530" i="2"/>
  <c r="AK530" i="2"/>
  <c r="AL530" i="2"/>
  <c r="AT530" i="2"/>
  <c r="AI552" i="2"/>
  <c r="AJ552" i="2"/>
  <c r="AS552" i="2"/>
  <c r="AK553" i="2"/>
  <c r="AL553" i="2"/>
  <c r="AT553" i="2"/>
  <c r="AG553" i="2"/>
  <c r="AV553" i="2"/>
  <c r="AK568" i="2"/>
  <c r="AL568" i="2"/>
  <c r="AT568" i="2"/>
  <c r="AI568" i="2"/>
  <c r="AJ568" i="2"/>
  <c r="AK604" i="2"/>
  <c r="AL604" i="2"/>
  <c r="AT604" i="2"/>
  <c r="AG604" i="2"/>
  <c r="AV604" i="2"/>
  <c r="AI604" i="2"/>
  <c r="AJ604" i="2"/>
  <c r="AN613" i="2"/>
  <c r="AR613" i="2"/>
  <c r="AI614" i="2"/>
  <c r="AJ614" i="2"/>
  <c r="AS614" i="2"/>
  <c r="AI402" i="2"/>
  <c r="AJ402" i="2"/>
  <c r="AI410" i="2"/>
  <c r="AJ410" i="2"/>
  <c r="AI435" i="2"/>
  <c r="AJ435" i="2"/>
  <c r="AS435" i="2"/>
  <c r="AC440" i="2"/>
  <c r="AE440" i="2"/>
  <c r="AG440" i="2"/>
  <c r="AV440" i="2"/>
  <c r="AI469" i="2"/>
  <c r="AJ469" i="2"/>
  <c r="AS469" i="2"/>
  <c r="AL482" i="2"/>
  <c r="AT482" i="2"/>
  <c r="AC488" i="2"/>
  <c r="AE488" i="2"/>
  <c r="AG488" i="2"/>
  <c r="AV488" i="2"/>
  <c r="AC500" i="2"/>
  <c r="AE500" i="2"/>
  <c r="AG500" i="2"/>
  <c r="AV500" i="2"/>
  <c r="AK500" i="2"/>
  <c r="AL500" i="2"/>
  <c r="AT500" i="2"/>
  <c r="AI500" i="2"/>
  <c r="AJ500" i="2"/>
  <c r="AN512" i="2"/>
  <c r="AR512" i="2"/>
  <c r="AR521" i="2"/>
  <c r="AG536" i="2"/>
  <c r="AV536" i="2"/>
  <c r="AK536" i="2"/>
  <c r="AL536" i="2"/>
  <c r="AT536" i="2"/>
  <c r="AK543" i="2"/>
  <c r="AL543" i="2"/>
  <c r="AT543" i="2"/>
  <c r="AG543" i="2"/>
  <c r="AV543" i="2"/>
  <c r="AR551" i="2"/>
  <c r="AN551" i="2"/>
  <c r="AR566" i="2"/>
  <c r="AN566" i="2"/>
  <c r="AR582" i="2"/>
  <c r="AN582" i="2"/>
  <c r="AI596" i="2"/>
  <c r="AJ596" i="2"/>
  <c r="AK596" i="2"/>
  <c r="AL596" i="2"/>
  <c r="AT596" i="2"/>
  <c r="AG601" i="2"/>
  <c r="AV601" i="2"/>
  <c r="AK601" i="2"/>
  <c r="AL601" i="2"/>
  <c r="AT601" i="2"/>
  <c r="AI601" i="2"/>
  <c r="AJ601" i="2"/>
  <c r="AR577" i="2"/>
  <c r="AN577" i="2"/>
  <c r="AG617" i="2"/>
  <c r="AV617" i="2"/>
  <c r="AK617" i="2"/>
  <c r="AL617" i="2"/>
  <c r="AT617" i="2"/>
  <c r="AL436" i="2"/>
  <c r="AT436" i="2"/>
  <c r="AN448" i="2"/>
  <c r="AS451" i="2"/>
  <c r="AN471" i="2"/>
  <c r="AN474" i="2"/>
  <c r="AN493" i="2"/>
  <c r="AN498" i="2"/>
  <c r="AI503" i="2"/>
  <c r="AJ503" i="2"/>
  <c r="AG521" i="2"/>
  <c r="AV521" i="2"/>
  <c r="AN523" i="2"/>
  <c r="AL538" i="2"/>
  <c r="AT538" i="2"/>
  <c r="AS538" i="2"/>
  <c r="AI538" i="2"/>
  <c r="AJ538" i="2"/>
  <c r="AN539" i="2"/>
  <c r="AN541" i="2"/>
  <c r="AS542" i="2"/>
  <c r="AI544" i="2"/>
  <c r="AJ544" i="2"/>
  <c r="AL546" i="2"/>
  <c r="AT546" i="2"/>
  <c r="AR579" i="2"/>
  <c r="AN579" i="2"/>
  <c r="AR587" i="2"/>
  <c r="AL593" i="2"/>
  <c r="AT593" i="2"/>
  <c r="AN599" i="2"/>
  <c r="AR607" i="2"/>
  <c r="AI624" i="2"/>
  <c r="AJ624" i="2"/>
  <c r="AL431" i="2"/>
  <c r="AT431" i="2"/>
  <c r="AS481" i="2"/>
  <c r="AN537" i="2"/>
  <c r="AR537" i="2"/>
  <c r="AS555" i="2"/>
  <c r="AI555" i="2"/>
  <c r="AJ555" i="2"/>
  <c r="AR568" i="2"/>
  <c r="AN568" i="2"/>
  <c r="AS586" i="2"/>
  <c r="AI586" i="2"/>
  <c r="AJ586" i="2"/>
  <c r="AN615" i="2"/>
  <c r="AR615" i="2"/>
  <c r="AI431" i="2"/>
  <c r="AJ431" i="2"/>
  <c r="AI451" i="2"/>
  <c r="AJ451" i="2"/>
  <c r="AI478" i="2"/>
  <c r="AJ478" i="2"/>
  <c r="AG484" i="2"/>
  <c r="AV484" i="2"/>
  <c r="AR502" i="2"/>
  <c r="AR504" i="2"/>
  <c r="AI520" i="2"/>
  <c r="AJ520" i="2"/>
  <c r="AI521" i="2"/>
  <c r="AJ521" i="2"/>
  <c r="AR546" i="2"/>
  <c r="AN546" i="2"/>
  <c r="AL552" i="2"/>
  <c r="AT552" i="2"/>
  <c r="AR562" i="2"/>
  <c r="AN562" i="2"/>
  <c r="AI576" i="2"/>
  <c r="AJ576" i="2"/>
  <c r="AR581" i="2"/>
  <c r="AN581" i="2"/>
  <c r="AG598" i="2"/>
  <c r="AV598" i="2"/>
  <c r="AG607" i="2"/>
  <c r="AV607" i="2"/>
  <c r="AK607" i="2"/>
  <c r="AL607" i="2"/>
  <c r="AT607" i="2"/>
  <c r="AK613" i="2"/>
  <c r="AL613" i="2"/>
  <c r="AT613" i="2"/>
  <c r="AC437" i="2"/>
  <c r="AE437" i="2"/>
  <c r="AG437" i="2"/>
  <c r="AV437" i="2"/>
  <c r="AI444" i="2"/>
  <c r="AJ444" i="2"/>
  <c r="AC446" i="2"/>
  <c r="AE446" i="2"/>
  <c r="AG446" i="2"/>
  <c r="AV446" i="2"/>
  <c r="AL521" i="2"/>
  <c r="AT521" i="2"/>
  <c r="AK545" i="2"/>
  <c r="AL545" i="2"/>
  <c r="AT545" i="2"/>
  <c r="AG545" i="2"/>
  <c r="AV545" i="2"/>
  <c r="AG559" i="2"/>
  <c r="AV559" i="2"/>
  <c r="AG583" i="2"/>
  <c r="AV583" i="2"/>
  <c r="AS591" i="2"/>
  <c r="AI591" i="2"/>
  <c r="AJ591" i="2"/>
  <c r="AR593" i="2"/>
  <c r="AR609" i="2"/>
  <c r="AG626" i="2"/>
  <c r="AV626" i="2"/>
  <c r="AG627" i="2"/>
  <c r="AV627" i="2"/>
  <c r="AK627" i="2"/>
  <c r="AL627" i="2"/>
  <c r="AT627" i="2"/>
  <c r="AS632" i="2"/>
  <c r="AL632" i="2"/>
  <c r="AT632" i="2"/>
  <c r="AG540" i="2"/>
  <c r="AV540" i="2"/>
  <c r="AG542" i="2"/>
  <c r="AV542" i="2"/>
  <c r="AG552" i="2"/>
  <c r="AV552" i="2"/>
  <c r="AG560" i="2"/>
  <c r="AV560" i="2"/>
  <c r="AL573" i="2"/>
  <c r="AT573" i="2"/>
  <c r="AG595" i="2"/>
  <c r="AV595" i="2"/>
  <c r="AG619" i="2"/>
  <c r="AV619" i="2"/>
  <c r="AL629" i="2"/>
  <c r="AT629" i="2"/>
  <c r="AG632" i="2"/>
  <c r="AV632" i="2"/>
  <c r="AG633" i="2"/>
  <c r="AV633" i="2"/>
  <c r="AG548" i="2"/>
  <c r="AV548" i="2"/>
  <c r="AS569" i="2"/>
  <c r="AL602" i="2"/>
  <c r="AT602" i="2"/>
  <c r="AL610" i="2"/>
  <c r="AT610" i="2"/>
  <c r="AG625" i="2"/>
  <c r="AV625" i="2"/>
  <c r="AG631" i="2"/>
  <c r="AV631" i="2"/>
  <c r="AL554" i="2"/>
  <c r="AT554" i="2"/>
  <c r="AN564" i="2"/>
  <c r="AN576" i="2"/>
  <c r="AN578" i="2"/>
  <c r="AG603" i="2"/>
  <c r="AV603" i="2"/>
  <c r="AG609" i="2"/>
  <c r="AV609" i="2"/>
  <c r="AK625" i="2"/>
  <c r="AL625" i="2"/>
  <c r="AT625" i="2"/>
  <c r="AK631" i="2"/>
  <c r="AL631" i="2"/>
  <c r="AT631" i="2"/>
  <c r="AN633" i="2"/>
  <c r="AL560" i="2"/>
  <c r="AT560" i="2"/>
  <c r="AG570" i="2"/>
  <c r="AV570" i="2"/>
  <c r="AI626" i="2"/>
  <c r="AJ626" i="2"/>
  <c r="H141" i="1"/>
  <c r="I122" i="1"/>
  <c r="I25" i="1"/>
  <c r="AR23" i="2"/>
  <c r="AN23" i="2"/>
  <c r="AR73" i="2"/>
  <c r="AN73" i="2"/>
  <c r="AN444" i="2"/>
  <c r="AR444" i="2"/>
  <c r="AK331" i="2"/>
  <c r="AL331" i="2"/>
  <c r="AT331" i="2"/>
  <c r="AI331" i="2"/>
  <c r="AJ331" i="2"/>
  <c r="AC331" i="2"/>
  <c r="AE331" i="2"/>
  <c r="AG331" i="2"/>
  <c r="AV331" i="2"/>
  <c r="AR81" i="2"/>
  <c r="AN81" i="2"/>
  <c r="AR65" i="2"/>
  <c r="AN65" i="2"/>
  <c r="AR19" i="2"/>
  <c r="AN19" i="2"/>
  <c r="AR25" i="2"/>
  <c r="AR84" i="2"/>
  <c r="AR92" i="2"/>
  <c r="AR101" i="2"/>
  <c r="AN101" i="2"/>
  <c r="AR105" i="2"/>
  <c r="AN105" i="2"/>
  <c r="AR109" i="2"/>
  <c r="AN109" i="2"/>
  <c r="AR113" i="2"/>
  <c r="AN113" i="2"/>
  <c r="AR117" i="2"/>
  <c r="AN117" i="2"/>
  <c r="AR121" i="2"/>
  <c r="AN121" i="2"/>
  <c r="AR125" i="2"/>
  <c r="AN125" i="2"/>
  <c r="AR129" i="2"/>
  <c r="AN129" i="2"/>
  <c r="AR133" i="2"/>
  <c r="AN133" i="2"/>
  <c r="AR185" i="2"/>
  <c r="AN185" i="2"/>
  <c r="AR38" i="2"/>
  <c r="AN38" i="2"/>
  <c r="AR42" i="2"/>
  <c r="AN42" i="2"/>
  <c r="AR46" i="2"/>
  <c r="AN46" i="2"/>
  <c r="AR50" i="2"/>
  <c r="AN50" i="2"/>
  <c r="AR54" i="2"/>
  <c r="AN54" i="2"/>
  <c r="AR58" i="2"/>
  <c r="AN58" i="2"/>
  <c r="AR226" i="2"/>
  <c r="AN226" i="2"/>
  <c r="AS315" i="2"/>
  <c r="AI315" i="2"/>
  <c r="AJ315" i="2"/>
  <c r="AN71" i="2"/>
  <c r="AN79" i="2"/>
  <c r="AR141" i="2"/>
  <c r="AN141" i="2"/>
  <c r="AR183" i="2"/>
  <c r="AN183" i="2"/>
  <c r="AR221" i="2"/>
  <c r="AN221" i="2"/>
  <c r="AK266" i="2"/>
  <c r="AL266" i="2"/>
  <c r="AT266" i="2"/>
  <c r="AI266" i="2"/>
  <c r="AJ266" i="2"/>
  <c r="AC266" i="2"/>
  <c r="AE266" i="2"/>
  <c r="AG266" i="2"/>
  <c r="AV266" i="2"/>
  <c r="AS274" i="2"/>
  <c r="AI274" i="2"/>
  <c r="AJ274" i="2"/>
  <c r="AR9" i="2"/>
  <c r="AN9" i="2"/>
  <c r="AN10" i="2"/>
  <c r="AR17" i="2"/>
  <c r="AN17" i="2"/>
  <c r="AR30" i="2"/>
  <c r="AN30" i="2"/>
  <c r="AN31" i="2"/>
  <c r="AR99" i="2"/>
  <c r="AN99" i="2"/>
  <c r="AR103" i="2"/>
  <c r="AN103" i="2"/>
  <c r="AR107" i="2"/>
  <c r="AN107" i="2"/>
  <c r="AR111" i="2"/>
  <c r="AN111" i="2"/>
  <c r="AR115" i="2"/>
  <c r="AN115" i="2"/>
  <c r="AR119" i="2"/>
  <c r="AN119" i="2"/>
  <c r="AR123" i="2"/>
  <c r="AN123" i="2"/>
  <c r="AR127" i="2"/>
  <c r="AN127" i="2"/>
  <c r="AR131" i="2"/>
  <c r="AN131" i="2"/>
  <c r="AR135" i="2"/>
  <c r="AN135" i="2"/>
  <c r="AR142" i="2"/>
  <c r="AN142" i="2"/>
  <c r="AC372" i="2"/>
  <c r="AE372" i="2"/>
  <c r="AG372" i="2"/>
  <c r="AV372" i="2"/>
  <c r="AK372" i="2"/>
  <c r="AL372" i="2"/>
  <c r="AT372" i="2"/>
  <c r="AR36" i="2"/>
  <c r="AN36" i="2"/>
  <c r="AR40" i="2"/>
  <c r="AN40" i="2"/>
  <c r="AR44" i="2"/>
  <c r="AN44" i="2"/>
  <c r="AR48" i="2"/>
  <c r="AN48" i="2"/>
  <c r="AR52" i="2"/>
  <c r="AN52" i="2"/>
  <c r="AR56" i="2"/>
  <c r="AN56" i="2"/>
  <c r="AR60" i="2"/>
  <c r="AN60" i="2"/>
  <c r="AR210" i="2"/>
  <c r="AN210" i="2"/>
  <c r="AR242" i="2"/>
  <c r="AN242" i="2"/>
  <c r="AN3" i="2"/>
  <c r="AN11" i="2"/>
  <c r="AR27" i="2"/>
  <c r="AR86" i="2"/>
  <c r="AR94" i="2"/>
  <c r="AR181" i="2"/>
  <c r="AN181" i="2"/>
  <c r="AS285" i="2"/>
  <c r="AI285" i="2"/>
  <c r="AJ285" i="2"/>
  <c r="AR149" i="2"/>
  <c r="AN149" i="2"/>
  <c r="AR205" i="2"/>
  <c r="AN205" i="2"/>
  <c r="AR237" i="2"/>
  <c r="AN237" i="2"/>
  <c r="AR269" i="2"/>
  <c r="AN269" i="2"/>
  <c r="AR209" i="2"/>
  <c r="AN209" i="2"/>
  <c r="AR225" i="2"/>
  <c r="AN225" i="2"/>
  <c r="AR241" i="2"/>
  <c r="AN241" i="2"/>
  <c r="AK258" i="2"/>
  <c r="AL258" i="2"/>
  <c r="AT258" i="2"/>
  <c r="AI258" i="2"/>
  <c r="AJ258" i="2"/>
  <c r="AK264" i="2"/>
  <c r="AL264" i="2"/>
  <c r="AT264" i="2"/>
  <c r="AG264" i="2"/>
  <c r="AV264" i="2"/>
  <c r="AC281" i="2"/>
  <c r="AE281" i="2"/>
  <c r="AG281" i="2"/>
  <c r="AV281" i="2"/>
  <c r="AR400" i="2"/>
  <c r="AN400" i="2"/>
  <c r="AR136" i="2"/>
  <c r="AR143" i="2"/>
  <c r="AR151" i="2"/>
  <c r="AR162" i="2"/>
  <c r="AR164" i="2"/>
  <c r="AR199" i="2"/>
  <c r="AN199" i="2"/>
  <c r="AR215" i="2"/>
  <c r="AN215" i="2"/>
  <c r="AR231" i="2"/>
  <c r="AN231" i="2"/>
  <c r="AR247" i="2"/>
  <c r="AN247" i="2"/>
  <c r="AC258" i="2"/>
  <c r="AE258" i="2"/>
  <c r="AG258" i="2"/>
  <c r="AV258" i="2"/>
  <c r="AS259" i="2"/>
  <c r="AC264" i="2"/>
  <c r="AE264" i="2"/>
  <c r="AI271" i="2"/>
  <c r="AJ271" i="2"/>
  <c r="AG271" i="2"/>
  <c r="AV271" i="2"/>
  <c r="AK279" i="2"/>
  <c r="AH279" i="2"/>
  <c r="AG279" i="2"/>
  <c r="AV279" i="2"/>
  <c r="AC289" i="2"/>
  <c r="AE289" i="2"/>
  <c r="AG289" i="2"/>
  <c r="AV289" i="2"/>
  <c r="AC299" i="2"/>
  <c r="AE299" i="2"/>
  <c r="AG299" i="2"/>
  <c r="AV299" i="2"/>
  <c r="AK305" i="2"/>
  <c r="AL305" i="2"/>
  <c r="AT305" i="2"/>
  <c r="AC305" i="2"/>
  <c r="AE305" i="2"/>
  <c r="AG305" i="2"/>
  <c r="AV305" i="2"/>
  <c r="AS447" i="2"/>
  <c r="AI447" i="2"/>
  <c r="AJ447" i="2"/>
  <c r="AR211" i="2"/>
  <c r="AN211" i="2"/>
  <c r="AR227" i="2"/>
  <c r="AN227" i="2"/>
  <c r="AR243" i="2"/>
  <c r="AN243" i="2"/>
  <c r="AC260" i="2"/>
  <c r="AE260" i="2"/>
  <c r="AG260" i="2"/>
  <c r="AV260" i="2"/>
  <c r="AS267" i="2"/>
  <c r="AS269" i="2"/>
  <c r="AI269" i="2"/>
  <c r="AJ269" i="2"/>
  <c r="AN282" i="2"/>
  <c r="AK284" i="2"/>
  <c r="AL284" i="2"/>
  <c r="AT284" i="2"/>
  <c r="AI284" i="2"/>
  <c r="AJ284" i="2"/>
  <c r="AK289" i="2"/>
  <c r="AL289" i="2"/>
  <c r="AT289" i="2"/>
  <c r="AS294" i="2"/>
  <c r="AI294" i="2"/>
  <c r="AJ294" i="2"/>
  <c r="AK295" i="2"/>
  <c r="AL295" i="2"/>
  <c r="AT295" i="2"/>
  <c r="AI295" i="2"/>
  <c r="AJ295" i="2"/>
  <c r="AG295" i="2"/>
  <c r="AV295" i="2"/>
  <c r="AK299" i="2"/>
  <c r="AL299" i="2"/>
  <c r="AT299" i="2"/>
  <c r="AK302" i="2"/>
  <c r="AL302" i="2"/>
  <c r="AT302" i="2"/>
  <c r="AI302" i="2"/>
  <c r="AJ302" i="2"/>
  <c r="AR337" i="2"/>
  <c r="AN337" i="2"/>
  <c r="AI372" i="2"/>
  <c r="AJ372" i="2"/>
  <c r="AN150" i="2"/>
  <c r="AN155" i="2"/>
  <c r="AN157" i="2"/>
  <c r="AN159" i="2"/>
  <c r="AN186" i="2"/>
  <c r="AN188" i="2"/>
  <c r="AN191" i="2"/>
  <c r="AN196" i="2"/>
  <c r="AR201" i="2"/>
  <c r="AN201" i="2"/>
  <c r="AN212" i="2"/>
  <c r="AR217" i="2"/>
  <c r="AN217" i="2"/>
  <c r="AN228" i="2"/>
  <c r="AR233" i="2"/>
  <c r="AN233" i="2"/>
  <c r="AN244" i="2"/>
  <c r="AI260" i="2"/>
  <c r="AJ260" i="2"/>
  <c r="AI267" i="2"/>
  <c r="AJ267" i="2"/>
  <c r="AK271" i="2"/>
  <c r="AL271" i="2"/>
  <c r="AT271" i="2"/>
  <c r="AN274" i="2"/>
  <c r="AC284" i="2"/>
  <c r="AE284" i="2"/>
  <c r="AG284" i="2"/>
  <c r="AV284" i="2"/>
  <c r="AN290" i="2"/>
  <c r="AN300" i="2"/>
  <c r="AC302" i="2"/>
  <c r="AE302" i="2"/>
  <c r="AG302" i="2"/>
  <c r="AV302" i="2"/>
  <c r="AS345" i="2"/>
  <c r="AI345" i="2"/>
  <c r="AJ345" i="2"/>
  <c r="AS353" i="2"/>
  <c r="AI353" i="2"/>
  <c r="AJ353" i="2"/>
  <c r="AS361" i="2"/>
  <c r="AI361" i="2"/>
  <c r="AJ361" i="2"/>
  <c r="AK370" i="2"/>
  <c r="AL370" i="2"/>
  <c r="AT370" i="2"/>
  <c r="AC370" i="2"/>
  <c r="AE370" i="2"/>
  <c r="AG370" i="2"/>
  <c r="AV370" i="2"/>
  <c r="AR207" i="2"/>
  <c r="AN207" i="2"/>
  <c r="AR223" i="2"/>
  <c r="AN223" i="2"/>
  <c r="AR239" i="2"/>
  <c r="AN239" i="2"/>
  <c r="AC268" i="2"/>
  <c r="AE268" i="2"/>
  <c r="AG268" i="2"/>
  <c r="AV268" i="2"/>
  <c r="AI313" i="2"/>
  <c r="AJ313" i="2"/>
  <c r="AK386" i="2"/>
  <c r="AL386" i="2"/>
  <c r="AT386" i="2"/>
  <c r="AC386" i="2"/>
  <c r="AE386" i="2"/>
  <c r="AG386" i="2"/>
  <c r="AV386" i="2"/>
  <c r="AN194" i="2"/>
  <c r="AR197" i="2"/>
  <c r="AN197" i="2"/>
  <c r="AN208" i="2"/>
  <c r="AR213" i="2"/>
  <c r="AN213" i="2"/>
  <c r="AN224" i="2"/>
  <c r="AR229" i="2"/>
  <c r="AN229" i="2"/>
  <c r="AN240" i="2"/>
  <c r="AR245" i="2"/>
  <c r="AN245" i="2"/>
  <c r="AK260" i="2"/>
  <c r="AL260" i="2"/>
  <c r="AT260" i="2"/>
  <c r="AK262" i="2"/>
  <c r="AL262" i="2"/>
  <c r="AT262" i="2"/>
  <c r="AI262" i="2"/>
  <c r="AJ262" i="2"/>
  <c r="AI268" i="2"/>
  <c r="AJ268" i="2"/>
  <c r="AL280" i="2"/>
  <c r="AT280" i="2"/>
  <c r="AS280" i="2"/>
  <c r="AR342" i="2"/>
  <c r="AN342" i="2"/>
  <c r="AR350" i="2"/>
  <c r="AN350" i="2"/>
  <c r="AR358" i="2"/>
  <c r="AN358" i="2"/>
  <c r="AL368" i="2"/>
  <c r="AT368" i="2"/>
  <c r="AI368" i="2"/>
  <c r="AJ368" i="2"/>
  <c r="AN198" i="2"/>
  <c r="AR203" i="2"/>
  <c r="AN203" i="2"/>
  <c r="AN214" i="2"/>
  <c r="AR219" i="2"/>
  <c r="AN219" i="2"/>
  <c r="AN230" i="2"/>
  <c r="AR235" i="2"/>
  <c r="AN235" i="2"/>
  <c r="AN246" i="2"/>
  <c r="AC262" i="2"/>
  <c r="AE262" i="2"/>
  <c r="AG262" i="2"/>
  <c r="AV262" i="2"/>
  <c r="AL263" i="2"/>
  <c r="AT263" i="2"/>
  <c r="AR267" i="2"/>
  <c r="AI273" i="2"/>
  <c r="AJ273" i="2"/>
  <c r="AC277" i="2"/>
  <c r="AE277" i="2"/>
  <c r="AG277" i="2"/>
  <c r="AV277" i="2"/>
  <c r="AI280" i="2"/>
  <c r="AJ280" i="2"/>
  <c r="AS288" i="2"/>
  <c r="AL298" i="2"/>
  <c r="AT298" i="2"/>
  <c r="AS298" i="2"/>
  <c r="AI307" i="2"/>
  <c r="AJ307" i="2"/>
  <c r="AL307" i="2"/>
  <c r="AT307" i="2"/>
  <c r="AS307" i="2"/>
  <c r="AC318" i="2"/>
  <c r="AE318" i="2"/>
  <c r="AG318" i="2"/>
  <c r="AV318" i="2"/>
  <c r="AK318" i="2"/>
  <c r="AL318" i="2"/>
  <c r="AT318" i="2"/>
  <c r="AK272" i="2"/>
  <c r="AL272" i="2"/>
  <c r="AT272" i="2"/>
  <c r="AI310" i="2"/>
  <c r="AJ310" i="2"/>
  <c r="AS318" i="2"/>
  <c r="AI318" i="2"/>
  <c r="AJ318" i="2"/>
  <c r="AC336" i="2"/>
  <c r="AE336" i="2"/>
  <c r="AG336" i="2"/>
  <c r="AV336" i="2"/>
  <c r="AC341" i="2"/>
  <c r="AE341" i="2"/>
  <c r="AG341" i="2"/>
  <c r="AV341" i="2"/>
  <c r="AC349" i="2"/>
  <c r="AE349" i="2"/>
  <c r="AG349" i="2"/>
  <c r="AV349" i="2"/>
  <c r="AC357" i="2"/>
  <c r="AE357" i="2"/>
  <c r="AG357" i="2"/>
  <c r="AV357" i="2"/>
  <c r="AC365" i="2"/>
  <c r="AE365" i="2"/>
  <c r="AG365" i="2"/>
  <c r="AV365" i="2"/>
  <c r="AI282" i="2"/>
  <c r="AJ282" i="2"/>
  <c r="AI300" i="2"/>
  <c r="AJ300" i="2"/>
  <c r="AC309" i="2"/>
  <c r="AE309" i="2"/>
  <c r="AG309" i="2"/>
  <c r="AV309" i="2"/>
  <c r="AK310" i="2"/>
  <c r="AL310" i="2"/>
  <c r="AT310" i="2"/>
  <c r="AR317" i="2"/>
  <c r="AC323" i="2"/>
  <c r="AE323" i="2"/>
  <c r="AG323" i="2"/>
  <c r="AV323" i="2"/>
  <c r="AN249" i="2"/>
  <c r="AN251" i="2"/>
  <c r="AN253" i="2"/>
  <c r="AN255" i="2"/>
  <c r="AN257" i="2"/>
  <c r="AN261" i="2"/>
  <c r="AN263" i="2"/>
  <c r="AN265" i="2"/>
  <c r="AK274" i="2"/>
  <c r="AL274" i="2"/>
  <c r="AT274" i="2"/>
  <c r="AK276" i="2"/>
  <c r="AK285" i="2"/>
  <c r="AL285" i="2"/>
  <c r="AT285" i="2"/>
  <c r="AN286" i="2"/>
  <c r="AI287" i="2"/>
  <c r="AJ287" i="2"/>
  <c r="AI292" i="2"/>
  <c r="AJ292" i="2"/>
  <c r="AK294" i="2"/>
  <c r="AL294" i="2"/>
  <c r="AT294" i="2"/>
  <c r="AI297" i="2"/>
  <c r="AJ297" i="2"/>
  <c r="AS300" i="2"/>
  <c r="AN303" i="2"/>
  <c r="AK314" i="2"/>
  <c r="AG314" i="2"/>
  <c r="AV314" i="2"/>
  <c r="AS323" i="2"/>
  <c r="AI323" i="2"/>
  <c r="AJ323" i="2"/>
  <c r="AC328" i="2"/>
  <c r="AE328" i="2"/>
  <c r="AG328" i="2"/>
  <c r="AV328" i="2"/>
  <c r="AK336" i="2"/>
  <c r="AL336" i="2"/>
  <c r="AT336" i="2"/>
  <c r="AK341" i="2"/>
  <c r="AL341" i="2"/>
  <c r="AT341" i="2"/>
  <c r="AK344" i="2"/>
  <c r="AL344" i="2"/>
  <c r="AT344" i="2"/>
  <c r="AI344" i="2"/>
  <c r="AJ344" i="2"/>
  <c r="AG344" i="2"/>
  <c r="AV344" i="2"/>
  <c r="AK349" i="2"/>
  <c r="AL349" i="2"/>
  <c r="AT349" i="2"/>
  <c r="AK352" i="2"/>
  <c r="AL352" i="2"/>
  <c r="AT352" i="2"/>
  <c r="AI352" i="2"/>
  <c r="AJ352" i="2"/>
  <c r="AG352" i="2"/>
  <c r="AV352" i="2"/>
  <c r="AK357" i="2"/>
  <c r="AL357" i="2"/>
  <c r="AT357" i="2"/>
  <c r="AK360" i="2"/>
  <c r="AL360" i="2"/>
  <c r="AT360" i="2"/>
  <c r="AI360" i="2"/>
  <c r="AJ360" i="2"/>
  <c r="AG360" i="2"/>
  <c r="AV360" i="2"/>
  <c r="AK365" i="2"/>
  <c r="AL365" i="2"/>
  <c r="AT365" i="2"/>
  <c r="AC375" i="2"/>
  <c r="AE375" i="2"/>
  <c r="AG375" i="2"/>
  <c r="AV375" i="2"/>
  <c r="AK375" i="2"/>
  <c r="AL375" i="2"/>
  <c r="AT375" i="2"/>
  <c r="AI375" i="2"/>
  <c r="AJ375" i="2"/>
  <c r="AC384" i="2"/>
  <c r="AE384" i="2"/>
  <c r="AG384" i="2"/>
  <c r="AV384" i="2"/>
  <c r="AK384" i="2"/>
  <c r="AL384" i="2"/>
  <c r="AT384" i="2"/>
  <c r="AC391" i="2"/>
  <c r="AE391" i="2"/>
  <c r="AG391" i="2"/>
  <c r="AV391" i="2"/>
  <c r="AK391" i="2"/>
  <c r="AL391" i="2"/>
  <c r="AT391" i="2"/>
  <c r="AI391" i="2"/>
  <c r="AJ391" i="2"/>
  <c r="AR393" i="2"/>
  <c r="AN393" i="2"/>
  <c r="AI404" i="2"/>
  <c r="AJ404" i="2"/>
  <c r="AL404" i="2"/>
  <c r="AT404" i="2"/>
  <c r="AS404" i="2"/>
  <c r="AS414" i="2"/>
  <c r="AI414" i="2"/>
  <c r="AJ414" i="2"/>
  <c r="AS308" i="2"/>
  <c r="AC316" i="2"/>
  <c r="AE316" i="2"/>
  <c r="AG316" i="2"/>
  <c r="AV316" i="2"/>
  <c r="AS327" i="2"/>
  <c r="AI327" i="2"/>
  <c r="AJ327" i="2"/>
  <c r="AK420" i="2"/>
  <c r="AL420" i="2"/>
  <c r="AT420" i="2"/>
  <c r="AI420" i="2"/>
  <c r="AJ420" i="2"/>
  <c r="AI277" i="2"/>
  <c r="AJ277" i="2"/>
  <c r="AI281" i="2"/>
  <c r="AJ281" i="2"/>
  <c r="AI289" i="2"/>
  <c r="AJ289" i="2"/>
  <c r="AI299" i="2"/>
  <c r="AJ299" i="2"/>
  <c r="AI305" i="2"/>
  <c r="AJ305" i="2"/>
  <c r="AI308" i="2"/>
  <c r="AJ308" i="2"/>
  <c r="AI309" i="2"/>
  <c r="AJ309" i="2"/>
  <c r="AN310" i="2"/>
  <c r="AN312" i="2"/>
  <c r="AR320" i="2"/>
  <c r="AN320" i="2"/>
  <c r="AS332" i="2"/>
  <c r="AI332" i="2"/>
  <c r="AJ332" i="2"/>
  <c r="AK339" i="2"/>
  <c r="AI339" i="2"/>
  <c r="AJ339" i="2"/>
  <c r="AG339" i="2"/>
  <c r="AV339" i="2"/>
  <c r="AS371" i="2"/>
  <c r="AI371" i="2"/>
  <c r="AJ371" i="2"/>
  <c r="AC400" i="2"/>
  <c r="AE400" i="2"/>
  <c r="AG400" i="2"/>
  <c r="AV400" i="2"/>
  <c r="AK400" i="2"/>
  <c r="AL400" i="2"/>
  <c r="AT400" i="2"/>
  <c r="AC420" i="2"/>
  <c r="AE420" i="2"/>
  <c r="AG420" i="2"/>
  <c r="AV420" i="2"/>
  <c r="AS306" i="2"/>
  <c r="AC311" i="2"/>
  <c r="AE311" i="2"/>
  <c r="AG311" i="2"/>
  <c r="AV311" i="2"/>
  <c r="AK311" i="2"/>
  <c r="AI316" i="2"/>
  <c r="AJ316" i="2"/>
  <c r="AS322" i="2"/>
  <c r="AK326" i="2"/>
  <c r="AL326" i="2"/>
  <c r="AT326" i="2"/>
  <c r="AS335" i="2"/>
  <c r="AS340" i="2"/>
  <c r="AS348" i="2"/>
  <c r="AS356" i="2"/>
  <c r="AS364" i="2"/>
  <c r="AR375" i="2"/>
  <c r="AN375" i="2"/>
  <c r="AS382" i="2"/>
  <c r="AI382" i="2"/>
  <c r="AJ382" i="2"/>
  <c r="AK313" i="2"/>
  <c r="AL313" i="2"/>
  <c r="AT313" i="2"/>
  <c r="AK325" i="2"/>
  <c r="AL325" i="2"/>
  <c r="AT325" i="2"/>
  <c r="AN326" i="2"/>
  <c r="AK330" i="2"/>
  <c r="AL330" i="2"/>
  <c r="AT330" i="2"/>
  <c r="AK338" i="2"/>
  <c r="AL338" i="2"/>
  <c r="AT338" i="2"/>
  <c r="AK343" i="2"/>
  <c r="AL343" i="2"/>
  <c r="AT343" i="2"/>
  <c r="AN344" i="2"/>
  <c r="AK351" i="2"/>
  <c r="AL351" i="2"/>
  <c r="AT351" i="2"/>
  <c r="AN352" i="2"/>
  <c r="AK359" i="2"/>
  <c r="AL359" i="2"/>
  <c r="AT359" i="2"/>
  <c r="AN360" i="2"/>
  <c r="AN370" i="2"/>
  <c r="AK378" i="2"/>
  <c r="AL378" i="2"/>
  <c r="AT378" i="2"/>
  <c r="AG378" i="2"/>
  <c r="AV378" i="2"/>
  <c r="AI380" i="2"/>
  <c r="AJ380" i="2"/>
  <c r="AL380" i="2"/>
  <c r="AT380" i="2"/>
  <c r="AS380" i="2"/>
  <c r="AN392" i="2"/>
  <c r="AS398" i="2"/>
  <c r="AK402" i="2"/>
  <c r="AL402" i="2"/>
  <c r="AT402" i="2"/>
  <c r="AG402" i="2"/>
  <c r="AV402" i="2"/>
  <c r="AI407" i="2"/>
  <c r="AJ407" i="2"/>
  <c r="AC407" i="2"/>
  <c r="AE407" i="2"/>
  <c r="AG407" i="2"/>
  <c r="AV407" i="2"/>
  <c r="AN423" i="2"/>
  <c r="AC374" i="2"/>
  <c r="AE374" i="2"/>
  <c r="AG374" i="2"/>
  <c r="AV374" i="2"/>
  <c r="AK374" i="2"/>
  <c r="AL374" i="2"/>
  <c r="AT374" i="2"/>
  <c r="AI386" i="2"/>
  <c r="AJ386" i="2"/>
  <c r="AS387" i="2"/>
  <c r="AI387" i="2"/>
  <c r="AJ387" i="2"/>
  <c r="AI396" i="2"/>
  <c r="AJ396" i="2"/>
  <c r="AL396" i="2"/>
  <c r="AT396" i="2"/>
  <c r="AS396" i="2"/>
  <c r="AL411" i="2"/>
  <c r="AT411" i="2"/>
  <c r="AS411" i="2"/>
  <c r="AI411" i="2"/>
  <c r="AJ411" i="2"/>
  <c r="AS439" i="2"/>
  <c r="AI439" i="2"/>
  <c r="AJ439" i="2"/>
  <c r="AS454" i="2"/>
  <c r="AI454" i="2"/>
  <c r="AJ454" i="2"/>
  <c r="AK455" i="2"/>
  <c r="AL455" i="2"/>
  <c r="AT455" i="2"/>
  <c r="AC455" i="2"/>
  <c r="AE455" i="2"/>
  <c r="AG455" i="2"/>
  <c r="AV455" i="2"/>
  <c r="AI312" i="2"/>
  <c r="AJ312" i="2"/>
  <c r="AC325" i="2"/>
  <c r="AE325" i="2"/>
  <c r="AG325" i="2"/>
  <c r="AV325" i="2"/>
  <c r="AK327" i="2"/>
  <c r="AL327" i="2"/>
  <c r="AT327" i="2"/>
  <c r="AK332" i="2"/>
  <c r="AL332" i="2"/>
  <c r="AT332" i="2"/>
  <c r="AN333" i="2"/>
  <c r="AI334" i="2"/>
  <c r="AJ334" i="2"/>
  <c r="AC343" i="2"/>
  <c r="AE343" i="2"/>
  <c r="AG343" i="2"/>
  <c r="AV343" i="2"/>
  <c r="AK345" i="2"/>
  <c r="AL345" i="2"/>
  <c r="AT345" i="2"/>
  <c r="AN346" i="2"/>
  <c r="AC351" i="2"/>
  <c r="AE351" i="2"/>
  <c r="AG351" i="2"/>
  <c r="AV351" i="2"/>
  <c r="AK353" i="2"/>
  <c r="AL353" i="2"/>
  <c r="AT353" i="2"/>
  <c r="AN354" i="2"/>
  <c r="AC359" i="2"/>
  <c r="AE359" i="2"/>
  <c r="AG359" i="2"/>
  <c r="AV359" i="2"/>
  <c r="AK361" i="2"/>
  <c r="AL361" i="2"/>
  <c r="AT361" i="2"/>
  <c r="AN362" i="2"/>
  <c r="AR377" i="2"/>
  <c r="AN377" i="2"/>
  <c r="AS378" i="2"/>
  <c r="AS379" i="2"/>
  <c r="AI379" i="2"/>
  <c r="AJ379" i="2"/>
  <c r="AC383" i="2"/>
  <c r="AE383" i="2"/>
  <c r="AG383" i="2"/>
  <c r="AV383" i="2"/>
  <c r="AR385" i="2"/>
  <c r="AN385" i="2"/>
  <c r="AC392" i="2"/>
  <c r="AE392" i="2"/>
  <c r="AG392" i="2"/>
  <c r="AV392" i="2"/>
  <c r="AK392" i="2"/>
  <c r="AL392" i="2"/>
  <c r="AT392" i="2"/>
  <c r="AS403" i="2"/>
  <c r="AI403" i="2"/>
  <c r="AJ403" i="2"/>
  <c r="AK410" i="2"/>
  <c r="AL410" i="2"/>
  <c r="AT410" i="2"/>
  <c r="AG410" i="2"/>
  <c r="AV410" i="2"/>
  <c r="AS421" i="2"/>
  <c r="AI421" i="2"/>
  <c r="AJ421" i="2"/>
  <c r="AI370" i="2"/>
  <c r="AJ370" i="2"/>
  <c r="AS390" i="2"/>
  <c r="AK394" i="2"/>
  <c r="AL394" i="2"/>
  <c r="AT394" i="2"/>
  <c r="AC399" i="2"/>
  <c r="AE399" i="2"/>
  <c r="AG399" i="2"/>
  <c r="AV399" i="2"/>
  <c r="AR401" i="2"/>
  <c r="AN401" i="2"/>
  <c r="AI415" i="2"/>
  <c r="AJ415" i="2"/>
  <c r="AC415" i="2"/>
  <c r="AE415" i="2"/>
  <c r="AG415" i="2"/>
  <c r="AV415" i="2"/>
  <c r="AR418" i="2"/>
  <c r="AN418" i="2"/>
  <c r="AS429" i="2"/>
  <c r="AI429" i="2"/>
  <c r="AJ429" i="2"/>
  <c r="AR431" i="2"/>
  <c r="AN431" i="2"/>
  <c r="AL432" i="2"/>
  <c r="AT432" i="2"/>
  <c r="AS432" i="2"/>
  <c r="AI432" i="2"/>
  <c r="AJ432" i="2"/>
  <c r="AI328" i="2"/>
  <c r="AJ328" i="2"/>
  <c r="AI336" i="2"/>
  <c r="AJ336" i="2"/>
  <c r="AI341" i="2"/>
  <c r="AJ341" i="2"/>
  <c r="AI349" i="2"/>
  <c r="AJ349" i="2"/>
  <c r="AI357" i="2"/>
  <c r="AJ357" i="2"/>
  <c r="AI365" i="2"/>
  <c r="AJ365" i="2"/>
  <c r="AS370" i="2"/>
  <c r="AI374" i="2"/>
  <c r="AJ374" i="2"/>
  <c r="AC376" i="2"/>
  <c r="AE376" i="2"/>
  <c r="AG376" i="2"/>
  <c r="AV376" i="2"/>
  <c r="AK376" i="2"/>
  <c r="AL376" i="2"/>
  <c r="AT376" i="2"/>
  <c r="AN384" i="2"/>
  <c r="AI390" i="2"/>
  <c r="AJ390" i="2"/>
  <c r="AC394" i="2"/>
  <c r="AE394" i="2"/>
  <c r="AG394" i="2"/>
  <c r="AV394" i="2"/>
  <c r="AS406" i="2"/>
  <c r="AN416" i="2"/>
  <c r="AK425" i="2"/>
  <c r="AL425" i="2"/>
  <c r="AT425" i="2"/>
  <c r="AC425" i="2"/>
  <c r="AE425" i="2"/>
  <c r="AG425" i="2"/>
  <c r="AV425" i="2"/>
  <c r="AN434" i="2"/>
  <c r="AR434" i="2"/>
  <c r="AI388" i="2"/>
  <c r="AJ388" i="2"/>
  <c r="AL388" i="2"/>
  <c r="AT388" i="2"/>
  <c r="AS388" i="2"/>
  <c r="AS395" i="2"/>
  <c r="AI395" i="2"/>
  <c r="AJ395" i="2"/>
  <c r="AL412" i="2"/>
  <c r="AT412" i="2"/>
  <c r="AS418" i="2"/>
  <c r="AR422" i="2"/>
  <c r="AN422" i="2"/>
  <c r="AC430" i="2"/>
  <c r="AE430" i="2"/>
  <c r="AG430" i="2"/>
  <c r="AV430" i="2"/>
  <c r="AS449" i="2"/>
  <c r="AI449" i="2"/>
  <c r="AJ449" i="2"/>
  <c r="AK464" i="2"/>
  <c r="AL464" i="2"/>
  <c r="AT464" i="2"/>
  <c r="AC464" i="2"/>
  <c r="AE464" i="2"/>
  <c r="AG464" i="2"/>
  <c r="AV464" i="2"/>
  <c r="AC466" i="2"/>
  <c r="AE466" i="2"/>
  <c r="AG466" i="2"/>
  <c r="AV466" i="2"/>
  <c r="AK466" i="2"/>
  <c r="AL466" i="2"/>
  <c r="AT466" i="2"/>
  <c r="AI466" i="2"/>
  <c r="AJ466" i="2"/>
  <c r="AC380" i="2"/>
  <c r="AE380" i="2"/>
  <c r="AG380" i="2"/>
  <c r="AV380" i="2"/>
  <c r="AK382" i="2"/>
  <c r="AL382" i="2"/>
  <c r="AT382" i="2"/>
  <c r="AN383" i="2"/>
  <c r="AI384" i="2"/>
  <c r="AJ384" i="2"/>
  <c r="AC388" i="2"/>
  <c r="AE388" i="2"/>
  <c r="AG388" i="2"/>
  <c r="AV388" i="2"/>
  <c r="AK390" i="2"/>
  <c r="AL390" i="2"/>
  <c r="AT390" i="2"/>
  <c r="AN391" i="2"/>
  <c r="AI392" i="2"/>
  <c r="AJ392" i="2"/>
  <c r="AC396" i="2"/>
  <c r="AE396" i="2"/>
  <c r="AG396" i="2"/>
  <c r="AV396" i="2"/>
  <c r="AK398" i="2"/>
  <c r="AL398" i="2"/>
  <c r="AT398" i="2"/>
  <c r="AN399" i="2"/>
  <c r="AI400" i="2"/>
  <c r="AJ400" i="2"/>
  <c r="AC404" i="2"/>
  <c r="AE404" i="2"/>
  <c r="AG404" i="2"/>
  <c r="AV404" i="2"/>
  <c r="AI408" i="2"/>
  <c r="AJ408" i="2"/>
  <c r="AC412" i="2"/>
  <c r="AE412" i="2"/>
  <c r="AG412" i="2"/>
  <c r="AV412" i="2"/>
  <c r="AI416" i="2"/>
  <c r="AJ416" i="2"/>
  <c r="AC417" i="2"/>
  <c r="AE417" i="2"/>
  <c r="AG417" i="2"/>
  <c r="AV417" i="2"/>
  <c r="AN417" i="2"/>
  <c r="AI418" i="2"/>
  <c r="AJ418" i="2"/>
  <c r="AI424" i="2"/>
  <c r="AJ424" i="2"/>
  <c r="AS424" i="2"/>
  <c r="AS425" i="2"/>
  <c r="AI425" i="2"/>
  <c r="AJ425" i="2"/>
  <c r="AS426" i="2"/>
  <c r="AI426" i="2"/>
  <c r="AJ426" i="2"/>
  <c r="AI430" i="2"/>
  <c r="AJ430" i="2"/>
  <c r="AK450" i="2"/>
  <c r="AL450" i="2"/>
  <c r="AT450" i="2"/>
  <c r="AI450" i="2"/>
  <c r="AJ450" i="2"/>
  <c r="AC450" i="2"/>
  <c r="AE450" i="2"/>
  <c r="AG450" i="2"/>
  <c r="AV450" i="2"/>
  <c r="AK453" i="2"/>
  <c r="AL453" i="2"/>
  <c r="AT453" i="2"/>
  <c r="AC453" i="2"/>
  <c r="AE453" i="2"/>
  <c r="AG453" i="2"/>
  <c r="AV453" i="2"/>
  <c r="AI413" i="2"/>
  <c r="AJ413" i="2"/>
  <c r="AS437" i="2"/>
  <c r="AC382" i="2"/>
  <c r="AE382" i="2"/>
  <c r="AG382" i="2"/>
  <c r="AV382" i="2"/>
  <c r="AC390" i="2"/>
  <c r="AE390" i="2"/>
  <c r="AG390" i="2"/>
  <c r="AV390" i="2"/>
  <c r="AS405" i="2"/>
  <c r="AK408" i="2"/>
  <c r="AL408" i="2"/>
  <c r="AT408" i="2"/>
  <c r="AN409" i="2"/>
  <c r="AS413" i="2"/>
  <c r="AK416" i="2"/>
  <c r="AL416" i="2"/>
  <c r="AT416" i="2"/>
  <c r="AI422" i="2"/>
  <c r="AJ422" i="2"/>
  <c r="AR429" i="2"/>
  <c r="AK430" i="2"/>
  <c r="AL430" i="2"/>
  <c r="AT430" i="2"/>
  <c r="AI437" i="2"/>
  <c r="AJ437" i="2"/>
  <c r="AC476" i="2"/>
  <c r="AE476" i="2"/>
  <c r="AG476" i="2"/>
  <c r="AV476" i="2"/>
  <c r="AK476" i="2"/>
  <c r="AL476" i="2"/>
  <c r="AT476" i="2"/>
  <c r="AS434" i="2"/>
  <c r="AS457" i="2"/>
  <c r="AI457" i="2"/>
  <c r="AJ457" i="2"/>
  <c r="AS417" i="2"/>
  <c r="AC421" i="2"/>
  <c r="AE421" i="2"/>
  <c r="AG421" i="2"/>
  <c r="AV421" i="2"/>
  <c r="AK421" i="2"/>
  <c r="AL421" i="2"/>
  <c r="AT421" i="2"/>
  <c r="AK422" i="2"/>
  <c r="AL422" i="2"/>
  <c r="AT422" i="2"/>
  <c r="AK428" i="2"/>
  <c r="AL428" i="2"/>
  <c r="AT428" i="2"/>
  <c r="AG428" i="2"/>
  <c r="AV428" i="2"/>
  <c r="AK433" i="2"/>
  <c r="AL433" i="2"/>
  <c r="AT433" i="2"/>
  <c r="AI433" i="2"/>
  <c r="AJ433" i="2"/>
  <c r="AG433" i="2"/>
  <c r="AV433" i="2"/>
  <c r="AI434" i="2"/>
  <c r="AJ434" i="2"/>
  <c r="AC435" i="2"/>
  <c r="AE435" i="2"/>
  <c r="AG435" i="2"/>
  <c r="AV435" i="2"/>
  <c r="AK443" i="2"/>
  <c r="AL443" i="2"/>
  <c r="AT443" i="2"/>
  <c r="AC443" i="2"/>
  <c r="AE443" i="2"/>
  <c r="AG443" i="2"/>
  <c r="AV443" i="2"/>
  <c r="AK461" i="2"/>
  <c r="AL461" i="2"/>
  <c r="AT461" i="2"/>
  <c r="AC461" i="2"/>
  <c r="AE461" i="2"/>
  <c r="AG461" i="2"/>
  <c r="AV461" i="2"/>
  <c r="AK437" i="2"/>
  <c r="AL437" i="2"/>
  <c r="AT437" i="2"/>
  <c r="AG441" i="2"/>
  <c r="AV441" i="2"/>
  <c r="AS442" i="2"/>
  <c r="AK445" i="2"/>
  <c r="AL445" i="2"/>
  <c r="AT445" i="2"/>
  <c r="AG469" i="2"/>
  <c r="AV469" i="2"/>
  <c r="AS473" i="2"/>
  <c r="AI476" i="2"/>
  <c r="AJ476" i="2"/>
  <c r="AK479" i="2"/>
  <c r="AL479" i="2"/>
  <c r="AT479" i="2"/>
  <c r="AG479" i="2"/>
  <c r="AV479" i="2"/>
  <c r="AN480" i="2"/>
  <c r="AK519" i="2"/>
  <c r="AL519" i="2"/>
  <c r="AT519" i="2"/>
  <c r="AI519" i="2"/>
  <c r="AJ519" i="2"/>
  <c r="AG519" i="2"/>
  <c r="AV519" i="2"/>
  <c r="AI423" i="2"/>
  <c r="AJ423" i="2"/>
  <c r="AK429" i="2"/>
  <c r="AL429" i="2"/>
  <c r="AT429" i="2"/>
  <c r="AN430" i="2"/>
  <c r="AK434" i="2"/>
  <c r="AL434" i="2"/>
  <c r="AT434" i="2"/>
  <c r="AN435" i="2"/>
  <c r="AI436" i="2"/>
  <c r="AJ436" i="2"/>
  <c r="AK442" i="2"/>
  <c r="AL442" i="2"/>
  <c r="AT442" i="2"/>
  <c r="AN443" i="2"/>
  <c r="AN450" i="2"/>
  <c r="AI452" i="2"/>
  <c r="AJ452" i="2"/>
  <c r="AC459" i="2"/>
  <c r="AE459" i="2"/>
  <c r="AG459" i="2"/>
  <c r="AV459" i="2"/>
  <c r="AR460" i="2"/>
  <c r="AI461" i="2"/>
  <c r="AJ461" i="2"/>
  <c r="AI463" i="2"/>
  <c r="AJ463" i="2"/>
  <c r="AS463" i="2"/>
  <c r="AS548" i="2"/>
  <c r="AI548" i="2"/>
  <c r="AJ548" i="2"/>
  <c r="AL548" i="2"/>
  <c r="AT548" i="2"/>
  <c r="AI441" i="2"/>
  <c r="AJ441" i="2"/>
  <c r="AI458" i="2"/>
  <c r="AJ458" i="2"/>
  <c r="AS462" i="2"/>
  <c r="AI462" i="2"/>
  <c r="AJ462" i="2"/>
  <c r="AS470" i="2"/>
  <c r="AI470" i="2"/>
  <c r="AJ470" i="2"/>
  <c r="AN491" i="2"/>
  <c r="AR491" i="2"/>
  <c r="AN547" i="2"/>
  <c r="AR547" i="2"/>
  <c r="AK562" i="2"/>
  <c r="AL562" i="2"/>
  <c r="AT562" i="2"/>
  <c r="AI562" i="2"/>
  <c r="AJ562" i="2"/>
  <c r="AG562" i="2"/>
  <c r="AV562" i="2"/>
  <c r="AK565" i="2"/>
  <c r="AL565" i="2"/>
  <c r="AT565" i="2"/>
  <c r="AI565" i="2"/>
  <c r="AJ565" i="2"/>
  <c r="AG565" i="2"/>
  <c r="AV565" i="2"/>
  <c r="AI438" i="2"/>
  <c r="AJ438" i="2"/>
  <c r="AI446" i="2"/>
  <c r="AJ446" i="2"/>
  <c r="AC451" i="2"/>
  <c r="AE451" i="2"/>
  <c r="AG451" i="2"/>
  <c r="AV451" i="2"/>
  <c r="AK452" i="2"/>
  <c r="AL452" i="2"/>
  <c r="AT452" i="2"/>
  <c r="AI453" i="2"/>
  <c r="AJ453" i="2"/>
  <c r="AI455" i="2"/>
  <c r="AJ455" i="2"/>
  <c r="AS460" i="2"/>
  <c r="AS465" i="2"/>
  <c r="AC475" i="2"/>
  <c r="AE475" i="2"/>
  <c r="AG475" i="2"/>
  <c r="AV475" i="2"/>
  <c r="AK475" i="2"/>
  <c r="AL475" i="2"/>
  <c r="AT475" i="2"/>
  <c r="AI475" i="2"/>
  <c r="AJ475" i="2"/>
  <c r="AK441" i="2"/>
  <c r="AL441" i="2"/>
  <c r="AT441" i="2"/>
  <c r="AN442" i="2"/>
  <c r="AS453" i="2"/>
  <c r="AN454" i="2"/>
  <c r="AN457" i="2"/>
  <c r="AI460" i="2"/>
  <c r="AJ460" i="2"/>
  <c r="AI465" i="2"/>
  <c r="AJ465" i="2"/>
  <c r="AN467" i="2"/>
  <c r="AK469" i="2"/>
  <c r="AL469" i="2"/>
  <c r="AT469" i="2"/>
  <c r="AC474" i="2"/>
  <c r="AE474" i="2"/>
  <c r="AG474" i="2"/>
  <c r="AV474" i="2"/>
  <c r="AR478" i="2"/>
  <c r="AK467" i="2"/>
  <c r="AL467" i="2"/>
  <c r="AT467" i="2"/>
  <c r="AI467" i="2"/>
  <c r="AJ467" i="2"/>
  <c r="AS539" i="2"/>
  <c r="AL539" i="2"/>
  <c r="AT539" i="2"/>
  <c r="AI539" i="2"/>
  <c r="AJ539" i="2"/>
  <c r="AS456" i="2"/>
  <c r="AI456" i="2"/>
  <c r="AJ456" i="2"/>
  <c r="AC467" i="2"/>
  <c r="AE467" i="2"/>
  <c r="AG467" i="2"/>
  <c r="AV467" i="2"/>
  <c r="AI468" i="2"/>
  <c r="AJ468" i="2"/>
  <c r="AG471" i="2"/>
  <c r="AV471" i="2"/>
  <c r="AS483" i="2"/>
  <c r="AI483" i="2"/>
  <c r="AJ483" i="2"/>
  <c r="AC491" i="2"/>
  <c r="AE491" i="2"/>
  <c r="AG491" i="2"/>
  <c r="AV491" i="2"/>
  <c r="AK491" i="2"/>
  <c r="AL491" i="2"/>
  <c r="AT491" i="2"/>
  <c r="AC495" i="2"/>
  <c r="AE495" i="2"/>
  <c r="AG495" i="2"/>
  <c r="AV495" i="2"/>
  <c r="AG506" i="2"/>
  <c r="AV506" i="2"/>
  <c r="AK506" i="2"/>
  <c r="AL506" i="2"/>
  <c r="AT506" i="2"/>
  <c r="AG510" i="2"/>
  <c r="AV510" i="2"/>
  <c r="AK510" i="2"/>
  <c r="AL510" i="2"/>
  <c r="AT510" i="2"/>
  <c r="AG514" i="2"/>
  <c r="AV514" i="2"/>
  <c r="AK514" i="2"/>
  <c r="AL514" i="2"/>
  <c r="AT514" i="2"/>
  <c r="AG518" i="2"/>
  <c r="AV518" i="2"/>
  <c r="AK518" i="2"/>
  <c r="AL518" i="2"/>
  <c r="AT518" i="2"/>
  <c r="AS531" i="2"/>
  <c r="AL531" i="2"/>
  <c r="AT531" i="2"/>
  <c r="AI531" i="2"/>
  <c r="AJ531" i="2"/>
  <c r="AK600" i="2"/>
  <c r="AL600" i="2"/>
  <c r="AT600" i="2"/>
  <c r="AI600" i="2"/>
  <c r="AJ600" i="2"/>
  <c r="AG600" i="2"/>
  <c r="AV600" i="2"/>
  <c r="AL633" i="2"/>
  <c r="AT633" i="2"/>
  <c r="AS633" i="2"/>
  <c r="AI633" i="2"/>
  <c r="AJ633" i="2"/>
  <c r="AK468" i="2"/>
  <c r="AL468" i="2"/>
  <c r="AT468" i="2"/>
  <c r="AN469" i="2"/>
  <c r="AN476" i="2"/>
  <c r="AG487" i="2"/>
  <c r="AV487" i="2"/>
  <c r="AC490" i="2"/>
  <c r="AE490" i="2"/>
  <c r="AG490" i="2"/>
  <c r="AV490" i="2"/>
  <c r="AR494" i="2"/>
  <c r="AI495" i="2"/>
  <c r="AJ495" i="2"/>
  <c r="AS495" i="2"/>
  <c r="AI497" i="2"/>
  <c r="AJ497" i="2"/>
  <c r="AS497" i="2"/>
  <c r="AI498" i="2"/>
  <c r="AJ498" i="2"/>
  <c r="AS499" i="2"/>
  <c r="AI499" i="2"/>
  <c r="AJ499" i="2"/>
  <c r="AK501" i="2"/>
  <c r="AL501" i="2"/>
  <c r="AT501" i="2"/>
  <c r="AI501" i="2"/>
  <c r="AJ501" i="2"/>
  <c r="AG501" i="2"/>
  <c r="AV501" i="2"/>
  <c r="AK505" i="2"/>
  <c r="AL505" i="2"/>
  <c r="AT505" i="2"/>
  <c r="AG505" i="2"/>
  <c r="AV505" i="2"/>
  <c r="AK509" i="2"/>
  <c r="AL509" i="2"/>
  <c r="AT509" i="2"/>
  <c r="AG509" i="2"/>
  <c r="AV509" i="2"/>
  <c r="AK513" i="2"/>
  <c r="AL513" i="2"/>
  <c r="AT513" i="2"/>
  <c r="AG513" i="2"/>
  <c r="AV513" i="2"/>
  <c r="AK517" i="2"/>
  <c r="AL517" i="2"/>
  <c r="AT517" i="2"/>
  <c r="AG517" i="2"/>
  <c r="AV517" i="2"/>
  <c r="AK525" i="2"/>
  <c r="AL525" i="2"/>
  <c r="AT525" i="2"/>
  <c r="AI525" i="2"/>
  <c r="AJ525" i="2"/>
  <c r="AG525" i="2"/>
  <c r="AV525" i="2"/>
  <c r="AG534" i="2"/>
  <c r="AV534" i="2"/>
  <c r="AK534" i="2"/>
  <c r="AL534" i="2"/>
  <c r="AT534" i="2"/>
  <c r="AR550" i="2"/>
  <c r="AN550" i="2"/>
  <c r="AR553" i="2"/>
  <c r="AS478" i="2"/>
  <c r="AI479" i="2"/>
  <c r="AJ479" i="2"/>
  <c r="AS479" i="2"/>
  <c r="AK485" i="2"/>
  <c r="AL485" i="2"/>
  <c r="AT485" i="2"/>
  <c r="AI485" i="2"/>
  <c r="AJ485" i="2"/>
  <c r="AL502" i="2"/>
  <c r="AT502" i="2"/>
  <c r="AS502" i="2"/>
  <c r="AS506" i="2"/>
  <c r="AS510" i="2"/>
  <c r="AS514" i="2"/>
  <c r="AL540" i="2"/>
  <c r="AT540" i="2"/>
  <c r="AS540" i="2"/>
  <c r="AR585" i="2"/>
  <c r="AI464" i="2"/>
  <c r="AJ464" i="2"/>
  <c r="AI472" i="2"/>
  <c r="AJ472" i="2"/>
  <c r="AC485" i="2"/>
  <c r="AE485" i="2"/>
  <c r="AG485" i="2"/>
  <c r="AV485" i="2"/>
  <c r="AI487" i="2"/>
  <c r="AJ487" i="2"/>
  <c r="AS487" i="2"/>
  <c r="AI489" i="2"/>
  <c r="AJ489" i="2"/>
  <c r="AS489" i="2"/>
  <c r="AI490" i="2"/>
  <c r="AJ490" i="2"/>
  <c r="AS491" i="2"/>
  <c r="AI491" i="2"/>
  <c r="AJ491" i="2"/>
  <c r="AK493" i="2"/>
  <c r="AL493" i="2"/>
  <c r="AT493" i="2"/>
  <c r="AI493" i="2"/>
  <c r="AJ493" i="2"/>
  <c r="AK495" i="2"/>
  <c r="AL495" i="2"/>
  <c r="AT495" i="2"/>
  <c r="AR500" i="2"/>
  <c r="AN500" i="2"/>
  <c r="AI502" i="2"/>
  <c r="AJ502" i="2"/>
  <c r="AI506" i="2"/>
  <c r="AJ506" i="2"/>
  <c r="AI510" i="2"/>
  <c r="AJ510" i="2"/>
  <c r="AI514" i="2"/>
  <c r="AJ514" i="2"/>
  <c r="AI518" i="2"/>
  <c r="AJ518" i="2"/>
  <c r="AS523" i="2"/>
  <c r="AL523" i="2"/>
  <c r="AT523" i="2"/>
  <c r="AI523" i="2"/>
  <c r="AJ523" i="2"/>
  <c r="AS532" i="2"/>
  <c r="AR533" i="2"/>
  <c r="AI540" i="2"/>
  <c r="AJ540" i="2"/>
  <c r="AS543" i="2"/>
  <c r="AI543" i="2"/>
  <c r="AJ543" i="2"/>
  <c r="AS584" i="2"/>
  <c r="AI584" i="2"/>
  <c r="AJ584" i="2"/>
  <c r="AL480" i="2"/>
  <c r="AT480" i="2"/>
  <c r="AS480" i="2"/>
  <c r="AI480" i="2"/>
  <c r="AJ480" i="2"/>
  <c r="AC482" i="2"/>
  <c r="AE482" i="2"/>
  <c r="AG482" i="2"/>
  <c r="AV482" i="2"/>
  <c r="AN483" i="2"/>
  <c r="AR484" i="2"/>
  <c r="AN484" i="2"/>
  <c r="AS486" i="2"/>
  <c r="AL488" i="2"/>
  <c r="AT488" i="2"/>
  <c r="AK490" i="2"/>
  <c r="AL490" i="2"/>
  <c r="AT490" i="2"/>
  <c r="AC493" i="2"/>
  <c r="AE493" i="2"/>
  <c r="AG493" i="2"/>
  <c r="AV493" i="2"/>
  <c r="AN499" i="2"/>
  <c r="AG504" i="2"/>
  <c r="AV504" i="2"/>
  <c r="AK504" i="2"/>
  <c r="AL504" i="2"/>
  <c r="AT504" i="2"/>
  <c r="AI505" i="2"/>
  <c r="AJ505" i="2"/>
  <c r="AG508" i="2"/>
  <c r="AV508" i="2"/>
  <c r="AK508" i="2"/>
  <c r="AL508" i="2"/>
  <c r="AT508" i="2"/>
  <c r="AI509" i="2"/>
  <c r="AJ509" i="2"/>
  <c r="AG512" i="2"/>
  <c r="AV512" i="2"/>
  <c r="AK512" i="2"/>
  <c r="AL512" i="2"/>
  <c r="AT512" i="2"/>
  <c r="AI513" i="2"/>
  <c r="AJ513" i="2"/>
  <c r="AG516" i="2"/>
  <c r="AV516" i="2"/>
  <c r="AK516" i="2"/>
  <c r="AL516" i="2"/>
  <c r="AT516" i="2"/>
  <c r="AI517" i="2"/>
  <c r="AJ517" i="2"/>
  <c r="AN519" i="2"/>
  <c r="AG526" i="2"/>
  <c r="AV526" i="2"/>
  <c r="AK526" i="2"/>
  <c r="AL526" i="2"/>
  <c r="AT526" i="2"/>
  <c r="AI532" i="2"/>
  <c r="AJ532" i="2"/>
  <c r="AC483" i="2"/>
  <c r="AE483" i="2"/>
  <c r="AG483" i="2"/>
  <c r="AV483" i="2"/>
  <c r="AK483" i="2"/>
  <c r="AL483" i="2"/>
  <c r="AT483" i="2"/>
  <c r="AR492" i="2"/>
  <c r="AN492" i="2"/>
  <c r="AS494" i="2"/>
  <c r="AK503" i="2"/>
  <c r="AL503" i="2"/>
  <c r="AT503" i="2"/>
  <c r="AG503" i="2"/>
  <c r="AV503" i="2"/>
  <c r="AK507" i="2"/>
  <c r="AL507" i="2"/>
  <c r="AT507" i="2"/>
  <c r="AG507" i="2"/>
  <c r="AV507" i="2"/>
  <c r="AK511" i="2"/>
  <c r="AL511" i="2"/>
  <c r="AT511" i="2"/>
  <c r="AG511" i="2"/>
  <c r="AV511" i="2"/>
  <c r="AK515" i="2"/>
  <c r="AL515" i="2"/>
  <c r="AT515" i="2"/>
  <c r="AG515" i="2"/>
  <c r="AV515" i="2"/>
  <c r="AI486" i="2"/>
  <c r="AJ486" i="2"/>
  <c r="AI494" i="2"/>
  <c r="AJ494" i="2"/>
  <c r="AC499" i="2"/>
  <c r="AE499" i="2"/>
  <c r="AG499" i="2"/>
  <c r="AV499" i="2"/>
  <c r="AK499" i="2"/>
  <c r="AL499" i="2"/>
  <c r="AT499" i="2"/>
  <c r="AS504" i="2"/>
  <c r="AS508" i="2"/>
  <c r="AS512" i="2"/>
  <c r="AS516" i="2"/>
  <c r="AS524" i="2"/>
  <c r="AR525" i="2"/>
  <c r="AK533" i="2"/>
  <c r="AL533" i="2"/>
  <c r="AT533" i="2"/>
  <c r="AI533" i="2"/>
  <c r="AJ533" i="2"/>
  <c r="AG533" i="2"/>
  <c r="AV533" i="2"/>
  <c r="AR563" i="2"/>
  <c r="AN563" i="2"/>
  <c r="AS541" i="2"/>
  <c r="AI541" i="2"/>
  <c r="AJ541" i="2"/>
  <c r="AL542" i="2"/>
  <c r="AT542" i="2"/>
  <c r="AK550" i="2"/>
  <c r="AL550" i="2"/>
  <c r="AT550" i="2"/>
  <c r="AI550" i="2"/>
  <c r="AJ550" i="2"/>
  <c r="AK557" i="2"/>
  <c r="AL557" i="2"/>
  <c r="AT557" i="2"/>
  <c r="AG557" i="2"/>
  <c r="AV557" i="2"/>
  <c r="AR561" i="2"/>
  <c r="AN561" i="2"/>
  <c r="AI488" i="2"/>
  <c r="AJ488" i="2"/>
  <c r="AI496" i="2"/>
  <c r="AJ496" i="2"/>
  <c r="AK524" i="2"/>
  <c r="AL524" i="2"/>
  <c r="AT524" i="2"/>
  <c r="AI526" i="2"/>
  <c r="AJ526" i="2"/>
  <c r="AK532" i="2"/>
  <c r="AL532" i="2"/>
  <c r="AT532" i="2"/>
  <c r="AI534" i="2"/>
  <c r="AJ534" i="2"/>
  <c r="AL541" i="2"/>
  <c r="AT541" i="2"/>
  <c r="AN556" i="2"/>
  <c r="AK563" i="2"/>
  <c r="AL563" i="2"/>
  <c r="AT563" i="2"/>
  <c r="AI563" i="2"/>
  <c r="AJ563" i="2"/>
  <c r="AG563" i="2"/>
  <c r="AV563" i="2"/>
  <c r="AS488" i="2"/>
  <c r="AS496" i="2"/>
  <c r="AS526" i="2"/>
  <c r="AG527" i="2"/>
  <c r="AV527" i="2"/>
  <c r="AS547" i="2"/>
  <c r="AI547" i="2"/>
  <c r="AJ547" i="2"/>
  <c r="AK590" i="2"/>
  <c r="AL590" i="2"/>
  <c r="AT590" i="2"/>
  <c r="AG590" i="2"/>
  <c r="AV590" i="2"/>
  <c r="AI590" i="2"/>
  <c r="AJ590" i="2"/>
  <c r="AK616" i="2"/>
  <c r="AI616" i="2"/>
  <c r="AJ616" i="2"/>
  <c r="AG616" i="2"/>
  <c r="AV616" i="2"/>
  <c r="AR565" i="2"/>
  <c r="AN565" i="2"/>
  <c r="AG579" i="2"/>
  <c r="AV579" i="2"/>
  <c r="AK579" i="2"/>
  <c r="AL579" i="2"/>
  <c r="AT579" i="2"/>
  <c r="AI579" i="2"/>
  <c r="AJ579" i="2"/>
  <c r="AG588" i="2"/>
  <c r="AV588" i="2"/>
  <c r="AK588" i="2"/>
  <c r="AL588" i="2"/>
  <c r="AT588" i="2"/>
  <c r="AI588" i="2"/>
  <c r="AJ588" i="2"/>
  <c r="AI527" i="2"/>
  <c r="AJ527" i="2"/>
  <c r="AG529" i="2"/>
  <c r="AV529" i="2"/>
  <c r="AI535" i="2"/>
  <c r="AJ535" i="2"/>
  <c r="AG537" i="2"/>
  <c r="AV537" i="2"/>
  <c r="AS544" i="2"/>
  <c r="AS545" i="2"/>
  <c r="AI545" i="2"/>
  <c r="AJ545" i="2"/>
  <c r="AI551" i="2"/>
  <c r="AJ551" i="2"/>
  <c r="AG551" i="2"/>
  <c r="AV551" i="2"/>
  <c r="AS553" i="2"/>
  <c r="AI553" i="2"/>
  <c r="AJ553" i="2"/>
  <c r="AN557" i="2"/>
  <c r="AG564" i="2"/>
  <c r="AV564" i="2"/>
  <c r="AK564" i="2"/>
  <c r="AL564" i="2"/>
  <c r="AT564" i="2"/>
  <c r="AI564" i="2"/>
  <c r="AJ564" i="2"/>
  <c r="AG575" i="2"/>
  <c r="AV575" i="2"/>
  <c r="AK575" i="2"/>
  <c r="AL575" i="2"/>
  <c r="AT575" i="2"/>
  <c r="AI575" i="2"/>
  <c r="AJ575" i="2"/>
  <c r="AL527" i="2"/>
  <c r="AT527" i="2"/>
  <c r="AL549" i="2"/>
  <c r="AT549" i="2"/>
  <c r="AI554" i="2"/>
  <c r="AJ554" i="2"/>
  <c r="AG554" i="2"/>
  <c r="AV554" i="2"/>
  <c r="AN554" i="2"/>
  <c r="AI556" i="2"/>
  <c r="AJ556" i="2"/>
  <c r="AI560" i="2"/>
  <c r="AJ560" i="2"/>
  <c r="AI566" i="2"/>
  <c r="AJ566" i="2"/>
  <c r="AL567" i="2"/>
  <c r="AT567" i="2"/>
  <c r="AI569" i="2"/>
  <c r="AJ569" i="2"/>
  <c r="AK570" i="2"/>
  <c r="AL570" i="2"/>
  <c r="AT570" i="2"/>
  <c r="AS588" i="2"/>
  <c r="AI561" i="2"/>
  <c r="AJ561" i="2"/>
  <c r="AI567" i="2"/>
  <c r="AJ567" i="2"/>
  <c r="AK574" i="2"/>
  <c r="AL574" i="2"/>
  <c r="AT574" i="2"/>
  <c r="AG574" i="2"/>
  <c r="AV574" i="2"/>
  <c r="AK578" i="2"/>
  <c r="AL578" i="2"/>
  <c r="AT578" i="2"/>
  <c r="AG578" i="2"/>
  <c r="AV578" i="2"/>
  <c r="AK582" i="2"/>
  <c r="AL582" i="2"/>
  <c r="AT582" i="2"/>
  <c r="AG582" i="2"/>
  <c r="AV582" i="2"/>
  <c r="AK606" i="2"/>
  <c r="AL606" i="2"/>
  <c r="AT606" i="2"/>
  <c r="AI606" i="2"/>
  <c r="AJ606" i="2"/>
  <c r="AG606" i="2"/>
  <c r="AV606" i="2"/>
  <c r="AS617" i="2"/>
  <c r="AN549" i="2"/>
  <c r="AL551" i="2"/>
  <c r="AT551" i="2"/>
  <c r="AI557" i="2"/>
  <c r="AJ557" i="2"/>
  <c r="AS557" i="2"/>
  <c r="AN558" i="2"/>
  <c r="AN571" i="2"/>
  <c r="AG572" i="2"/>
  <c r="AV572" i="2"/>
  <c r="AR589" i="2"/>
  <c r="AN597" i="2"/>
  <c r="AR597" i="2"/>
  <c r="AS601" i="2"/>
  <c r="AG615" i="2"/>
  <c r="AV615" i="2"/>
  <c r="AK615" i="2"/>
  <c r="AL615" i="2"/>
  <c r="AT615" i="2"/>
  <c r="AI615" i="2"/>
  <c r="AJ615" i="2"/>
  <c r="AR616" i="2"/>
  <c r="AN616" i="2"/>
  <c r="AI617" i="2"/>
  <c r="AJ617" i="2"/>
  <c r="AG577" i="2"/>
  <c r="AV577" i="2"/>
  <c r="AK577" i="2"/>
  <c r="AL577" i="2"/>
  <c r="AT577" i="2"/>
  <c r="AG581" i="2"/>
  <c r="AV581" i="2"/>
  <c r="AK581" i="2"/>
  <c r="AL581" i="2"/>
  <c r="AT581" i="2"/>
  <c r="AS592" i="2"/>
  <c r="AI592" i="2"/>
  <c r="AJ592" i="2"/>
  <c r="AR600" i="2"/>
  <c r="AN600" i="2"/>
  <c r="AN560" i="2"/>
  <c r="AN567" i="2"/>
  <c r="AG568" i="2"/>
  <c r="AV568" i="2"/>
  <c r="AG573" i="2"/>
  <c r="AV573" i="2"/>
  <c r="AI574" i="2"/>
  <c r="AJ574" i="2"/>
  <c r="AI578" i="2"/>
  <c r="AJ578" i="2"/>
  <c r="AI582" i="2"/>
  <c r="AJ582" i="2"/>
  <c r="AG584" i="2"/>
  <c r="AV584" i="2"/>
  <c r="AK584" i="2"/>
  <c r="AL584" i="2"/>
  <c r="AT584" i="2"/>
  <c r="AK586" i="2"/>
  <c r="AL586" i="2"/>
  <c r="AT586" i="2"/>
  <c r="AG586" i="2"/>
  <c r="AV586" i="2"/>
  <c r="AG599" i="2"/>
  <c r="AV599" i="2"/>
  <c r="AK599" i="2"/>
  <c r="AL599" i="2"/>
  <c r="AT599" i="2"/>
  <c r="AS611" i="2"/>
  <c r="AI611" i="2"/>
  <c r="AJ611" i="2"/>
  <c r="AS621" i="2"/>
  <c r="AI621" i="2"/>
  <c r="AJ621" i="2"/>
  <c r="AG566" i="2"/>
  <c r="AV566" i="2"/>
  <c r="AK576" i="2"/>
  <c r="AL576" i="2"/>
  <c r="AT576" i="2"/>
  <c r="AG576" i="2"/>
  <c r="AV576" i="2"/>
  <c r="AK580" i="2"/>
  <c r="AL580" i="2"/>
  <c r="AT580" i="2"/>
  <c r="AG580" i="2"/>
  <c r="AV580" i="2"/>
  <c r="AG605" i="2"/>
  <c r="AV605" i="2"/>
  <c r="AK605" i="2"/>
  <c r="AL605" i="2"/>
  <c r="AT605" i="2"/>
  <c r="AR610" i="2"/>
  <c r="AN610" i="2"/>
  <c r="AR620" i="2"/>
  <c r="AN620" i="2"/>
  <c r="AL583" i="2"/>
  <c r="AT583" i="2"/>
  <c r="AS599" i="2"/>
  <c r="AR604" i="2"/>
  <c r="AN604" i="2"/>
  <c r="AS605" i="2"/>
  <c r="AI622" i="2"/>
  <c r="AJ622" i="2"/>
  <c r="AS631" i="2"/>
  <c r="AI631" i="2"/>
  <c r="AJ631" i="2"/>
  <c r="AI585" i="2"/>
  <c r="AJ585" i="2"/>
  <c r="AI589" i="2"/>
  <c r="AJ589" i="2"/>
  <c r="AS589" i="2"/>
  <c r="AG592" i="2"/>
  <c r="AV592" i="2"/>
  <c r="AG594" i="2"/>
  <c r="AV594" i="2"/>
  <c r="AR595" i="2"/>
  <c r="AI599" i="2"/>
  <c r="AJ599" i="2"/>
  <c r="AI605" i="2"/>
  <c r="AJ605" i="2"/>
  <c r="AK611" i="2"/>
  <c r="AL611" i="2"/>
  <c r="AT611" i="2"/>
  <c r="AI612" i="2"/>
  <c r="AJ612" i="2"/>
  <c r="AR614" i="2"/>
  <c r="AN614" i="2"/>
  <c r="AS615" i="2"/>
  <c r="AK621" i="2"/>
  <c r="AL621" i="2"/>
  <c r="AT621" i="2"/>
  <c r="AS627" i="2"/>
  <c r="AI627" i="2"/>
  <c r="AJ627" i="2"/>
  <c r="AS629" i="2"/>
  <c r="AI629" i="2"/>
  <c r="AJ629" i="2"/>
  <c r="AR632" i="2"/>
  <c r="AN632" i="2"/>
  <c r="AS597" i="2"/>
  <c r="AR608" i="2"/>
  <c r="AN608" i="2"/>
  <c r="AS609" i="2"/>
  <c r="AG610" i="2"/>
  <c r="AV610" i="2"/>
  <c r="AG620" i="2"/>
  <c r="AV620" i="2"/>
  <c r="AS623" i="2"/>
  <c r="AS625" i="2"/>
  <c r="AI625" i="2"/>
  <c r="AJ625" i="2"/>
  <c r="AR630" i="2"/>
  <c r="AN630" i="2"/>
  <c r="AR602" i="2"/>
  <c r="AN602" i="2"/>
  <c r="AL603" i="2"/>
  <c r="AT603" i="2"/>
  <c r="AS603" i="2"/>
  <c r="AR618" i="2"/>
  <c r="AN618" i="2"/>
  <c r="AL619" i="2"/>
  <c r="AT619" i="2"/>
  <c r="AS619" i="2"/>
  <c r="AR622" i="2"/>
  <c r="AN622" i="2"/>
  <c r="AR626" i="2"/>
  <c r="AN626" i="2"/>
  <c r="AR628" i="2"/>
  <c r="AN628" i="2"/>
  <c r="AG593" i="2"/>
  <c r="AV593" i="2"/>
  <c r="AS593" i="2"/>
  <c r="AI594" i="2"/>
  <c r="AJ594" i="2"/>
  <c r="AI603" i="2"/>
  <c r="AJ603" i="2"/>
  <c r="AK609" i="2"/>
  <c r="AL609" i="2"/>
  <c r="AT609" i="2"/>
  <c r="AI610" i="2"/>
  <c r="AJ610" i="2"/>
  <c r="AR612" i="2"/>
  <c r="AN612" i="2"/>
  <c r="AS613" i="2"/>
  <c r="AG614" i="2"/>
  <c r="AV614" i="2"/>
  <c r="AI620" i="2"/>
  <c r="AJ620" i="2"/>
  <c r="AR624" i="2"/>
  <c r="AN624" i="2"/>
  <c r="AI583" i="2"/>
  <c r="AJ583" i="2"/>
  <c r="AI587" i="2"/>
  <c r="AJ587" i="2"/>
  <c r="AL597" i="2"/>
  <c r="AT597" i="2"/>
  <c r="AR606" i="2"/>
  <c r="AN606" i="2"/>
  <c r="AS607" i="2"/>
  <c r="AG608" i="2"/>
  <c r="AV608" i="2"/>
  <c r="AI613" i="2"/>
  <c r="AJ613" i="2"/>
  <c r="AK624" i="2"/>
  <c r="AL624" i="2"/>
  <c r="AT624" i="2"/>
  <c r="AK626" i="2"/>
  <c r="AK630" i="2"/>
  <c r="AL630" i="2"/>
  <c r="AT630" i="2"/>
  <c r="AI632" i="2"/>
  <c r="AJ632" i="2"/>
  <c r="AV639" i="2"/>
  <c r="AL651" i="2"/>
  <c r="AT651" i="2"/>
  <c r="AS276" i="2"/>
  <c r="AS270" i="2"/>
  <c r="AL270" i="2"/>
  <c r="AT270" i="2"/>
  <c r="I141" i="1"/>
  <c r="AL626" i="2"/>
  <c r="AT626" i="2"/>
  <c r="AS279" i="2"/>
  <c r="AI279" i="2"/>
  <c r="AJ279" i="2"/>
  <c r="AS735" i="2"/>
  <c r="AL735" i="2"/>
  <c r="AT735" i="2"/>
  <c r="AS736" i="2"/>
  <c r="AL736" i="2"/>
  <c r="AT736" i="2"/>
  <c r="AS738" i="2"/>
  <c r="AL738" i="2"/>
  <c r="AT738" i="2"/>
  <c r="AS737" i="2"/>
  <c r="AL737" i="2"/>
  <c r="AT737" i="2"/>
  <c r="AS740" i="2"/>
  <c r="AT740" i="2"/>
  <c r="AS739" i="2"/>
  <c r="AT739" i="2"/>
  <c r="AS730" i="2"/>
  <c r="AL730" i="2"/>
  <c r="AT730" i="2"/>
  <c r="AL732" i="2"/>
  <c r="AT732" i="2"/>
  <c r="AS732" i="2"/>
  <c r="AS731" i="2"/>
  <c r="AL731" i="2"/>
  <c r="AT731" i="2"/>
  <c r="AS734" i="2"/>
  <c r="AL734" i="2"/>
  <c r="AT734" i="2"/>
  <c r="AS733" i="2"/>
  <c r="AL733" i="2"/>
  <c r="AT733" i="2"/>
  <c r="AS716" i="2"/>
  <c r="AL716" i="2"/>
  <c r="AT716" i="2"/>
  <c r="AS717" i="2"/>
  <c r="AL717" i="2"/>
  <c r="AT717" i="2"/>
  <c r="AS726" i="2"/>
  <c r="AL726" i="2"/>
  <c r="AT726" i="2"/>
  <c r="AS725" i="2"/>
  <c r="AL725" i="2"/>
  <c r="AT725" i="2"/>
  <c r="AS724" i="2"/>
  <c r="AL724" i="2"/>
  <c r="AT724" i="2"/>
  <c r="AS723" i="2"/>
  <c r="AL723" i="2"/>
  <c r="AT723" i="2"/>
  <c r="AS722" i="2"/>
  <c r="AL722" i="2"/>
  <c r="AT722" i="2"/>
  <c r="AS721" i="2"/>
  <c r="AL721" i="2"/>
  <c r="AT721" i="2"/>
  <c r="AS720" i="2"/>
  <c r="AL720" i="2"/>
  <c r="AT720" i="2"/>
  <c r="AS719" i="2"/>
  <c r="AL719" i="2"/>
  <c r="AT719" i="2"/>
  <c r="AS718" i="2"/>
  <c r="AL718" i="2"/>
  <c r="AT718" i="2"/>
  <c r="AS729" i="2"/>
  <c r="AL729" i="2"/>
  <c r="AT729" i="2"/>
  <c r="AS728" i="2"/>
  <c r="AL728" i="2"/>
  <c r="AT728" i="2"/>
  <c r="AS727" i="2"/>
  <c r="AL727" i="2"/>
  <c r="AT727" i="2"/>
  <c r="AL698" i="2"/>
  <c r="AT698" i="2"/>
  <c r="AS698" i="2"/>
  <c r="AS699" i="2"/>
  <c r="AL699" i="2"/>
  <c r="AT699" i="2"/>
  <c r="AS702" i="2"/>
  <c r="AL702" i="2"/>
  <c r="AT702" i="2"/>
  <c r="AS703" i="2"/>
  <c r="AL703" i="2"/>
  <c r="AT703" i="2"/>
  <c r="AS704" i="2"/>
  <c r="AL704" i="2"/>
  <c r="AT704" i="2"/>
  <c r="AS706" i="2"/>
  <c r="AL706" i="2"/>
  <c r="AT706" i="2"/>
  <c r="AL707" i="2"/>
  <c r="AT707" i="2"/>
  <c r="AS707" i="2"/>
  <c r="AL712" i="2"/>
  <c r="AT712" i="2"/>
  <c r="AS712" i="2"/>
  <c r="AS713" i="2"/>
  <c r="AL713" i="2"/>
  <c r="AT713" i="2"/>
  <c r="AS714" i="2"/>
  <c r="AL714" i="2"/>
  <c r="AT714" i="2"/>
  <c r="AS715" i="2"/>
  <c r="AL715" i="2"/>
  <c r="AT715" i="2"/>
  <c r="AS708" i="2"/>
  <c r="AT708" i="2"/>
  <c r="AS709" i="2"/>
  <c r="AT709" i="2"/>
  <c r="W707" i="2"/>
  <c r="AF707" i="2"/>
  <c r="AS705" i="2"/>
  <c r="AL705" i="2"/>
  <c r="AT705" i="2"/>
  <c r="AS701" i="2"/>
  <c r="AL701" i="2"/>
  <c r="AT701" i="2"/>
  <c r="AS700" i="2"/>
  <c r="AL700" i="2"/>
  <c r="AT700" i="2"/>
  <c r="AS695" i="2"/>
  <c r="AL695" i="2"/>
  <c r="AT695" i="2"/>
  <c r="AS697" i="2"/>
  <c r="AL697" i="2"/>
  <c r="AT697" i="2"/>
  <c r="AS696" i="2"/>
  <c r="AL696" i="2"/>
  <c r="AT696" i="2"/>
  <c r="AS688" i="2"/>
  <c r="AL688" i="2"/>
  <c r="AT688" i="2"/>
  <c r="AS807" i="2"/>
  <c r="AL807" i="2"/>
  <c r="AT807" i="2"/>
  <c r="AS806" i="2"/>
  <c r="AL806" i="2"/>
  <c r="AT806" i="2"/>
  <c r="AL786" i="2"/>
  <c r="AT786" i="2"/>
  <c r="AS786" i="2"/>
  <c r="AL785" i="2"/>
  <c r="AT785" i="2"/>
  <c r="AS785" i="2"/>
  <c r="AS784" i="2"/>
  <c r="AT784" i="2"/>
  <c r="AS770" i="2"/>
  <c r="AL770" i="2"/>
  <c r="AT770" i="2"/>
  <c r="AS769" i="2"/>
  <c r="AL769" i="2"/>
  <c r="AT769" i="2"/>
  <c r="AS768" i="2"/>
  <c r="AL768" i="2"/>
  <c r="AT768" i="2"/>
  <c r="AS767" i="2"/>
  <c r="AL767" i="2"/>
  <c r="AT767" i="2"/>
  <c r="AS766" i="2"/>
  <c r="AL766" i="2"/>
  <c r="AT766" i="2"/>
  <c r="AS765" i="2"/>
  <c r="AL765" i="2"/>
  <c r="AT765" i="2"/>
  <c r="AS764" i="2"/>
  <c r="AL764" i="2"/>
  <c r="AT764" i="2"/>
  <c r="AS763" i="2"/>
  <c r="AL763" i="2"/>
  <c r="AT763" i="2"/>
  <c r="AS762" i="2"/>
  <c r="AL762" i="2"/>
  <c r="AT762" i="2"/>
  <c r="AS761" i="2"/>
  <c r="AL761" i="2"/>
  <c r="AT761" i="2"/>
  <c r="AS780" i="2"/>
  <c r="AL780" i="2"/>
  <c r="AT780" i="2"/>
  <c r="AS779" i="2"/>
  <c r="AL779" i="2"/>
  <c r="AT779" i="2"/>
  <c r="AS778" i="2"/>
  <c r="AL778" i="2"/>
  <c r="AT778" i="2"/>
  <c r="AS777" i="2"/>
  <c r="AL777" i="2"/>
  <c r="AT777" i="2"/>
  <c r="AS776" i="2"/>
  <c r="AL776" i="2"/>
  <c r="AT776" i="2"/>
  <c r="AS775" i="2"/>
  <c r="AL775" i="2"/>
  <c r="AT775" i="2"/>
  <c r="AS774" i="2"/>
  <c r="AL774" i="2"/>
  <c r="AT774" i="2"/>
  <c r="AS773" i="2"/>
  <c r="AL773" i="2"/>
  <c r="AT773" i="2"/>
  <c r="AS772" i="2"/>
  <c r="AL772" i="2"/>
  <c r="AT772" i="2"/>
  <c r="AS771" i="2"/>
  <c r="AL771" i="2"/>
  <c r="AT771" i="2"/>
  <c r="AS744" i="2"/>
  <c r="AL744" i="2"/>
  <c r="AT744" i="2"/>
  <c r="AS745" i="2"/>
  <c r="AL745" i="2"/>
  <c r="AT745" i="2"/>
  <c r="AS746" i="2"/>
  <c r="AL746" i="2"/>
  <c r="AT746" i="2"/>
  <c r="AS749" i="2"/>
  <c r="AL749" i="2"/>
  <c r="AT749" i="2"/>
  <c r="AS748" i="2"/>
  <c r="AL748" i="2"/>
  <c r="AT748" i="2"/>
  <c r="AS747" i="2"/>
  <c r="AL747" i="2"/>
  <c r="AT747" i="2"/>
  <c r="AS752" i="2"/>
  <c r="AL752" i="2"/>
  <c r="AT752" i="2"/>
  <c r="AS808" i="2"/>
  <c r="AL808" i="2"/>
  <c r="AT808" i="2"/>
  <c r="AS871" i="2"/>
  <c r="AL871" i="2"/>
  <c r="AT871" i="2"/>
  <c r="AS759" i="2"/>
  <c r="AL759" i="2"/>
  <c r="AT759" i="2"/>
  <c r="AS758" i="2"/>
  <c r="AL758" i="2"/>
  <c r="AT758" i="2"/>
  <c r="AS757" i="2"/>
  <c r="AL757" i="2"/>
  <c r="AT757" i="2"/>
  <c r="AS756" i="2"/>
  <c r="AL756" i="2"/>
  <c r="AT756" i="2"/>
  <c r="AS751" i="2"/>
  <c r="AL751" i="2"/>
  <c r="AT751" i="2"/>
  <c r="AL750" i="2"/>
  <c r="AT750" i="2"/>
  <c r="AS750" i="2"/>
  <c r="AS753" i="2"/>
  <c r="AT753" i="2"/>
  <c r="AS754" i="2"/>
  <c r="AT754" i="2"/>
  <c r="AS742" i="2"/>
  <c r="AL742" i="2"/>
  <c r="AT742" i="2"/>
  <c r="AS741" i="2"/>
  <c r="AL741" i="2"/>
  <c r="AT741" i="2"/>
  <c r="AS743" i="2"/>
  <c r="AL743" i="2"/>
  <c r="AT743" i="2"/>
  <c r="AS839" i="2"/>
  <c r="AL839" i="2"/>
  <c r="AT839" i="2"/>
  <c r="AS838" i="2"/>
  <c r="AL838" i="2"/>
  <c r="AT838" i="2"/>
  <c r="AS837" i="2"/>
  <c r="AL837" i="2"/>
  <c r="AT837" i="2"/>
  <c r="AS812" i="2"/>
  <c r="AL812" i="2"/>
  <c r="AT812" i="2"/>
  <c r="AS755" i="2"/>
  <c r="AL755" i="2"/>
  <c r="AT755" i="2"/>
  <c r="AS829" i="2"/>
  <c r="AL829" i="2"/>
  <c r="AT829" i="2"/>
  <c r="AS828" i="2"/>
  <c r="AL828" i="2"/>
  <c r="AT828" i="2"/>
  <c r="AS827" i="2"/>
  <c r="AL827" i="2"/>
  <c r="AT827" i="2"/>
  <c r="AS825" i="2"/>
  <c r="AL825" i="2"/>
  <c r="AT825" i="2"/>
  <c r="AS830" i="2"/>
  <c r="AL830" i="2"/>
  <c r="AT830" i="2"/>
  <c r="AS835" i="2"/>
  <c r="AL835" i="2"/>
  <c r="AT835" i="2"/>
  <c r="AS836" i="2"/>
  <c r="AL836" i="2"/>
  <c r="AT836" i="2"/>
  <c r="AS824" i="2"/>
  <c r="AL824" i="2"/>
  <c r="AT824" i="2"/>
  <c r="AS823" i="2"/>
  <c r="AL823" i="2"/>
  <c r="AT823" i="2"/>
  <c r="AS820" i="2"/>
  <c r="AT820" i="2"/>
  <c r="AS819" i="2"/>
  <c r="AL819" i="2"/>
  <c r="AT819" i="2"/>
  <c r="AS818" i="2"/>
  <c r="AL818" i="2"/>
  <c r="AT818" i="2"/>
  <c r="AS817" i="2"/>
  <c r="AL817" i="2"/>
  <c r="AT817" i="2"/>
  <c r="AS816" i="2"/>
  <c r="AL816" i="2"/>
  <c r="AT816" i="2"/>
  <c r="AS815" i="2"/>
  <c r="AL815" i="2"/>
  <c r="AT815" i="2"/>
  <c r="AS813" i="2"/>
  <c r="AL813" i="2"/>
  <c r="AT813" i="2"/>
  <c r="AL849" i="2"/>
  <c r="AT849" i="2"/>
  <c r="AS849" i="2"/>
  <c r="AS858" i="2"/>
  <c r="AL858" i="2"/>
  <c r="AT858" i="2"/>
  <c r="AS857" i="2"/>
  <c r="AL857" i="2"/>
  <c r="AT857" i="2"/>
  <c r="AS856" i="2"/>
  <c r="AL856" i="2"/>
  <c r="AT856" i="2"/>
  <c r="AS855" i="2"/>
  <c r="AL855" i="2"/>
  <c r="AT855" i="2"/>
  <c r="AS854" i="2"/>
  <c r="AL854" i="2"/>
  <c r="AT854" i="2"/>
  <c r="AS853" i="2"/>
  <c r="AL853" i="2"/>
  <c r="AT853" i="2"/>
  <c r="AS852" i="2"/>
  <c r="AL852" i="2"/>
  <c r="AT852" i="2"/>
  <c r="AS851" i="2"/>
  <c r="AL851" i="2"/>
  <c r="AT851" i="2"/>
  <c r="AS850" i="2"/>
  <c r="AL850" i="2"/>
  <c r="AT850" i="2"/>
  <c r="F21" i="5"/>
  <c r="AS843" i="2"/>
  <c r="AL843" i="2"/>
  <c r="AT843" i="2"/>
  <c r="AS842" i="2"/>
  <c r="AL842" i="2"/>
  <c r="AT842" i="2"/>
  <c r="AS845" i="2"/>
  <c r="AL845" i="2"/>
  <c r="AT845" i="2"/>
  <c r="AS844" i="2"/>
  <c r="AL844" i="2"/>
  <c r="AT844" i="2"/>
  <c r="AS846" i="2"/>
  <c r="AL846" i="2"/>
  <c r="AT846" i="2"/>
  <c r="AS848" i="2"/>
  <c r="AL848" i="2"/>
  <c r="AT848" i="2"/>
  <c r="AS847" i="2"/>
  <c r="AL847" i="2"/>
  <c r="AT847" i="2"/>
  <c r="AS901" i="2"/>
  <c r="AT901" i="2"/>
  <c r="AS900" i="2"/>
  <c r="AT900" i="2"/>
  <c r="H34" i="1"/>
  <c r="G34" i="1"/>
  <c r="F34" i="1"/>
  <c r="E34" i="1"/>
  <c r="AL616" i="2"/>
  <c r="AT616" i="2"/>
  <c r="AT897" i="2"/>
  <c r="AS897" i="2"/>
  <c r="AS896" i="2"/>
  <c r="AT896" i="2"/>
  <c r="AS899" i="2"/>
  <c r="AT899" i="2"/>
  <c r="AS898" i="2"/>
  <c r="AT898" i="2"/>
  <c r="I34" i="1"/>
  <c r="AL34" i="1"/>
  <c r="AK34" i="1"/>
  <c r="AS895" i="2"/>
  <c r="AT895" i="2"/>
  <c r="G35" i="1"/>
  <c r="F35" i="1"/>
  <c r="E35" i="1"/>
  <c r="I35" i="1"/>
  <c r="H35" i="1"/>
  <c r="AL35" i="1"/>
  <c r="AK35" i="1"/>
  <c r="F40" i="1"/>
  <c r="E40" i="1"/>
  <c r="I40" i="1"/>
  <c r="H40" i="1"/>
  <c r="G40" i="1"/>
  <c r="AL40" i="1"/>
  <c r="AK40" i="1"/>
  <c r="F154" i="1"/>
  <c r="E154" i="1"/>
  <c r="E41" i="1"/>
  <c r="I154" i="1"/>
  <c r="H154" i="1"/>
  <c r="G154" i="1"/>
  <c r="I41" i="1"/>
  <c r="H41" i="1"/>
  <c r="G41" i="1"/>
  <c r="F41" i="1"/>
  <c r="AL154" i="1"/>
  <c r="AK154" i="1"/>
  <c r="AL41" i="1"/>
  <c r="AK41" i="1"/>
  <c r="AZ154" i="1"/>
  <c r="AZ169" i="1"/>
  <c r="AZ168" i="1"/>
  <c r="AZ167" i="1"/>
  <c r="AZ166" i="1"/>
  <c r="AZ165" i="1"/>
  <c r="AZ163" i="1"/>
  <c r="AZ162" i="1"/>
  <c r="AZ161" i="1"/>
  <c r="AZ160" i="1"/>
  <c r="AZ158" i="1"/>
  <c r="AZ147" i="1"/>
  <c r="AL147" i="1"/>
  <c r="AK147" i="1"/>
  <c r="I147" i="1"/>
  <c r="H147" i="1"/>
  <c r="G147" i="1"/>
  <c r="F147" i="1"/>
  <c r="E14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I136" i="1"/>
  <c r="H136" i="1"/>
  <c r="G136" i="1"/>
  <c r="F136" i="1"/>
  <c r="E136" i="1"/>
  <c r="I132" i="1"/>
  <c r="H132" i="1"/>
  <c r="G132" i="1"/>
  <c r="F132" i="1"/>
  <c r="E132" i="1"/>
  <c r="I131" i="1"/>
  <c r="H131" i="1"/>
  <c r="G131" i="1"/>
  <c r="F131" i="1"/>
  <c r="E131" i="1"/>
  <c r="I127" i="1"/>
  <c r="H127" i="1"/>
  <c r="G127" i="1"/>
  <c r="F127" i="1"/>
  <c r="E127" i="1"/>
  <c r="I126" i="1"/>
  <c r="H126" i="1"/>
  <c r="G126" i="1"/>
  <c r="F126" i="1"/>
  <c r="E126" i="1"/>
  <c r="I124" i="1"/>
  <c r="H124" i="1"/>
  <c r="G124" i="1"/>
  <c r="F124" i="1"/>
  <c r="E124" i="1"/>
  <c r="I123" i="1"/>
  <c r="H123" i="1"/>
  <c r="G123" i="1"/>
  <c r="F123" i="1"/>
  <c r="E123" i="1"/>
  <c r="AF114" i="1"/>
  <c r="AE114" i="1"/>
  <c r="AD114" i="1"/>
  <c r="AC114" i="1"/>
  <c r="AB114" i="1"/>
  <c r="AA114" i="1"/>
  <c r="Z114" i="1"/>
  <c r="Y114" i="1"/>
  <c r="X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I114" i="1"/>
  <c r="H114" i="1"/>
  <c r="G114" i="1"/>
  <c r="F114" i="1"/>
  <c r="E114" i="1"/>
  <c r="AZ90" i="1"/>
  <c r="AZ89" i="1"/>
  <c r="I90" i="1"/>
  <c r="H90" i="1"/>
  <c r="G90" i="1"/>
  <c r="F90" i="1"/>
  <c r="E90" i="1"/>
  <c r="I89" i="1"/>
  <c r="H89" i="1"/>
  <c r="G89" i="1"/>
  <c r="F89" i="1"/>
  <c r="E89" i="1"/>
  <c r="AK80" i="1"/>
  <c r="I80" i="1"/>
  <c r="H80" i="1"/>
  <c r="G80" i="1"/>
  <c r="F80" i="1"/>
  <c r="E80" i="1"/>
  <c r="AK67" i="1"/>
  <c r="I67" i="1"/>
  <c r="H67" i="1"/>
  <c r="G67" i="1"/>
  <c r="F67" i="1"/>
  <c r="E67" i="1"/>
  <c r="AK66" i="1"/>
  <c r="I66" i="1"/>
  <c r="H66" i="1"/>
  <c r="G66" i="1"/>
  <c r="F66" i="1"/>
  <c r="E66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L31" i="1"/>
  <c r="AK31" i="1"/>
  <c r="I31" i="1"/>
  <c r="H31" i="1"/>
  <c r="G31" i="1"/>
  <c r="F31" i="1"/>
  <c r="E31" i="1"/>
  <c r="AL30" i="1"/>
  <c r="I30" i="1"/>
  <c r="H30" i="1"/>
  <c r="G30" i="1"/>
  <c r="F30" i="1"/>
  <c r="E30" i="1"/>
  <c r="AZ19" i="1"/>
  <c r="AZ17" i="1"/>
  <c r="AL19" i="1"/>
  <c r="AK19" i="1"/>
  <c r="L19" i="1"/>
  <c r="K19" i="1"/>
  <c r="I19" i="1"/>
  <c r="H19" i="1"/>
  <c r="G19" i="1"/>
  <c r="F19" i="1"/>
  <c r="E19" i="1"/>
  <c r="AL17" i="1"/>
  <c r="AK17" i="1"/>
  <c r="L17" i="1"/>
  <c r="K17" i="1"/>
  <c r="I17" i="1"/>
  <c r="H17" i="1"/>
  <c r="G17" i="1"/>
  <c r="F17" i="1"/>
  <c r="E17" i="1"/>
  <c r="AZ11" i="1"/>
  <c r="AZ10" i="1"/>
  <c r="AZ9" i="1"/>
  <c r="AZ8" i="1"/>
  <c r="AZ7" i="1"/>
  <c r="AZ6" i="1"/>
  <c r="AL9" i="1"/>
  <c r="AK9" i="1"/>
  <c r="L9" i="1"/>
  <c r="K9" i="1"/>
  <c r="I9" i="1"/>
  <c r="H9" i="1"/>
  <c r="G9" i="1"/>
  <c r="F9" i="1"/>
  <c r="E9" i="1"/>
  <c r="AL8" i="1"/>
  <c r="AK8" i="1"/>
  <c r="L8" i="1"/>
  <c r="K8" i="1"/>
  <c r="I8" i="1"/>
  <c r="H8" i="1"/>
  <c r="G8" i="1"/>
  <c r="F8" i="1"/>
  <c r="E8" i="1"/>
  <c r="E176" i="1"/>
  <c r="AZ143" i="1"/>
  <c r="AL143" i="1"/>
  <c r="AK143" i="1"/>
  <c r="I143" i="1"/>
  <c r="H143" i="1"/>
  <c r="G143" i="1"/>
  <c r="F143" i="1"/>
  <c r="E143" i="1"/>
  <c r="I133" i="1"/>
  <c r="H133" i="1"/>
  <c r="G133" i="1"/>
  <c r="F133" i="1"/>
  <c r="E133" i="1"/>
  <c r="I128" i="1"/>
  <c r="H128" i="1"/>
  <c r="G128" i="1"/>
  <c r="F128" i="1"/>
  <c r="E128" i="1"/>
  <c r="I125" i="1"/>
  <c r="H125" i="1"/>
  <c r="G125" i="1"/>
  <c r="F125" i="1"/>
  <c r="E125" i="1"/>
  <c r="AZ116" i="1"/>
  <c r="AL116" i="1"/>
  <c r="P10" i="4" s="1"/>
  <c r="AK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I116" i="1"/>
  <c r="H116" i="1"/>
  <c r="G116" i="1"/>
  <c r="F116" i="1"/>
  <c r="E116" i="1"/>
  <c r="AZ93" i="1"/>
  <c r="AZ92" i="1"/>
  <c r="I93" i="1"/>
  <c r="H93" i="1"/>
  <c r="G93" i="1"/>
  <c r="F93" i="1"/>
  <c r="E93" i="1"/>
  <c r="I92" i="1"/>
  <c r="H92" i="1"/>
  <c r="G92" i="1"/>
  <c r="F92" i="1"/>
  <c r="E92" i="1"/>
  <c r="AZ27" i="1"/>
  <c r="AZ26" i="1"/>
  <c r="AL27" i="1"/>
  <c r="I27" i="1"/>
  <c r="H27" i="1"/>
  <c r="G27" i="1"/>
  <c r="F27" i="1"/>
  <c r="E27" i="1"/>
  <c r="AL26" i="1"/>
  <c r="I26" i="1"/>
  <c r="H26" i="1"/>
  <c r="G26" i="1"/>
  <c r="F26" i="1"/>
  <c r="E26" i="1"/>
  <c r="AL7" i="1"/>
  <c r="AK7" i="1"/>
  <c r="L7" i="1"/>
  <c r="K7" i="1"/>
  <c r="I7" i="1"/>
  <c r="H7" i="1"/>
  <c r="G7" i="1"/>
  <c r="F7" i="1"/>
  <c r="E7" i="1"/>
  <c r="AL6" i="1"/>
  <c r="AK6" i="1"/>
  <c r="L6" i="1"/>
  <c r="K6" i="1"/>
  <c r="I6" i="1"/>
  <c r="H6" i="1"/>
  <c r="G6" i="1"/>
  <c r="F6" i="1"/>
  <c r="E6" i="1"/>
  <c r="AK112" i="1"/>
  <c r="AG112" i="1"/>
  <c r="AF112" i="1"/>
  <c r="AE112" i="1"/>
  <c r="AD112" i="1"/>
  <c r="AC112" i="1"/>
  <c r="AB112" i="1"/>
  <c r="AA112" i="1"/>
  <c r="Z112" i="1"/>
  <c r="Y112" i="1"/>
  <c r="X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I112" i="1"/>
  <c r="H112" i="1"/>
  <c r="G112" i="1"/>
  <c r="F112" i="1"/>
  <c r="E112" i="1"/>
  <c r="AL11" i="1"/>
  <c r="AK11" i="1"/>
  <c r="L11" i="1"/>
  <c r="K11" i="1"/>
  <c r="I11" i="1"/>
  <c r="H11" i="1"/>
  <c r="G11" i="1"/>
  <c r="F11" i="1"/>
  <c r="E11" i="1"/>
  <c r="AL10" i="1"/>
  <c r="AK10" i="1"/>
  <c r="L10" i="1"/>
  <c r="K10" i="1"/>
  <c r="I10" i="1"/>
  <c r="H10" i="1"/>
  <c r="G10" i="1"/>
  <c r="F10" i="1"/>
  <c r="E10" i="1"/>
  <c r="AZ102" i="1"/>
  <c r="AZ101" i="1"/>
  <c r="I102" i="1"/>
  <c r="H102" i="1"/>
  <c r="G102" i="1"/>
  <c r="F102" i="1"/>
  <c r="E102" i="1"/>
  <c r="I101" i="1"/>
  <c r="H101" i="1"/>
  <c r="G101" i="1"/>
  <c r="F101" i="1"/>
  <c r="E101" i="1"/>
  <c r="AZ145" i="1"/>
  <c r="AL145" i="1"/>
  <c r="AK145" i="1"/>
  <c r="I145" i="1"/>
  <c r="H145" i="1"/>
  <c r="G145" i="1"/>
  <c r="F145" i="1"/>
  <c r="E145" i="1"/>
  <c r="I135" i="1"/>
  <c r="H135" i="1"/>
  <c r="G135" i="1"/>
  <c r="F135" i="1"/>
  <c r="E135" i="1"/>
  <c r="I130" i="1"/>
  <c r="H130" i="1"/>
  <c r="G130" i="1"/>
  <c r="F130" i="1"/>
  <c r="E130" i="1"/>
  <c r="AZ99" i="1"/>
  <c r="AZ98" i="1"/>
  <c r="I99" i="1"/>
  <c r="H99" i="1"/>
  <c r="G99" i="1"/>
  <c r="F99" i="1"/>
  <c r="E99" i="1"/>
  <c r="I98" i="1"/>
  <c r="H98" i="1"/>
  <c r="G98" i="1"/>
  <c r="F98" i="1"/>
  <c r="E98" i="1"/>
  <c r="AK71" i="1"/>
  <c r="I71" i="1"/>
  <c r="H71" i="1"/>
  <c r="G71" i="1"/>
  <c r="F71" i="1"/>
  <c r="E71" i="1"/>
  <c r="AK70" i="1"/>
  <c r="I70" i="1"/>
  <c r="H70" i="1"/>
  <c r="G70" i="1"/>
  <c r="F70" i="1"/>
  <c r="E70" i="1"/>
  <c r="AL160" i="1"/>
  <c r="AK160" i="1"/>
  <c r="I160" i="1"/>
  <c r="H160" i="1"/>
  <c r="G160" i="1"/>
  <c r="F160" i="1"/>
  <c r="E160" i="1"/>
  <c r="AK69" i="1"/>
  <c r="I69" i="1"/>
  <c r="H69" i="1"/>
  <c r="G69" i="1"/>
  <c r="F69" i="1"/>
  <c r="E69" i="1"/>
  <c r="AK68" i="1"/>
  <c r="I68" i="1"/>
  <c r="H68" i="1"/>
  <c r="G68" i="1"/>
  <c r="F68" i="1"/>
  <c r="E68" i="1"/>
  <c r="I81" i="1"/>
  <c r="I82" i="1"/>
  <c r="H81" i="1"/>
  <c r="H82" i="1"/>
  <c r="G81" i="1"/>
  <c r="G82" i="1"/>
  <c r="F81" i="1"/>
  <c r="F82" i="1"/>
  <c r="E81" i="1"/>
  <c r="E82" i="1"/>
  <c r="I134" i="1"/>
  <c r="H134" i="1"/>
  <c r="G134" i="1"/>
  <c r="F134" i="1"/>
  <c r="E134" i="1"/>
  <c r="I129" i="1"/>
  <c r="H129" i="1"/>
  <c r="G129" i="1"/>
  <c r="F129" i="1"/>
  <c r="E129" i="1"/>
  <c r="AZ96" i="1"/>
  <c r="AZ95" i="1"/>
  <c r="I96" i="1"/>
  <c r="H96" i="1"/>
  <c r="G96" i="1"/>
  <c r="F96" i="1"/>
  <c r="E96" i="1"/>
  <c r="I95" i="1"/>
  <c r="H95" i="1"/>
  <c r="G95" i="1"/>
  <c r="F95" i="1"/>
  <c r="E95" i="1"/>
  <c r="AK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I110" i="1"/>
  <c r="H110" i="1"/>
  <c r="G110" i="1"/>
  <c r="F110" i="1"/>
  <c r="E110" i="1"/>
  <c r="AZ149" i="1"/>
  <c r="AL149" i="1"/>
  <c r="AK149" i="1"/>
  <c r="I149" i="1"/>
  <c r="H149" i="1"/>
  <c r="G149" i="1"/>
  <c r="F149" i="1"/>
  <c r="E149" i="1"/>
  <c r="AZ29" i="1"/>
  <c r="AZ28" i="1"/>
  <c r="AL29" i="1"/>
  <c r="AK29" i="1"/>
  <c r="I29" i="1"/>
  <c r="H29" i="1"/>
  <c r="G29" i="1"/>
  <c r="F29" i="1"/>
  <c r="E29" i="1"/>
  <c r="AL28" i="1"/>
  <c r="AK28" i="1"/>
  <c r="I28" i="1"/>
  <c r="H28" i="1"/>
  <c r="G28" i="1"/>
  <c r="F28" i="1"/>
  <c r="E28" i="1"/>
  <c r="AZ150" i="1"/>
  <c r="AL150" i="1"/>
  <c r="AK150" i="1"/>
  <c r="I150" i="1"/>
  <c r="H150" i="1"/>
  <c r="G150" i="1"/>
  <c r="F150" i="1"/>
  <c r="E150" i="1"/>
  <c r="AZ152" i="1"/>
  <c r="AL152" i="1"/>
  <c r="AK152" i="1"/>
  <c r="I152" i="1"/>
  <c r="H152" i="1"/>
  <c r="G152" i="1"/>
  <c r="F152" i="1"/>
  <c r="E152" i="1"/>
  <c r="AL37" i="1"/>
  <c r="AK37" i="1"/>
  <c r="I37" i="1"/>
  <c r="H37" i="1"/>
  <c r="G37" i="1"/>
  <c r="F37" i="1"/>
  <c r="E37" i="1"/>
  <c r="AL36" i="1"/>
  <c r="AK36" i="1"/>
  <c r="I36" i="1"/>
  <c r="H36" i="1"/>
  <c r="G36" i="1"/>
  <c r="F36" i="1"/>
  <c r="E36" i="1"/>
  <c r="AZ144" i="1"/>
  <c r="AL144" i="1"/>
  <c r="AK144" i="1"/>
  <c r="I144" i="1"/>
  <c r="H144" i="1"/>
  <c r="G144" i="1"/>
  <c r="F144" i="1"/>
  <c r="E144" i="1"/>
  <c r="AL161" i="1"/>
  <c r="AK161" i="1"/>
  <c r="I161" i="1"/>
  <c r="H161" i="1"/>
  <c r="G161" i="1"/>
  <c r="F161" i="1"/>
  <c r="E161" i="1"/>
  <c r="AL162" i="1"/>
  <c r="AK162" i="1"/>
  <c r="I162" i="1"/>
  <c r="H162" i="1"/>
  <c r="G162" i="1"/>
  <c r="F162" i="1"/>
  <c r="E162" i="1"/>
  <c r="AL158" i="1"/>
  <c r="AK158" i="1"/>
  <c r="I158" i="1"/>
  <c r="H158" i="1"/>
  <c r="G158" i="1"/>
  <c r="F158" i="1"/>
  <c r="E158" i="1"/>
  <c r="AL163" i="1"/>
  <c r="AK163" i="1"/>
  <c r="I163" i="1"/>
  <c r="H163" i="1"/>
  <c r="G163" i="1"/>
  <c r="F163" i="1"/>
  <c r="E163" i="1"/>
  <c r="AL168" i="1"/>
  <c r="AK168" i="1"/>
  <c r="AL33" i="1"/>
  <c r="AK33" i="1"/>
  <c r="I33" i="1"/>
  <c r="H33" i="1"/>
  <c r="G33" i="1"/>
  <c r="F33" i="1"/>
  <c r="E33" i="1"/>
  <c r="AL32" i="1"/>
  <c r="AK32" i="1"/>
  <c r="I32" i="1"/>
  <c r="H32" i="1"/>
  <c r="G32" i="1"/>
  <c r="F32" i="1"/>
  <c r="E32" i="1"/>
  <c r="AL39" i="1"/>
  <c r="AK39" i="1"/>
  <c r="I39" i="1"/>
  <c r="H39" i="1"/>
  <c r="G39" i="1"/>
  <c r="F39" i="1"/>
  <c r="E39" i="1"/>
  <c r="AL38" i="1"/>
  <c r="AK38" i="1"/>
  <c r="I38" i="1"/>
  <c r="H38" i="1"/>
  <c r="G38" i="1"/>
  <c r="F38" i="1"/>
  <c r="E38" i="1"/>
  <c r="AZ153" i="1"/>
  <c r="AL153" i="1"/>
  <c r="AK153" i="1"/>
  <c r="I153" i="1"/>
  <c r="H153" i="1"/>
  <c r="G153" i="1"/>
  <c r="F153" i="1"/>
  <c r="E153" i="1"/>
  <c r="AL165" i="1"/>
  <c r="AK165" i="1"/>
  <c r="I165" i="1"/>
  <c r="H165" i="1"/>
  <c r="G165" i="1"/>
  <c r="F165" i="1"/>
  <c r="E165" i="1"/>
  <c r="AZ157" i="1"/>
  <c r="AL157" i="1"/>
  <c r="AK157" i="1"/>
  <c r="I157" i="1"/>
  <c r="H157" i="1"/>
  <c r="G157" i="1"/>
  <c r="F157" i="1"/>
  <c r="E157" i="1"/>
  <c r="AZ155" i="1"/>
  <c r="AL155" i="1"/>
  <c r="AK155" i="1"/>
  <c r="I155" i="1"/>
  <c r="H155" i="1"/>
  <c r="G155" i="1"/>
  <c r="F155" i="1"/>
  <c r="E155" i="1"/>
  <c r="AZ148" i="1"/>
  <c r="AL148" i="1"/>
  <c r="AK148" i="1"/>
  <c r="I148" i="1"/>
  <c r="H148" i="1"/>
  <c r="G148" i="1"/>
  <c r="F148" i="1"/>
  <c r="E148" i="1"/>
  <c r="AL169" i="1"/>
  <c r="AK169" i="1"/>
  <c r="I169" i="1"/>
  <c r="H169" i="1"/>
  <c r="G169" i="1"/>
  <c r="F169" i="1"/>
  <c r="E169" i="1"/>
  <c r="AZ156" i="1"/>
  <c r="AL156" i="1"/>
  <c r="AK156" i="1"/>
  <c r="I156" i="1"/>
  <c r="H156" i="1"/>
  <c r="G156" i="1"/>
  <c r="F156" i="1"/>
  <c r="E156" i="1"/>
  <c r="AL167" i="1"/>
  <c r="AK167" i="1"/>
  <c r="AL166" i="1"/>
  <c r="AK166" i="1"/>
  <c r="AS889" i="2"/>
  <c r="AL889" i="2"/>
  <c r="AT889" i="2"/>
  <c r="AT894" i="2"/>
  <c r="AS894" i="2"/>
  <c r="AT893" i="2"/>
  <c r="AS893" i="2"/>
  <c r="AS892" i="2"/>
  <c r="AT892" i="2"/>
  <c r="D25" i="5"/>
  <c r="F25" i="5"/>
  <c r="F8" i="5"/>
  <c r="E25" i="5"/>
  <c r="G25" i="5"/>
  <c r="D28" i="5"/>
  <c r="F42" i="5"/>
  <c r="G42" i="5"/>
  <c r="M42" i="5"/>
  <c r="J45" i="5"/>
  <c r="J46" i="5"/>
  <c r="AS890" i="2"/>
  <c r="AT890" i="2"/>
  <c r="AK88" i="1"/>
  <c r="AK122" i="1"/>
  <c r="AM5" i="1"/>
  <c r="AL65" i="1"/>
  <c r="AK20" i="1"/>
  <c r="AL122" i="1"/>
  <c r="AL79" i="1"/>
  <c r="AL20" i="1"/>
  <c r="AK75" i="1"/>
  <c r="AM122" i="1"/>
  <c r="AM88" i="1"/>
  <c r="AM79" i="1"/>
  <c r="AL88" i="1"/>
  <c r="AN5" i="1"/>
  <c r="AM65" i="1"/>
  <c r="AK141" i="1"/>
  <c r="AL141" i="1"/>
  <c r="AM25" i="1"/>
  <c r="AK79" i="1"/>
  <c r="AM109" i="1"/>
  <c r="F141" i="1"/>
  <c r="E141" i="1"/>
  <c r="G141" i="1"/>
  <c r="L88" i="1"/>
  <c r="L79" i="1"/>
  <c r="L25" i="1"/>
  <c r="L65" i="1"/>
  <c r="L122" i="1"/>
  <c r="M5" i="1"/>
  <c r="K65" i="1"/>
  <c r="K88" i="1"/>
  <c r="K79" i="1"/>
  <c r="K25" i="1"/>
  <c r="K122" i="1"/>
  <c r="F53" i="3"/>
  <c r="I7" i="3"/>
  <c r="H7" i="3"/>
  <c r="G7" i="3"/>
  <c r="F7" i="3"/>
  <c r="I12" i="3"/>
  <c r="H12" i="3"/>
  <c r="G12" i="3"/>
  <c r="F12" i="3"/>
  <c r="AI681" i="2"/>
  <c r="AJ681" i="2"/>
  <c r="AS876" i="2"/>
  <c r="AL876" i="2"/>
  <c r="AT876" i="2"/>
  <c r="AS877" i="2"/>
  <c r="AL877" i="2"/>
  <c r="AT877" i="2"/>
  <c r="AS878" i="2"/>
  <c r="AL878" i="2"/>
  <c r="AT878" i="2"/>
  <c r="AS884" i="2"/>
  <c r="AL884" i="2"/>
  <c r="AT884" i="2"/>
  <c r="AL883" i="2"/>
  <c r="AT883" i="2"/>
  <c r="AI883" i="2"/>
  <c r="AJ883" i="2"/>
  <c r="AL882" i="2"/>
  <c r="AT882" i="2"/>
  <c r="AI882" i="2"/>
  <c r="AJ882" i="2"/>
  <c r="AL881" i="2"/>
  <c r="AT881" i="2"/>
  <c r="AI881" i="2"/>
  <c r="AJ881" i="2"/>
  <c r="AL880" i="2"/>
  <c r="AT880" i="2"/>
  <c r="AI880" i="2"/>
  <c r="AJ880" i="2"/>
  <c r="AL879" i="2"/>
  <c r="AT879" i="2"/>
  <c r="AI879" i="2"/>
  <c r="AJ879" i="2"/>
  <c r="AS875" i="2"/>
  <c r="AL875" i="2"/>
  <c r="AT875" i="2"/>
  <c r="AS873" i="2"/>
  <c r="AL873" i="2"/>
  <c r="AT873" i="2"/>
  <c r="AS874" i="2"/>
  <c r="AL874" i="2"/>
  <c r="AT874" i="2"/>
  <c r="AI112" i="1"/>
  <c r="J132" i="1"/>
  <c r="J124" i="1"/>
  <c r="I53" i="3"/>
  <c r="H53" i="3"/>
  <c r="G53" i="3"/>
  <c r="N41" i="5"/>
  <c r="M41" i="5"/>
  <c r="N40" i="5"/>
  <c r="M40" i="5"/>
  <c r="N42" i="5"/>
  <c r="N39" i="5"/>
  <c r="M39" i="5"/>
  <c r="N20" i="5"/>
  <c r="M20" i="5"/>
  <c r="N19" i="5"/>
  <c r="M19" i="5"/>
  <c r="L27" i="5"/>
  <c r="F27" i="5"/>
  <c r="E27" i="5"/>
  <c r="G27" i="5"/>
  <c r="E21" i="5"/>
  <c r="G21" i="5"/>
  <c r="G18" i="5"/>
  <c r="F26" i="5"/>
  <c r="C28" i="5"/>
  <c r="F28" i="5"/>
  <c r="E26" i="5"/>
  <c r="L21" i="5"/>
  <c r="N18" i="5"/>
  <c r="M18" i="5"/>
  <c r="L26" i="5"/>
  <c r="N13" i="5"/>
  <c r="M13" i="5"/>
  <c r="N8" i="5"/>
  <c r="M8" i="5"/>
  <c r="L25" i="5"/>
  <c r="K28" i="5"/>
  <c r="AS868" i="2"/>
  <c r="AL868" i="2"/>
  <c r="AT868" i="2"/>
  <c r="AL814" i="2"/>
  <c r="AT814" i="2"/>
  <c r="AS814" i="2"/>
  <c r="AL869" i="2"/>
  <c r="AT869" i="2"/>
  <c r="AS869" i="2"/>
  <c r="AS870" i="2"/>
  <c r="AL870" i="2"/>
  <c r="AT870" i="2"/>
  <c r="AS865" i="2"/>
  <c r="AL865" i="2"/>
  <c r="AT865" i="2"/>
  <c r="AS867" i="2"/>
  <c r="AL867" i="2"/>
  <c r="AT867" i="2"/>
  <c r="AS866" i="2"/>
  <c r="AL866" i="2"/>
  <c r="AT866" i="2"/>
  <c r="AS805" i="2"/>
  <c r="AL805" i="2"/>
  <c r="AT805" i="2"/>
  <c r="AS859" i="2"/>
  <c r="AL859" i="2"/>
  <c r="AT859" i="2"/>
  <c r="E105" i="1"/>
  <c r="E106" i="1"/>
  <c r="F105" i="1"/>
  <c r="F106" i="1"/>
  <c r="G105" i="1"/>
  <c r="G106" i="1"/>
  <c r="H105" i="1"/>
  <c r="H106" i="1"/>
  <c r="I105" i="1"/>
  <c r="I106" i="1"/>
  <c r="AI114" i="1"/>
  <c r="AH114" i="1"/>
  <c r="AH112" i="1"/>
  <c r="AG114" i="1"/>
  <c r="AM172" i="1"/>
  <c r="L172" i="1"/>
  <c r="K172" i="1"/>
  <c r="I172" i="1"/>
  <c r="H172" i="1"/>
  <c r="G172" i="1"/>
  <c r="F172" i="1"/>
  <c r="E172" i="1"/>
  <c r="AM44" i="1"/>
  <c r="L44" i="1"/>
  <c r="K44" i="1"/>
  <c r="I44" i="1"/>
  <c r="H44" i="1"/>
  <c r="G44" i="1"/>
  <c r="F44" i="1"/>
  <c r="E44" i="1"/>
  <c r="AN16" i="1"/>
  <c r="AM16" i="1"/>
  <c r="M16" i="1"/>
  <c r="L16" i="1"/>
  <c r="K16" i="1"/>
  <c r="I16" i="1"/>
  <c r="H16" i="1"/>
  <c r="G16" i="1"/>
  <c r="F16" i="1"/>
  <c r="E16" i="1"/>
  <c r="AN18" i="1"/>
  <c r="AM18" i="1"/>
  <c r="M18" i="1"/>
  <c r="L18" i="1"/>
  <c r="K18" i="1"/>
  <c r="I18" i="1"/>
  <c r="H18" i="1"/>
  <c r="G18" i="1"/>
  <c r="F18" i="1"/>
  <c r="E18" i="1"/>
  <c r="AK73" i="1"/>
  <c r="AK74" i="1"/>
  <c r="AL13" i="1"/>
  <c r="AL43" i="1"/>
  <c r="AK13" i="1"/>
  <c r="AK151" i="1"/>
  <c r="AL12" i="1"/>
  <c r="AK72" i="1"/>
  <c r="AL42" i="1"/>
  <c r="AL146" i="1"/>
  <c r="AN88" i="1"/>
  <c r="AN122" i="1"/>
  <c r="AN65" i="1"/>
  <c r="AN25" i="1"/>
  <c r="AN14" i="1"/>
  <c r="AO5" i="1"/>
  <c r="AN79" i="1"/>
  <c r="AM141" i="1"/>
  <c r="AL164" i="1"/>
  <c r="AL142" i="1"/>
  <c r="AM14" i="1"/>
  <c r="AK159" i="1"/>
  <c r="AN109" i="1"/>
  <c r="AK164" i="1"/>
  <c r="AL151" i="1"/>
  <c r="AK146" i="1"/>
  <c r="AK12" i="1"/>
  <c r="AL159" i="1"/>
  <c r="AK142" i="1"/>
  <c r="I100" i="1"/>
  <c r="AZ94" i="1"/>
  <c r="J131" i="1"/>
  <c r="F83" i="1"/>
  <c r="G83" i="1"/>
  <c r="AZ100" i="1"/>
  <c r="F94" i="1"/>
  <c r="H83" i="1"/>
  <c r="I83" i="1"/>
  <c r="AF118" i="1"/>
  <c r="AF115" i="1"/>
  <c r="F97" i="1"/>
  <c r="H97" i="1"/>
  <c r="G103" i="1"/>
  <c r="F103" i="1"/>
  <c r="AZ159" i="1"/>
  <c r="J154" i="1"/>
  <c r="F74" i="1"/>
  <c r="I94" i="1"/>
  <c r="J126" i="1"/>
  <c r="J127" i="1"/>
  <c r="AZ164" i="1"/>
  <c r="J41" i="1"/>
  <c r="I74" i="1"/>
  <c r="H94" i="1"/>
  <c r="AZ97" i="1"/>
  <c r="G74" i="1"/>
  <c r="F100" i="1"/>
  <c r="I103" i="1"/>
  <c r="AZ12" i="1"/>
  <c r="J30" i="1"/>
  <c r="H74" i="1"/>
  <c r="G100" i="1"/>
  <c r="H100" i="1"/>
  <c r="J128" i="1"/>
  <c r="J8" i="1"/>
  <c r="J9" i="1"/>
  <c r="G97" i="1"/>
  <c r="J31" i="1"/>
  <c r="J158" i="1"/>
  <c r="J130" i="1"/>
  <c r="J135" i="1"/>
  <c r="J145" i="1"/>
  <c r="J96" i="1"/>
  <c r="J129" i="1"/>
  <c r="J134" i="1"/>
  <c r="J71" i="1"/>
  <c r="D31" i="4"/>
  <c r="J17" i="1"/>
  <c r="J33" i="1"/>
  <c r="J125" i="1"/>
  <c r="J133" i="1"/>
  <c r="J162" i="1"/>
  <c r="H103" i="1"/>
  <c r="J10" i="1"/>
  <c r="W114" i="1"/>
  <c r="J123" i="1"/>
  <c r="J11" i="1"/>
  <c r="J149" i="1"/>
  <c r="J102" i="1"/>
  <c r="J148" i="1"/>
  <c r="J157" i="1"/>
  <c r="J38" i="1"/>
  <c r="J99" i="1"/>
  <c r="E151" i="1"/>
  <c r="J169" i="1"/>
  <c r="J153" i="1"/>
  <c r="J39" i="1"/>
  <c r="J144" i="1"/>
  <c r="J36" i="1"/>
  <c r="J37" i="1"/>
  <c r="J152" i="1"/>
  <c r="J150" i="1"/>
  <c r="AJ110" i="1"/>
  <c r="I97" i="1"/>
  <c r="J69" i="1"/>
  <c r="D29" i="4"/>
  <c r="AZ103" i="1"/>
  <c r="J161" i="1"/>
  <c r="J155" i="1"/>
  <c r="J32" i="1"/>
  <c r="J156" i="1"/>
  <c r="J163" i="1"/>
  <c r="K141" i="1"/>
  <c r="N5" i="1"/>
  <c r="M65" i="1"/>
  <c r="M25" i="1"/>
  <c r="M122" i="1"/>
  <c r="M79" i="1"/>
  <c r="M88" i="1"/>
  <c r="L141" i="1"/>
  <c r="M14" i="1"/>
  <c r="L14" i="1"/>
  <c r="I14" i="1"/>
  <c r="H14" i="1"/>
  <c r="G14" i="1"/>
  <c r="F14" i="1"/>
  <c r="J34" i="1"/>
  <c r="J35" i="1"/>
  <c r="J40" i="1"/>
  <c r="E164" i="1"/>
  <c r="J165" i="1"/>
  <c r="F164" i="1"/>
  <c r="G164" i="1"/>
  <c r="H164" i="1"/>
  <c r="I164" i="1"/>
  <c r="F151" i="1"/>
  <c r="G151" i="1"/>
  <c r="H151" i="1"/>
  <c r="I151" i="1"/>
  <c r="AZ151" i="1"/>
  <c r="E12" i="3"/>
  <c r="J28" i="1"/>
  <c r="E7" i="3"/>
  <c r="J29" i="1"/>
  <c r="J110" i="1"/>
  <c r="W110" i="1"/>
  <c r="E97" i="1"/>
  <c r="J95" i="1"/>
  <c r="J81" i="1"/>
  <c r="J68" i="1"/>
  <c r="E74" i="1"/>
  <c r="E159" i="1"/>
  <c r="J160" i="1"/>
  <c r="F159" i="1"/>
  <c r="G159" i="1"/>
  <c r="H159" i="1"/>
  <c r="I159" i="1"/>
  <c r="J70" i="1"/>
  <c r="E75" i="1"/>
  <c r="E34" i="3"/>
  <c r="F75" i="1"/>
  <c r="F34" i="3"/>
  <c r="G75" i="1"/>
  <c r="G34" i="3"/>
  <c r="H75" i="1"/>
  <c r="H34" i="3"/>
  <c r="I75" i="1"/>
  <c r="I34" i="3"/>
  <c r="E100" i="1"/>
  <c r="J98" i="1"/>
  <c r="E103" i="1"/>
  <c r="J101" i="1"/>
  <c r="J112" i="1"/>
  <c r="W112" i="1"/>
  <c r="E12" i="1"/>
  <c r="J6" i="1"/>
  <c r="F12" i="1"/>
  <c r="G12" i="1"/>
  <c r="H12" i="1"/>
  <c r="I12" i="1"/>
  <c r="K12" i="1"/>
  <c r="L12" i="1"/>
  <c r="E13" i="1"/>
  <c r="J7" i="1"/>
  <c r="F13" i="1"/>
  <c r="G13" i="1"/>
  <c r="H13" i="1"/>
  <c r="I13" i="1"/>
  <c r="K13" i="1"/>
  <c r="L13" i="1"/>
  <c r="E11" i="3"/>
  <c r="E42" i="1"/>
  <c r="J26" i="1"/>
  <c r="F42" i="1"/>
  <c r="F11" i="3"/>
  <c r="G11" i="3"/>
  <c r="G42" i="1"/>
  <c r="H11" i="3"/>
  <c r="H42" i="1"/>
  <c r="I11" i="3"/>
  <c r="I42" i="1"/>
  <c r="E6" i="3"/>
  <c r="E43" i="1"/>
  <c r="J27" i="1"/>
  <c r="F6" i="3"/>
  <c r="F43" i="1"/>
  <c r="G6" i="3"/>
  <c r="G43" i="1"/>
  <c r="H6" i="3"/>
  <c r="H43" i="1"/>
  <c r="I43" i="1"/>
  <c r="I6" i="3"/>
  <c r="AZ42" i="1"/>
  <c r="AZ43" i="1"/>
  <c r="E94" i="1"/>
  <c r="J92" i="1"/>
  <c r="G94" i="1"/>
  <c r="E54" i="3"/>
  <c r="J93" i="1"/>
  <c r="F54" i="3"/>
  <c r="G54" i="3"/>
  <c r="H54" i="3"/>
  <c r="I54" i="3"/>
  <c r="E118" i="1"/>
  <c r="E115" i="1"/>
  <c r="J116" i="1"/>
  <c r="F118" i="1"/>
  <c r="F115" i="1"/>
  <c r="G118" i="1"/>
  <c r="H118" i="1"/>
  <c r="H117" i="1"/>
  <c r="I118" i="1"/>
  <c r="I115" i="1"/>
  <c r="K118" i="1"/>
  <c r="W116" i="1"/>
  <c r="L118" i="1"/>
  <c r="L115" i="1"/>
  <c r="M118" i="1"/>
  <c r="M115" i="1"/>
  <c r="N118" i="1"/>
  <c r="N115" i="1"/>
  <c r="O118" i="1"/>
  <c r="O115" i="1"/>
  <c r="P118" i="1"/>
  <c r="P115" i="1"/>
  <c r="Q118" i="1"/>
  <c r="Q115" i="1"/>
  <c r="R118" i="1"/>
  <c r="R115" i="1"/>
  <c r="S118" i="1"/>
  <c r="S115" i="1"/>
  <c r="T118" i="1"/>
  <c r="T115" i="1"/>
  <c r="U118" i="1"/>
  <c r="U115" i="1"/>
  <c r="V118" i="1"/>
  <c r="V115" i="1"/>
  <c r="X118" i="1"/>
  <c r="X115" i="1"/>
  <c r="AJ116" i="1"/>
  <c r="Y118" i="1"/>
  <c r="Y115" i="1"/>
  <c r="Z118" i="1"/>
  <c r="AA118" i="1"/>
  <c r="AB118" i="1"/>
  <c r="AB117" i="1"/>
  <c r="AC118" i="1"/>
  <c r="AC115" i="1"/>
  <c r="AD118" i="1"/>
  <c r="AE118" i="1"/>
  <c r="AE117" i="1"/>
  <c r="AI118" i="1"/>
  <c r="AI115" i="1"/>
  <c r="E142" i="1"/>
  <c r="J143" i="1"/>
  <c r="F142" i="1"/>
  <c r="G142" i="1"/>
  <c r="H142" i="1"/>
  <c r="I142" i="1"/>
  <c r="AZ142" i="1"/>
  <c r="E20" i="1"/>
  <c r="J19" i="1"/>
  <c r="F20" i="1"/>
  <c r="G20" i="1"/>
  <c r="H20" i="1"/>
  <c r="I20" i="1"/>
  <c r="K20" i="1"/>
  <c r="L20" i="1"/>
  <c r="E72" i="1"/>
  <c r="J66" i="1"/>
  <c r="F72" i="1"/>
  <c r="G72" i="1"/>
  <c r="H72" i="1"/>
  <c r="I72" i="1"/>
  <c r="E73" i="1"/>
  <c r="J67" i="1"/>
  <c r="F73" i="1"/>
  <c r="G73" i="1"/>
  <c r="H73" i="1"/>
  <c r="I73" i="1"/>
  <c r="E84" i="1"/>
  <c r="J80" i="1"/>
  <c r="F84" i="1"/>
  <c r="G84" i="1"/>
  <c r="H84" i="1"/>
  <c r="I84" i="1"/>
  <c r="E91" i="1"/>
  <c r="E104" i="1"/>
  <c r="J89" i="1"/>
  <c r="F104" i="1"/>
  <c r="F91" i="1"/>
  <c r="G91" i="1"/>
  <c r="G104" i="1"/>
  <c r="H91" i="1"/>
  <c r="H104" i="1"/>
  <c r="I104" i="1"/>
  <c r="I91" i="1"/>
  <c r="E53" i="3"/>
  <c r="J90" i="1"/>
  <c r="AZ91" i="1"/>
  <c r="AZ104" i="1"/>
  <c r="AZ105" i="1"/>
  <c r="J114" i="1"/>
  <c r="E137" i="1"/>
  <c r="J136" i="1"/>
  <c r="J137" i="1"/>
  <c r="F137" i="1"/>
  <c r="G137" i="1"/>
  <c r="H137" i="1"/>
  <c r="I137" i="1"/>
  <c r="AZ137" i="1"/>
  <c r="E146" i="1"/>
  <c r="J147" i="1"/>
  <c r="F146" i="1"/>
  <c r="G146" i="1"/>
  <c r="H146" i="1"/>
  <c r="I146" i="1"/>
  <c r="AZ146" i="1"/>
  <c r="N27" i="5"/>
  <c r="M27" i="5"/>
  <c r="G26" i="5"/>
  <c r="E28" i="5"/>
  <c r="G28" i="5"/>
  <c r="N26" i="5"/>
  <c r="M26" i="5"/>
  <c r="N21" i="5"/>
  <c r="M21" i="5"/>
  <c r="M25" i="5"/>
  <c r="L28" i="5"/>
  <c r="N25" i="5"/>
  <c r="J105" i="1"/>
  <c r="J106" i="1"/>
  <c r="AF111" i="1"/>
  <c r="AO109" i="1"/>
  <c r="AL171" i="1"/>
  <c r="AO122" i="1"/>
  <c r="AO65" i="1"/>
  <c r="AP5" i="1"/>
  <c r="AO79" i="1"/>
  <c r="AO88" i="1"/>
  <c r="AO25" i="1"/>
  <c r="AK171" i="1"/>
  <c r="AN141" i="1"/>
  <c r="AF117" i="1"/>
  <c r="AF113" i="1"/>
  <c r="G45" i="1"/>
  <c r="F45" i="1"/>
  <c r="J103" i="1"/>
  <c r="J97" i="1"/>
  <c r="P117" i="1"/>
  <c r="V117" i="1"/>
  <c r="S117" i="1"/>
  <c r="M117" i="1"/>
  <c r="I45" i="1"/>
  <c r="J159" i="1"/>
  <c r="H45" i="1"/>
  <c r="J100" i="1"/>
  <c r="F15" i="1"/>
  <c r="F22" i="1"/>
  <c r="G15" i="1"/>
  <c r="G22" i="1"/>
  <c r="J43" i="1"/>
  <c r="H15" i="1"/>
  <c r="H22" i="1"/>
  <c r="J146" i="1"/>
  <c r="I15" i="1"/>
  <c r="I22" i="1"/>
  <c r="J142" i="1"/>
  <c r="AB115" i="1"/>
  <c r="AZ106" i="1"/>
  <c r="J104" i="1"/>
  <c r="H115" i="1"/>
  <c r="J151" i="1"/>
  <c r="AE115" i="1"/>
  <c r="N65" i="1"/>
  <c r="N88" i="1"/>
  <c r="N79" i="1"/>
  <c r="O5" i="1"/>
  <c r="N122" i="1"/>
  <c r="N25" i="1"/>
  <c r="J42" i="1"/>
  <c r="M141" i="1"/>
  <c r="J72" i="1"/>
  <c r="D32" i="4"/>
  <c r="D26" i="4"/>
  <c r="J91" i="1"/>
  <c r="J73" i="1"/>
  <c r="D33" i="4"/>
  <c r="D27" i="4"/>
  <c r="J20" i="1"/>
  <c r="AZ171" i="1"/>
  <c r="I171" i="1"/>
  <c r="I173" i="1"/>
  <c r="H171" i="1"/>
  <c r="H173" i="1"/>
  <c r="G171" i="1"/>
  <c r="G173" i="1"/>
  <c r="F171" i="1"/>
  <c r="F173" i="1"/>
  <c r="E171" i="1"/>
  <c r="E173" i="1"/>
  <c r="AI117" i="1"/>
  <c r="AI111" i="1"/>
  <c r="AI113" i="1"/>
  <c r="AE111" i="1"/>
  <c r="AE113" i="1"/>
  <c r="AD113" i="1"/>
  <c r="AD117" i="1"/>
  <c r="AD115" i="1"/>
  <c r="AD111" i="1"/>
  <c r="AC117" i="1"/>
  <c r="AC111" i="1"/>
  <c r="AC113" i="1"/>
  <c r="AB111" i="1"/>
  <c r="AB113" i="1"/>
  <c r="AA117" i="1"/>
  <c r="AA115" i="1"/>
  <c r="AA113" i="1"/>
  <c r="AA111" i="1"/>
  <c r="Z113" i="1"/>
  <c r="Z117" i="1"/>
  <c r="Z111" i="1"/>
  <c r="Z115" i="1"/>
  <c r="Y117" i="1"/>
  <c r="Y111" i="1"/>
  <c r="Y113" i="1"/>
  <c r="X117" i="1"/>
  <c r="X111" i="1"/>
  <c r="X113" i="1"/>
  <c r="V111" i="1"/>
  <c r="V113" i="1"/>
  <c r="U117" i="1"/>
  <c r="U111" i="1"/>
  <c r="U113" i="1"/>
  <c r="T117" i="1"/>
  <c r="T111" i="1"/>
  <c r="T113" i="1"/>
  <c r="S111" i="1"/>
  <c r="S113" i="1"/>
  <c r="R117" i="1"/>
  <c r="R111" i="1"/>
  <c r="R113" i="1"/>
  <c r="Q117" i="1"/>
  <c r="Q111" i="1"/>
  <c r="Q113" i="1"/>
  <c r="P111" i="1"/>
  <c r="P113" i="1"/>
  <c r="O117" i="1"/>
  <c r="O111" i="1"/>
  <c r="O113" i="1"/>
  <c r="N117" i="1"/>
  <c r="N111" i="1"/>
  <c r="N113" i="1"/>
  <c r="M111" i="1"/>
  <c r="M113" i="1"/>
  <c r="L117" i="1"/>
  <c r="L111" i="1"/>
  <c r="L113" i="1"/>
  <c r="W118" i="1"/>
  <c r="W115" i="1"/>
  <c r="F77" i="3"/>
  <c r="K76" i="3"/>
  <c r="K117" i="1"/>
  <c r="K115" i="1"/>
  <c r="K111" i="1"/>
  <c r="K113" i="1"/>
  <c r="I117" i="1"/>
  <c r="I111" i="1"/>
  <c r="I113" i="1"/>
  <c r="H111" i="1"/>
  <c r="H113" i="1"/>
  <c r="G117" i="1"/>
  <c r="G115" i="1"/>
  <c r="G111" i="1"/>
  <c r="G113" i="1"/>
  <c r="F117" i="1"/>
  <c r="F111" i="1"/>
  <c r="F113" i="1"/>
  <c r="J118" i="1"/>
  <c r="J115" i="1"/>
  <c r="E77" i="3"/>
  <c r="K75" i="3"/>
  <c r="E117" i="1"/>
  <c r="E111" i="1"/>
  <c r="E113" i="1"/>
  <c r="J94" i="1"/>
  <c r="J13" i="1"/>
  <c r="J12" i="1"/>
  <c r="D30" i="4"/>
  <c r="J75" i="1"/>
  <c r="D35" i="4"/>
  <c r="D28" i="4"/>
  <c r="J74" i="1"/>
  <c r="D34" i="4"/>
  <c r="J82" i="1"/>
  <c r="J83" i="1"/>
  <c r="E83" i="1"/>
  <c r="J164" i="1"/>
  <c r="M28" i="5"/>
  <c r="N28" i="5"/>
  <c r="AJ112" i="1"/>
  <c r="AH118" i="1"/>
  <c r="AH115" i="1"/>
  <c r="J18" i="1"/>
  <c r="E14" i="1"/>
  <c r="E15" i="1"/>
  <c r="J16" i="1"/>
  <c r="J14" i="1"/>
  <c r="K14" i="1"/>
  <c r="L15" i="1"/>
  <c r="J172" i="1"/>
  <c r="E45" i="1"/>
  <c r="J45" i="1"/>
  <c r="J44" i="1"/>
  <c r="AJ114" i="1"/>
  <c r="AG118" i="1"/>
  <c r="L21" i="1"/>
  <c r="H6" i="6"/>
  <c r="AO141" i="1"/>
  <c r="AP109" i="1"/>
  <c r="AP122" i="1"/>
  <c r="AP79" i="1"/>
  <c r="AQ5" i="1"/>
  <c r="AP88" i="1"/>
  <c r="AP65" i="1"/>
  <c r="AP25" i="1"/>
  <c r="J171" i="1"/>
  <c r="J111" i="1"/>
  <c r="E75" i="3"/>
  <c r="I75" i="3"/>
  <c r="J113" i="1"/>
  <c r="E76" i="3"/>
  <c r="J75" i="3"/>
  <c r="J173" i="1"/>
  <c r="N141" i="1"/>
  <c r="W111" i="1"/>
  <c r="F75" i="3"/>
  <c r="I76" i="3"/>
  <c r="W113" i="1"/>
  <c r="F76" i="3"/>
  <c r="J76" i="3"/>
  <c r="O122" i="1"/>
  <c r="P5" i="1"/>
  <c r="O88" i="1"/>
  <c r="O79" i="1"/>
  <c r="O25" i="1"/>
  <c r="O65" i="1"/>
  <c r="J84" i="1"/>
  <c r="J117" i="1"/>
  <c r="E78" i="3"/>
  <c r="L75" i="3"/>
  <c r="W117" i="1"/>
  <c r="F78" i="3"/>
  <c r="L76" i="3"/>
  <c r="AH117" i="1"/>
  <c r="AH111" i="1"/>
  <c r="AH113" i="1"/>
  <c r="AG113" i="1"/>
  <c r="AG117" i="1"/>
  <c r="AG115" i="1"/>
  <c r="AG111" i="1"/>
  <c r="AJ118" i="1"/>
  <c r="AJ115" i="1"/>
  <c r="L22" i="1"/>
  <c r="K15" i="1"/>
  <c r="J15" i="1"/>
  <c r="E22" i="1"/>
  <c r="K21" i="1"/>
  <c r="H5" i="6"/>
  <c r="AQ122" i="1"/>
  <c r="AQ65" i="1"/>
  <c r="AQ79" i="1"/>
  <c r="AR5" i="1"/>
  <c r="AQ88" i="1"/>
  <c r="AQ25" i="1"/>
  <c r="AQ109" i="1"/>
  <c r="AP141" i="1"/>
  <c r="O141" i="1"/>
  <c r="P25" i="1"/>
  <c r="P65" i="1"/>
  <c r="Q5" i="1"/>
  <c r="P122" i="1"/>
  <c r="P88" i="1"/>
  <c r="P79" i="1"/>
  <c r="J22" i="1"/>
  <c r="J21" i="1"/>
  <c r="K22" i="1"/>
  <c r="G77" i="3"/>
  <c r="K77" i="3"/>
  <c r="AJ113" i="1"/>
  <c r="AJ117" i="1"/>
  <c r="AJ111" i="1"/>
  <c r="AQ141" i="1"/>
  <c r="AR109" i="1"/>
  <c r="AR122" i="1"/>
  <c r="AR65" i="1"/>
  <c r="AR25" i="1"/>
  <c r="AS5" i="1"/>
  <c r="AR88" i="1"/>
  <c r="AR79" i="1"/>
  <c r="P141" i="1"/>
  <c r="Q88" i="1"/>
  <c r="Q79" i="1"/>
  <c r="Q65" i="1"/>
  <c r="R5" i="1"/>
  <c r="Q25" i="1"/>
  <c r="Q122" i="1"/>
  <c r="G75" i="3"/>
  <c r="I77" i="3"/>
  <c r="G78" i="3"/>
  <c r="L77" i="3"/>
  <c r="G76" i="3"/>
  <c r="J77" i="3"/>
  <c r="AS109" i="1"/>
  <c r="AR141" i="1"/>
  <c r="AS122" i="1"/>
  <c r="AS79" i="1"/>
  <c r="AS88" i="1"/>
  <c r="AS65" i="1"/>
  <c r="AS25" i="1"/>
  <c r="AT5" i="1"/>
  <c r="R122" i="1"/>
  <c r="R88" i="1"/>
  <c r="R79" i="1"/>
  <c r="R25" i="1"/>
  <c r="S5" i="1"/>
  <c r="R65" i="1"/>
  <c r="Q141" i="1"/>
  <c r="AS141" i="1"/>
  <c r="AT109" i="1"/>
  <c r="AT122" i="1"/>
  <c r="AT79" i="1"/>
  <c r="AT88" i="1"/>
  <c r="AT65" i="1"/>
  <c r="AT25" i="1"/>
  <c r="AU5" i="1"/>
  <c r="S65" i="1"/>
  <c r="S79" i="1"/>
  <c r="S88" i="1"/>
  <c r="S122" i="1"/>
  <c r="S25" i="1"/>
  <c r="T5" i="1"/>
  <c r="R141" i="1"/>
  <c r="AU109" i="1"/>
  <c r="AT141" i="1"/>
  <c r="AU122" i="1"/>
  <c r="AU88" i="1"/>
  <c r="AU65" i="1"/>
  <c r="AU79" i="1"/>
  <c r="AU25" i="1"/>
  <c r="AV5" i="1"/>
  <c r="T79" i="1"/>
  <c r="T88" i="1"/>
  <c r="U5" i="1"/>
  <c r="T65" i="1"/>
  <c r="T25" i="1"/>
  <c r="T122" i="1"/>
  <c r="S141" i="1"/>
  <c r="AV109" i="1"/>
  <c r="AV122" i="1"/>
  <c r="AV88" i="1"/>
  <c r="AV65" i="1"/>
  <c r="AV79" i="1"/>
  <c r="AV25" i="1"/>
  <c r="AU141" i="1"/>
  <c r="T141" i="1"/>
  <c r="U25" i="1"/>
  <c r="U79" i="1"/>
  <c r="U122" i="1"/>
  <c r="U65" i="1"/>
  <c r="V5" i="1"/>
  <c r="U88" i="1"/>
  <c r="AV141" i="1"/>
  <c r="X5" i="1"/>
  <c r="V79" i="1"/>
  <c r="V88" i="1"/>
  <c r="V122" i="1"/>
  <c r="V25" i="1"/>
  <c r="V65" i="1"/>
  <c r="U141" i="1"/>
  <c r="V141" i="1"/>
  <c r="X25" i="1"/>
  <c r="Y5" i="1"/>
  <c r="X79" i="1"/>
  <c r="X122" i="1"/>
  <c r="X88" i="1"/>
  <c r="X65" i="1"/>
  <c r="X141" i="1"/>
  <c r="Y65" i="1"/>
  <c r="Y25" i="1"/>
  <c r="Y88" i="1"/>
  <c r="Y79" i="1"/>
  <c r="Z5" i="1"/>
  <c r="Y122" i="1"/>
  <c r="Z79" i="1"/>
  <c r="AA5" i="1"/>
  <c r="Z122" i="1"/>
  <c r="Z25" i="1"/>
  <c r="Z65" i="1"/>
  <c r="Z88" i="1"/>
  <c r="Y141" i="1"/>
  <c r="AA88" i="1"/>
  <c r="AA122" i="1"/>
  <c r="AA79" i="1"/>
  <c r="AA65" i="1"/>
  <c r="AB5" i="1"/>
  <c r="AA25" i="1"/>
  <c r="Z141" i="1"/>
  <c r="AB88" i="1"/>
  <c r="AC5" i="1"/>
  <c r="AB79" i="1"/>
  <c r="AB25" i="1"/>
  <c r="AB122" i="1"/>
  <c r="AB65" i="1"/>
  <c r="AA141" i="1"/>
  <c r="AB141" i="1"/>
  <c r="AC88" i="1"/>
  <c r="AC65" i="1"/>
  <c r="AD5" i="1"/>
  <c r="AC122" i="1"/>
  <c r="AC79" i="1"/>
  <c r="AC25" i="1"/>
  <c r="AD65" i="1"/>
  <c r="AE5" i="1"/>
  <c r="AD88" i="1"/>
  <c r="AD122" i="1"/>
  <c r="AD79" i="1"/>
  <c r="AD25" i="1"/>
  <c r="AC141" i="1"/>
  <c r="AD141" i="1"/>
  <c r="AE122" i="1"/>
  <c r="AF5" i="1"/>
  <c r="AE65" i="1"/>
  <c r="AE88" i="1"/>
  <c r="AE79" i="1"/>
  <c r="AE25" i="1"/>
  <c r="AF65" i="1"/>
  <c r="AF88" i="1"/>
  <c r="AG5" i="1"/>
  <c r="AF79" i="1"/>
  <c r="AF25" i="1"/>
  <c r="AF122" i="1"/>
  <c r="AE141" i="1"/>
  <c r="AF141" i="1"/>
  <c r="AG79" i="1"/>
  <c r="AG88" i="1"/>
  <c r="AG25" i="1"/>
  <c r="AG122" i="1"/>
  <c r="AH5" i="1"/>
  <c r="AG65" i="1"/>
  <c r="AH122" i="1"/>
  <c r="AH65" i="1"/>
  <c r="AH79" i="1"/>
  <c r="AH25" i="1"/>
  <c r="AI5" i="1"/>
  <c r="AH88" i="1"/>
  <c r="AG141" i="1"/>
  <c r="AI122" i="1"/>
  <c r="AI25" i="1"/>
  <c r="AI79" i="1"/>
  <c r="AI88" i="1"/>
  <c r="AI65" i="1"/>
  <c r="AH141" i="1"/>
  <c r="AI141" i="1"/>
  <c r="AK26" i="1"/>
  <c r="AK27" i="1"/>
  <c r="AK30" i="1"/>
  <c r="AS903" i="2"/>
  <c r="AL903" i="2"/>
  <c r="AT903" i="2"/>
  <c r="AK43" i="1"/>
  <c r="AK42" i="1"/>
  <c r="AS926" i="2" l="1"/>
  <c r="AL926" i="2"/>
  <c r="AT926" i="2" s="1"/>
  <c r="AS924" i="2"/>
  <c r="AL924" i="2"/>
  <c r="AT924" i="2" s="1"/>
  <c r="AS925" i="2"/>
  <c r="AL925" i="2"/>
  <c r="AT925" i="2" s="1"/>
  <c r="AL110" i="1" s="1"/>
  <c r="P4" i="4" s="1"/>
  <c r="AS923" i="2"/>
  <c r="AL923" i="2"/>
  <c r="AT923" i="2" s="1"/>
  <c r="AS917" i="2"/>
  <c r="AL917" i="2"/>
  <c r="AT917" i="2" s="1"/>
  <c r="AZ110" i="1" s="1"/>
  <c r="AS918" i="2"/>
  <c r="AL918" i="2"/>
  <c r="AT918" i="2" s="1"/>
  <c r="AS919" i="2"/>
  <c r="AL919" i="2"/>
  <c r="AT919" i="2" s="1"/>
  <c r="AS920" i="2"/>
  <c r="AL920" i="2"/>
  <c r="AT920" i="2" s="1"/>
  <c r="AS922" i="2"/>
  <c r="AL922" i="2"/>
  <c r="AT922" i="2" s="1"/>
  <c r="AS921" i="2"/>
  <c r="AT921" i="2"/>
  <c r="Q29" i="1"/>
  <c r="AS915" i="2"/>
  <c r="AL915" i="2"/>
  <c r="AT915" i="2" s="1"/>
  <c r="AS916" i="2"/>
  <c r="AL916" i="2"/>
  <c r="AT916" i="2" s="1"/>
  <c r="AL914" i="2"/>
  <c r="AT914" i="2" s="1"/>
  <c r="AS914" i="2"/>
  <c r="AL912" i="2"/>
  <c r="AT912" i="2" s="1"/>
  <c r="AS912" i="2"/>
  <c r="AS913" i="2"/>
  <c r="AL913" i="2"/>
  <c r="AT913" i="2" s="1"/>
  <c r="AZ112" i="1" s="1"/>
  <c r="AS911" i="2"/>
  <c r="AL18" i="1" s="1"/>
  <c r="AL911" i="2"/>
  <c r="AT911" i="2" s="1"/>
  <c r="AS910" i="2"/>
  <c r="AL910" i="2"/>
  <c r="AT910" i="2" s="1"/>
  <c r="AI80" i="1"/>
  <c r="AI67" i="1"/>
  <c r="AI66" i="1"/>
  <c r="AI71" i="1"/>
  <c r="AI70" i="1"/>
  <c r="AI69" i="1"/>
  <c r="AI68" i="1"/>
  <c r="AI74" i="1" s="1"/>
  <c r="AI90" i="1"/>
  <c r="AG53" i="3" s="1"/>
  <c r="AI89" i="1"/>
  <c r="AI93" i="1"/>
  <c r="AI92" i="1"/>
  <c r="AI102" i="1"/>
  <c r="AI101" i="1"/>
  <c r="AI103" i="1" s="1"/>
  <c r="AI99" i="1"/>
  <c r="AI98" i="1"/>
  <c r="AI100" i="1" s="1"/>
  <c r="AI96" i="1"/>
  <c r="AI95" i="1"/>
  <c r="AI97" i="1" s="1"/>
  <c r="AI81" i="1"/>
  <c r="AI82" i="1"/>
  <c r="AI83" i="1" s="1"/>
  <c r="AI34" i="1"/>
  <c r="AI35" i="1"/>
  <c r="AI40" i="1"/>
  <c r="AI154" i="1"/>
  <c r="AI41" i="1"/>
  <c r="AI147" i="1"/>
  <c r="AI31" i="1"/>
  <c r="AI30" i="1"/>
  <c r="AI143" i="1"/>
  <c r="AI27" i="1"/>
  <c r="AI26" i="1"/>
  <c r="AI145" i="1"/>
  <c r="AI160" i="1"/>
  <c r="AI149" i="1"/>
  <c r="AI29" i="1"/>
  <c r="AG7" i="3" s="1"/>
  <c r="AI28" i="1"/>
  <c r="AG12" i="3" s="1"/>
  <c r="AI150" i="1"/>
  <c r="AI152" i="1"/>
  <c r="AI37" i="1"/>
  <c r="AI36" i="1"/>
  <c r="AI144" i="1"/>
  <c r="AI161" i="1"/>
  <c r="AI162" i="1"/>
  <c r="AI158" i="1"/>
  <c r="AI163" i="1"/>
  <c r="AI168" i="1"/>
  <c r="AI33" i="1"/>
  <c r="AI32" i="1"/>
  <c r="AI39" i="1"/>
  <c r="AI38" i="1"/>
  <c r="AI153" i="1"/>
  <c r="AI165" i="1"/>
  <c r="AI157" i="1"/>
  <c r="AI155" i="1"/>
  <c r="AI148" i="1"/>
  <c r="AI169" i="1"/>
  <c r="AI156" i="1"/>
  <c r="AI167" i="1"/>
  <c r="AI166" i="1"/>
  <c r="AI172" i="1"/>
  <c r="AI44" i="1"/>
  <c r="AI136" i="1"/>
  <c r="AI132" i="1"/>
  <c r="AI131" i="1"/>
  <c r="AI127" i="1"/>
  <c r="AI126" i="1"/>
  <c r="AI124" i="1"/>
  <c r="AI123" i="1"/>
  <c r="AI133" i="1"/>
  <c r="AI128" i="1"/>
  <c r="AI125" i="1"/>
  <c r="AI135" i="1"/>
  <c r="AI130" i="1"/>
  <c r="AI134" i="1"/>
  <c r="AI129" i="1"/>
  <c r="AH90" i="1"/>
  <c r="AH89" i="1"/>
  <c r="AH93" i="1"/>
  <c r="AH92" i="1"/>
  <c r="AH102" i="1"/>
  <c r="AH101" i="1"/>
  <c r="AH99" i="1"/>
  <c r="AH98" i="1"/>
  <c r="AH96" i="1"/>
  <c r="AH95" i="1"/>
  <c r="AI19" i="1"/>
  <c r="AI17" i="1"/>
  <c r="AI9" i="1"/>
  <c r="AI8" i="1"/>
  <c r="AI7" i="1"/>
  <c r="AI6" i="1"/>
  <c r="AI11" i="1"/>
  <c r="AI10" i="1"/>
  <c r="AI16" i="1"/>
  <c r="AI14" i="1" s="1"/>
  <c r="AI18" i="1"/>
  <c r="AH34" i="1"/>
  <c r="AH35" i="1"/>
  <c r="AH40" i="1"/>
  <c r="AH154" i="1"/>
  <c r="AH41" i="1"/>
  <c r="AH147" i="1"/>
  <c r="AH31" i="1"/>
  <c r="AH30" i="1"/>
  <c r="AH143" i="1"/>
  <c r="AH27" i="1"/>
  <c r="AH26" i="1"/>
  <c r="AH145" i="1"/>
  <c r="AH160" i="1"/>
  <c r="AH149" i="1"/>
  <c r="AH29" i="1"/>
  <c r="AF7" i="3" s="1"/>
  <c r="AH28" i="1"/>
  <c r="AF12" i="3" s="1"/>
  <c r="AH150" i="1"/>
  <c r="AH152" i="1"/>
  <c r="AH37" i="1"/>
  <c r="AH36" i="1"/>
  <c r="AH144" i="1"/>
  <c r="AH161" i="1"/>
  <c r="AH162" i="1"/>
  <c r="AH158" i="1"/>
  <c r="AH163" i="1"/>
  <c r="AH168" i="1"/>
  <c r="AH33" i="1"/>
  <c r="AH32" i="1"/>
  <c r="AH39" i="1"/>
  <c r="AH38" i="1"/>
  <c r="AH153" i="1"/>
  <c r="AH165" i="1"/>
  <c r="AH157" i="1"/>
  <c r="AH155" i="1"/>
  <c r="AH148" i="1"/>
  <c r="AH169" i="1"/>
  <c r="AH156" i="1"/>
  <c r="AH167" i="1"/>
  <c r="AH166" i="1"/>
  <c r="AH172" i="1"/>
  <c r="AH44" i="1"/>
  <c r="AH81" i="1"/>
  <c r="AH82" i="1"/>
  <c r="AH80" i="1"/>
  <c r="AH84" i="1" s="1"/>
  <c r="AH67" i="1"/>
  <c r="AH66" i="1"/>
  <c r="AH71" i="1"/>
  <c r="AH70" i="1"/>
  <c r="AH69" i="1"/>
  <c r="AH68" i="1"/>
  <c r="AH74" i="1" s="1"/>
  <c r="AH136" i="1"/>
  <c r="AH132" i="1"/>
  <c r="AH131" i="1"/>
  <c r="AH127" i="1"/>
  <c r="AH126" i="1"/>
  <c r="AH124" i="1"/>
  <c r="AH123" i="1"/>
  <c r="AH133" i="1"/>
  <c r="AH128" i="1"/>
  <c r="AH125" i="1"/>
  <c r="AH135" i="1"/>
  <c r="AH130" i="1"/>
  <c r="AH134" i="1"/>
  <c r="AH129" i="1"/>
  <c r="AG80" i="1"/>
  <c r="AG67" i="1"/>
  <c r="AG66" i="1"/>
  <c r="AG71" i="1"/>
  <c r="AG70" i="1"/>
  <c r="AG69" i="1"/>
  <c r="AG68" i="1"/>
  <c r="AG74" i="1" s="1"/>
  <c r="AH19" i="1"/>
  <c r="AH17" i="1"/>
  <c r="AH9" i="1"/>
  <c r="AH8" i="1"/>
  <c r="AH7" i="1"/>
  <c r="AH6" i="1"/>
  <c r="AH11" i="1"/>
  <c r="AH10" i="1"/>
  <c r="AH16" i="1"/>
  <c r="AH14" i="1" s="1"/>
  <c r="AH18" i="1"/>
  <c r="AG136" i="1"/>
  <c r="AG132" i="1"/>
  <c r="AG131" i="1"/>
  <c r="AG127" i="1"/>
  <c r="AG126" i="1"/>
  <c r="AG124" i="1"/>
  <c r="AG123" i="1"/>
  <c r="AG133" i="1"/>
  <c r="AG128" i="1"/>
  <c r="AG125" i="1"/>
  <c r="AG135" i="1"/>
  <c r="AG130" i="1"/>
  <c r="AG134" i="1"/>
  <c r="AG129" i="1"/>
  <c r="AG34" i="1"/>
  <c r="AG35" i="1"/>
  <c r="AG40" i="1"/>
  <c r="AG154" i="1"/>
  <c r="AG41" i="1"/>
  <c r="AG147" i="1"/>
  <c r="AG31" i="1"/>
  <c r="AG30" i="1"/>
  <c r="AG143" i="1"/>
  <c r="AG27" i="1"/>
  <c r="AG26" i="1"/>
  <c r="AG145" i="1"/>
  <c r="AG160" i="1"/>
  <c r="AG149" i="1"/>
  <c r="AG29" i="1"/>
  <c r="AE7" i="3" s="1"/>
  <c r="AG28" i="1"/>
  <c r="AE12" i="3" s="1"/>
  <c r="AG150" i="1"/>
  <c r="AG152" i="1"/>
  <c r="AG37" i="1"/>
  <c r="AG36" i="1"/>
  <c r="AG144" i="1"/>
  <c r="AG161" i="1"/>
  <c r="AG162" i="1"/>
  <c r="AG158" i="1"/>
  <c r="AG163" i="1"/>
  <c r="AG168" i="1"/>
  <c r="AG33" i="1"/>
  <c r="AG32" i="1"/>
  <c r="AG39" i="1"/>
  <c r="AG38" i="1"/>
  <c r="AG153" i="1"/>
  <c r="AG165" i="1"/>
  <c r="AG157" i="1"/>
  <c r="AG155" i="1"/>
  <c r="AG148" i="1"/>
  <c r="AG169" i="1"/>
  <c r="AG156" i="1"/>
  <c r="AG167" i="1"/>
  <c r="AG166" i="1"/>
  <c r="AG172" i="1"/>
  <c r="AG44" i="1"/>
  <c r="AG90" i="1"/>
  <c r="AE53" i="3" s="1"/>
  <c r="AG89" i="1"/>
  <c r="AG93" i="1"/>
  <c r="AG92" i="1"/>
  <c r="AG102" i="1"/>
  <c r="AG101" i="1"/>
  <c r="AG103" i="1" s="1"/>
  <c r="AG99" i="1"/>
  <c r="AG98" i="1"/>
  <c r="AG100" i="1" s="1"/>
  <c r="AG96" i="1"/>
  <c r="AG95" i="1"/>
  <c r="AG97" i="1" s="1"/>
  <c r="AG81" i="1"/>
  <c r="AG82" i="1"/>
  <c r="AG83" i="1" s="1"/>
  <c r="AF136" i="1"/>
  <c r="AF132" i="1"/>
  <c r="AF131" i="1"/>
  <c r="AF127" i="1"/>
  <c r="AF126" i="1"/>
  <c r="AF124" i="1"/>
  <c r="AF123" i="1"/>
  <c r="AF133" i="1"/>
  <c r="AF128" i="1"/>
  <c r="AF125" i="1"/>
  <c r="AF135" i="1"/>
  <c r="AF130" i="1"/>
  <c r="AF134" i="1"/>
  <c r="AF129" i="1"/>
  <c r="AF34" i="1"/>
  <c r="AF35" i="1"/>
  <c r="AF40" i="1"/>
  <c r="AF154" i="1"/>
  <c r="AF41" i="1"/>
  <c r="AF147" i="1"/>
  <c r="AF31" i="1"/>
  <c r="AF30" i="1"/>
  <c r="AF143" i="1"/>
  <c r="AF27" i="1"/>
  <c r="AF26" i="1"/>
  <c r="AF145" i="1"/>
  <c r="AF160" i="1"/>
  <c r="AF149" i="1"/>
  <c r="AF29" i="1"/>
  <c r="AD7" i="3" s="1"/>
  <c r="AF28" i="1"/>
  <c r="AD12" i="3" s="1"/>
  <c r="AF150" i="1"/>
  <c r="AF152" i="1"/>
  <c r="AF37" i="1"/>
  <c r="AF36" i="1"/>
  <c r="AF144" i="1"/>
  <c r="AF161" i="1"/>
  <c r="AF162" i="1"/>
  <c r="AF158" i="1"/>
  <c r="AF163" i="1"/>
  <c r="AF168" i="1"/>
  <c r="AF33" i="1"/>
  <c r="AF32" i="1"/>
  <c r="AF39" i="1"/>
  <c r="AF38" i="1"/>
  <c r="AF153" i="1"/>
  <c r="AF165" i="1"/>
  <c r="AF157" i="1"/>
  <c r="AF155" i="1"/>
  <c r="AF148" i="1"/>
  <c r="AF169" i="1"/>
  <c r="AF156" i="1"/>
  <c r="AF167" i="1"/>
  <c r="AF166" i="1"/>
  <c r="AF172" i="1"/>
  <c r="AF44" i="1"/>
  <c r="AF81" i="1"/>
  <c r="AF82" i="1"/>
  <c r="AG19" i="1"/>
  <c r="AG17" i="1"/>
  <c r="AG9" i="1"/>
  <c r="AG8" i="1"/>
  <c r="AG7" i="1"/>
  <c r="AG6" i="1"/>
  <c r="AG11" i="1"/>
  <c r="AG10" i="1"/>
  <c r="AG16" i="1"/>
  <c r="AG14" i="1" s="1"/>
  <c r="AG18" i="1"/>
  <c r="AF90" i="1"/>
  <c r="AD53" i="3" s="1"/>
  <c r="AF89" i="1"/>
  <c r="AF93" i="1"/>
  <c r="AF92" i="1"/>
  <c r="AF102" i="1"/>
  <c r="AF101" i="1"/>
  <c r="AF103" i="1" s="1"/>
  <c r="AF99" i="1"/>
  <c r="AF98" i="1"/>
  <c r="AF100" i="1" s="1"/>
  <c r="AF96" i="1"/>
  <c r="AF95" i="1"/>
  <c r="AF97" i="1" s="1"/>
  <c r="AF80" i="1"/>
  <c r="AF84" i="1" s="1"/>
  <c r="AF67" i="1"/>
  <c r="AF66" i="1"/>
  <c r="AF71" i="1"/>
  <c r="AF70" i="1"/>
  <c r="AF69" i="1"/>
  <c r="AF68" i="1"/>
  <c r="AF74" i="1" s="1"/>
  <c r="AE34" i="1"/>
  <c r="AE35" i="1"/>
  <c r="AE40" i="1"/>
  <c r="AE154" i="1"/>
  <c r="AE41" i="1"/>
  <c r="AE147" i="1"/>
  <c r="AE31" i="1"/>
  <c r="AE30" i="1"/>
  <c r="AE143" i="1"/>
  <c r="AE27" i="1"/>
  <c r="AE26" i="1"/>
  <c r="AE145" i="1"/>
  <c r="AE160" i="1"/>
  <c r="AE149" i="1"/>
  <c r="AE29" i="1"/>
  <c r="AC7" i="3" s="1"/>
  <c r="AE28" i="1"/>
  <c r="AC12" i="3" s="1"/>
  <c r="AE150" i="1"/>
  <c r="AE152" i="1"/>
  <c r="AE37" i="1"/>
  <c r="AE36" i="1"/>
  <c r="AE144" i="1"/>
  <c r="AE161" i="1"/>
  <c r="AE162" i="1"/>
  <c r="AE158" i="1"/>
  <c r="AE163" i="1"/>
  <c r="AE168" i="1"/>
  <c r="AE33" i="1"/>
  <c r="AE32" i="1"/>
  <c r="AE39" i="1"/>
  <c r="AE38" i="1"/>
  <c r="AE153" i="1"/>
  <c r="AE165" i="1"/>
  <c r="AE157" i="1"/>
  <c r="AE155" i="1"/>
  <c r="AE148" i="1"/>
  <c r="AE169" i="1"/>
  <c r="AE156" i="1"/>
  <c r="AE167" i="1"/>
  <c r="AE166" i="1"/>
  <c r="AE172" i="1"/>
  <c r="AE44" i="1"/>
  <c r="AE81" i="1"/>
  <c r="AE82" i="1"/>
  <c r="AE90" i="1"/>
  <c r="AC53" i="3" s="1"/>
  <c r="AE89" i="1"/>
  <c r="AE93" i="1"/>
  <c r="AE92" i="1"/>
  <c r="AE102" i="1"/>
  <c r="AE101" i="1"/>
  <c r="AE103" i="1" s="1"/>
  <c r="AE99" i="1"/>
  <c r="AE98" i="1"/>
  <c r="AE100" i="1" s="1"/>
  <c r="AE96" i="1"/>
  <c r="AE95" i="1"/>
  <c r="AE97" i="1" s="1"/>
  <c r="AE80" i="1"/>
  <c r="AE84" i="1" s="1"/>
  <c r="AE67" i="1"/>
  <c r="AE66" i="1"/>
  <c r="AE71" i="1"/>
  <c r="AE70" i="1"/>
  <c r="AE69" i="1"/>
  <c r="AE68" i="1"/>
  <c r="AE74" i="1" s="1"/>
  <c r="AF19" i="1"/>
  <c r="AF17" i="1"/>
  <c r="AF9" i="1"/>
  <c r="AF8" i="1"/>
  <c r="AF7" i="1"/>
  <c r="AF6" i="1"/>
  <c r="AF11" i="1"/>
  <c r="AF10" i="1"/>
  <c r="AF16" i="1"/>
  <c r="AF14" i="1" s="1"/>
  <c r="AF18" i="1"/>
  <c r="AE136" i="1"/>
  <c r="AE132" i="1"/>
  <c r="AE131" i="1"/>
  <c r="AE127" i="1"/>
  <c r="AE126" i="1"/>
  <c r="AE124" i="1"/>
  <c r="AE123" i="1"/>
  <c r="AE133" i="1"/>
  <c r="AE128" i="1"/>
  <c r="AE125" i="1"/>
  <c r="AE135" i="1"/>
  <c r="AE130" i="1"/>
  <c r="AE134" i="1"/>
  <c r="AE129" i="1"/>
  <c r="AD34" i="1"/>
  <c r="AD35" i="1"/>
  <c r="AD40" i="1"/>
  <c r="AD154" i="1"/>
  <c r="AD41" i="1"/>
  <c r="AD147" i="1"/>
  <c r="AD31" i="1"/>
  <c r="AD30" i="1"/>
  <c r="AD143" i="1"/>
  <c r="AD27" i="1"/>
  <c r="AD26" i="1"/>
  <c r="AD145" i="1"/>
  <c r="AD160" i="1"/>
  <c r="AD149" i="1"/>
  <c r="AD29" i="1"/>
  <c r="AB7" i="3" s="1"/>
  <c r="AD28" i="1"/>
  <c r="AB12" i="3" s="1"/>
  <c r="AD150" i="1"/>
  <c r="AD152" i="1"/>
  <c r="AD37" i="1"/>
  <c r="AD36" i="1"/>
  <c r="AD144" i="1"/>
  <c r="AD161" i="1"/>
  <c r="AD162" i="1"/>
  <c r="AD158" i="1"/>
  <c r="AD163" i="1"/>
  <c r="AD168" i="1"/>
  <c r="AD33" i="1"/>
  <c r="AD32" i="1"/>
  <c r="AD39" i="1"/>
  <c r="AD38" i="1"/>
  <c r="AD153" i="1"/>
  <c r="AD165" i="1"/>
  <c r="AD157" i="1"/>
  <c r="AD155" i="1"/>
  <c r="AD148" i="1"/>
  <c r="AD169" i="1"/>
  <c r="AD156" i="1"/>
  <c r="AD167" i="1"/>
  <c r="AD166" i="1"/>
  <c r="AD172" i="1"/>
  <c r="AD44" i="1"/>
  <c r="AD81" i="1"/>
  <c r="AD82" i="1"/>
  <c r="AD136" i="1"/>
  <c r="AD132" i="1"/>
  <c r="AD131" i="1"/>
  <c r="AD127" i="1"/>
  <c r="AD126" i="1"/>
  <c r="AD124" i="1"/>
  <c r="AD123" i="1"/>
  <c r="AD133" i="1"/>
  <c r="AD128" i="1"/>
  <c r="AD125" i="1"/>
  <c r="AD135" i="1"/>
  <c r="AD130" i="1"/>
  <c r="AD134" i="1"/>
  <c r="AD129" i="1"/>
  <c r="AD90" i="1"/>
  <c r="AB53" i="3" s="1"/>
  <c r="AD89" i="1"/>
  <c r="AD93" i="1"/>
  <c r="AD92" i="1"/>
  <c r="AD102" i="1"/>
  <c r="AD101" i="1"/>
  <c r="AD103" i="1" s="1"/>
  <c r="AD99" i="1"/>
  <c r="AD98" i="1"/>
  <c r="AD100" i="1" s="1"/>
  <c r="AD96" i="1"/>
  <c r="AD95" i="1"/>
  <c r="AD97" i="1" s="1"/>
  <c r="AE19" i="1"/>
  <c r="AE17" i="1"/>
  <c r="AE9" i="1"/>
  <c r="AE8" i="1"/>
  <c r="AE7" i="1"/>
  <c r="AE6" i="1"/>
  <c r="AE11" i="1"/>
  <c r="AE10" i="1"/>
  <c r="AE16" i="1"/>
  <c r="AE14" i="1" s="1"/>
  <c r="AE18" i="1"/>
  <c r="AD80" i="1"/>
  <c r="AD84" i="1" s="1"/>
  <c r="AD67" i="1"/>
  <c r="AD66" i="1"/>
  <c r="AD71" i="1"/>
  <c r="AD70" i="1"/>
  <c r="AD69" i="1"/>
  <c r="AD68" i="1"/>
  <c r="AD74" i="1" s="1"/>
  <c r="AC34" i="1"/>
  <c r="AC35" i="1"/>
  <c r="AC40" i="1"/>
  <c r="AC154" i="1"/>
  <c r="AC41" i="1"/>
  <c r="AC147" i="1"/>
  <c r="AC31" i="1"/>
  <c r="AC30" i="1"/>
  <c r="AC143" i="1"/>
  <c r="AC27" i="1"/>
  <c r="AC26" i="1"/>
  <c r="AC145" i="1"/>
  <c r="AC160" i="1"/>
  <c r="AC149" i="1"/>
  <c r="AC29" i="1"/>
  <c r="AA7" i="3" s="1"/>
  <c r="AC28" i="1"/>
  <c r="AA12" i="3" s="1"/>
  <c r="AC150" i="1"/>
  <c r="AC152" i="1"/>
  <c r="AC37" i="1"/>
  <c r="AC36" i="1"/>
  <c r="AC144" i="1"/>
  <c r="AC161" i="1"/>
  <c r="AC162" i="1"/>
  <c r="AC158" i="1"/>
  <c r="AC163" i="1"/>
  <c r="AC168" i="1"/>
  <c r="AC33" i="1"/>
  <c r="AC32" i="1"/>
  <c r="AC39" i="1"/>
  <c r="AC38" i="1"/>
  <c r="AC153" i="1"/>
  <c r="AC165" i="1"/>
  <c r="AC157" i="1"/>
  <c r="AC155" i="1"/>
  <c r="AC148" i="1"/>
  <c r="AC169" i="1"/>
  <c r="AC156" i="1"/>
  <c r="AC167" i="1"/>
  <c r="AC166" i="1"/>
  <c r="AC172" i="1"/>
  <c r="AC44" i="1"/>
  <c r="AC81" i="1"/>
  <c r="AC82" i="1"/>
  <c r="AC136" i="1"/>
  <c r="AC132" i="1"/>
  <c r="AC131" i="1"/>
  <c r="AC127" i="1"/>
  <c r="AC126" i="1"/>
  <c r="AC124" i="1"/>
  <c r="AC123" i="1"/>
  <c r="AC133" i="1"/>
  <c r="AC128" i="1"/>
  <c r="AC125" i="1"/>
  <c r="AC135" i="1"/>
  <c r="AC130" i="1"/>
  <c r="AC134" i="1"/>
  <c r="AC129" i="1"/>
  <c r="AD19" i="1"/>
  <c r="AD17" i="1"/>
  <c r="AD9" i="1"/>
  <c r="AD8" i="1"/>
  <c r="AD7" i="1"/>
  <c r="AD6" i="1"/>
  <c r="AD11" i="1"/>
  <c r="AD10" i="1"/>
  <c r="AD16" i="1"/>
  <c r="AD14" i="1" s="1"/>
  <c r="AD18" i="1"/>
  <c r="AC80" i="1"/>
  <c r="AC84" i="1" s="1"/>
  <c r="AC67" i="1"/>
  <c r="AC66" i="1"/>
  <c r="AC71" i="1"/>
  <c r="AC70" i="1"/>
  <c r="AC69" i="1"/>
  <c r="AC68" i="1"/>
  <c r="AC74" i="1" s="1"/>
  <c r="AC90" i="1"/>
  <c r="AA53" i="3" s="1"/>
  <c r="AC89" i="1"/>
  <c r="AC93" i="1"/>
  <c r="AC92" i="1"/>
  <c r="AC102" i="1"/>
  <c r="AC101" i="1"/>
  <c r="AC103" i="1" s="1"/>
  <c r="AC99" i="1"/>
  <c r="AC98" i="1"/>
  <c r="AC100" i="1" s="1"/>
  <c r="AC96" i="1"/>
  <c r="AC95" i="1"/>
  <c r="AC97" i="1" s="1"/>
  <c r="AB80" i="1"/>
  <c r="AB67" i="1"/>
  <c r="AB66" i="1"/>
  <c r="AB71" i="1"/>
  <c r="AB70" i="1"/>
  <c r="AB69" i="1"/>
  <c r="AB68" i="1"/>
  <c r="AB74" i="1" s="1"/>
  <c r="AB136" i="1"/>
  <c r="AB132" i="1"/>
  <c r="AB131" i="1"/>
  <c r="AB127" i="1"/>
  <c r="AB126" i="1"/>
  <c r="AB124" i="1"/>
  <c r="AB123" i="1"/>
  <c r="AB133" i="1"/>
  <c r="AB128" i="1"/>
  <c r="AB125" i="1"/>
  <c r="AB135" i="1"/>
  <c r="AB130" i="1"/>
  <c r="AB134" i="1"/>
  <c r="AB129" i="1"/>
  <c r="AB34" i="1"/>
  <c r="AB35" i="1"/>
  <c r="AB40" i="1"/>
  <c r="AB154" i="1"/>
  <c r="AB41" i="1"/>
  <c r="AB147" i="1"/>
  <c r="AB31" i="1"/>
  <c r="AB30" i="1"/>
  <c r="AB143" i="1"/>
  <c r="AB27" i="1"/>
  <c r="AB26" i="1"/>
  <c r="AB145" i="1"/>
  <c r="AB160" i="1"/>
  <c r="AB149" i="1"/>
  <c r="AB29" i="1"/>
  <c r="Z7" i="3" s="1"/>
  <c r="AB28" i="1"/>
  <c r="Z12" i="3" s="1"/>
  <c r="AB150" i="1"/>
  <c r="AB152" i="1"/>
  <c r="AB37" i="1"/>
  <c r="AB36" i="1"/>
  <c r="AB144" i="1"/>
  <c r="AB161" i="1"/>
  <c r="AB162" i="1"/>
  <c r="AB158" i="1"/>
  <c r="AB163" i="1"/>
  <c r="AB168" i="1"/>
  <c r="AB33" i="1"/>
  <c r="AB32" i="1"/>
  <c r="AB39" i="1"/>
  <c r="AB38" i="1"/>
  <c r="AB153" i="1"/>
  <c r="AB165" i="1"/>
  <c r="AB157" i="1"/>
  <c r="AB155" i="1"/>
  <c r="AB148" i="1"/>
  <c r="AB169" i="1"/>
  <c r="AB156" i="1"/>
  <c r="AB167" i="1"/>
  <c r="AB166" i="1"/>
  <c r="AB172" i="1"/>
  <c r="AB44" i="1"/>
  <c r="AB81" i="1"/>
  <c r="AB82" i="1"/>
  <c r="AB83" i="1" s="1"/>
  <c r="AC19" i="1"/>
  <c r="AC17" i="1"/>
  <c r="AC9" i="1"/>
  <c r="AC8" i="1"/>
  <c r="AC7" i="1"/>
  <c r="AC6" i="1"/>
  <c r="AC11" i="1"/>
  <c r="AC10" i="1"/>
  <c r="AC16" i="1"/>
  <c r="AC14" i="1" s="1"/>
  <c r="AC18" i="1"/>
  <c r="AB90" i="1"/>
  <c r="Z53" i="3" s="1"/>
  <c r="AB89" i="1"/>
  <c r="AB93" i="1"/>
  <c r="AB92" i="1"/>
  <c r="AB102" i="1"/>
  <c r="AB101" i="1"/>
  <c r="AB103" i="1" s="1"/>
  <c r="AB99" i="1"/>
  <c r="AB98" i="1"/>
  <c r="AB100" i="1" s="1"/>
  <c r="AB96" i="1"/>
  <c r="AB95" i="1"/>
  <c r="AB97" i="1" s="1"/>
  <c r="AA34" i="1"/>
  <c r="AA35" i="1"/>
  <c r="AA40" i="1"/>
  <c r="AA154" i="1"/>
  <c r="AA41" i="1"/>
  <c r="AA147" i="1"/>
  <c r="AA31" i="1"/>
  <c r="AA30" i="1"/>
  <c r="AA143" i="1"/>
  <c r="AA27" i="1"/>
  <c r="AA26" i="1"/>
  <c r="AA145" i="1"/>
  <c r="AA160" i="1"/>
  <c r="AA149" i="1"/>
  <c r="AA29" i="1"/>
  <c r="Y7" i="3" s="1"/>
  <c r="AA28" i="1"/>
  <c r="Y12" i="3" s="1"/>
  <c r="AA150" i="1"/>
  <c r="AA152" i="1"/>
  <c r="AA37" i="1"/>
  <c r="AA36" i="1"/>
  <c r="AA144" i="1"/>
  <c r="AA161" i="1"/>
  <c r="AA162" i="1"/>
  <c r="AA158" i="1"/>
  <c r="AA163" i="1"/>
  <c r="AA168" i="1"/>
  <c r="AA33" i="1"/>
  <c r="AA32" i="1"/>
  <c r="AA39" i="1"/>
  <c r="AA38" i="1"/>
  <c r="AA153" i="1"/>
  <c r="AA165" i="1"/>
  <c r="AA157" i="1"/>
  <c r="AA155" i="1"/>
  <c r="AA148" i="1"/>
  <c r="AA169" i="1"/>
  <c r="AA156" i="1"/>
  <c r="AA167" i="1"/>
  <c r="AA166" i="1"/>
  <c r="AA172" i="1"/>
  <c r="AA44" i="1"/>
  <c r="AB19" i="1"/>
  <c r="AB17" i="1"/>
  <c r="AB9" i="1"/>
  <c r="AB8" i="1"/>
  <c r="AB7" i="1"/>
  <c r="AB6" i="1"/>
  <c r="AB11" i="1"/>
  <c r="AB10" i="1"/>
  <c r="AB16" i="1"/>
  <c r="AB14" i="1" s="1"/>
  <c r="AB18" i="1"/>
  <c r="AA80" i="1"/>
  <c r="AA67" i="1"/>
  <c r="AA66" i="1"/>
  <c r="AA71" i="1"/>
  <c r="AA70" i="1"/>
  <c r="AA69" i="1"/>
  <c r="AA68" i="1"/>
  <c r="AA74" i="1" s="1"/>
  <c r="AA81" i="1"/>
  <c r="AA82" i="1"/>
  <c r="AA83" i="1" s="1"/>
  <c r="AA136" i="1"/>
  <c r="AA132" i="1"/>
  <c r="AA131" i="1"/>
  <c r="AA127" i="1"/>
  <c r="AA126" i="1"/>
  <c r="AA124" i="1"/>
  <c r="AA123" i="1"/>
  <c r="AA133" i="1"/>
  <c r="AA128" i="1"/>
  <c r="AA125" i="1"/>
  <c r="AA135" i="1"/>
  <c r="AA130" i="1"/>
  <c r="AA134" i="1"/>
  <c r="AA129" i="1"/>
  <c r="AA90" i="1"/>
  <c r="Y53" i="3" s="1"/>
  <c r="AA89" i="1"/>
  <c r="AA93" i="1"/>
  <c r="AA92" i="1"/>
  <c r="AA102" i="1"/>
  <c r="AA101" i="1"/>
  <c r="AA103" i="1" s="1"/>
  <c r="AA99" i="1"/>
  <c r="AA98" i="1"/>
  <c r="AA100" i="1" s="1"/>
  <c r="AA96" i="1"/>
  <c r="AA95" i="1"/>
  <c r="AA97" i="1" s="1"/>
  <c r="Z90" i="1"/>
  <c r="X53" i="3" s="1"/>
  <c r="Z89" i="1"/>
  <c r="Z93" i="1"/>
  <c r="Z92" i="1"/>
  <c r="Z102" i="1"/>
  <c r="Z101" i="1"/>
  <c r="Z103" i="1" s="1"/>
  <c r="Z99" i="1"/>
  <c r="Z98" i="1"/>
  <c r="Z100" i="1" s="1"/>
  <c r="Z96" i="1"/>
  <c r="Z95" i="1"/>
  <c r="Z97" i="1" s="1"/>
  <c r="Z80" i="1"/>
  <c r="Z67" i="1"/>
  <c r="Z66" i="1"/>
  <c r="Z71" i="1"/>
  <c r="Z70" i="1"/>
  <c r="Z69" i="1"/>
  <c r="Z68" i="1"/>
  <c r="Z74" i="1" s="1"/>
  <c r="Z34" i="1"/>
  <c r="Z35" i="1"/>
  <c r="Z40" i="1"/>
  <c r="Z154" i="1"/>
  <c r="Z41" i="1"/>
  <c r="Z147" i="1"/>
  <c r="Z31" i="1"/>
  <c r="Z30" i="1"/>
  <c r="Z143" i="1"/>
  <c r="Z27" i="1"/>
  <c r="Z26" i="1"/>
  <c r="Z145" i="1"/>
  <c r="Z160" i="1"/>
  <c r="Z149" i="1"/>
  <c r="Z29" i="1"/>
  <c r="X7" i="3" s="1"/>
  <c r="Z28" i="1"/>
  <c r="X12" i="3" s="1"/>
  <c r="Z150" i="1"/>
  <c r="Z152" i="1"/>
  <c r="Z37" i="1"/>
  <c r="Z36" i="1"/>
  <c r="Z144" i="1"/>
  <c r="Z161" i="1"/>
  <c r="Z162" i="1"/>
  <c r="Z158" i="1"/>
  <c r="Z163" i="1"/>
  <c r="Z168" i="1"/>
  <c r="Z33" i="1"/>
  <c r="Z32" i="1"/>
  <c r="Z39" i="1"/>
  <c r="Z38" i="1"/>
  <c r="Z153" i="1"/>
  <c r="Z165" i="1"/>
  <c r="Z157" i="1"/>
  <c r="Z155" i="1"/>
  <c r="Z148" i="1"/>
  <c r="Z169" i="1"/>
  <c r="Z156" i="1"/>
  <c r="Z167" i="1"/>
  <c r="Z166" i="1"/>
  <c r="Z172" i="1"/>
  <c r="Z44" i="1"/>
  <c r="Z136" i="1"/>
  <c r="Z132" i="1"/>
  <c r="Z131" i="1"/>
  <c r="Z127" i="1"/>
  <c r="Z126" i="1"/>
  <c r="Z124" i="1"/>
  <c r="Z123" i="1"/>
  <c r="Z133" i="1"/>
  <c r="Z128" i="1"/>
  <c r="Z125" i="1"/>
  <c r="Z135" i="1"/>
  <c r="Z130" i="1"/>
  <c r="Z134" i="1"/>
  <c r="Z129" i="1"/>
  <c r="AA19" i="1"/>
  <c r="AA17" i="1"/>
  <c r="AA9" i="1"/>
  <c r="AA8" i="1"/>
  <c r="AA7" i="1"/>
  <c r="AA6" i="1"/>
  <c r="AA11" i="1"/>
  <c r="AA10" i="1"/>
  <c r="AA16" i="1"/>
  <c r="AA14" i="1" s="1"/>
  <c r="AA18" i="1"/>
  <c r="Z81" i="1"/>
  <c r="Z82" i="1"/>
  <c r="Z83" i="1" s="1"/>
  <c r="Y136" i="1"/>
  <c r="Y132" i="1"/>
  <c r="Y131" i="1"/>
  <c r="Y127" i="1"/>
  <c r="Y126" i="1"/>
  <c r="Y124" i="1"/>
  <c r="Y123" i="1"/>
  <c r="Y133" i="1"/>
  <c r="Y128" i="1"/>
  <c r="Y125" i="1"/>
  <c r="Y135" i="1"/>
  <c r="Y130" i="1"/>
  <c r="Y134" i="1"/>
  <c r="Y129" i="1"/>
  <c r="Z19" i="1"/>
  <c r="Z17" i="1"/>
  <c r="Z9" i="1"/>
  <c r="Z8" i="1"/>
  <c r="Z7" i="1"/>
  <c r="Z6" i="1"/>
  <c r="Z11" i="1"/>
  <c r="Z10" i="1"/>
  <c r="Z16" i="1"/>
  <c r="Z14" i="1" s="1"/>
  <c r="Z18" i="1"/>
  <c r="Y81" i="1"/>
  <c r="Y82" i="1"/>
  <c r="Y90" i="1"/>
  <c r="W53" i="3" s="1"/>
  <c r="Y89" i="1"/>
  <c r="Y93" i="1"/>
  <c r="Y92" i="1"/>
  <c r="Y102" i="1"/>
  <c r="Y101" i="1"/>
  <c r="Y103" i="1" s="1"/>
  <c r="Y99" i="1"/>
  <c r="Y98" i="1"/>
  <c r="Y100" i="1" s="1"/>
  <c r="Y96" i="1"/>
  <c r="Y95" i="1"/>
  <c r="Y97" i="1" s="1"/>
  <c r="Y34" i="1"/>
  <c r="Y35" i="1"/>
  <c r="Y40" i="1"/>
  <c r="Y154" i="1"/>
  <c r="Y41" i="1"/>
  <c r="Y147" i="1"/>
  <c r="Y31" i="1"/>
  <c r="Y30" i="1"/>
  <c r="Y143" i="1"/>
  <c r="Y27" i="1"/>
  <c r="Y26" i="1"/>
  <c r="Y145" i="1"/>
  <c r="Y160" i="1"/>
  <c r="Y149" i="1"/>
  <c r="Y29" i="1"/>
  <c r="W7" i="3" s="1"/>
  <c r="Y28" i="1"/>
  <c r="W12" i="3" s="1"/>
  <c r="Y150" i="1"/>
  <c r="Y152" i="1"/>
  <c r="Y37" i="1"/>
  <c r="Y36" i="1"/>
  <c r="Y144" i="1"/>
  <c r="Y161" i="1"/>
  <c r="Y162" i="1"/>
  <c r="Y158" i="1"/>
  <c r="Y163" i="1"/>
  <c r="Y168" i="1"/>
  <c r="Y33" i="1"/>
  <c r="Y32" i="1"/>
  <c r="Y39" i="1"/>
  <c r="Y38" i="1"/>
  <c r="Y153" i="1"/>
  <c r="Y165" i="1"/>
  <c r="Y157" i="1"/>
  <c r="Y155" i="1"/>
  <c r="Y148" i="1"/>
  <c r="Y169" i="1"/>
  <c r="Y156" i="1"/>
  <c r="Y167" i="1"/>
  <c r="Y166" i="1"/>
  <c r="Y172" i="1"/>
  <c r="Y44" i="1"/>
  <c r="Y80" i="1"/>
  <c r="Y84" i="1" s="1"/>
  <c r="Y67" i="1"/>
  <c r="Y66" i="1"/>
  <c r="Y71" i="1"/>
  <c r="Y70" i="1"/>
  <c r="Y69" i="1"/>
  <c r="Y68" i="1"/>
  <c r="Y74" i="1" s="1"/>
  <c r="X80" i="1"/>
  <c r="X67" i="1"/>
  <c r="X66" i="1"/>
  <c r="X71" i="1"/>
  <c r="AJ71" i="1" s="1"/>
  <c r="X70" i="1"/>
  <c r="X69" i="1"/>
  <c r="X68" i="1"/>
  <c r="X90" i="1"/>
  <c r="X89" i="1"/>
  <c r="X93" i="1"/>
  <c r="X92" i="1"/>
  <c r="X102" i="1"/>
  <c r="AJ102" i="1" s="1"/>
  <c r="X101" i="1"/>
  <c r="X99" i="1"/>
  <c r="AJ99" i="1" s="1"/>
  <c r="X98" i="1"/>
  <c r="X96" i="1"/>
  <c r="AJ96" i="1" s="1"/>
  <c r="X95" i="1"/>
  <c r="X136" i="1"/>
  <c r="X132" i="1"/>
  <c r="AJ132" i="1" s="1"/>
  <c r="X131" i="1"/>
  <c r="AJ131" i="1" s="1"/>
  <c r="X127" i="1"/>
  <c r="AJ127" i="1" s="1"/>
  <c r="X126" i="1"/>
  <c r="AJ126" i="1" s="1"/>
  <c r="X124" i="1"/>
  <c r="AJ124" i="1" s="1"/>
  <c r="X123" i="1"/>
  <c r="AJ123" i="1" s="1"/>
  <c r="X133" i="1"/>
  <c r="AJ133" i="1" s="1"/>
  <c r="X128" i="1"/>
  <c r="AJ128" i="1" s="1"/>
  <c r="X125" i="1"/>
  <c r="AJ125" i="1" s="1"/>
  <c r="X135" i="1"/>
  <c r="AJ135" i="1" s="1"/>
  <c r="X130" i="1"/>
  <c r="AJ130" i="1" s="1"/>
  <c r="X134" i="1"/>
  <c r="AJ134" i="1" s="1"/>
  <c r="X129" i="1"/>
  <c r="AJ129" i="1" s="1"/>
  <c r="X81" i="1"/>
  <c r="AJ81" i="1" s="1"/>
  <c r="X82" i="1"/>
  <c r="Y19" i="1"/>
  <c r="Y17" i="1"/>
  <c r="Y9" i="1"/>
  <c r="Y8" i="1"/>
  <c r="Y7" i="1"/>
  <c r="Y6" i="1"/>
  <c r="Y11" i="1"/>
  <c r="Y10" i="1"/>
  <c r="Y16" i="1"/>
  <c r="Y14" i="1" s="1"/>
  <c r="Y18" i="1"/>
  <c r="X34" i="1"/>
  <c r="AJ34" i="1" s="1"/>
  <c r="X35" i="1"/>
  <c r="AJ35" i="1" s="1"/>
  <c r="X40" i="1"/>
  <c r="AJ40" i="1" s="1"/>
  <c r="X154" i="1"/>
  <c r="AJ154" i="1" s="1"/>
  <c r="X41" i="1"/>
  <c r="AJ41" i="1" s="1"/>
  <c r="X147" i="1"/>
  <c r="X31" i="1"/>
  <c r="AJ31" i="1" s="1"/>
  <c r="X30" i="1"/>
  <c r="AJ30" i="1" s="1"/>
  <c r="X143" i="1"/>
  <c r="X27" i="1"/>
  <c r="X26" i="1"/>
  <c r="X145" i="1"/>
  <c r="AJ145" i="1" s="1"/>
  <c r="X160" i="1"/>
  <c r="X149" i="1"/>
  <c r="AJ149" i="1" s="1"/>
  <c r="X29" i="1"/>
  <c r="X28" i="1"/>
  <c r="X150" i="1"/>
  <c r="AJ150" i="1" s="1"/>
  <c r="X152" i="1"/>
  <c r="X37" i="1"/>
  <c r="AJ37" i="1" s="1"/>
  <c r="X36" i="1"/>
  <c r="AJ36" i="1" s="1"/>
  <c r="X144" i="1"/>
  <c r="AJ144" i="1" s="1"/>
  <c r="X161" i="1"/>
  <c r="AJ161" i="1" s="1"/>
  <c r="X162" i="1"/>
  <c r="AJ162" i="1" s="1"/>
  <c r="X158" i="1"/>
  <c r="AJ158" i="1" s="1"/>
  <c r="X163" i="1"/>
  <c r="AJ163" i="1" s="1"/>
  <c r="X168" i="1"/>
  <c r="AJ168" i="1" s="1"/>
  <c r="X33" i="1"/>
  <c r="AJ33" i="1" s="1"/>
  <c r="X32" i="1"/>
  <c r="AJ32" i="1" s="1"/>
  <c r="X39" i="1"/>
  <c r="AJ39" i="1" s="1"/>
  <c r="X38" i="1"/>
  <c r="AJ38" i="1" s="1"/>
  <c r="X153" i="1"/>
  <c r="AJ153" i="1" s="1"/>
  <c r="X165" i="1"/>
  <c r="X157" i="1"/>
  <c r="AJ157" i="1" s="1"/>
  <c r="X155" i="1"/>
  <c r="AJ155" i="1" s="1"/>
  <c r="X148" i="1"/>
  <c r="AJ148" i="1" s="1"/>
  <c r="X169" i="1"/>
  <c r="AJ169" i="1" s="1"/>
  <c r="X156" i="1"/>
  <c r="AJ156" i="1" s="1"/>
  <c r="X167" i="1"/>
  <c r="AJ167" i="1" s="1"/>
  <c r="X166" i="1"/>
  <c r="AJ166" i="1" s="1"/>
  <c r="X172" i="1"/>
  <c r="AJ172" i="1" s="1"/>
  <c r="X44" i="1"/>
  <c r="AJ44" i="1" s="1"/>
  <c r="V80" i="1"/>
  <c r="V67" i="1"/>
  <c r="V66" i="1"/>
  <c r="V71" i="1"/>
  <c r="V70" i="1"/>
  <c r="V69" i="1"/>
  <c r="V68" i="1"/>
  <c r="V74" i="1" s="1"/>
  <c r="V34" i="1"/>
  <c r="V35" i="1"/>
  <c r="V40" i="1"/>
  <c r="V154" i="1"/>
  <c r="V41" i="1"/>
  <c r="V147" i="1"/>
  <c r="V31" i="1"/>
  <c r="V30" i="1"/>
  <c r="V143" i="1"/>
  <c r="V27" i="1"/>
  <c r="V26" i="1"/>
  <c r="V145" i="1"/>
  <c r="V160" i="1"/>
  <c r="V149" i="1"/>
  <c r="V29" i="1"/>
  <c r="U7" i="3" s="1"/>
  <c r="V28" i="1"/>
  <c r="U12" i="3" s="1"/>
  <c r="V150" i="1"/>
  <c r="V152" i="1"/>
  <c r="V37" i="1"/>
  <c r="V36" i="1"/>
  <c r="V144" i="1"/>
  <c r="V161" i="1"/>
  <c r="V162" i="1"/>
  <c r="V158" i="1"/>
  <c r="V163" i="1"/>
  <c r="V168" i="1"/>
  <c r="V33" i="1"/>
  <c r="V32" i="1"/>
  <c r="V39" i="1"/>
  <c r="V38" i="1"/>
  <c r="V153" i="1"/>
  <c r="V165" i="1"/>
  <c r="V157" i="1"/>
  <c r="V155" i="1"/>
  <c r="V148" i="1"/>
  <c r="V169" i="1"/>
  <c r="V156" i="1"/>
  <c r="V167" i="1"/>
  <c r="V166" i="1"/>
  <c r="V172" i="1"/>
  <c r="V44" i="1"/>
  <c r="V136" i="1"/>
  <c r="V132" i="1"/>
  <c r="V131" i="1"/>
  <c r="V127" i="1"/>
  <c r="V126" i="1"/>
  <c r="V124" i="1"/>
  <c r="V123" i="1"/>
  <c r="V133" i="1"/>
  <c r="V128" i="1"/>
  <c r="V125" i="1"/>
  <c r="V135" i="1"/>
  <c r="V130" i="1"/>
  <c r="V134" i="1"/>
  <c r="V129" i="1"/>
  <c r="V90" i="1"/>
  <c r="U53" i="3" s="1"/>
  <c r="V89" i="1"/>
  <c r="V93" i="1"/>
  <c r="V92" i="1"/>
  <c r="V102" i="1"/>
  <c r="V101" i="1"/>
  <c r="V103" i="1" s="1"/>
  <c r="V99" i="1"/>
  <c r="V98" i="1"/>
  <c r="V100" i="1" s="1"/>
  <c r="V96" i="1"/>
  <c r="V95" i="1"/>
  <c r="V97" i="1" s="1"/>
  <c r="V81" i="1"/>
  <c r="V82" i="1"/>
  <c r="V83" i="1" s="1"/>
  <c r="X19" i="1"/>
  <c r="X17" i="1"/>
  <c r="AJ17" i="1" s="1"/>
  <c r="X9" i="1"/>
  <c r="AJ9" i="1" s="1"/>
  <c r="X8" i="1"/>
  <c r="AJ8" i="1" s="1"/>
  <c r="X7" i="1"/>
  <c r="X6" i="1"/>
  <c r="X11" i="1"/>
  <c r="AJ11" i="1" s="1"/>
  <c r="X10" i="1"/>
  <c r="AJ10" i="1" s="1"/>
  <c r="X16" i="1"/>
  <c r="X18" i="1"/>
  <c r="AJ18" i="1" s="1"/>
  <c r="U90" i="1"/>
  <c r="T53" i="3" s="1"/>
  <c r="U89" i="1"/>
  <c r="U93" i="1"/>
  <c r="U92" i="1"/>
  <c r="U102" i="1"/>
  <c r="U101" i="1"/>
  <c r="U103" i="1" s="1"/>
  <c r="U99" i="1"/>
  <c r="U98" i="1"/>
  <c r="U100" i="1" s="1"/>
  <c r="U96" i="1"/>
  <c r="U95" i="1"/>
  <c r="U97" i="1" s="1"/>
  <c r="V19" i="1"/>
  <c r="V17" i="1"/>
  <c r="V9" i="1"/>
  <c r="V8" i="1"/>
  <c r="V7" i="1"/>
  <c r="V6" i="1"/>
  <c r="V11" i="1"/>
  <c r="V10" i="1"/>
  <c r="V16" i="1"/>
  <c r="V14" i="1" s="1"/>
  <c r="V18" i="1"/>
  <c r="U80" i="1"/>
  <c r="U67" i="1"/>
  <c r="U66" i="1"/>
  <c r="U71" i="1"/>
  <c r="U70" i="1"/>
  <c r="U69" i="1"/>
  <c r="U68" i="1"/>
  <c r="U74" i="1" s="1"/>
  <c r="U136" i="1"/>
  <c r="U132" i="1"/>
  <c r="U131" i="1"/>
  <c r="U127" i="1"/>
  <c r="U126" i="1"/>
  <c r="U124" i="1"/>
  <c r="U123" i="1"/>
  <c r="U133" i="1"/>
  <c r="U128" i="1"/>
  <c r="U125" i="1"/>
  <c r="U135" i="1"/>
  <c r="U130" i="1"/>
  <c r="U134" i="1"/>
  <c r="U129" i="1"/>
  <c r="U81" i="1"/>
  <c r="U82" i="1"/>
  <c r="U83" i="1" s="1"/>
  <c r="U34" i="1"/>
  <c r="U35" i="1"/>
  <c r="U40" i="1"/>
  <c r="U154" i="1"/>
  <c r="U41" i="1"/>
  <c r="U147" i="1"/>
  <c r="U31" i="1"/>
  <c r="U30" i="1"/>
  <c r="U143" i="1"/>
  <c r="U27" i="1"/>
  <c r="U26" i="1"/>
  <c r="U145" i="1"/>
  <c r="U160" i="1"/>
  <c r="U149" i="1"/>
  <c r="U29" i="1"/>
  <c r="T7" i="3" s="1"/>
  <c r="U28" i="1"/>
  <c r="T12" i="3" s="1"/>
  <c r="U150" i="1"/>
  <c r="U152" i="1"/>
  <c r="U37" i="1"/>
  <c r="U36" i="1"/>
  <c r="U144" i="1"/>
  <c r="U161" i="1"/>
  <c r="U162" i="1"/>
  <c r="U158" i="1"/>
  <c r="U163" i="1"/>
  <c r="U168" i="1"/>
  <c r="U33" i="1"/>
  <c r="U32" i="1"/>
  <c r="U39" i="1"/>
  <c r="U38" i="1"/>
  <c r="U153" i="1"/>
  <c r="U165" i="1"/>
  <c r="U157" i="1"/>
  <c r="U155" i="1"/>
  <c r="U148" i="1"/>
  <c r="U169" i="1"/>
  <c r="U156" i="1"/>
  <c r="U167" i="1"/>
  <c r="U166" i="1"/>
  <c r="U172" i="1"/>
  <c r="U44" i="1"/>
  <c r="AV34" i="1"/>
  <c r="AV35" i="1"/>
  <c r="AV40" i="1"/>
  <c r="AV154" i="1"/>
  <c r="AV41" i="1"/>
  <c r="AV147" i="1"/>
  <c r="AV31" i="1"/>
  <c r="AV30" i="1"/>
  <c r="AV143" i="1"/>
  <c r="AV27" i="1"/>
  <c r="AV26" i="1"/>
  <c r="AV145" i="1"/>
  <c r="AV160" i="1"/>
  <c r="AV149" i="1"/>
  <c r="AV29" i="1"/>
  <c r="AV28" i="1"/>
  <c r="AV150" i="1"/>
  <c r="AV152" i="1"/>
  <c r="AV37" i="1"/>
  <c r="AV36" i="1"/>
  <c r="AV144" i="1"/>
  <c r="AV161" i="1"/>
  <c r="AV162" i="1"/>
  <c r="AV158" i="1"/>
  <c r="AV163" i="1"/>
  <c r="AV168" i="1"/>
  <c r="AV33" i="1"/>
  <c r="AV32" i="1"/>
  <c r="AV39" i="1"/>
  <c r="AV38" i="1"/>
  <c r="AV153" i="1"/>
  <c r="AV165" i="1"/>
  <c r="AV157" i="1"/>
  <c r="AV155" i="1"/>
  <c r="AV148" i="1"/>
  <c r="AV169" i="1"/>
  <c r="AV156" i="1"/>
  <c r="AV167" i="1"/>
  <c r="AV166" i="1"/>
  <c r="AV172" i="1"/>
  <c r="AV44" i="1"/>
  <c r="AV81" i="1"/>
  <c r="AV82" i="1"/>
  <c r="AV80" i="1"/>
  <c r="AV84" i="1" s="1"/>
  <c r="AV67" i="1"/>
  <c r="AV66" i="1"/>
  <c r="AV71" i="1"/>
  <c r="AV70" i="1"/>
  <c r="AV69" i="1"/>
  <c r="AV68" i="1"/>
  <c r="AV74" i="1" s="1"/>
  <c r="AV90" i="1"/>
  <c r="AV89" i="1"/>
  <c r="AV93" i="1"/>
  <c r="AV92" i="1"/>
  <c r="AV102" i="1"/>
  <c r="AV101" i="1"/>
  <c r="AV103" i="1" s="1"/>
  <c r="AV99" i="1"/>
  <c r="AV98" i="1"/>
  <c r="AV100" i="1" s="1"/>
  <c r="AV96" i="1"/>
  <c r="AV95" i="1"/>
  <c r="AV97" i="1" s="1"/>
  <c r="AV136" i="1"/>
  <c r="AV132" i="1"/>
  <c r="AV131" i="1"/>
  <c r="AV127" i="1"/>
  <c r="AV126" i="1"/>
  <c r="AV124" i="1"/>
  <c r="AV123" i="1"/>
  <c r="AV133" i="1"/>
  <c r="AV128" i="1"/>
  <c r="AV125" i="1"/>
  <c r="AV135" i="1"/>
  <c r="AV130" i="1"/>
  <c r="AV134" i="1"/>
  <c r="AV129" i="1"/>
  <c r="AV114" i="1"/>
  <c r="AV116" i="1"/>
  <c r="AV112" i="1"/>
  <c r="AV110" i="1"/>
  <c r="T136" i="1"/>
  <c r="T132" i="1"/>
  <c r="T131" i="1"/>
  <c r="T127" i="1"/>
  <c r="T126" i="1"/>
  <c r="T124" i="1"/>
  <c r="T123" i="1"/>
  <c r="T133" i="1"/>
  <c r="T128" i="1"/>
  <c r="T125" i="1"/>
  <c r="T135" i="1"/>
  <c r="T130" i="1"/>
  <c r="T134" i="1"/>
  <c r="T129" i="1"/>
  <c r="T34" i="1"/>
  <c r="T35" i="1"/>
  <c r="T40" i="1"/>
  <c r="T154" i="1"/>
  <c r="T41" i="1"/>
  <c r="T147" i="1"/>
  <c r="T31" i="1"/>
  <c r="T30" i="1"/>
  <c r="T143" i="1"/>
  <c r="T27" i="1"/>
  <c r="T26" i="1"/>
  <c r="T145" i="1"/>
  <c r="T160" i="1"/>
  <c r="T149" i="1"/>
  <c r="T29" i="1"/>
  <c r="S7" i="3" s="1"/>
  <c r="T28" i="1"/>
  <c r="S12" i="3" s="1"/>
  <c r="T150" i="1"/>
  <c r="T152" i="1"/>
  <c r="T37" i="1"/>
  <c r="T36" i="1"/>
  <c r="T144" i="1"/>
  <c r="T161" i="1"/>
  <c r="T162" i="1"/>
  <c r="T158" i="1"/>
  <c r="T163" i="1"/>
  <c r="T168" i="1"/>
  <c r="T33" i="1"/>
  <c r="T32" i="1"/>
  <c r="T39" i="1"/>
  <c r="T38" i="1"/>
  <c r="T153" i="1"/>
  <c r="T165" i="1"/>
  <c r="T157" i="1"/>
  <c r="T155" i="1"/>
  <c r="T148" i="1"/>
  <c r="T169" i="1"/>
  <c r="T156" i="1"/>
  <c r="T167" i="1"/>
  <c r="T166" i="1"/>
  <c r="T172" i="1"/>
  <c r="T44" i="1"/>
  <c r="T80" i="1"/>
  <c r="T67" i="1"/>
  <c r="T66" i="1"/>
  <c r="T71" i="1"/>
  <c r="T70" i="1"/>
  <c r="T69" i="1"/>
  <c r="T68" i="1"/>
  <c r="T74" i="1" s="1"/>
  <c r="U19" i="1"/>
  <c r="U17" i="1"/>
  <c r="U9" i="1"/>
  <c r="U8" i="1"/>
  <c r="U7" i="1"/>
  <c r="U6" i="1"/>
  <c r="U11" i="1"/>
  <c r="U10" i="1"/>
  <c r="U16" i="1"/>
  <c r="U14" i="1" s="1"/>
  <c r="U18" i="1"/>
  <c r="T90" i="1"/>
  <c r="S53" i="3" s="1"/>
  <c r="T89" i="1"/>
  <c r="T93" i="1"/>
  <c r="T92" i="1"/>
  <c r="T102" i="1"/>
  <c r="T101" i="1"/>
  <c r="T103" i="1" s="1"/>
  <c r="T99" i="1"/>
  <c r="T98" i="1"/>
  <c r="T100" i="1" s="1"/>
  <c r="T96" i="1"/>
  <c r="T95" i="1"/>
  <c r="T97" i="1" s="1"/>
  <c r="T81" i="1"/>
  <c r="T82" i="1"/>
  <c r="T83" i="1" s="1"/>
  <c r="AV19" i="1"/>
  <c r="AV17" i="1"/>
  <c r="AV11" i="1"/>
  <c r="AV9" i="1"/>
  <c r="AV8" i="1"/>
  <c r="AV7" i="1"/>
  <c r="AV13" i="1" s="1"/>
  <c r="AV6" i="1"/>
  <c r="AV10" i="1"/>
  <c r="AV16" i="1"/>
  <c r="AV14" i="1" s="1"/>
  <c r="AV18" i="1"/>
  <c r="AU34" i="1"/>
  <c r="AU35" i="1"/>
  <c r="AU40" i="1"/>
  <c r="AU154" i="1"/>
  <c r="AU41" i="1"/>
  <c r="AU147" i="1"/>
  <c r="AU31" i="1"/>
  <c r="AU30" i="1"/>
  <c r="AU143" i="1"/>
  <c r="AU27" i="1"/>
  <c r="AU26" i="1"/>
  <c r="AU145" i="1"/>
  <c r="AU160" i="1"/>
  <c r="AU149" i="1"/>
  <c r="AU29" i="1"/>
  <c r="AU28" i="1"/>
  <c r="AU150" i="1"/>
  <c r="AU152" i="1"/>
  <c r="AU37" i="1"/>
  <c r="AU36" i="1"/>
  <c r="AU144" i="1"/>
  <c r="AU161" i="1"/>
  <c r="AU162" i="1"/>
  <c r="AU158" i="1"/>
  <c r="AU163" i="1"/>
  <c r="AU168" i="1"/>
  <c r="AU33" i="1"/>
  <c r="AU32" i="1"/>
  <c r="AU39" i="1"/>
  <c r="AU38" i="1"/>
  <c r="AU153" i="1"/>
  <c r="AU165" i="1"/>
  <c r="AU157" i="1"/>
  <c r="AU155" i="1"/>
  <c r="AU148" i="1"/>
  <c r="AU169" i="1"/>
  <c r="AU156" i="1"/>
  <c r="AU167" i="1"/>
  <c r="AU166" i="1"/>
  <c r="AU172" i="1"/>
  <c r="AU44" i="1"/>
  <c r="AU81" i="1"/>
  <c r="AU82" i="1"/>
  <c r="AU80" i="1"/>
  <c r="AU84" i="1" s="1"/>
  <c r="AU67" i="1"/>
  <c r="AU66" i="1"/>
  <c r="AU71" i="1"/>
  <c r="AU70" i="1"/>
  <c r="AU69" i="1"/>
  <c r="AU68" i="1"/>
  <c r="AU74" i="1" s="1"/>
  <c r="AU90" i="1"/>
  <c r="AU89" i="1"/>
  <c r="AU93" i="1"/>
  <c r="AU92" i="1"/>
  <c r="AU102" i="1"/>
  <c r="AU101" i="1"/>
  <c r="AU103" i="1" s="1"/>
  <c r="AU99" i="1"/>
  <c r="AU98" i="1"/>
  <c r="AU100" i="1" s="1"/>
  <c r="AU96" i="1"/>
  <c r="AU95" i="1"/>
  <c r="AU97" i="1" s="1"/>
  <c r="AU136" i="1"/>
  <c r="AU132" i="1"/>
  <c r="AU131" i="1"/>
  <c r="AU127" i="1"/>
  <c r="AU126" i="1"/>
  <c r="AU124" i="1"/>
  <c r="AU123" i="1"/>
  <c r="AU133" i="1"/>
  <c r="AU128" i="1"/>
  <c r="AU125" i="1"/>
  <c r="AU135" i="1"/>
  <c r="AU130" i="1"/>
  <c r="AU134" i="1"/>
  <c r="AU129" i="1"/>
  <c r="AU114" i="1"/>
  <c r="AU116" i="1"/>
  <c r="AU112" i="1"/>
  <c r="AU110" i="1"/>
  <c r="T19" i="1"/>
  <c r="T17" i="1"/>
  <c r="T9" i="1"/>
  <c r="T8" i="1"/>
  <c r="T7" i="1"/>
  <c r="T6" i="1"/>
  <c r="T11" i="1"/>
  <c r="T10" i="1"/>
  <c r="T16" i="1"/>
  <c r="T14" i="1" s="1"/>
  <c r="T18" i="1"/>
  <c r="S34" i="1"/>
  <c r="S35" i="1"/>
  <c r="S40" i="1"/>
  <c r="S154" i="1"/>
  <c r="S41" i="1"/>
  <c r="S147" i="1"/>
  <c r="S31" i="1"/>
  <c r="S30" i="1"/>
  <c r="S143" i="1"/>
  <c r="S27" i="1"/>
  <c r="S26" i="1"/>
  <c r="S145" i="1"/>
  <c r="S160" i="1"/>
  <c r="S149" i="1"/>
  <c r="S29" i="1"/>
  <c r="R7" i="3" s="1"/>
  <c r="S28" i="1"/>
  <c r="R12" i="3" s="1"/>
  <c r="S150" i="1"/>
  <c r="S152" i="1"/>
  <c r="S37" i="1"/>
  <c r="S36" i="1"/>
  <c r="S144" i="1"/>
  <c r="S161" i="1"/>
  <c r="S162" i="1"/>
  <c r="S158" i="1"/>
  <c r="S163" i="1"/>
  <c r="S168" i="1"/>
  <c r="S33" i="1"/>
  <c r="S32" i="1"/>
  <c r="S39" i="1"/>
  <c r="S38" i="1"/>
  <c r="S153" i="1"/>
  <c r="S165" i="1"/>
  <c r="S157" i="1"/>
  <c r="S155" i="1"/>
  <c r="S148" i="1"/>
  <c r="S169" i="1"/>
  <c r="S156" i="1"/>
  <c r="S167" i="1"/>
  <c r="S166" i="1"/>
  <c r="S172" i="1"/>
  <c r="S44" i="1"/>
  <c r="S136" i="1"/>
  <c r="S132" i="1"/>
  <c r="S131" i="1"/>
  <c r="S127" i="1"/>
  <c r="S126" i="1"/>
  <c r="S124" i="1"/>
  <c r="S123" i="1"/>
  <c r="S133" i="1"/>
  <c r="S128" i="1"/>
  <c r="S125" i="1"/>
  <c r="S135" i="1"/>
  <c r="S130" i="1"/>
  <c r="S134" i="1"/>
  <c r="S129" i="1"/>
  <c r="S90" i="1"/>
  <c r="R53" i="3" s="1"/>
  <c r="S89" i="1"/>
  <c r="S93" i="1"/>
  <c r="S92" i="1"/>
  <c r="S102" i="1"/>
  <c r="S101" i="1"/>
  <c r="S103" i="1" s="1"/>
  <c r="S99" i="1"/>
  <c r="S98" i="1"/>
  <c r="S100" i="1" s="1"/>
  <c r="S96" i="1"/>
  <c r="S95" i="1"/>
  <c r="S97" i="1" s="1"/>
  <c r="S81" i="1"/>
  <c r="S82" i="1"/>
  <c r="S80" i="1"/>
  <c r="S84" i="1" s="1"/>
  <c r="S67" i="1"/>
  <c r="S66" i="1"/>
  <c r="S71" i="1"/>
  <c r="S70" i="1"/>
  <c r="S69" i="1"/>
  <c r="S68" i="1"/>
  <c r="S74" i="1" s="1"/>
  <c r="AU19" i="1"/>
  <c r="AU17" i="1"/>
  <c r="AU11" i="1"/>
  <c r="AU9" i="1"/>
  <c r="AU8" i="1"/>
  <c r="AU7" i="1"/>
  <c r="AU13" i="1" s="1"/>
  <c r="AU6" i="1"/>
  <c r="AU10" i="1"/>
  <c r="AU16" i="1"/>
  <c r="AU14" i="1" s="1"/>
  <c r="AU18" i="1"/>
  <c r="AT34" i="1"/>
  <c r="AT35" i="1"/>
  <c r="AT40" i="1"/>
  <c r="AT154" i="1"/>
  <c r="AT41" i="1"/>
  <c r="AT147" i="1"/>
  <c r="AT31" i="1"/>
  <c r="AT30" i="1"/>
  <c r="AT143" i="1"/>
  <c r="AT27" i="1"/>
  <c r="AT26" i="1"/>
  <c r="AT145" i="1"/>
  <c r="AT160" i="1"/>
  <c r="AT149" i="1"/>
  <c r="AT29" i="1"/>
  <c r="AT28" i="1"/>
  <c r="AT150" i="1"/>
  <c r="AT152" i="1"/>
  <c r="AT37" i="1"/>
  <c r="AT36" i="1"/>
  <c r="AT144" i="1"/>
  <c r="AT161" i="1"/>
  <c r="AT162" i="1"/>
  <c r="AT158" i="1"/>
  <c r="AT163" i="1"/>
  <c r="AT168" i="1"/>
  <c r="AT33" i="1"/>
  <c r="AT32" i="1"/>
  <c r="AT39" i="1"/>
  <c r="AT38" i="1"/>
  <c r="AT153" i="1"/>
  <c r="AT165" i="1"/>
  <c r="AT157" i="1"/>
  <c r="AT155" i="1"/>
  <c r="AT148" i="1"/>
  <c r="AT169" i="1"/>
  <c r="AT156" i="1"/>
  <c r="AT167" i="1"/>
  <c r="AT166" i="1"/>
  <c r="AT172" i="1"/>
  <c r="AT44" i="1"/>
  <c r="AT80" i="1"/>
  <c r="AT67" i="1"/>
  <c r="AT66" i="1"/>
  <c r="AT71" i="1"/>
  <c r="AT70" i="1"/>
  <c r="AT69" i="1"/>
  <c r="AT68" i="1"/>
  <c r="AT74" i="1" s="1"/>
  <c r="AT90" i="1"/>
  <c r="AT89" i="1"/>
  <c r="AT93" i="1"/>
  <c r="AT92" i="1"/>
  <c r="AT102" i="1"/>
  <c r="AT101" i="1"/>
  <c r="AT103" i="1" s="1"/>
  <c r="AT99" i="1"/>
  <c r="AT98" i="1"/>
  <c r="AT100" i="1" s="1"/>
  <c r="AT96" i="1"/>
  <c r="AT95" i="1"/>
  <c r="AT97" i="1" s="1"/>
  <c r="AT81" i="1"/>
  <c r="AT82" i="1"/>
  <c r="AT83" i="1" s="1"/>
  <c r="AT136" i="1"/>
  <c r="AT132" i="1"/>
  <c r="AT131" i="1"/>
  <c r="AT127" i="1"/>
  <c r="AT126" i="1"/>
  <c r="AT124" i="1"/>
  <c r="AT123" i="1"/>
  <c r="AT133" i="1"/>
  <c r="AT128" i="1"/>
  <c r="AT125" i="1"/>
  <c r="AT135" i="1"/>
  <c r="AT130" i="1"/>
  <c r="AT134" i="1"/>
  <c r="AT129" i="1"/>
  <c r="AT114" i="1"/>
  <c r="AT116" i="1"/>
  <c r="AT112" i="1"/>
  <c r="AT110" i="1"/>
  <c r="R80" i="1"/>
  <c r="R67" i="1"/>
  <c r="R66" i="1"/>
  <c r="R71" i="1"/>
  <c r="R70" i="1"/>
  <c r="R69" i="1"/>
  <c r="R68" i="1"/>
  <c r="R74" i="1" s="1"/>
  <c r="S19" i="1"/>
  <c r="S17" i="1"/>
  <c r="S9" i="1"/>
  <c r="S8" i="1"/>
  <c r="S7" i="1"/>
  <c r="S6" i="1"/>
  <c r="S11" i="1"/>
  <c r="S10" i="1"/>
  <c r="S16" i="1"/>
  <c r="S14" i="1" s="1"/>
  <c r="S18" i="1"/>
  <c r="R34" i="1"/>
  <c r="R35" i="1"/>
  <c r="R40" i="1"/>
  <c r="R154" i="1"/>
  <c r="R41" i="1"/>
  <c r="R147" i="1"/>
  <c r="R31" i="1"/>
  <c r="R30" i="1"/>
  <c r="R143" i="1"/>
  <c r="R27" i="1"/>
  <c r="R26" i="1"/>
  <c r="R145" i="1"/>
  <c r="R160" i="1"/>
  <c r="R149" i="1"/>
  <c r="R29" i="1"/>
  <c r="Q7" i="3" s="1"/>
  <c r="R28" i="1"/>
  <c r="Q12" i="3" s="1"/>
  <c r="R150" i="1"/>
  <c r="R152" i="1"/>
  <c r="R37" i="1"/>
  <c r="R36" i="1"/>
  <c r="R144" i="1"/>
  <c r="R161" i="1"/>
  <c r="R162" i="1"/>
  <c r="R158" i="1"/>
  <c r="R163" i="1"/>
  <c r="R168" i="1"/>
  <c r="R33" i="1"/>
  <c r="R32" i="1"/>
  <c r="R39" i="1"/>
  <c r="R38" i="1"/>
  <c r="R153" i="1"/>
  <c r="R165" i="1"/>
  <c r="R157" i="1"/>
  <c r="R155" i="1"/>
  <c r="R148" i="1"/>
  <c r="R169" i="1"/>
  <c r="R156" i="1"/>
  <c r="R167" i="1"/>
  <c r="R166" i="1"/>
  <c r="R172" i="1"/>
  <c r="R44" i="1"/>
  <c r="R81" i="1"/>
  <c r="R82" i="1"/>
  <c r="R83" i="1" s="1"/>
  <c r="R90" i="1"/>
  <c r="Q53" i="3" s="1"/>
  <c r="R89" i="1"/>
  <c r="R93" i="1"/>
  <c r="R92" i="1"/>
  <c r="R102" i="1"/>
  <c r="R101" i="1"/>
  <c r="R103" i="1" s="1"/>
  <c r="R99" i="1"/>
  <c r="R98" i="1"/>
  <c r="R100" i="1" s="1"/>
  <c r="R96" i="1"/>
  <c r="R95" i="1"/>
  <c r="R97" i="1" s="1"/>
  <c r="R136" i="1"/>
  <c r="R132" i="1"/>
  <c r="R131" i="1"/>
  <c r="R127" i="1"/>
  <c r="R126" i="1"/>
  <c r="R124" i="1"/>
  <c r="R123" i="1"/>
  <c r="R133" i="1"/>
  <c r="R128" i="1"/>
  <c r="R125" i="1"/>
  <c r="R135" i="1"/>
  <c r="R130" i="1"/>
  <c r="R134" i="1"/>
  <c r="R129" i="1"/>
  <c r="AT19" i="1"/>
  <c r="AT17" i="1"/>
  <c r="AT11" i="1"/>
  <c r="AT9" i="1"/>
  <c r="AT8" i="1"/>
  <c r="AT7" i="1"/>
  <c r="AT13" i="1" s="1"/>
  <c r="AT6" i="1"/>
  <c r="AT10" i="1"/>
  <c r="AT16" i="1"/>
  <c r="AT14" i="1" s="1"/>
  <c r="AT18" i="1"/>
  <c r="AS34" i="1"/>
  <c r="AS35" i="1"/>
  <c r="AS40" i="1"/>
  <c r="AS154" i="1"/>
  <c r="AS41" i="1"/>
  <c r="AS147" i="1"/>
  <c r="AS31" i="1"/>
  <c r="AS30" i="1"/>
  <c r="AS143" i="1"/>
  <c r="AS27" i="1"/>
  <c r="AS26" i="1"/>
  <c r="AS145" i="1"/>
  <c r="AS160" i="1"/>
  <c r="AS149" i="1"/>
  <c r="AS29" i="1"/>
  <c r="AS28" i="1"/>
  <c r="AS150" i="1"/>
  <c r="AS152" i="1"/>
  <c r="AS37" i="1"/>
  <c r="AS36" i="1"/>
  <c r="AS144" i="1"/>
  <c r="AS161" i="1"/>
  <c r="AS162" i="1"/>
  <c r="AS158" i="1"/>
  <c r="AS163" i="1"/>
  <c r="AS168" i="1"/>
  <c r="AS33" i="1"/>
  <c r="AS32" i="1"/>
  <c r="AS39" i="1"/>
  <c r="AS38" i="1"/>
  <c r="AS153" i="1"/>
  <c r="AS165" i="1"/>
  <c r="AS157" i="1"/>
  <c r="AS155" i="1"/>
  <c r="AS148" i="1"/>
  <c r="AS169" i="1"/>
  <c r="AS156" i="1"/>
  <c r="AS167" i="1"/>
  <c r="AS166" i="1"/>
  <c r="AS172" i="1"/>
  <c r="AS44" i="1"/>
  <c r="AS80" i="1"/>
  <c r="AS67" i="1"/>
  <c r="AS66" i="1"/>
  <c r="AS71" i="1"/>
  <c r="AS70" i="1"/>
  <c r="AS69" i="1"/>
  <c r="AS68" i="1"/>
  <c r="AS74" i="1" s="1"/>
  <c r="AS90" i="1"/>
  <c r="AS89" i="1"/>
  <c r="AS93" i="1"/>
  <c r="AS92" i="1"/>
  <c r="AS102" i="1"/>
  <c r="AS101" i="1"/>
  <c r="AS103" i="1" s="1"/>
  <c r="AS99" i="1"/>
  <c r="AS98" i="1"/>
  <c r="AS100" i="1" s="1"/>
  <c r="AS96" i="1"/>
  <c r="AS95" i="1"/>
  <c r="AS97" i="1" s="1"/>
  <c r="AS81" i="1"/>
  <c r="AS82" i="1"/>
  <c r="AS83" i="1" s="1"/>
  <c r="AS136" i="1"/>
  <c r="AS132" i="1"/>
  <c r="AS131" i="1"/>
  <c r="AS127" i="1"/>
  <c r="AS126" i="1"/>
  <c r="AS124" i="1"/>
  <c r="AS123" i="1"/>
  <c r="AS133" i="1"/>
  <c r="AS128" i="1"/>
  <c r="AS125" i="1"/>
  <c r="AS135" i="1"/>
  <c r="AS130" i="1"/>
  <c r="AS134" i="1"/>
  <c r="AS129" i="1"/>
  <c r="AS114" i="1"/>
  <c r="AS116" i="1"/>
  <c r="AS112" i="1"/>
  <c r="AS110" i="1"/>
  <c r="Q136" i="1"/>
  <c r="Q132" i="1"/>
  <c r="Q131" i="1"/>
  <c r="Q127" i="1"/>
  <c r="Q126" i="1"/>
  <c r="Q124" i="1"/>
  <c r="Q123" i="1"/>
  <c r="Q133" i="1"/>
  <c r="Q128" i="1"/>
  <c r="Q125" i="1"/>
  <c r="Q135" i="1"/>
  <c r="Q130" i="1"/>
  <c r="Q134" i="1"/>
  <c r="Q129" i="1"/>
  <c r="Q34" i="1"/>
  <c r="Q35" i="1"/>
  <c r="Q40" i="1"/>
  <c r="Q154" i="1"/>
  <c r="Q41" i="1"/>
  <c r="Q147" i="1"/>
  <c r="Q31" i="1"/>
  <c r="Q30" i="1"/>
  <c r="Q143" i="1"/>
  <c r="Q27" i="1"/>
  <c r="Q26" i="1"/>
  <c r="Q145" i="1"/>
  <c r="Q160" i="1"/>
  <c r="Q149" i="1"/>
  <c r="P7" i="3"/>
  <c r="Q28" i="1"/>
  <c r="P12" i="3" s="1"/>
  <c r="Q150" i="1"/>
  <c r="Q152" i="1"/>
  <c r="Q37" i="1"/>
  <c r="Q36" i="1"/>
  <c r="Q144" i="1"/>
  <c r="Q161" i="1"/>
  <c r="Q162" i="1"/>
  <c r="Q158" i="1"/>
  <c r="Q163" i="1"/>
  <c r="Q168" i="1"/>
  <c r="Q33" i="1"/>
  <c r="Q32" i="1"/>
  <c r="Q39" i="1"/>
  <c r="Q38" i="1"/>
  <c r="Q153" i="1"/>
  <c r="Q165" i="1"/>
  <c r="Q157" i="1"/>
  <c r="Q155" i="1"/>
  <c r="Q148" i="1"/>
  <c r="Q169" i="1"/>
  <c r="Q156" i="1"/>
  <c r="Q167" i="1"/>
  <c r="Q166" i="1"/>
  <c r="Q172" i="1"/>
  <c r="Q44" i="1"/>
  <c r="R19" i="1"/>
  <c r="R17" i="1"/>
  <c r="R9" i="1"/>
  <c r="R8" i="1"/>
  <c r="R7" i="1"/>
  <c r="R6" i="1"/>
  <c r="R11" i="1"/>
  <c r="R10" i="1"/>
  <c r="R16" i="1"/>
  <c r="R14" i="1" s="1"/>
  <c r="R18" i="1"/>
  <c r="Q80" i="1"/>
  <c r="Q67" i="1"/>
  <c r="Q66" i="1"/>
  <c r="Q71" i="1"/>
  <c r="Q70" i="1"/>
  <c r="Q69" i="1"/>
  <c r="Q68" i="1"/>
  <c r="Q74" i="1" s="1"/>
  <c r="Q81" i="1"/>
  <c r="Q82" i="1"/>
  <c r="Q83" i="1" s="1"/>
  <c r="Q90" i="1"/>
  <c r="P53" i="3" s="1"/>
  <c r="Q89" i="1"/>
  <c r="Q93" i="1"/>
  <c r="Q92" i="1"/>
  <c r="Q102" i="1"/>
  <c r="Q101" i="1"/>
  <c r="Q103" i="1" s="1"/>
  <c r="Q99" i="1"/>
  <c r="Q98" i="1"/>
  <c r="Q100" i="1" s="1"/>
  <c r="Q96" i="1"/>
  <c r="Q95" i="1"/>
  <c r="Q97" i="1" s="1"/>
  <c r="AR81" i="1"/>
  <c r="AR82" i="1"/>
  <c r="AR90" i="1"/>
  <c r="AR89" i="1"/>
  <c r="AR93" i="1"/>
  <c r="AR92" i="1"/>
  <c r="AR102" i="1"/>
  <c r="AR101" i="1"/>
  <c r="AR103" i="1" s="1"/>
  <c r="AR99" i="1"/>
  <c r="AR98" i="1"/>
  <c r="AR100" i="1" s="1"/>
  <c r="AR96" i="1"/>
  <c r="AR95" i="1"/>
  <c r="AR97" i="1" s="1"/>
  <c r="AS19" i="1"/>
  <c r="AS17" i="1"/>
  <c r="AS11" i="1"/>
  <c r="AS9" i="1"/>
  <c r="AS8" i="1"/>
  <c r="AS7" i="1"/>
  <c r="AS13" i="1" s="1"/>
  <c r="AS6" i="1"/>
  <c r="AS10" i="1"/>
  <c r="AS16" i="1"/>
  <c r="AS14" i="1" s="1"/>
  <c r="AS18" i="1"/>
  <c r="AR34" i="1"/>
  <c r="AR35" i="1"/>
  <c r="AR40" i="1"/>
  <c r="AR154" i="1"/>
  <c r="AR41" i="1"/>
  <c r="AR147" i="1"/>
  <c r="AR31" i="1"/>
  <c r="AR30" i="1"/>
  <c r="AR143" i="1"/>
  <c r="AR27" i="1"/>
  <c r="AR26" i="1"/>
  <c r="AR145" i="1"/>
  <c r="AR160" i="1"/>
  <c r="AR149" i="1"/>
  <c r="AR29" i="1"/>
  <c r="AR28" i="1"/>
  <c r="AR150" i="1"/>
  <c r="AR152" i="1"/>
  <c r="AR37" i="1"/>
  <c r="AR36" i="1"/>
  <c r="AR144" i="1"/>
  <c r="AR161" i="1"/>
  <c r="AR162" i="1"/>
  <c r="AR158" i="1"/>
  <c r="AR163" i="1"/>
  <c r="AR168" i="1"/>
  <c r="AR33" i="1"/>
  <c r="AR32" i="1"/>
  <c r="AR39" i="1"/>
  <c r="AR38" i="1"/>
  <c r="AR153" i="1"/>
  <c r="AR165" i="1"/>
  <c r="AR157" i="1"/>
  <c r="AR155" i="1"/>
  <c r="AR148" i="1"/>
  <c r="AR169" i="1"/>
  <c r="AR156" i="1"/>
  <c r="AR167" i="1"/>
  <c r="AR166" i="1"/>
  <c r="AR172" i="1"/>
  <c r="AR44" i="1"/>
  <c r="AR80" i="1"/>
  <c r="AR84" i="1" s="1"/>
  <c r="AR67" i="1"/>
  <c r="AR66" i="1"/>
  <c r="AR71" i="1"/>
  <c r="AR70" i="1"/>
  <c r="AR69" i="1"/>
  <c r="AR68" i="1"/>
  <c r="AR74" i="1" s="1"/>
  <c r="AR136" i="1"/>
  <c r="AR132" i="1"/>
  <c r="AR131" i="1"/>
  <c r="AR127" i="1"/>
  <c r="AR126" i="1"/>
  <c r="AR124" i="1"/>
  <c r="AR123" i="1"/>
  <c r="AR133" i="1"/>
  <c r="AR128" i="1"/>
  <c r="AR125" i="1"/>
  <c r="AR135" i="1"/>
  <c r="AR130" i="1"/>
  <c r="AR134" i="1"/>
  <c r="AR129" i="1"/>
  <c r="AR114" i="1"/>
  <c r="AR116" i="1"/>
  <c r="AR112" i="1"/>
  <c r="AR110" i="1"/>
  <c r="P81" i="1"/>
  <c r="P82" i="1"/>
  <c r="P90" i="1"/>
  <c r="O53" i="3" s="1"/>
  <c r="P89" i="1"/>
  <c r="P93" i="1"/>
  <c r="P92" i="1"/>
  <c r="P102" i="1"/>
  <c r="P101" i="1"/>
  <c r="P103" i="1" s="1"/>
  <c r="P99" i="1"/>
  <c r="P98" i="1"/>
  <c r="P100" i="1" s="1"/>
  <c r="P96" i="1"/>
  <c r="P95" i="1"/>
  <c r="P97" i="1" s="1"/>
  <c r="P136" i="1"/>
  <c r="P132" i="1"/>
  <c r="P131" i="1"/>
  <c r="P127" i="1"/>
  <c r="P126" i="1"/>
  <c r="P124" i="1"/>
  <c r="P123" i="1"/>
  <c r="P133" i="1"/>
  <c r="P128" i="1"/>
  <c r="P125" i="1"/>
  <c r="P135" i="1"/>
  <c r="P130" i="1"/>
  <c r="P134" i="1"/>
  <c r="P129" i="1"/>
  <c r="Q19" i="1"/>
  <c r="Q17" i="1"/>
  <c r="Q9" i="1"/>
  <c r="Q8" i="1"/>
  <c r="Q7" i="1"/>
  <c r="Q6" i="1"/>
  <c r="Q11" i="1"/>
  <c r="Q10" i="1"/>
  <c r="Q16" i="1"/>
  <c r="Q14" i="1" s="1"/>
  <c r="Q18" i="1"/>
  <c r="P80" i="1"/>
  <c r="P84" i="1" s="1"/>
  <c r="P67" i="1"/>
  <c r="P66" i="1"/>
  <c r="P71" i="1"/>
  <c r="P70" i="1"/>
  <c r="P69" i="1"/>
  <c r="P68" i="1"/>
  <c r="P74" i="1" s="1"/>
  <c r="P34" i="1"/>
  <c r="P35" i="1"/>
  <c r="P40" i="1"/>
  <c r="P154" i="1"/>
  <c r="P41" i="1"/>
  <c r="P147" i="1"/>
  <c r="P31" i="1"/>
  <c r="P30" i="1"/>
  <c r="P143" i="1"/>
  <c r="P27" i="1"/>
  <c r="P26" i="1"/>
  <c r="P145" i="1"/>
  <c r="P160" i="1"/>
  <c r="P149" i="1"/>
  <c r="P29" i="1"/>
  <c r="O7" i="3" s="1"/>
  <c r="P28" i="1"/>
  <c r="O12" i="3" s="1"/>
  <c r="P150" i="1"/>
  <c r="P152" i="1"/>
  <c r="P37" i="1"/>
  <c r="P36" i="1"/>
  <c r="P144" i="1"/>
  <c r="P161" i="1"/>
  <c r="P162" i="1"/>
  <c r="P158" i="1"/>
  <c r="P163" i="1"/>
  <c r="P168" i="1"/>
  <c r="P33" i="1"/>
  <c r="P32" i="1"/>
  <c r="P39" i="1"/>
  <c r="P38" i="1"/>
  <c r="P153" i="1"/>
  <c r="P165" i="1"/>
  <c r="P157" i="1"/>
  <c r="P155" i="1"/>
  <c r="P148" i="1"/>
  <c r="P169" i="1"/>
  <c r="P156" i="1"/>
  <c r="P167" i="1"/>
  <c r="P166" i="1"/>
  <c r="P172" i="1"/>
  <c r="P44" i="1"/>
  <c r="AQ114" i="1"/>
  <c r="AQ116" i="1"/>
  <c r="AQ112" i="1"/>
  <c r="AQ110" i="1"/>
  <c r="AQ34" i="1"/>
  <c r="AQ35" i="1"/>
  <c r="AQ40" i="1"/>
  <c r="AQ154" i="1"/>
  <c r="AQ41" i="1"/>
  <c r="AQ147" i="1"/>
  <c r="AQ31" i="1"/>
  <c r="AQ30" i="1"/>
  <c r="AQ143" i="1"/>
  <c r="AQ27" i="1"/>
  <c r="AQ26" i="1"/>
  <c r="AQ145" i="1"/>
  <c r="AQ160" i="1"/>
  <c r="AQ149" i="1"/>
  <c r="AQ29" i="1"/>
  <c r="AQ28" i="1"/>
  <c r="AQ150" i="1"/>
  <c r="AQ152" i="1"/>
  <c r="AQ37" i="1"/>
  <c r="AQ36" i="1"/>
  <c r="AQ144" i="1"/>
  <c r="AQ161" i="1"/>
  <c r="AQ162" i="1"/>
  <c r="AQ158" i="1"/>
  <c r="AQ163" i="1"/>
  <c r="AQ168" i="1"/>
  <c r="AQ33" i="1"/>
  <c r="AQ32" i="1"/>
  <c r="AQ39" i="1"/>
  <c r="AQ38" i="1"/>
  <c r="AQ153" i="1"/>
  <c r="AQ165" i="1"/>
  <c r="AQ157" i="1"/>
  <c r="AQ155" i="1"/>
  <c r="AQ148" i="1"/>
  <c r="AQ169" i="1"/>
  <c r="AQ156" i="1"/>
  <c r="AQ167" i="1"/>
  <c r="AQ166" i="1"/>
  <c r="AQ172" i="1"/>
  <c r="AQ44" i="1"/>
  <c r="AQ90" i="1"/>
  <c r="AQ89" i="1"/>
  <c r="AQ93" i="1"/>
  <c r="AQ92" i="1"/>
  <c r="AQ102" i="1"/>
  <c r="AQ101" i="1"/>
  <c r="AQ103" i="1" s="1"/>
  <c r="AQ99" i="1"/>
  <c r="AQ98" i="1"/>
  <c r="AQ100" i="1" s="1"/>
  <c r="AQ96" i="1"/>
  <c r="AQ95" i="1"/>
  <c r="AQ97" i="1" s="1"/>
  <c r="AR19" i="1"/>
  <c r="AR17" i="1"/>
  <c r="AR9" i="1"/>
  <c r="AR8" i="1"/>
  <c r="AR7" i="1"/>
  <c r="AR6" i="1"/>
  <c r="AR11" i="1"/>
  <c r="AR10" i="1"/>
  <c r="AR16" i="1"/>
  <c r="AR14" i="1" s="1"/>
  <c r="AR18" i="1"/>
  <c r="AQ81" i="1"/>
  <c r="AQ82" i="1"/>
  <c r="AQ80" i="1"/>
  <c r="AQ84" i="1" s="1"/>
  <c r="AQ67" i="1"/>
  <c r="AQ66" i="1"/>
  <c r="AQ71" i="1"/>
  <c r="AQ70" i="1"/>
  <c r="AQ69" i="1"/>
  <c r="AQ68" i="1"/>
  <c r="AQ74" i="1" s="1"/>
  <c r="AQ136" i="1"/>
  <c r="AQ132" i="1"/>
  <c r="AQ131" i="1"/>
  <c r="AQ127" i="1"/>
  <c r="AQ126" i="1"/>
  <c r="AQ124" i="1"/>
  <c r="AQ123" i="1"/>
  <c r="AQ133" i="1"/>
  <c r="AQ128" i="1"/>
  <c r="AQ125" i="1"/>
  <c r="AQ135" i="1"/>
  <c r="AQ130" i="1"/>
  <c r="AQ134" i="1"/>
  <c r="AQ129" i="1"/>
  <c r="O80" i="1"/>
  <c r="O67" i="1"/>
  <c r="O66" i="1"/>
  <c r="O71" i="1"/>
  <c r="O70" i="1"/>
  <c r="O69" i="1"/>
  <c r="O68" i="1"/>
  <c r="O74" i="1" s="1"/>
  <c r="O34" i="1"/>
  <c r="O35" i="1"/>
  <c r="O40" i="1"/>
  <c r="O154" i="1"/>
  <c r="O41" i="1"/>
  <c r="O147" i="1"/>
  <c r="O31" i="1"/>
  <c r="O30" i="1"/>
  <c r="O143" i="1"/>
  <c r="O27" i="1"/>
  <c r="O26" i="1"/>
  <c r="O145" i="1"/>
  <c r="O160" i="1"/>
  <c r="O149" i="1"/>
  <c r="O29" i="1"/>
  <c r="N7" i="3" s="1"/>
  <c r="O28" i="1"/>
  <c r="N12" i="3" s="1"/>
  <c r="O150" i="1"/>
  <c r="O152" i="1"/>
  <c r="O37" i="1"/>
  <c r="O36" i="1"/>
  <c r="O144" i="1"/>
  <c r="O161" i="1"/>
  <c r="O162" i="1"/>
  <c r="O158" i="1"/>
  <c r="O163" i="1"/>
  <c r="O168" i="1"/>
  <c r="O33" i="1"/>
  <c r="O32" i="1"/>
  <c r="O39" i="1"/>
  <c r="O38" i="1"/>
  <c r="O153" i="1"/>
  <c r="O165" i="1"/>
  <c r="O157" i="1"/>
  <c r="O155" i="1"/>
  <c r="O148" i="1"/>
  <c r="O169" i="1"/>
  <c r="O156" i="1"/>
  <c r="O167" i="1"/>
  <c r="O166" i="1"/>
  <c r="O172" i="1"/>
  <c r="O44" i="1"/>
  <c r="O81" i="1"/>
  <c r="O82" i="1"/>
  <c r="O83" i="1" s="1"/>
  <c r="O90" i="1"/>
  <c r="N53" i="3" s="1"/>
  <c r="O89" i="1"/>
  <c r="O93" i="1"/>
  <c r="O92" i="1"/>
  <c r="O102" i="1"/>
  <c r="O101" i="1"/>
  <c r="O103" i="1" s="1"/>
  <c r="O99" i="1"/>
  <c r="O98" i="1"/>
  <c r="O100" i="1" s="1"/>
  <c r="O96" i="1"/>
  <c r="O95" i="1"/>
  <c r="O97" i="1" s="1"/>
  <c r="P19" i="1"/>
  <c r="P17" i="1"/>
  <c r="P9" i="1"/>
  <c r="P8" i="1"/>
  <c r="P7" i="1"/>
  <c r="P6" i="1"/>
  <c r="P11" i="1"/>
  <c r="P10" i="1"/>
  <c r="P16" i="1"/>
  <c r="P14" i="1" s="1"/>
  <c r="P18" i="1"/>
  <c r="O136" i="1"/>
  <c r="O132" i="1"/>
  <c r="O131" i="1"/>
  <c r="O127" i="1"/>
  <c r="O126" i="1"/>
  <c r="O124" i="1"/>
  <c r="O123" i="1"/>
  <c r="O133" i="1"/>
  <c r="O128" i="1"/>
  <c r="O125" i="1"/>
  <c r="O135" i="1"/>
  <c r="O130" i="1"/>
  <c r="O134" i="1"/>
  <c r="O129" i="1"/>
  <c r="AP34" i="1"/>
  <c r="AP35" i="1"/>
  <c r="AP40" i="1"/>
  <c r="AP154" i="1"/>
  <c r="AP41" i="1"/>
  <c r="AP147" i="1"/>
  <c r="AP31" i="1"/>
  <c r="AP30" i="1"/>
  <c r="AP143" i="1"/>
  <c r="AP27" i="1"/>
  <c r="AP26" i="1"/>
  <c r="AP145" i="1"/>
  <c r="AP160" i="1"/>
  <c r="AP149" i="1"/>
  <c r="AP29" i="1"/>
  <c r="AP28" i="1"/>
  <c r="AP150" i="1"/>
  <c r="AP152" i="1"/>
  <c r="AP37" i="1"/>
  <c r="AP36" i="1"/>
  <c r="AP144" i="1"/>
  <c r="AP161" i="1"/>
  <c r="AP162" i="1"/>
  <c r="AP158" i="1"/>
  <c r="AP163" i="1"/>
  <c r="AP168" i="1"/>
  <c r="AP33" i="1"/>
  <c r="AP32" i="1"/>
  <c r="AP39" i="1"/>
  <c r="AP38" i="1"/>
  <c r="AP153" i="1"/>
  <c r="AP165" i="1"/>
  <c r="AP157" i="1"/>
  <c r="AP155" i="1"/>
  <c r="AP148" i="1"/>
  <c r="AP169" i="1"/>
  <c r="AP156" i="1"/>
  <c r="AP167" i="1"/>
  <c r="AP166" i="1"/>
  <c r="AP172" i="1"/>
  <c r="AP44" i="1"/>
  <c r="AP80" i="1"/>
  <c r="AP67" i="1"/>
  <c r="AP66" i="1"/>
  <c r="AP71" i="1"/>
  <c r="AP70" i="1"/>
  <c r="AP69" i="1"/>
  <c r="AP68" i="1"/>
  <c r="AP74" i="1" s="1"/>
  <c r="AP90" i="1"/>
  <c r="AP89" i="1"/>
  <c r="AP93" i="1"/>
  <c r="AP92" i="1"/>
  <c r="AP102" i="1"/>
  <c r="AP101" i="1"/>
  <c r="AP103" i="1" s="1"/>
  <c r="AP99" i="1"/>
  <c r="AP98" i="1"/>
  <c r="AP100" i="1" s="1"/>
  <c r="AP96" i="1"/>
  <c r="AP95" i="1"/>
  <c r="AP97" i="1" s="1"/>
  <c r="AQ19" i="1"/>
  <c r="AQ17" i="1"/>
  <c r="AQ9" i="1"/>
  <c r="AQ8" i="1"/>
  <c r="AQ7" i="1"/>
  <c r="AQ6" i="1"/>
  <c r="AQ11" i="1"/>
  <c r="AQ10" i="1"/>
  <c r="AQ16" i="1"/>
  <c r="AQ14" i="1" s="1"/>
  <c r="AQ18" i="1"/>
  <c r="AP81" i="1"/>
  <c r="AP82" i="1" s="1"/>
  <c r="AP83" i="1" s="1"/>
  <c r="AP136" i="1"/>
  <c r="AP132" i="1"/>
  <c r="AP131" i="1"/>
  <c r="AP127" i="1"/>
  <c r="AP126" i="1"/>
  <c r="AP124" i="1"/>
  <c r="AP123" i="1"/>
  <c r="AP133" i="1"/>
  <c r="AP128" i="1"/>
  <c r="AP125" i="1"/>
  <c r="AP135" i="1"/>
  <c r="AP130" i="1"/>
  <c r="AP134" i="1"/>
  <c r="AP129" i="1"/>
  <c r="AP114" i="1"/>
  <c r="AP116" i="1"/>
  <c r="AP112" i="1"/>
  <c r="AP110" i="1"/>
  <c r="N34" i="1"/>
  <c r="N35" i="1"/>
  <c r="N40" i="1"/>
  <c r="N154" i="1"/>
  <c r="N41" i="1"/>
  <c r="N147" i="1"/>
  <c r="N31" i="1"/>
  <c r="N30" i="1"/>
  <c r="N143" i="1"/>
  <c r="N27" i="1"/>
  <c r="N26" i="1"/>
  <c r="N145" i="1"/>
  <c r="N160" i="1"/>
  <c r="N149" i="1"/>
  <c r="N29" i="1"/>
  <c r="M7" i="3" s="1"/>
  <c r="N28" i="1"/>
  <c r="M12" i="3" s="1"/>
  <c r="N150" i="1"/>
  <c r="N152" i="1"/>
  <c r="N37" i="1"/>
  <c r="N36" i="1"/>
  <c r="N144" i="1"/>
  <c r="N161" i="1"/>
  <c r="N162" i="1"/>
  <c r="N158" i="1"/>
  <c r="N163" i="1"/>
  <c r="N168" i="1"/>
  <c r="N33" i="1"/>
  <c r="N32" i="1"/>
  <c r="N39" i="1"/>
  <c r="N38" i="1"/>
  <c r="N153" i="1"/>
  <c r="N165" i="1"/>
  <c r="N157" i="1"/>
  <c r="N155" i="1"/>
  <c r="N148" i="1"/>
  <c r="N169" i="1"/>
  <c r="N156" i="1"/>
  <c r="N167" i="1"/>
  <c r="N166" i="1"/>
  <c r="N172" i="1"/>
  <c r="N44" i="1"/>
  <c r="N136" i="1"/>
  <c r="N132" i="1"/>
  <c r="N131" i="1"/>
  <c r="N127" i="1"/>
  <c r="N126" i="1"/>
  <c r="N124" i="1"/>
  <c r="N123" i="1"/>
  <c r="N133" i="1"/>
  <c r="N128" i="1"/>
  <c r="N125" i="1"/>
  <c r="N135" i="1"/>
  <c r="N130" i="1"/>
  <c r="N134" i="1"/>
  <c r="N129" i="1"/>
  <c r="O19" i="1"/>
  <c r="O17" i="1"/>
  <c r="O9" i="1"/>
  <c r="O8" i="1"/>
  <c r="O7" i="1"/>
  <c r="O6" i="1"/>
  <c r="O11" i="1"/>
  <c r="O10" i="1"/>
  <c r="O16" i="1"/>
  <c r="O14" i="1" s="1"/>
  <c r="O18" i="1"/>
  <c r="N81" i="1"/>
  <c r="N82" i="1"/>
  <c r="N90" i="1"/>
  <c r="M53" i="3" s="1"/>
  <c r="N89" i="1"/>
  <c r="N93" i="1"/>
  <c r="N92" i="1"/>
  <c r="N102" i="1"/>
  <c r="N101" i="1"/>
  <c r="N103" i="1" s="1"/>
  <c r="N99" i="1"/>
  <c r="N98" i="1"/>
  <c r="N96" i="1"/>
  <c r="N95" i="1"/>
  <c r="N97" i="1" s="1"/>
  <c r="N80" i="1"/>
  <c r="N67" i="1"/>
  <c r="N66" i="1"/>
  <c r="N71" i="1"/>
  <c r="N70" i="1"/>
  <c r="N69" i="1"/>
  <c r="N68" i="1"/>
  <c r="AO34" i="1"/>
  <c r="AO35" i="1"/>
  <c r="AO40" i="1"/>
  <c r="AO154" i="1"/>
  <c r="AO41" i="1"/>
  <c r="AO147" i="1"/>
  <c r="AO31" i="1"/>
  <c r="AO30" i="1"/>
  <c r="AO143" i="1"/>
  <c r="AO27" i="1"/>
  <c r="AO26" i="1"/>
  <c r="AO145" i="1"/>
  <c r="AO160" i="1"/>
  <c r="AO149" i="1"/>
  <c r="AO29" i="1"/>
  <c r="AO28" i="1"/>
  <c r="AO150" i="1"/>
  <c r="AO152" i="1"/>
  <c r="AO37" i="1"/>
  <c r="AO36" i="1"/>
  <c r="AO144" i="1"/>
  <c r="AO161" i="1"/>
  <c r="AO162" i="1"/>
  <c r="AO158" i="1"/>
  <c r="AO163" i="1"/>
  <c r="AO168" i="1"/>
  <c r="AO33" i="1"/>
  <c r="AO32" i="1"/>
  <c r="AO39" i="1"/>
  <c r="AO38" i="1"/>
  <c r="AO153" i="1"/>
  <c r="AO165" i="1"/>
  <c r="AO157" i="1"/>
  <c r="AO155" i="1"/>
  <c r="AO148" i="1"/>
  <c r="AO169" i="1"/>
  <c r="AO156" i="1"/>
  <c r="AO167" i="1"/>
  <c r="AO166" i="1"/>
  <c r="AO172" i="1"/>
  <c r="AO44" i="1"/>
  <c r="AO90" i="1"/>
  <c r="AO89" i="1"/>
  <c r="AO93" i="1"/>
  <c r="AO92" i="1"/>
  <c r="AO102" i="1"/>
  <c r="AO101" i="1"/>
  <c r="AO99" i="1"/>
  <c r="AO98" i="1"/>
  <c r="AO100" i="1" s="1"/>
  <c r="AO96" i="1"/>
  <c r="AO95" i="1"/>
  <c r="AO81" i="1"/>
  <c r="AO82" i="1" s="1"/>
  <c r="AP19" i="1"/>
  <c r="AP17" i="1"/>
  <c r="AP9" i="1"/>
  <c r="AP8" i="1"/>
  <c r="AP7" i="1"/>
  <c r="AP6" i="1"/>
  <c r="AP11" i="1"/>
  <c r="AP10" i="1"/>
  <c r="AP16" i="1"/>
  <c r="AP14" i="1" s="1"/>
  <c r="AP18" i="1"/>
  <c r="AO80" i="1"/>
  <c r="AO67" i="1"/>
  <c r="AO66" i="1"/>
  <c r="AO71" i="1"/>
  <c r="AO70" i="1"/>
  <c r="AO69" i="1"/>
  <c r="AO68" i="1"/>
  <c r="AO74" i="1" s="1"/>
  <c r="AO136" i="1"/>
  <c r="AO132" i="1"/>
  <c r="AO131" i="1"/>
  <c r="AO127" i="1"/>
  <c r="AO126" i="1"/>
  <c r="AO124" i="1"/>
  <c r="AO123" i="1"/>
  <c r="AO133" i="1"/>
  <c r="AO128" i="1"/>
  <c r="AO125" i="1"/>
  <c r="AO135" i="1"/>
  <c r="AO130" i="1"/>
  <c r="AO134" i="1"/>
  <c r="AO129" i="1"/>
  <c r="AO114" i="1"/>
  <c r="AO116" i="1"/>
  <c r="AO112" i="1"/>
  <c r="AO110" i="1"/>
  <c r="M90" i="1"/>
  <c r="L53" i="3" s="1"/>
  <c r="M89" i="1"/>
  <c r="M93" i="1"/>
  <c r="M92" i="1"/>
  <c r="M102" i="1"/>
  <c r="M101" i="1"/>
  <c r="M103" i="1" s="1"/>
  <c r="M99" i="1"/>
  <c r="M98" i="1"/>
  <c r="M100" i="1" s="1"/>
  <c r="M96" i="1"/>
  <c r="M95" i="1"/>
  <c r="M81" i="1"/>
  <c r="M82" i="1"/>
  <c r="M136" i="1"/>
  <c r="M132" i="1"/>
  <c r="M131" i="1"/>
  <c r="M127" i="1"/>
  <c r="M126" i="1"/>
  <c r="M124" i="1"/>
  <c r="M123" i="1"/>
  <c r="M133" i="1"/>
  <c r="M128" i="1"/>
  <c r="M125" i="1"/>
  <c r="M135" i="1"/>
  <c r="M130" i="1"/>
  <c r="M134" i="1"/>
  <c r="M129" i="1"/>
  <c r="M34" i="1"/>
  <c r="M35" i="1"/>
  <c r="M40" i="1"/>
  <c r="M154" i="1"/>
  <c r="M41" i="1"/>
  <c r="M147" i="1"/>
  <c r="M31" i="1"/>
  <c r="M30" i="1"/>
  <c r="M143" i="1"/>
  <c r="M27" i="1"/>
  <c r="M26" i="1"/>
  <c r="M145" i="1"/>
  <c r="M160" i="1"/>
  <c r="M149" i="1"/>
  <c r="M29" i="1"/>
  <c r="L7" i="3" s="1"/>
  <c r="M28" i="1"/>
  <c r="L12" i="3" s="1"/>
  <c r="M150" i="1"/>
  <c r="M152" i="1"/>
  <c r="M37" i="1"/>
  <c r="M36" i="1"/>
  <c r="M144" i="1"/>
  <c r="M161" i="1"/>
  <c r="M162" i="1"/>
  <c r="M158" i="1"/>
  <c r="M163" i="1"/>
  <c r="M168" i="1"/>
  <c r="M33" i="1"/>
  <c r="M32" i="1"/>
  <c r="M39" i="1"/>
  <c r="M38" i="1"/>
  <c r="M153" i="1"/>
  <c r="M165" i="1"/>
  <c r="M157" i="1"/>
  <c r="M155" i="1"/>
  <c r="M148" i="1"/>
  <c r="M169" i="1"/>
  <c r="M156" i="1"/>
  <c r="M167" i="1"/>
  <c r="M166" i="1"/>
  <c r="M172" i="1"/>
  <c r="W172" i="1" s="1"/>
  <c r="M44" i="1"/>
  <c r="W44" i="1" s="1"/>
  <c r="M80" i="1"/>
  <c r="M84" i="1" s="1"/>
  <c r="M67" i="1"/>
  <c r="M66" i="1"/>
  <c r="M71" i="1"/>
  <c r="M70" i="1"/>
  <c r="M69" i="1"/>
  <c r="M68" i="1"/>
  <c r="M74" i="1" s="1"/>
  <c r="N19" i="1"/>
  <c r="N17" i="1"/>
  <c r="N9" i="1"/>
  <c r="N8" i="1"/>
  <c r="N7" i="1"/>
  <c r="N6" i="1"/>
  <c r="N11" i="1"/>
  <c r="N10" i="1"/>
  <c r="N16" i="1"/>
  <c r="N18" i="1"/>
  <c r="W18" i="1" s="1"/>
  <c r="AN114" i="1"/>
  <c r="AN116" i="1"/>
  <c r="AN112" i="1"/>
  <c r="AN110" i="1"/>
  <c r="AN81" i="1"/>
  <c r="AN82" i="1" s="1"/>
  <c r="AO19" i="1"/>
  <c r="AO17" i="1"/>
  <c r="AO9" i="1"/>
  <c r="AO8" i="1"/>
  <c r="AO7" i="1"/>
  <c r="AO6" i="1"/>
  <c r="AO11" i="1"/>
  <c r="AO10" i="1"/>
  <c r="AO16" i="1"/>
  <c r="AO14" i="1" s="1"/>
  <c r="AO18" i="1"/>
  <c r="AN34" i="1"/>
  <c r="AN35" i="1"/>
  <c r="AN40" i="1"/>
  <c r="AN154" i="1"/>
  <c r="AN41" i="1"/>
  <c r="AN147" i="1"/>
  <c r="AN31" i="1"/>
  <c r="AN30" i="1"/>
  <c r="AN143" i="1"/>
  <c r="AN27" i="1"/>
  <c r="AN26" i="1"/>
  <c r="AN145" i="1"/>
  <c r="AN160" i="1"/>
  <c r="AN149" i="1"/>
  <c r="AN29" i="1"/>
  <c r="AN28" i="1"/>
  <c r="AN150" i="1"/>
  <c r="AN152" i="1"/>
  <c r="AN37" i="1"/>
  <c r="AN36" i="1"/>
  <c r="AN144" i="1"/>
  <c r="AN161" i="1"/>
  <c r="AN162" i="1"/>
  <c r="AN158" i="1"/>
  <c r="AN163" i="1"/>
  <c r="AN168" i="1"/>
  <c r="AN33" i="1"/>
  <c r="AN32" i="1"/>
  <c r="AN39" i="1"/>
  <c r="AN38" i="1"/>
  <c r="AN153" i="1"/>
  <c r="AN165" i="1"/>
  <c r="AN157" i="1"/>
  <c r="AN155" i="1"/>
  <c r="AN148" i="1"/>
  <c r="AN169" i="1"/>
  <c r="AN156" i="1"/>
  <c r="AN167" i="1"/>
  <c r="AN166" i="1"/>
  <c r="AN172" i="1"/>
  <c r="AN44" i="1"/>
  <c r="AN80" i="1"/>
  <c r="AN67" i="1"/>
  <c r="AN66" i="1"/>
  <c r="AN71" i="1"/>
  <c r="AN70" i="1"/>
  <c r="AN69" i="1"/>
  <c r="AN68" i="1"/>
  <c r="AN136" i="1"/>
  <c r="AN132" i="1"/>
  <c r="AN131" i="1"/>
  <c r="AN127" i="1"/>
  <c r="AN126" i="1"/>
  <c r="AN124" i="1"/>
  <c r="AN123" i="1"/>
  <c r="AN133" i="1"/>
  <c r="AN128" i="1"/>
  <c r="AN125" i="1"/>
  <c r="AN135" i="1"/>
  <c r="AN130" i="1"/>
  <c r="AN134" i="1"/>
  <c r="AN129" i="1"/>
  <c r="AN90" i="1"/>
  <c r="AN89" i="1"/>
  <c r="AN93" i="1"/>
  <c r="AN92" i="1"/>
  <c r="AN102" i="1"/>
  <c r="AN101" i="1"/>
  <c r="AN103" i="1" s="1"/>
  <c r="AN99" i="1"/>
  <c r="AN98" i="1"/>
  <c r="AN100" i="1" s="1"/>
  <c r="AN96" i="1"/>
  <c r="AN95" i="1"/>
  <c r="K136" i="1"/>
  <c r="K132" i="1"/>
  <c r="K131" i="1"/>
  <c r="K127" i="1"/>
  <c r="K126" i="1"/>
  <c r="K124" i="1"/>
  <c r="K123" i="1"/>
  <c r="K133" i="1"/>
  <c r="K128" i="1"/>
  <c r="K125" i="1"/>
  <c r="K135" i="1"/>
  <c r="K130" i="1"/>
  <c r="K134" i="1"/>
  <c r="K129" i="1"/>
  <c r="K34" i="1"/>
  <c r="K35" i="1"/>
  <c r="K40" i="1"/>
  <c r="K154" i="1"/>
  <c r="K41" i="1"/>
  <c r="K147" i="1"/>
  <c r="K31" i="1"/>
  <c r="K30" i="1"/>
  <c r="K143" i="1"/>
  <c r="K27" i="1"/>
  <c r="K26" i="1"/>
  <c r="K145" i="1"/>
  <c r="K160" i="1"/>
  <c r="K149" i="1"/>
  <c r="K29" i="1"/>
  <c r="K28" i="1"/>
  <c r="K150" i="1"/>
  <c r="K152" i="1"/>
  <c r="K37" i="1"/>
  <c r="K36" i="1"/>
  <c r="K144" i="1"/>
  <c r="K161" i="1"/>
  <c r="K162" i="1"/>
  <c r="K158" i="1"/>
  <c r="K163" i="1"/>
  <c r="K168" i="1"/>
  <c r="K33" i="1"/>
  <c r="K32" i="1"/>
  <c r="K39" i="1"/>
  <c r="K38" i="1"/>
  <c r="K153" i="1"/>
  <c r="K165" i="1"/>
  <c r="K157" i="1"/>
  <c r="K155" i="1"/>
  <c r="K148" i="1"/>
  <c r="K169" i="1"/>
  <c r="K156" i="1"/>
  <c r="K167" i="1"/>
  <c r="K166" i="1"/>
  <c r="K81" i="1"/>
  <c r="K82" i="1" s="1"/>
  <c r="K90" i="1"/>
  <c r="K89" i="1"/>
  <c r="K93" i="1"/>
  <c r="K92" i="1"/>
  <c r="K102" i="1"/>
  <c r="K101" i="1"/>
  <c r="K99" i="1"/>
  <c r="K98" i="1"/>
  <c r="K96" i="1"/>
  <c r="K95" i="1"/>
  <c r="K80" i="1"/>
  <c r="K67" i="1"/>
  <c r="K66" i="1"/>
  <c r="K71" i="1"/>
  <c r="K70" i="1"/>
  <c r="K69" i="1"/>
  <c r="K68" i="1"/>
  <c r="M19" i="1"/>
  <c r="M17" i="1"/>
  <c r="W17" i="1" s="1"/>
  <c r="M9" i="1"/>
  <c r="W9" i="1" s="1"/>
  <c r="M8" i="1"/>
  <c r="W8" i="1" s="1"/>
  <c r="M7" i="1"/>
  <c r="M6" i="1"/>
  <c r="M11" i="1"/>
  <c r="W11" i="1" s="1"/>
  <c r="M10" i="1"/>
  <c r="W10" i="1" s="1"/>
  <c r="L136" i="1"/>
  <c r="L132" i="1"/>
  <c r="L131" i="1"/>
  <c r="L127" i="1"/>
  <c r="L126" i="1"/>
  <c r="L124" i="1"/>
  <c r="L123" i="1"/>
  <c r="L133" i="1"/>
  <c r="L128" i="1"/>
  <c r="L125" i="1"/>
  <c r="L135" i="1"/>
  <c r="L130" i="1"/>
  <c r="L134" i="1"/>
  <c r="L129" i="1"/>
  <c r="L80" i="1"/>
  <c r="L67" i="1"/>
  <c r="L66" i="1"/>
  <c r="L71" i="1"/>
  <c r="L70" i="1"/>
  <c r="L69" i="1"/>
  <c r="L68" i="1"/>
  <c r="L34" i="1"/>
  <c r="L35" i="1"/>
  <c r="L40" i="1"/>
  <c r="L154" i="1"/>
  <c r="L41" i="1"/>
  <c r="L147" i="1"/>
  <c r="L31" i="1"/>
  <c r="L30" i="1"/>
  <c r="L143" i="1"/>
  <c r="L27" i="1"/>
  <c r="L26" i="1"/>
  <c r="L145" i="1"/>
  <c r="L160" i="1"/>
  <c r="L149" i="1"/>
  <c r="L29" i="1"/>
  <c r="K7" i="3" s="1"/>
  <c r="L28" i="1"/>
  <c r="K12" i="3" s="1"/>
  <c r="L150" i="1"/>
  <c r="L152" i="1"/>
  <c r="L37" i="1"/>
  <c r="L36" i="1"/>
  <c r="L144" i="1"/>
  <c r="L161" i="1"/>
  <c r="L162" i="1"/>
  <c r="L158" i="1"/>
  <c r="L163" i="1"/>
  <c r="L168" i="1"/>
  <c r="L33" i="1"/>
  <c r="L32" i="1"/>
  <c r="L39" i="1"/>
  <c r="L38" i="1"/>
  <c r="L153" i="1"/>
  <c r="L165" i="1"/>
  <c r="L157" i="1"/>
  <c r="L155" i="1"/>
  <c r="L148" i="1"/>
  <c r="L169" i="1"/>
  <c r="L156" i="1"/>
  <c r="L167" i="1"/>
  <c r="L166" i="1"/>
  <c r="L81" i="1"/>
  <c r="L82" i="1" s="1"/>
  <c r="L83" i="1" s="1"/>
  <c r="L90" i="1"/>
  <c r="K53" i="3" s="1"/>
  <c r="L89" i="1"/>
  <c r="L93" i="1"/>
  <c r="L92" i="1"/>
  <c r="L102" i="1"/>
  <c r="L101" i="1"/>
  <c r="L99" i="1"/>
  <c r="L98" i="1"/>
  <c r="L100" i="1" s="1"/>
  <c r="L96" i="1"/>
  <c r="L95" i="1"/>
  <c r="AM114" i="1"/>
  <c r="AM116" i="1"/>
  <c r="AM112" i="1"/>
  <c r="AM110" i="1"/>
  <c r="AK81" i="1"/>
  <c r="AK82" i="1" s="1"/>
  <c r="AM34" i="1"/>
  <c r="AW34" i="1" s="1"/>
  <c r="AM35" i="1"/>
  <c r="AW35" i="1" s="1"/>
  <c r="AM40" i="1"/>
  <c r="AW40" i="1" s="1"/>
  <c r="AM154" i="1"/>
  <c r="AW154" i="1" s="1"/>
  <c r="AM41" i="1"/>
  <c r="AW41" i="1" s="1"/>
  <c r="AM147" i="1"/>
  <c r="AM31" i="1"/>
  <c r="AW31" i="1" s="1"/>
  <c r="AM30" i="1"/>
  <c r="AW30" i="1" s="1"/>
  <c r="AM143" i="1"/>
  <c r="AM27" i="1"/>
  <c r="AM26" i="1"/>
  <c r="AM145" i="1"/>
  <c r="AW145" i="1" s="1"/>
  <c r="AM160" i="1"/>
  <c r="AM149" i="1"/>
  <c r="AW149" i="1" s="1"/>
  <c r="AM29" i="1"/>
  <c r="AW29" i="1" s="1"/>
  <c r="AM28" i="1"/>
  <c r="AW28" i="1" s="1"/>
  <c r="AM150" i="1"/>
  <c r="AW150" i="1" s="1"/>
  <c r="AM152" i="1"/>
  <c r="AM37" i="1"/>
  <c r="AW37" i="1" s="1"/>
  <c r="AM36" i="1"/>
  <c r="AW36" i="1" s="1"/>
  <c r="AM144" i="1"/>
  <c r="AW144" i="1" s="1"/>
  <c r="AM161" i="1"/>
  <c r="AW161" i="1" s="1"/>
  <c r="AM162" i="1"/>
  <c r="AW162" i="1" s="1"/>
  <c r="AM158" i="1"/>
  <c r="AW158" i="1" s="1"/>
  <c r="AM163" i="1"/>
  <c r="AW163" i="1" s="1"/>
  <c r="AM168" i="1"/>
  <c r="AW168" i="1" s="1"/>
  <c r="AM33" i="1"/>
  <c r="AW33" i="1" s="1"/>
  <c r="AM32" i="1"/>
  <c r="AW32" i="1" s="1"/>
  <c r="AM39" i="1"/>
  <c r="AW39" i="1" s="1"/>
  <c r="AM38" i="1"/>
  <c r="AW38" i="1" s="1"/>
  <c r="AM153" i="1"/>
  <c r="AW153" i="1" s="1"/>
  <c r="AM165" i="1"/>
  <c r="AM157" i="1"/>
  <c r="AW157" i="1" s="1"/>
  <c r="AM155" i="1"/>
  <c r="AW155" i="1" s="1"/>
  <c r="AM148" i="1"/>
  <c r="AW148" i="1" s="1"/>
  <c r="AM169" i="1"/>
  <c r="AW169" i="1" s="1"/>
  <c r="AM156" i="1"/>
  <c r="AW156" i="1" s="1"/>
  <c r="AM167" i="1"/>
  <c r="AW167" i="1" s="1"/>
  <c r="AM166" i="1"/>
  <c r="AW166" i="1" s="1"/>
  <c r="AM80" i="1"/>
  <c r="AM67" i="1"/>
  <c r="AM66" i="1"/>
  <c r="AM71" i="1"/>
  <c r="AM70" i="1"/>
  <c r="AM69" i="1"/>
  <c r="AM68" i="1"/>
  <c r="AN19" i="1"/>
  <c r="AN17" i="1"/>
  <c r="AN9" i="1"/>
  <c r="AN8" i="1"/>
  <c r="AN7" i="1"/>
  <c r="AN6" i="1"/>
  <c r="AN11" i="1"/>
  <c r="AN10" i="1"/>
  <c r="AL90" i="1"/>
  <c r="D5" i="4" s="1"/>
  <c r="AL89" i="1"/>
  <c r="D4" i="4" s="1"/>
  <c r="AL93" i="1"/>
  <c r="D8" i="4" s="1"/>
  <c r="AL92" i="1"/>
  <c r="D7" i="4" s="1"/>
  <c r="AL102" i="1"/>
  <c r="D17" i="4" s="1"/>
  <c r="AL101" i="1"/>
  <c r="D16" i="4" s="1"/>
  <c r="AL99" i="1"/>
  <c r="D14" i="4" s="1"/>
  <c r="AL98" i="1"/>
  <c r="AL96" i="1"/>
  <c r="D11" i="4" s="1"/>
  <c r="AL95" i="1"/>
  <c r="D10" i="4" s="1"/>
  <c r="AM81" i="1"/>
  <c r="AM82" i="1" s="1"/>
  <c r="AM83" i="1" s="1"/>
  <c r="AM90" i="1"/>
  <c r="AM89" i="1"/>
  <c r="AM93" i="1"/>
  <c r="AM92" i="1"/>
  <c r="AM102" i="1"/>
  <c r="AM101" i="1"/>
  <c r="AM99" i="1"/>
  <c r="AM98" i="1"/>
  <c r="AM96" i="1"/>
  <c r="AM95" i="1"/>
  <c r="AM136" i="1"/>
  <c r="AM132" i="1"/>
  <c r="AM131" i="1"/>
  <c r="AM127" i="1"/>
  <c r="AM126" i="1"/>
  <c r="AM124" i="1"/>
  <c r="AM123" i="1"/>
  <c r="AM133" i="1"/>
  <c r="AM128" i="1"/>
  <c r="AM125" i="1"/>
  <c r="AM135" i="1"/>
  <c r="AM130" i="1"/>
  <c r="AM134" i="1"/>
  <c r="AM129" i="1"/>
  <c r="AL81" i="1"/>
  <c r="AL82" i="1" s="1"/>
  <c r="AL136" i="1"/>
  <c r="J15" i="4" s="1"/>
  <c r="AL132" i="1"/>
  <c r="J13" i="4" s="1"/>
  <c r="AL131" i="1"/>
  <c r="J12" i="4" s="1"/>
  <c r="AL127" i="1"/>
  <c r="J8" i="4" s="1"/>
  <c r="AL126" i="1"/>
  <c r="J7" i="4" s="1"/>
  <c r="AL124" i="1"/>
  <c r="J5" i="4" s="1"/>
  <c r="AL123" i="1"/>
  <c r="J4" i="4" s="1"/>
  <c r="AL133" i="1"/>
  <c r="AL128" i="1"/>
  <c r="J9" i="4" s="1"/>
  <c r="AL125" i="1"/>
  <c r="J6" i="4" s="1"/>
  <c r="AL135" i="1"/>
  <c r="J14" i="4" s="1"/>
  <c r="AL130" i="1"/>
  <c r="J11" i="4" s="1"/>
  <c r="AL134" i="1"/>
  <c r="AL129" i="1"/>
  <c r="J10" i="4" s="1"/>
  <c r="AL80" i="1"/>
  <c r="AL67" i="1"/>
  <c r="AL66" i="1"/>
  <c r="AL71" i="1"/>
  <c r="AW71" i="1" s="1"/>
  <c r="F31" i="4" s="1"/>
  <c r="AL70" i="1"/>
  <c r="AL69" i="1"/>
  <c r="AL68" i="1"/>
  <c r="AM19" i="1"/>
  <c r="AM17" i="1"/>
  <c r="AW17" i="1" s="1"/>
  <c r="AM9" i="1"/>
  <c r="AW9" i="1" s="1"/>
  <c r="AM8" i="1"/>
  <c r="AM7" i="1"/>
  <c r="AM6" i="1"/>
  <c r="AM11" i="1"/>
  <c r="AM10" i="1"/>
  <c r="AW10" i="1" s="1"/>
  <c r="AK136" i="1"/>
  <c r="AK132" i="1"/>
  <c r="AK131" i="1"/>
  <c r="AK127" i="1"/>
  <c r="AK126" i="1"/>
  <c r="AK124" i="1"/>
  <c r="AK123" i="1"/>
  <c r="AK133" i="1"/>
  <c r="AK128" i="1"/>
  <c r="AK125" i="1"/>
  <c r="AK135" i="1"/>
  <c r="AK130" i="1"/>
  <c r="AK134" i="1"/>
  <c r="AK129" i="1"/>
  <c r="AK90" i="1"/>
  <c r="AK89" i="1"/>
  <c r="AK93" i="1"/>
  <c r="AK92" i="1"/>
  <c r="AK102" i="1"/>
  <c r="AK101" i="1"/>
  <c r="AK99" i="1"/>
  <c r="AK98" i="1"/>
  <c r="AK96" i="1"/>
  <c r="AK95" i="1"/>
  <c r="AL904" i="2"/>
  <c r="AT904" i="2" s="1"/>
  <c r="AS904" i="2"/>
  <c r="AS907" i="2"/>
  <c r="AL907" i="2"/>
  <c r="AT907" i="2" s="1"/>
  <c r="AS906" i="2"/>
  <c r="AL906" i="2"/>
  <c r="AT906" i="2" s="1"/>
  <c r="AS905" i="2"/>
  <c r="AZ18" i="1" s="1"/>
  <c r="AL905" i="2"/>
  <c r="AT905" i="2" s="1"/>
  <c r="AL100" i="1" l="1"/>
  <c r="D15" i="4" s="1"/>
  <c r="D13" i="4"/>
  <c r="AO97" i="1"/>
  <c r="N74" i="1"/>
  <c r="N84" i="1"/>
  <c r="N100" i="1"/>
  <c r="AW134" i="1"/>
  <c r="AM100" i="1"/>
  <c r="AL97" i="1"/>
  <c r="D12" i="4" s="1"/>
  <c r="AM74" i="1"/>
  <c r="AN97" i="1"/>
  <c r="AN74" i="1"/>
  <c r="AN84" i="1"/>
  <c r="M97" i="1"/>
  <c r="AO103" i="1"/>
  <c r="AM97" i="1"/>
  <c r="L103" i="1"/>
  <c r="AO84" i="1"/>
  <c r="AL112" i="1"/>
  <c r="P6" i="4" s="1"/>
  <c r="AW133" i="1"/>
  <c r="AW11" i="1"/>
  <c r="AW8" i="1"/>
  <c r="AM103" i="1"/>
  <c r="AL103" i="1"/>
  <c r="D18" i="4" s="1"/>
  <c r="L97" i="1"/>
  <c r="L74" i="1"/>
  <c r="AK16" i="1"/>
  <c r="AL114" i="1"/>
  <c r="AL172" i="1"/>
  <c r="AL173" i="1" s="1"/>
  <c r="AL44" i="1"/>
  <c r="AL45" i="1" s="1"/>
  <c r="AL16" i="1"/>
  <c r="AL14" i="1" s="1"/>
  <c r="AL15" i="1" s="1"/>
  <c r="AL21" i="1" s="1"/>
  <c r="AW96" i="1"/>
  <c r="E11" i="4" s="1"/>
  <c r="AW99" i="1"/>
  <c r="E14" i="4" s="1"/>
  <c r="AW102" i="1"/>
  <c r="E17" i="4" s="1"/>
  <c r="AW90" i="1"/>
  <c r="E5" i="4" s="1"/>
  <c r="AW129" i="1"/>
  <c r="K10" i="4" s="1"/>
  <c r="AW130" i="1"/>
  <c r="K11" i="4" s="1"/>
  <c r="AW135" i="1"/>
  <c r="K14" i="4" s="1"/>
  <c r="AW125" i="1"/>
  <c r="K6" i="4" s="1"/>
  <c r="AW128" i="1"/>
  <c r="K9" i="4" s="1"/>
  <c r="AW123" i="1"/>
  <c r="K4" i="4" s="1"/>
  <c r="AW124" i="1"/>
  <c r="K5" i="4" s="1"/>
  <c r="AW126" i="1"/>
  <c r="K7" i="4" s="1"/>
  <c r="AW127" i="1"/>
  <c r="K8" i="4" s="1"/>
  <c r="AW131" i="1"/>
  <c r="K12" i="4" s="1"/>
  <c r="AW132" i="1"/>
  <c r="K13" i="4" s="1"/>
  <c r="AK18" i="1"/>
  <c r="AW18" i="1" s="1"/>
  <c r="AK97" i="1"/>
  <c r="AW95" i="1"/>
  <c r="AK100" i="1"/>
  <c r="AW98" i="1"/>
  <c r="AK103" i="1"/>
  <c r="AW101" i="1"/>
  <c r="AK94" i="1"/>
  <c r="AW92" i="1"/>
  <c r="E7" i="4" s="1"/>
  <c r="AK105" i="1"/>
  <c r="AW93" i="1"/>
  <c r="AK91" i="1"/>
  <c r="AK104" i="1"/>
  <c r="AW89" i="1"/>
  <c r="E4" i="4" s="1"/>
  <c r="AK137" i="1"/>
  <c r="AW136" i="1"/>
  <c r="K15" i="4" s="1"/>
  <c r="AM12" i="1"/>
  <c r="AW6" i="1"/>
  <c r="AM13" i="1"/>
  <c r="AW7" i="1"/>
  <c r="AM20" i="1"/>
  <c r="AW19" i="1"/>
  <c r="AL74" i="1"/>
  <c r="AW68" i="1"/>
  <c r="F28" i="4" s="1"/>
  <c r="AL75" i="1"/>
  <c r="AW70" i="1"/>
  <c r="F30" i="4" s="1"/>
  <c r="AL72" i="1"/>
  <c r="AW66" i="1"/>
  <c r="AL73" i="1"/>
  <c r="AW67" i="1"/>
  <c r="AL84" i="1"/>
  <c r="AW80" i="1"/>
  <c r="AL137" i="1"/>
  <c r="J16" i="4" s="1"/>
  <c r="AL83" i="1"/>
  <c r="AM137" i="1"/>
  <c r="AM94" i="1"/>
  <c r="AM105" i="1"/>
  <c r="AM106" i="1" s="1"/>
  <c r="AM104" i="1"/>
  <c r="AM91" i="1"/>
  <c r="AL94" i="1"/>
  <c r="D9" i="4" s="1"/>
  <c r="AL105" i="1"/>
  <c r="AL104" i="1"/>
  <c r="D19" i="4" s="1"/>
  <c r="AL91" i="1"/>
  <c r="D6" i="4" s="1"/>
  <c r="AN12" i="1"/>
  <c r="AN15" i="1" s="1"/>
  <c r="AN13" i="1"/>
  <c r="AN20" i="1"/>
  <c r="AM75" i="1"/>
  <c r="AM72" i="1"/>
  <c r="AM73" i="1"/>
  <c r="AM84" i="1"/>
  <c r="AM164" i="1"/>
  <c r="AW165" i="1"/>
  <c r="AM151" i="1"/>
  <c r="AW152" i="1"/>
  <c r="AM159" i="1"/>
  <c r="AW160" i="1"/>
  <c r="AM42" i="1"/>
  <c r="AM45" i="1" s="1"/>
  <c r="AW26" i="1"/>
  <c r="AW42" i="1" s="1"/>
  <c r="AM43" i="1"/>
  <c r="AW27" i="1"/>
  <c r="AW43" i="1" s="1"/>
  <c r="AM142" i="1"/>
  <c r="AW143" i="1"/>
  <c r="AM146" i="1"/>
  <c r="AW147" i="1"/>
  <c r="AK84" i="1"/>
  <c r="AK83" i="1"/>
  <c r="AW82" i="1"/>
  <c r="AW81" i="1"/>
  <c r="AW110" i="1"/>
  <c r="AW112" i="1"/>
  <c r="AM118" i="1"/>
  <c r="AM117" i="1" s="1"/>
  <c r="AW116" i="1"/>
  <c r="AM115" i="1"/>
  <c r="L94" i="1"/>
  <c r="L105" i="1"/>
  <c r="L106" i="1" s="1"/>
  <c r="K54" i="3"/>
  <c r="L91" i="1"/>
  <c r="L104" i="1"/>
  <c r="L164" i="1"/>
  <c r="L151" i="1"/>
  <c r="L159" i="1"/>
  <c r="K11" i="3"/>
  <c r="L42" i="1"/>
  <c r="L45" i="1" s="1"/>
  <c r="K6" i="3"/>
  <c r="L43" i="1"/>
  <c r="L142" i="1"/>
  <c r="L146" i="1"/>
  <c r="L75" i="1"/>
  <c r="K34" i="3" s="1"/>
  <c r="L72" i="1"/>
  <c r="L73" i="1"/>
  <c r="L84" i="1"/>
  <c r="L137" i="1"/>
  <c r="M12" i="1"/>
  <c r="W6" i="1"/>
  <c r="M13" i="1"/>
  <c r="W7" i="1"/>
  <c r="M20" i="1"/>
  <c r="W19" i="1"/>
  <c r="K74" i="1"/>
  <c r="W68" i="1"/>
  <c r="W69" i="1"/>
  <c r="K75" i="1"/>
  <c r="J34" i="3" s="1"/>
  <c r="W70" i="1"/>
  <c r="W71" i="1"/>
  <c r="E31" i="4" s="1"/>
  <c r="K72" i="1"/>
  <c r="W66" i="1"/>
  <c r="K73" i="1"/>
  <c r="W67" i="1"/>
  <c r="K84" i="1"/>
  <c r="W80" i="1"/>
  <c r="K97" i="1"/>
  <c r="W97" i="1" s="1"/>
  <c r="W95" i="1"/>
  <c r="W96" i="1"/>
  <c r="K100" i="1"/>
  <c r="W100" i="1" s="1"/>
  <c r="W98" i="1"/>
  <c r="W99" i="1"/>
  <c r="K103" i="1"/>
  <c r="W103" i="1" s="1"/>
  <c r="W101" i="1"/>
  <c r="W102" i="1"/>
  <c r="K94" i="1"/>
  <c r="W92" i="1"/>
  <c r="K105" i="1"/>
  <c r="K106" i="1" s="1"/>
  <c r="J54" i="3"/>
  <c r="W93" i="1"/>
  <c r="K91" i="1"/>
  <c r="K104" i="1"/>
  <c r="W89" i="1"/>
  <c r="W104" i="1" s="1"/>
  <c r="J53" i="3"/>
  <c r="W90" i="1"/>
  <c r="K83" i="1"/>
  <c r="W82" i="1"/>
  <c r="W81" i="1"/>
  <c r="AX81" i="1" s="1"/>
  <c r="W166" i="1"/>
  <c r="W167" i="1"/>
  <c r="W156" i="1"/>
  <c r="AX156" i="1" s="1"/>
  <c r="W169" i="1"/>
  <c r="W148" i="1"/>
  <c r="W155" i="1"/>
  <c r="AX155" i="1" s="1"/>
  <c r="W157" i="1"/>
  <c r="K164" i="1"/>
  <c r="W165" i="1"/>
  <c r="W153" i="1"/>
  <c r="W38" i="1"/>
  <c r="W39" i="1"/>
  <c r="AX39" i="1" s="1"/>
  <c r="W32" i="1"/>
  <c r="W33" i="1"/>
  <c r="W168" i="1"/>
  <c r="AX168" i="1" s="1"/>
  <c r="W163" i="1"/>
  <c r="W158" i="1"/>
  <c r="W162" i="1"/>
  <c r="AX162" i="1" s="1"/>
  <c r="W161" i="1"/>
  <c r="W144" i="1"/>
  <c r="W36" i="1"/>
  <c r="AX36" i="1" s="1"/>
  <c r="W37" i="1"/>
  <c r="K151" i="1"/>
  <c r="W152" i="1"/>
  <c r="W150" i="1"/>
  <c r="J12" i="3"/>
  <c r="W28" i="1"/>
  <c r="J7" i="3"/>
  <c r="W29" i="1"/>
  <c r="W149" i="1"/>
  <c r="AX149" i="1" s="1"/>
  <c r="K159" i="1"/>
  <c r="W160" i="1"/>
  <c r="W145" i="1"/>
  <c r="AX145" i="1" s="1"/>
  <c r="J11" i="3"/>
  <c r="K42" i="1"/>
  <c r="K45" i="1" s="1"/>
  <c r="W26" i="1"/>
  <c r="J6" i="3"/>
  <c r="K43" i="1"/>
  <c r="W27" i="1"/>
  <c r="K142" i="1"/>
  <c r="W143" i="1"/>
  <c r="W30" i="1"/>
  <c r="AX30" i="1" s="1"/>
  <c r="W31" i="1"/>
  <c r="K146" i="1"/>
  <c r="W147" i="1"/>
  <c r="W41" i="1"/>
  <c r="W154" i="1"/>
  <c r="W40" i="1"/>
  <c r="AX40" i="1" s="1"/>
  <c r="W35" i="1"/>
  <c r="W34" i="1"/>
  <c r="W129" i="1"/>
  <c r="AX129" i="1" s="1"/>
  <c r="W134" i="1"/>
  <c r="W130" i="1"/>
  <c r="W135" i="1"/>
  <c r="W125" i="1"/>
  <c r="W128" i="1"/>
  <c r="W133" i="1"/>
  <c r="AX133" i="1" s="1"/>
  <c r="W123" i="1"/>
  <c r="W124" i="1"/>
  <c r="W126" i="1"/>
  <c r="AX126" i="1" s="1"/>
  <c r="W127" i="1"/>
  <c r="W131" i="1"/>
  <c r="W132" i="1"/>
  <c r="AX132" i="1" s="1"/>
  <c r="K137" i="1"/>
  <c r="W136" i="1"/>
  <c r="AN94" i="1"/>
  <c r="AN105" i="1"/>
  <c r="AN106" i="1" s="1"/>
  <c r="AN104" i="1"/>
  <c r="AN91" i="1"/>
  <c r="AN137" i="1"/>
  <c r="AN75" i="1"/>
  <c r="AN72" i="1"/>
  <c r="AN73" i="1"/>
  <c r="AN164" i="1"/>
  <c r="AN151" i="1"/>
  <c r="AN159" i="1"/>
  <c r="AN42" i="1"/>
  <c r="AN45" i="1" s="1"/>
  <c r="AN43" i="1"/>
  <c r="AN142" i="1"/>
  <c r="AN146" i="1"/>
  <c r="AO12" i="1"/>
  <c r="AO15" i="1" s="1"/>
  <c r="AO13" i="1"/>
  <c r="AO20" i="1"/>
  <c r="AN83" i="1"/>
  <c r="AN118" i="1"/>
  <c r="AN117" i="1" s="1"/>
  <c r="AN115" i="1"/>
  <c r="N14" i="1"/>
  <c r="W16" i="1"/>
  <c r="N12" i="1"/>
  <c r="N15" i="1" s="1"/>
  <c r="N13" i="1"/>
  <c r="N20" i="1"/>
  <c r="M75" i="1"/>
  <c r="L34" i="3" s="1"/>
  <c r="M72" i="1"/>
  <c r="M73" i="1"/>
  <c r="M164" i="1"/>
  <c r="M151" i="1"/>
  <c r="M159" i="1"/>
  <c r="L11" i="3"/>
  <c r="M42" i="1"/>
  <c r="M45" i="1" s="1"/>
  <c r="M43" i="1"/>
  <c r="L6" i="3"/>
  <c r="M142" i="1"/>
  <c r="M146" i="1"/>
  <c r="M137" i="1"/>
  <c r="M83" i="1"/>
  <c r="M94" i="1"/>
  <c r="M105" i="1"/>
  <c r="M106" i="1" s="1"/>
  <c r="L54" i="3"/>
  <c r="M91" i="1"/>
  <c r="M104" i="1"/>
  <c r="AO118" i="1"/>
  <c r="AO117" i="1" s="1"/>
  <c r="AO115" i="1"/>
  <c r="AO137" i="1"/>
  <c r="AO75" i="1"/>
  <c r="AO72" i="1"/>
  <c r="AO73" i="1"/>
  <c r="AP12" i="1"/>
  <c r="AP15" i="1" s="1"/>
  <c r="AP13" i="1"/>
  <c r="AP20" i="1"/>
  <c r="AO83" i="1"/>
  <c r="AO94" i="1"/>
  <c r="AO105" i="1"/>
  <c r="AO106" i="1" s="1"/>
  <c r="AO104" i="1"/>
  <c r="AO91" i="1"/>
  <c r="AO164" i="1"/>
  <c r="AO151" i="1"/>
  <c r="AO159" i="1"/>
  <c r="AO42" i="1"/>
  <c r="AO45" i="1" s="1"/>
  <c r="AO43" i="1"/>
  <c r="AO142" i="1"/>
  <c r="AO146" i="1"/>
  <c r="N75" i="1"/>
  <c r="M34" i="3" s="1"/>
  <c r="N72" i="1"/>
  <c r="N73" i="1"/>
  <c r="N94" i="1"/>
  <c r="N105" i="1"/>
  <c r="N106" i="1" s="1"/>
  <c r="M54" i="3"/>
  <c r="N104" i="1"/>
  <c r="N91" i="1"/>
  <c r="N83" i="1"/>
  <c r="O12" i="1"/>
  <c r="O15" i="1" s="1"/>
  <c r="O13" i="1"/>
  <c r="O20" i="1"/>
  <c r="N137" i="1"/>
  <c r="N164" i="1"/>
  <c r="N151" i="1"/>
  <c r="N159" i="1"/>
  <c r="M11" i="3"/>
  <c r="N42" i="1"/>
  <c r="N45" i="1" s="1"/>
  <c r="M6" i="3"/>
  <c r="N43" i="1"/>
  <c r="N142" i="1"/>
  <c r="N146" i="1"/>
  <c r="AP118" i="1"/>
  <c r="AP117" i="1" s="1"/>
  <c r="AP137" i="1"/>
  <c r="AQ12" i="1"/>
  <c r="AQ15" i="1" s="1"/>
  <c r="AQ13" i="1"/>
  <c r="AQ20" i="1"/>
  <c r="AP94" i="1"/>
  <c r="AP105" i="1"/>
  <c r="AP106" i="1" s="1"/>
  <c r="AP104" i="1"/>
  <c r="AP91" i="1"/>
  <c r="AP75" i="1"/>
  <c r="AP72" i="1"/>
  <c r="AP73" i="1"/>
  <c r="AP84" i="1"/>
  <c r="AP164" i="1"/>
  <c r="AP151" i="1"/>
  <c r="AP159" i="1"/>
  <c r="AP42" i="1"/>
  <c r="AP45" i="1" s="1"/>
  <c r="AP43" i="1"/>
  <c r="AP142" i="1"/>
  <c r="AP146" i="1"/>
  <c r="O137" i="1"/>
  <c r="P12" i="1"/>
  <c r="P15" i="1" s="1"/>
  <c r="P13" i="1"/>
  <c r="P20" i="1"/>
  <c r="O94" i="1"/>
  <c r="O105" i="1"/>
  <c r="O106" i="1" s="1"/>
  <c r="N54" i="3"/>
  <c r="O91" i="1"/>
  <c r="O104" i="1"/>
  <c r="O164" i="1"/>
  <c r="O151" i="1"/>
  <c r="O159" i="1"/>
  <c r="O42" i="1"/>
  <c r="O45" i="1" s="1"/>
  <c r="N11" i="3"/>
  <c r="N6" i="3"/>
  <c r="O43" i="1"/>
  <c r="O142" i="1"/>
  <c r="O146" i="1"/>
  <c r="O75" i="1"/>
  <c r="N34" i="3" s="1"/>
  <c r="O72" i="1"/>
  <c r="O73" i="1"/>
  <c r="O84" i="1"/>
  <c r="AQ137" i="1"/>
  <c r="AQ75" i="1"/>
  <c r="AQ72" i="1"/>
  <c r="AQ73" i="1"/>
  <c r="AQ83" i="1"/>
  <c r="AR12" i="1"/>
  <c r="AR15" i="1" s="1"/>
  <c r="AR13" i="1"/>
  <c r="AR20" i="1"/>
  <c r="AQ94" i="1"/>
  <c r="AQ105" i="1"/>
  <c r="AQ106" i="1" s="1"/>
  <c r="AQ104" i="1"/>
  <c r="AQ91" i="1"/>
  <c r="AQ164" i="1"/>
  <c r="AQ151" i="1"/>
  <c r="AQ159" i="1"/>
  <c r="AQ42" i="1"/>
  <c r="AQ45" i="1" s="1"/>
  <c r="AQ43" i="1"/>
  <c r="AQ142" i="1"/>
  <c r="AQ146" i="1"/>
  <c r="AQ118" i="1"/>
  <c r="AQ117" i="1" s="1"/>
  <c r="P164" i="1"/>
  <c r="P151" i="1"/>
  <c r="P159" i="1"/>
  <c r="P42" i="1"/>
  <c r="P45" i="1" s="1"/>
  <c r="O11" i="3"/>
  <c r="P43" i="1"/>
  <c r="O6" i="3"/>
  <c r="P142" i="1"/>
  <c r="P146" i="1"/>
  <c r="P75" i="1"/>
  <c r="O34" i="3" s="1"/>
  <c r="P72" i="1"/>
  <c r="P73" i="1"/>
  <c r="Q12" i="1"/>
  <c r="Q15" i="1" s="1"/>
  <c r="Q13" i="1"/>
  <c r="Q20" i="1"/>
  <c r="P137" i="1"/>
  <c r="P94" i="1"/>
  <c r="P105" i="1"/>
  <c r="P106" i="1" s="1"/>
  <c r="O54" i="3"/>
  <c r="P91" i="1"/>
  <c r="P104" i="1"/>
  <c r="P83" i="1"/>
  <c r="AR118" i="1"/>
  <c r="AR115" i="1" s="1"/>
  <c r="AR137" i="1"/>
  <c r="AR75" i="1"/>
  <c r="AR72" i="1"/>
  <c r="AR73" i="1"/>
  <c r="AR164" i="1"/>
  <c r="AR151" i="1"/>
  <c r="AR159" i="1"/>
  <c r="AR42" i="1"/>
  <c r="AR45" i="1" s="1"/>
  <c r="AR43" i="1"/>
  <c r="AR142" i="1"/>
  <c r="AR146" i="1"/>
  <c r="AS12" i="1"/>
  <c r="AS15" i="1" s="1"/>
  <c r="AS20" i="1"/>
  <c r="AR94" i="1"/>
  <c r="AR105" i="1"/>
  <c r="AR106" i="1" s="1"/>
  <c r="AR104" i="1"/>
  <c r="AR91" i="1"/>
  <c r="AR83" i="1"/>
  <c r="Q94" i="1"/>
  <c r="Q105" i="1"/>
  <c r="Q106" i="1" s="1"/>
  <c r="P54" i="3"/>
  <c r="Q91" i="1"/>
  <c r="Q104" i="1"/>
  <c r="Q75" i="1"/>
  <c r="P34" i="3" s="1"/>
  <c r="Q72" i="1"/>
  <c r="Q73" i="1"/>
  <c r="Q84" i="1"/>
  <c r="R12" i="1"/>
  <c r="R15" i="1" s="1"/>
  <c r="R13" i="1"/>
  <c r="R20" i="1"/>
  <c r="Q164" i="1"/>
  <c r="Q151" i="1"/>
  <c r="Q159" i="1"/>
  <c r="P11" i="3"/>
  <c r="Q42" i="1"/>
  <c r="Q45" i="1" s="1"/>
  <c r="P6" i="3"/>
  <c r="Q43" i="1"/>
  <c r="Q142" i="1"/>
  <c r="Q146" i="1"/>
  <c r="Q137" i="1"/>
  <c r="AS118" i="1"/>
  <c r="AS117" i="1" s="1"/>
  <c r="AS137" i="1"/>
  <c r="AS94" i="1"/>
  <c r="AS105" i="1"/>
  <c r="AS106" i="1" s="1"/>
  <c r="AS91" i="1"/>
  <c r="AS104" i="1"/>
  <c r="AS75" i="1"/>
  <c r="AS72" i="1"/>
  <c r="AS73" i="1"/>
  <c r="AS84" i="1"/>
  <c r="AS164" i="1"/>
  <c r="AS151" i="1"/>
  <c r="AS159" i="1"/>
  <c r="AS42" i="1"/>
  <c r="AS45" i="1" s="1"/>
  <c r="AS43" i="1"/>
  <c r="AS142" i="1"/>
  <c r="AS146" i="1"/>
  <c r="AT12" i="1"/>
  <c r="AT15" i="1" s="1"/>
  <c r="AT20" i="1"/>
  <c r="R137" i="1"/>
  <c r="R94" i="1"/>
  <c r="R105" i="1"/>
  <c r="R106" i="1" s="1"/>
  <c r="Q54" i="3"/>
  <c r="R91" i="1"/>
  <c r="R104" i="1"/>
  <c r="R164" i="1"/>
  <c r="R151" i="1"/>
  <c r="R159" i="1"/>
  <c r="Q11" i="3"/>
  <c r="R42" i="1"/>
  <c r="R45" i="1" s="1"/>
  <c r="R43" i="1"/>
  <c r="Q6" i="3"/>
  <c r="R142" i="1"/>
  <c r="R146" i="1"/>
  <c r="S12" i="1"/>
  <c r="S15" i="1" s="1"/>
  <c r="S13" i="1"/>
  <c r="S20" i="1"/>
  <c r="R75" i="1"/>
  <c r="Q34" i="3" s="1"/>
  <c r="R72" i="1"/>
  <c r="R73" i="1"/>
  <c r="R84" i="1"/>
  <c r="AT118" i="1"/>
  <c r="AT117" i="1" s="1"/>
  <c r="AT137" i="1"/>
  <c r="AT94" i="1"/>
  <c r="AT105" i="1"/>
  <c r="AT106" i="1" s="1"/>
  <c r="AT104" i="1"/>
  <c r="AT91" i="1"/>
  <c r="AT75" i="1"/>
  <c r="AT72" i="1"/>
  <c r="AT73" i="1"/>
  <c r="AT84" i="1"/>
  <c r="AT164" i="1"/>
  <c r="AT151" i="1"/>
  <c r="AT159" i="1"/>
  <c r="AT42" i="1"/>
  <c r="AT45" i="1" s="1"/>
  <c r="AT43" i="1"/>
  <c r="AT142" i="1"/>
  <c r="AT146" i="1"/>
  <c r="AU12" i="1"/>
  <c r="AU15" i="1" s="1"/>
  <c r="AU20" i="1"/>
  <c r="S75" i="1"/>
  <c r="R34" i="3" s="1"/>
  <c r="S72" i="1"/>
  <c r="S73" i="1"/>
  <c r="S83" i="1"/>
  <c r="S94" i="1"/>
  <c r="S105" i="1"/>
  <c r="S106" i="1" s="1"/>
  <c r="R54" i="3"/>
  <c r="S91" i="1"/>
  <c r="S104" i="1"/>
  <c r="S137" i="1"/>
  <c r="S164" i="1"/>
  <c r="S151" i="1"/>
  <c r="S159" i="1"/>
  <c r="R11" i="3"/>
  <c r="S42" i="1"/>
  <c r="S45" i="1" s="1"/>
  <c r="R6" i="3"/>
  <c r="S43" i="1"/>
  <c r="S142" i="1"/>
  <c r="S146" i="1"/>
  <c r="T12" i="1"/>
  <c r="T15" i="1" s="1"/>
  <c r="T13" i="1"/>
  <c r="T20" i="1"/>
  <c r="AU118" i="1"/>
  <c r="AU115" i="1" s="1"/>
  <c r="AU137" i="1"/>
  <c r="AU94" i="1"/>
  <c r="AU105" i="1"/>
  <c r="AU106" i="1" s="1"/>
  <c r="AU104" i="1"/>
  <c r="AU91" i="1"/>
  <c r="AU75" i="1"/>
  <c r="AU72" i="1"/>
  <c r="AU73" i="1"/>
  <c r="AU83" i="1"/>
  <c r="AU164" i="1"/>
  <c r="AU151" i="1"/>
  <c r="AU159" i="1"/>
  <c r="AU42" i="1"/>
  <c r="AU45" i="1" s="1"/>
  <c r="AU43" i="1"/>
  <c r="AU142" i="1"/>
  <c r="AU146" i="1"/>
  <c r="AV12" i="1"/>
  <c r="AV15" i="1" s="1"/>
  <c r="AV20" i="1"/>
  <c r="T94" i="1"/>
  <c r="T105" i="1"/>
  <c r="T106" i="1" s="1"/>
  <c r="S54" i="3"/>
  <c r="T104" i="1"/>
  <c r="T91" i="1"/>
  <c r="U12" i="1"/>
  <c r="U15" i="1" s="1"/>
  <c r="U13" i="1"/>
  <c r="U20" i="1"/>
  <c r="T75" i="1"/>
  <c r="S34" i="3" s="1"/>
  <c r="T72" i="1"/>
  <c r="T73" i="1"/>
  <c r="T84" i="1"/>
  <c r="T164" i="1"/>
  <c r="T151" i="1"/>
  <c r="T159" i="1"/>
  <c r="S11" i="3"/>
  <c r="T42" i="1"/>
  <c r="T45" i="1" s="1"/>
  <c r="S6" i="3"/>
  <c r="T43" i="1"/>
  <c r="T142" i="1"/>
  <c r="T146" i="1"/>
  <c r="T137" i="1"/>
  <c r="AV118" i="1"/>
  <c r="AV117" i="1" s="1"/>
  <c r="AV137" i="1"/>
  <c r="AV94" i="1"/>
  <c r="AV105" i="1"/>
  <c r="AV106" i="1" s="1"/>
  <c r="AV91" i="1"/>
  <c r="AV104" i="1"/>
  <c r="AV75" i="1"/>
  <c r="AV72" i="1"/>
  <c r="AV73" i="1"/>
  <c r="AV83" i="1"/>
  <c r="AV164" i="1"/>
  <c r="AV151" i="1"/>
  <c r="AV159" i="1"/>
  <c r="AV42" i="1"/>
  <c r="AV45" i="1" s="1"/>
  <c r="AV43" i="1"/>
  <c r="AV142" i="1"/>
  <c r="AV146" i="1"/>
  <c r="U164" i="1"/>
  <c r="U151" i="1"/>
  <c r="U159" i="1"/>
  <c r="U42" i="1"/>
  <c r="U45" i="1" s="1"/>
  <c r="T11" i="3"/>
  <c r="T6" i="3"/>
  <c r="U43" i="1"/>
  <c r="U142" i="1"/>
  <c r="U146" i="1"/>
  <c r="U137" i="1"/>
  <c r="U75" i="1"/>
  <c r="T34" i="3" s="1"/>
  <c r="U72" i="1"/>
  <c r="U73" i="1"/>
  <c r="U84" i="1"/>
  <c r="V12" i="1"/>
  <c r="V15" i="1" s="1"/>
  <c r="V13" i="1"/>
  <c r="V20" i="1"/>
  <c r="U94" i="1"/>
  <c r="U105" i="1"/>
  <c r="U106" i="1" s="1"/>
  <c r="T54" i="3"/>
  <c r="U104" i="1"/>
  <c r="U91" i="1"/>
  <c r="AX18" i="1"/>
  <c r="X14" i="1"/>
  <c r="AJ16" i="1"/>
  <c r="AX10" i="1"/>
  <c r="AX11" i="1"/>
  <c r="X12" i="1"/>
  <c r="AJ6" i="1"/>
  <c r="X13" i="1"/>
  <c r="AJ7" i="1"/>
  <c r="AX8" i="1"/>
  <c r="AX9" i="1"/>
  <c r="AX17" i="1"/>
  <c r="X20" i="1"/>
  <c r="AJ19" i="1"/>
  <c r="AX19" i="1" s="1"/>
  <c r="V94" i="1"/>
  <c r="V105" i="1"/>
  <c r="V106" i="1" s="1"/>
  <c r="U54" i="3"/>
  <c r="V91" i="1"/>
  <c r="V104" i="1"/>
  <c r="V137" i="1"/>
  <c r="V164" i="1"/>
  <c r="V151" i="1"/>
  <c r="V159" i="1"/>
  <c r="V42" i="1"/>
  <c r="V45" i="1" s="1"/>
  <c r="U11" i="3"/>
  <c r="U6" i="3"/>
  <c r="V43" i="1"/>
  <c r="V142" i="1"/>
  <c r="V146" i="1"/>
  <c r="V75" i="1"/>
  <c r="U34" i="3" s="1"/>
  <c r="V72" i="1"/>
  <c r="V73" i="1"/>
  <c r="V84" i="1"/>
  <c r="AX166" i="1"/>
  <c r="AX167" i="1"/>
  <c r="AX169" i="1"/>
  <c r="AX148" i="1"/>
  <c r="AX157" i="1"/>
  <c r="X164" i="1"/>
  <c r="AJ165" i="1"/>
  <c r="AX153" i="1"/>
  <c r="AX38" i="1"/>
  <c r="AX32" i="1"/>
  <c r="AX33" i="1"/>
  <c r="AX163" i="1"/>
  <c r="AX158" i="1"/>
  <c r="AX161" i="1"/>
  <c r="AX144" i="1"/>
  <c r="AX37" i="1"/>
  <c r="X151" i="1"/>
  <c r="AJ152" i="1"/>
  <c r="AX150" i="1"/>
  <c r="V12" i="3"/>
  <c r="AJ28" i="1"/>
  <c r="V7" i="3"/>
  <c r="AJ29" i="1"/>
  <c r="AX29" i="1" s="1"/>
  <c r="X159" i="1"/>
  <c r="AJ160" i="1"/>
  <c r="AX160" i="1" s="1"/>
  <c r="X42" i="1"/>
  <c r="X45" i="1" s="1"/>
  <c r="V11" i="3"/>
  <c r="AJ26" i="1"/>
  <c r="X43" i="1"/>
  <c r="V6" i="3"/>
  <c r="AJ27" i="1"/>
  <c r="X142" i="1"/>
  <c r="AJ143" i="1"/>
  <c r="AX143" i="1" s="1"/>
  <c r="AX31" i="1"/>
  <c r="X146" i="1"/>
  <c r="AJ147" i="1"/>
  <c r="AX41" i="1"/>
  <c r="AX154" i="1"/>
  <c r="AX35" i="1"/>
  <c r="AX34" i="1"/>
  <c r="Y12" i="1"/>
  <c r="Y15" i="1" s="1"/>
  <c r="Y13" i="1"/>
  <c r="Y20" i="1"/>
  <c r="X83" i="1"/>
  <c r="AJ82" i="1"/>
  <c r="AX134" i="1"/>
  <c r="AX125" i="1"/>
  <c r="AX128" i="1"/>
  <c r="AX124" i="1"/>
  <c r="AX131" i="1"/>
  <c r="X137" i="1"/>
  <c r="AJ136" i="1"/>
  <c r="X97" i="1"/>
  <c r="AJ95" i="1"/>
  <c r="AX96" i="1"/>
  <c r="X100" i="1"/>
  <c r="AJ98" i="1"/>
  <c r="AX99" i="1"/>
  <c r="X103" i="1"/>
  <c r="AJ101" i="1"/>
  <c r="X94" i="1"/>
  <c r="AJ92" i="1"/>
  <c r="X105" i="1"/>
  <c r="X106" i="1" s="1"/>
  <c r="V54" i="3"/>
  <c r="AJ93" i="1"/>
  <c r="X91" i="1"/>
  <c r="X104" i="1"/>
  <c r="AJ89" i="1"/>
  <c r="V53" i="3"/>
  <c r="AJ90" i="1"/>
  <c r="X74" i="1"/>
  <c r="AJ68" i="1"/>
  <c r="X75" i="1"/>
  <c r="V34" i="3" s="1"/>
  <c r="AJ70" i="1"/>
  <c r="AX71" i="1"/>
  <c r="G31" i="4" s="1"/>
  <c r="X72" i="1"/>
  <c r="AJ66" i="1"/>
  <c r="X73" i="1"/>
  <c r="AJ67" i="1"/>
  <c r="X84" i="1"/>
  <c r="AJ80" i="1"/>
  <c r="AX80" i="1" s="1"/>
  <c r="Y75" i="1"/>
  <c r="W34" i="3" s="1"/>
  <c r="Y72" i="1"/>
  <c r="Y73" i="1"/>
  <c r="Y164" i="1"/>
  <c r="Y151" i="1"/>
  <c r="Y159" i="1"/>
  <c r="Y42" i="1"/>
  <c r="Y45" i="1" s="1"/>
  <c r="W11" i="3"/>
  <c r="Y43" i="1"/>
  <c r="W6" i="3"/>
  <c r="Y142" i="1"/>
  <c r="Y146" i="1"/>
  <c r="Y94" i="1"/>
  <c r="Y105" i="1"/>
  <c r="Y106" i="1" s="1"/>
  <c r="W54" i="3"/>
  <c r="Y104" i="1"/>
  <c r="Y91" i="1"/>
  <c r="Y83" i="1"/>
  <c r="Z12" i="1"/>
  <c r="Z15" i="1" s="1"/>
  <c r="Z13" i="1"/>
  <c r="Z20" i="1"/>
  <c r="Y137" i="1"/>
  <c r="AA12" i="1"/>
  <c r="AA15" i="1" s="1"/>
  <c r="AA13" i="1"/>
  <c r="AA20" i="1"/>
  <c r="Z137" i="1"/>
  <c r="Z164" i="1"/>
  <c r="Z151" i="1"/>
  <c r="Z159" i="1"/>
  <c r="X11" i="3"/>
  <c r="Z42" i="1"/>
  <c r="Z45" i="1" s="1"/>
  <c r="X6" i="3"/>
  <c r="Z43" i="1"/>
  <c r="Z142" i="1"/>
  <c r="Z146" i="1"/>
  <c r="Z75" i="1"/>
  <c r="X34" i="3" s="1"/>
  <c r="Z72" i="1"/>
  <c r="Z73" i="1"/>
  <c r="Z84" i="1"/>
  <c r="Z94" i="1"/>
  <c r="Z105" i="1"/>
  <c r="Z106" i="1" s="1"/>
  <c r="X54" i="3"/>
  <c r="Z104" i="1"/>
  <c r="Z91" i="1"/>
  <c r="AA94" i="1"/>
  <c r="AA105" i="1"/>
  <c r="AA106" i="1" s="1"/>
  <c r="Y54" i="3"/>
  <c r="AA91" i="1"/>
  <c r="AA104" i="1"/>
  <c r="AA137" i="1"/>
  <c r="AA75" i="1"/>
  <c r="Y34" i="3" s="1"/>
  <c r="AA72" i="1"/>
  <c r="AA73" i="1"/>
  <c r="AA84" i="1"/>
  <c r="AB12" i="1"/>
  <c r="AB15" i="1" s="1"/>
  <c r="AB13" i="1"/>
  <c r="AB20" i="1"/>
  <c r="AA164" i="1"/>
  <c r="AA151" i="1"/>
  <c r="AA159" i="1"/>
  <c r="Y11" i="3"/>
  <c r="AA42" i="1"/>
  <c r="AA45" i="1" s="1"/>
  <c r="Y6" i="3"/>
  <c r="AA43" i="1"/>
  <c r="AA142" i="1"/>
  <c r="AA146" i="1"/>
  <c r="AB94" i="1"/>
  <c r="AB105" i="1"/>
  <c r="AB106" i="1" s="1"/>
  <c r="Z54" i="3"/>
  <c r="AB91" i="1"/>
  <c r="AB104" i="1"/>
  <c r="AC12" i="1"/>
  <c r="AC15" i="1" s="1"/>
  <c r="AC13" i="1"/>
  <c r="AC20" i="1"/>
  <c r="AB164" i="1"/>
  <c r="AB151" i="1"/>
  <c r="AB159" i="1"/>
  <c r="AB42" i="1"/>
  <c r="AB45" i="1" s="1"/>
  <c r="Z11" i="3"/>
  <c r="AB43" i="1"/>
  <c r="Z6" i="3"/>
  <c r="AB142" i="1"/>
  <c r="AB146" i="1"/>
  <c r="AB137" i="1"/>
  <c r="AB75" i="1"/>
  <c r="Z34" i="3" s="1"/>
  <c r="AB72" i="1"/>
  <c r="AB73" i="1"/>
  <c r="AB84" i="1"/>
  <c r="AC94" i="1"/>
  <c r="AC105" i="1"/>
  <c r="AC106" i="1" s="1"/>
  <c r="AA54" i="3"/>
  <c r="AC104" i="1"/>
  <c r="AC91" i="1"/>
  <c r="AC75" i="1"/>
  <c r="AA34" i="3" s="1"/>
  <c r="AC72" i="1"/>
  <c r="AC73" i="1"/>
  <c r="AD12" i="1"/>
  <c r="AD15" i="1" s="1"/>
  <c r="AD13" i="1"/>
  <c r="AD20" i="1"/>
  <c r="AC137" i="1"/>
  <c r="AC83" i="1"/>
  <c r="AC164" i="1"/>
  <c r="AC151" i="1"/>
  <c r="AC159" i="1"/>
  <c r="AC42" i="1"/>
  <c r="AC45" i="1" s="1"/>
  <c r="AA11" i="3"/>
  <c r="AC43" i="1"/>
  <c r="AA6" i="3"/>
  <c r="AC142" i="1"/>
  <c r="AC146" i="1"/>
  <c r="AD75" i="1"/>
  <c r="AB34" i="3" s="1"/>
  <c r="AD72" i="1"/>
  <c r="AD73" i="1"/>
  <c r="AE12" i="1"/>
  <c r="AE15" i="1" s="1"/>
  <c r="AE13" i="1"/>
  <c r="AE20" i="1"/>
  <c r="AD94" i="1"/>
  <c r="AD105" i="1"/>
  <c r="AD106" i="1" s="1"/>
  <c r="AB54" i="3"/>
  <c r="AD91" i="1"/>
  <c r="AD104" i="1"/>
  <c r="AD137" i="1"/>
  <c r="AD83" i="1"/>
  <c r="AD164" i="1"/>
  <c r="AD151" i="1"/>
  <c r="AD159" i="1"/>
  <c r="AB11" i="3"/>
  <c r="AD42" i="1"/>
  <c r="AD45" i="1" s="1"/>
  <c r="AB6" i="3"/>
  <c r="AD43" i="1"/>
  <c r="AD142" i="1"/>
  <c r="AD146" i="1"/>
  <c r="AE137" i="1"/>
  <c r="AF12" i="1"/>
  <c r="AF15" i="1" s="1"/>
  <c r="AF13" i="1"/>
  <c r="AF20" i="1"/>
  <c r="AE75" i="1"/>
  <c r="AC34" i="3" s="1"/>
  <c r="AE72" i="1"/>
  <c r="AE73" i="1"/>
  <c r="AE94" i="1"/>
  <c r="AE105" i="1"/>
  <c r="AE106" i="1" s="1"/>
  <c r="AC54" i="3"/>
  <c r="AE91" i="1"/>
  <c r="AE104" i="1"/>
  <c r="AE83" i="1"/>
  <c r="AE164" i="1"/>
  <c r="AE151" i="1"/>
  <c r="AE159" i="1"/>
  <c r="AC11" i="3"/>
  <c r="AE42" i="1"/>
  <c r="AE45" i="1" s="1"/>
  <c r="AC6" i="3"/>
  <c r="AE43" i="1"/>
  <c r="AE142" i="1"/>
  <c r="AE146" i="1"/>
  <c r="AF75" i="1"/>
  <c r="AD34" i="3" s="1"/>
  <c r="AF72" i="1"/>
  <c r="AF73" i="1"/>
  <c r="AF94" i="1"/>
  <c r="AF105" i="1"/>
  <c r="AF106" i="1" s="1"/>
  <c r="AD54" i="3"/>
  <c r="AF91" i="1"/>
  <c r="AF104" i="1"/>
  <c r="AG12" i="1"/>
  <c r="AG15" i="1" s="1"/>
  <c r="AG13" i="1"/>
  <c r="AG20" i="1"/>
  <c r="AF83" i="1"/>
  <c r="AF164" i="1"/>
  <c r="AF151" i="1"/>
  <c r="AF159" i="1"/>
  <c r="AF42" i="1"/>
  <c r="AF45" i="1" s="1"/>
  <c r="AD11" i="3"/>
  <c r="AF43" i="1"/>
  <c r="AD6" i="3"/>
  <c r="AF142" i="1"/>
  <c r="AF146" i="1"/>
  <c r="AF137" i="1"/>
  <c r="AG94" i="1"/>
  <c r="AG105" i="1"/>
  <c r="AG106" i="1" s="1"/>
  <c r="AE54" i="3"/>
  <c r="AG91" i="1"/>
  <c r="AG104" i="1"/>
  <c r="AG164" i="1"/>
  <c r="AG151" i="1"/>
  <c r="AG159" i="1"/>
  <c r="AE11" i="3"/>
  <c r="AG42" i="1"/>
  <c r="AG45" i="1" s="1"/>
  <c r="AE6" i="3"/>
  <c r="AG43" i="1"/>
  <c r="AG142" i="1"/>
  <c r="AG146" i="1"/>
  <c r="AG137" i="1"/>
  <c r="AH12" i="1"/>
  <c r="AH15" i="1" s="1"/>
  <c r="AH13" i="1"/>
  <c r="AH20" i="1"/>
  <c r="AG75" i="1"/>
  <c r="AE34" i="3" s="1"/>
  <c r="AG72" i="1"/>
  <c r="AG73" i="1"/>
  <c r="AG84" i="1"/>
  <c r="AH137" i="1"/>
  <c r="AH75" i="1"/>
  <c r="AF34" i="3" s="1"/>
  <c r="AH72" i="1"/>
  <c r="AH73" i="1"/>
  <c r="AH83" i="1"/>
  <c r="AH164" i="1"/>
  <c r="AH151" i="1"/>
  <c r="AH159" i="1"/>
  <c r="AH42" i="1"/>
  <c r="AH45" i="1" s="1"/>
  <c r="AF11" i="3"/>
  <c r="AF6" i="3"/>
  <c r="AH43" i="1"/>
  <c r="AH142" i="1"/>
  <c r="AH146" i="1"/>
  <c r="AI12" i="1"/>
  <c r="AI15" i="1" s="1"/>
  <c r="AI13" i="1"/>
  <c r="AI20" i="1"/>
  <c r="AH97" i="1"/>
  <c r="AH100" i="1"/>
  <c r="AH103" i="1"/>
  <c r="AH94" i="1"/>
  <c r="AH105" i="1"/>
  <c r="AF54" i="3"/>
  <c r="AH91" i="1"/>
  <c r="AH104" i="1"/>
  <c r="AF53" i="3"/>
  <c r="AI137" i="1"/>
  <c r="AI164" i="1"/>
  <c r="AI151" i="1"/>
  <c r="AI159" i="1"/>
  <c r="AG11" i="3"/>
  <c r="AI42" i="1"/>
  <c r="AI45" i="1" s="1"/>
  <c r="AI43" i="1"/>
  <c r="AG6" i="3"/>
  <c r="AI142" i="1"/>
  <c r="AI146" i="1"/>
  <c r="AI94" i="1"/>
  <c r="AI105" i="1"/>
  <c r="AI106" i="1" s="1"/>
  <c r="AG54" i="3"/>
  <c r="AI91" i="1"/>
  <c r="AI104" i="1"/>
  <c r="AI75" i="1"/>
  <c r="AG34" i="3" s="1"/>
  <c r="AI72" i="1"/>
  <c r="AI73" i="1"/>
  <c r="AI84" i="1"/>
  <c r="AK114" i="1"/>
  <c r="AK172" i="1"/>
  <c r="AK44" i="1"/>
  <c r="AZ114" i="1"/>
  <c r="AZ172" i="1"/>
  <c r="AZ173" i="1" s="1"/>
  <c r="AZ44" i="1"/>
  <c r="AZ45" i="1" s="1"/>
  <c r="AZ16" i="1"/>
  <c r="AL106" i="1" l="1"/>
  <c r="D21" i="4" s="1"/>
  <c r="D20" i="4"/>
  <c r="AL118" i="1"/>
  <c r="P8" i="4"/>
  <c r="AX102" i="1"/>
  <c r="AR117" i="1"/>
  <c r="AQ115" i="1"/>
  <c r="AX130" i="1"/>
  <c r="AU117" i="1"/>
  <c r="AT115" i="1"/>
  <c r="AX147" i="1"/>
  <c r="AX28" i="1"/>
  <c r="AX165" i="1"/>
  <c r="AX7" i="1"/>
  <c r="AP115" i="1"/>
  <c r="AX127" i="1"/>
  <c r="AX123" i="1"/>
  <c r="AX6" i="1"/>
  <c r="AV115" i="1"/>
  <c r="AS115" i="1"/>
  <c r="AX135" i="1"/>
  <c r="AX152" i="1"/>
  <c r="AX16" i="1"/>
  <c r="AX116" i="1"/>
  <c r="R10" i="4" s="1"/>
  <c r="Q10" i="4"/>
  <c r="AX112" i="1"/>
  <c r="R6" i="4" s="1"/>
  <c r="Q6" i="4"/>
  <c r="AX110" i="1"/>
  <c r="R4" i="4" s="1"/>
  <c r="Q4" i="4"/>
  <c r="AW73" i="1"/>
  <c r="F33" i="4" s="1"/>
  <c r="F27" i="4"/>
  <c r="AW72" i="1"/>
  <c r="F32" i="4" s="1"/>
  <c r="F26" i="4"/>
  <c r="AW105" i="1"/>
  <c r="E20" i="4" s="1"/>
  <c r="E8" i="4"/>
  <c r="AK106" i="1"/>
  <c r="AW103" i="1"/>
  <c r="E18" i="4" s="1"/>
  <c r="E16" i="4"/>
  <c r="AW100" i="1"/>
  <c r="E15" i="4" s="1"/>
  <c r="E13" i="4"/>
  <c r="AW97" i="1"/>
  <c r="E12" i="4" s="1"/>
  <c r="E10" i="4"/>
  <c r="AL113" i="1"/>
  <c r="P7" i="4" s="1"/>
  <c r="AL111" i="1"/>
  <c r="P5" i="4" s="1"/>
  <c r="AL117" i="1"/>
  <c r="P11" i="4" s="1"/>
  <c r="K6" i="6"/>
  <c r="AL22" i="1"/>
  <c r="AI171" i="1"/>
  <c r="AI173" i="1" s="1"/>
  <c r="AH106" i="1"/>
  <c r="D17" i="6"/>
  <c r="E17" i="6" s="1"/>
  <c r="I16" i="6"/>
  <c r="AI22" i="1"/>
  <c r="AI21" i="1"/>
  <c r="AH171" i="1"/>
  <c r="AH173" i="1" s="1"/>
  <c r="I15" i="6"/>
  <c r="D16" i="6"/>
  <c r="E16" i="6" s="1"/>
  <c r="AH22" i="1"/>
  <c r="AH21" i="1"/>
  <c r="AG171" i="1"/>
  <c r="AG173" i="1" s="1"/>
  <c r="AF171" i="1"/>
  <c r="AF173" i="1" s="1"/>
  <c r="I14" i="6"/>
  <c r="D15" i="6"/>
  <c r="E15" i="6" s="1"/>
  <c r="AG22" i="1"/>
  <c r="AG21" i="1"/>
  <c r="AE171" i="1"/>
  <c r="AE173" i="1" s="1"/>
  <c r="I13" i="6"/>
  <c r="D14" i="6"/>
  <c r="E14" i="6" s="1"/>
  <c r="AF22" i="1"/>
  <c r="AF21" i="1"/>
  <c r="AD171" i="1"/>
  <c r="AD173" i="1" s="1"/>
  <c r="I12" i="6"/>
  <c r="D13" i="6"/>
  <c r="E13" i="6" s="1"/>
  <c r="AE22" i="1"/>
  <c r="AE21" i="1"/>
  <c r="AC171" i="1"/>
  <c r="AC173" i="1" s="1"/>
  <c r="AD22" i="1"/>
  <c r="D12" i="6"/>
  <c r="E12" i="6" s="1"/>
  <c r="I11" i="6"/>
  <c r="AD21" i="1"/>
  <c r="AB171" i="1"/>
  <c r="AB173" i="1" s="1"/>
  <c r="D11" i="6"/>
  <c r="E11" i="6" s="1"/>
  <c r="I10" i="6"/>
  <c r="AC22" i="1"/>
  <c r="AC21" i="1"/>
  <c r="AA171" i="1"/>
  <c r="AA173" i="1" s="1"/>
  <c r="D10" i="6"/>
  <c r="E10" i="6" s="1"/>
  <c r="I9" i="6"/>
  <c r="AB22" i="1"/>
  <c r="AB21" i="1"/>
  <c r="Z171" i="1"/>
  <c r="Z173" i="1" s="1"/>
  <c r="D9" i="6"/>
  <c r="E9" i="6" s="1"/>
  <c r="I8" i="6"/>
  <c r="AA22" i="1"/>
  <c r="AA21" i="1"/>
  <c r="I7" i="6"/>
  <c r="D8" i="6"/>
  <c r="E8" i="6" s="1"/>
  <c r="Z22" i="1"/>
  <c r="Z21" i="1"/>
  <c r="Y171" i="1"/>
  <c r="Y173" i="1" s="1"/>
  <c r="AJ84" i="1"/>
  <c r="AX67" i="1"/>
  <c r="G27" i="4" s="1"/>
  <c r="AJ73" i="1"/>
  <c r="AX66" i="1"/>
  <c r="G26" i="4" s="1"/>
  <c r="AJ72" i="1"/>
  <c r="AX70" i="1"/>
  <c r="AJ75" i="1"/>
  <c r="AX68" i="1"/>
  <c r="AJ74" i="1"/>
  <c r="AX90" i="1"/>
  <c r="AX89" i="1"/>
  <c r="AJ91" i="1"/>
  <c r="AJ104" i="1"/>
  <c r="AX93" i="1"/>
  <c r="AJ105" i="1"/>
  <c r="AJ106" i="1" s="1"/>
  <c r="AX92" i="1"/>
  <c r="AJ94" i="1"/>
  <c r="F17" i="4"/>
  <c r="AX101" i="1"/>
  <c r="AJ103" i="1"/>
  <c r="F14" i="4"/>
  <c r="AX98" i="1"/>
  <c r="AJ100" i="1"/>
  <c r="F11" i="4"/>
  <c r="AX95" i="1"/>
  <c r="AJ97" i="1"/>
  <c r="AX136" i="1"/>
  <c r="AJ137" i="1"/>
  <c r="L13" i="4"/>
  <c r="AY132" i="1"/>
  <c r="M13" i="4" s="1"/>
  <c r="L12" i="4"/>
  <c r="L8" i="4"/>
  <c r="AY127" i="1"/>
  <c r="M8" i="4" s="1"/>
  <c r="L7" i="4"/>
  <c r="AY124" i="1"/>
  <c r="M5" i="4" s="1"/>
  <c r="L5" i="4"/>
  <c r="L4" i="4"/>
  <c r="AY133" i="1"/>
  <c r="L9" i="4"/>
  <c r="AY128" i="1"/>
  <c r="M9" i="4" s="1"/>
  <c r="L6" i="4"/>
  <c r="AY125" i="1"/>
  <c r="M6" i="4" s="1"/>
  <c r="L14" i="4"/>
  <c r="AY135" i="1"/>
  <c r="M14" i="4" s="1"/>
  <c r="AY130" i="1"/>
  <c r="M11" i="4" s="1"/>
  <c r="L11" i="4"/>
  <c r="AY134" i="1"/>
  <c r="L10" i="4"/>
  <c r="AY129" i="1"/>
  <c r="M10" i="4" s="1"/>
  <c r="AX82" i="1"/>
  <c r="AX83" i="1" s="1"/>
  <c r="AJ83" i="1"/>
  <c r="I6" i="6"/>
  <c r="D7" i="6"/>
  <c r="E7" i="6" s="1"/>
  <c r="Y22" i="1"/>
  <c r="Y21" i="1"/>
  <c r="AJ146" i="1"/>
  <c r="X171" i="1"/>
  <c r="AJ142" i="1"/>
  <c r="AJ43" i="1"/>
  <c r="AX27" i="1"/>
  <c r="AJ42" i="1"/>
  <c r="AX26" i="1"/>
  <c r="AJ45" i="1"/>
  <c r="AJ159" i="1"/>
  <c r="AJ151" i="1"/>
  <c r="AJ164" i="1"/>
  <c r="V171" i="1"/>
  <c r="V173" i="1" s="1"/>
  <c r="AJ20" i="1"/>
  <c r="AJ13" i="1"/>
  <c r="X15" i="1"/>
  <c r="X21" i="1" s="1"/>
  <c r="AJ12" i="1"/>
  <c r="AJ14" i="1"/>
  <c r="H16" i="6"/>
  <c r="V22" i="1"/>
  <c r="V21" i="1"/>
  <c r="U171" i="1"/>
  <c r="U173" i="1" s="1"/>
  <c r="AV171" i="1"/>
  <c r="AV173" i="1" s="1"/>
  <c r="AV111" i="1"/>
  <c r="AV113" i="1"/>
  <c r="T171" i="1"/>
  <c r="T173" i="1" s="1"/>
  <c r="H15" i="6"/>
  <c r="U22" i="1"/>
  <c r="U21" i="1"/>
  <c r="AV22" i="1"/>
  <c r="K16" i="6"/>
  <c r="AV21" i="1"/>
  <c r="AU171" i="1"/>
  <c r="AU173" i="1" s="1"/>
  <c r="AU111" i="1"/>
  <c r="AU113" i="1"/>
  <c r="H14" i="6"/>
  <c r="T22" i="1"/>
  <c r="T21" i="1"/>
  <c r="S171" i="1"/>
  <c r="S173" i="1" s="1"/>
  <c r="K15" i="6"/>
  <c r="AU22" i="1"/>
  <c r="AU21" i="1"/>
  <c r="AT171" i="1"/>
  <c r="AT173" i="1" s="1"/>
  <c r="AT111" i="1"/>
  <c r="AT113" i="1"/>
  <c r="H13" i="6"/>
  <c r="S22" i="1"/>
  <c r="S21" i="1"/>
  <c r="R171" i="1"/>
  <c r="R173" i="1" s="1"/>
  <c r="K14" i="6"/>
  <c r="AT22" i="1"/>
  <c r="AT21" i="1"/>
  <c r="AS171" i="1"/>
  <c r="AS173" i="1" s="1"/>
  <c r="AS111" i="1"/>
  <c r="AS113" i="1"/>
  <c r="Q171" i="1"/>
  <c r="Q173" i="1" s="1"/>
  <c r="H12" i="6"/>
  <c r="R22" i="1"/>
  <c r="R21" i="1"/>
  <c r="K13" i="6"/>
  <c r="AS22" i="1"/>
  <c r="AS21" i="1"/>
  <c r="AR171" i="1"/>
  <c r="AR173" i="1" s="1"/>
  <c r="AR111" i="1"/>
  <c r="AR113" i="1"/>
  <c r="H11" i="6"/>
  <c r="Q22" i="1"/>
  <c r="Q21" i="1"/>
  <c r="P171" i="1"/>
  <c r="P173" i="1" s="1"/>
  <c r="AQ111" i="1"/>
  <c r="AQ113" i="1"/>
  <c r="AQ171" i="1"/>
  <c r="AQ173" i="1" s="1"/>
  <c r="K12" i="6"/>
  <c r="AR22" i="1"/>
  <c r="AR21" i="1"/>
  <c r="O171" i="1"/>
  <c r="O173" i="1" s="1"/>
  <c r="H10" i="6"/>
  <c r="P22" i="1"/>
  <c r="P21" i="1"/>
  <c r="AP171" i="1"/>
  <c r="AP173" i="1" s="1"/>
  <c r="K11" i="6"/>
  <c r="AQ22" i="1"/>
  <c r="AQ21" i="1"/>
  <c r="AP111" i="1"/>
  <c r="AP113" i="1"/>
  <c r="N171" i="1"/>
  <c r="N173" i="1" s="1"/>
  <c r="H9" i="6"/>
  <c r="O22" i="1"/>
  <c r="O21" i="1"/>
  <c r="AO171" i="1"/>
  <c r="AO173" i="1" s="1"/>
  <c r="AP22" i="1"/>
  <c r="K10" i="6"/>
  <c r="AP21" i="1"/>
  <c r="AO111" i="1"/>
  <c r="AO113" i="1"/>
  <c r="M171" i="1"/>
  <c r="M173" i="1" s="1"/>
  <c r="H8" i="6"/>
  <c r="N22" i="1"/>
  <c r="N21" i="1"/>
  <c r="W14" i="1"/>
  <c r="AN111" i="1"/>
  <c r="AN113" i="1"/>
  <c r="AO22" i="1"/>
  <c r="K9" i="6"/>
  <c r="AO21" i="1"/>
  <c r="AN171" i="1"/>
  <c r="AN173" i="1" s="1"/>
  <c r="W137" i="1"/>
  <c r="W146" i="1"/>
  <c r="K171" i="1"/>
  <c r="W142" i="1"/>
  <c r="W43" i="1"/>
  <c r="W42" i="1"/>
  <c r="W45" i="1" s="1"/>
  <c r="W159" i="1"/>
  <c r="W151" i="1"/>
  <c r="W164" i="1"/>
  <c r="W83" i="1"/>
  <c r="W91" i="1"/>
  <c r="W105" i="1"/>
  <c r="W106" i="1" s="1"/>
  <c r="W94" i="1"/>
  <c r="W84" i="1"/>
  <c r="E27" i="4"/>
  <c r="W73" i="1"/>
  <c r="E33" i="4" s="1"/>
  <c r="E26" i="4"/>
  <c r="W72" i="1"/>
  <c r="E32" i="4" s="1"/>
  <c r="E30" i="4"/>
  <c r="W75" i="1"/>
  <c r="E35" i="4" s="1"/>
  <c r="AX69" i="1"/>
  <c r="G29" i="4" s="1"/>
  <c r="E29" i="4"/>
  <c r="E28" i="4"/>
  <c r="W74" i="1"/>
  <c r="E34" i="4" s="1"/>
  <c r="W20" i="1"/>
  <c r="W13" i="1"/>
  <c r="M15" i="1"/>
  <c r="W12" i="1"/>
  <c r="L171" i="1"/>
  <c r="L173" i="1" s="1"/>
  <c r="AM111" i="1"/>
  <c r="AM113" i="1"/>
  <c r="AW83" i="1"/>
  <c r="AW84" i="1"/>
  <c r="AW146" i="1"/>
  <c r="AM171" i="1"/>
  <c r="AW142" i="1"/>
  <c r="AW159" i="1"/>
  <c r="AW151" i="1"/>
  <c r="AW164" i="1"/>
  <c r="AN22" i="1"/>
  <c r="K8" i="6"/>
  <c r="AN21" i="1"/>
  <c r="AW75" i="1"/>
  <c r="F35" i="4" s="1"/>
  <c r="AW74" i="1"/>
  <c r="F34" i="4" s="1"/>
  <c r="AW20" i="1"/>
  <c r="AW13" i="1"/>
  <c r="AM15" i="1"/>
  <c r="AW12" i="1"/>
  <c r="AW137" i="1"/>
  <c r="K16" i="4" s="1"/>
  <c r="AW91" i="1"/>
  <c r="E6" i="4" s="1"/>
  <c r="AW104" i="1"/>
  <c r="E19" i="4" s="1"/>
  <c r="AW94" i="1"/>
  <c r="E9" i="4" s="1"/>
  <c r="AW106" i="1"/>
  <c r="E21" i="4" s="1"/>
  <c r="AK14" i="1"/>
  <c r="AW16" i="1"/>
  <c r="AW44" i="1"/>
  <c r="AX44" i="1" s="1"/>
  <c r="AK45" i="1"/>
  <c r="AW45" i="1" s="1"/>
  <c r="AX45" i="1" s="1"/>
  <c r="AX180" i="1" s="1"/>
  <c r="AK173" i="1"/>
  <c r="AW172" i="1"/>
  <c r="AX172" i="1" s="1"/>
  <c r="AK118" i="1"/>
  <c r="AW114" i="1"/>
  <c r="Q8" i="4" s="1"/>
  <c r="AZ14" i="1"/>
  <c r="AZ15" i="1"/>
  <c r="AZ118" i="1"/>
  <c r="AZ115" i="1" s="1"/>
  <c r="AL115" i="1" l="1"/>
  <c r="P9" i="4" s="1"/>
  <c r="P12" i="4"/>
  <c r="D24" i="6"/>
  <c r="E24" i="6" s="1"/>
  <c r="L6" i="6"/>
  <c r="AK115" i="1"/>
  <c r="AM22" i="1"/>
  <c r="K7" i="6"/>
  <c r="AM21" i="1"/>
  <c r="D26" i="6"/>
  <c r="E26" i="6" s="1"/>
  <c r="AM173" i="1"/>
  <c r="AW173" i="1" s="1"/>
  <c r="AW171" i="1"/>
  <c r="M21" i="1"/>
  <c r="H7" i="6"/>
  <c r="H17" i="6" s="1"/>
  <c r="M22" i="1"/>
  <c r="W15" i="1"/>
  <c r="W22" i="1" s="1"/>
  <c r="K173" i="1"/>
  <c r="W173" i="1" s="1"/>
  <c r="W171" i="1"/>
  <c r="D27" i="6"/>
  <c r="E27" i="6" s="1"/>
  <c r="W21" i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AX12" i="1"/>
  <c r="I5" i="6"/>
  <c r="D6" i="6"/>
  <c r="X22" i="1"/>
  <c r="AJ15" i="1"/>
  <c r="AX13" i="1"/>
  <c r="AX20" i="1"/>
  <c r="AX164" i="1"/>
  <c r="AX151" i="1"/>
  <c r="AX159" i="1"/>
  <c r="AX42" i="1"/>
  <c r="AX43" i="1"/>
  <c r="AX142" i="1"/>
  <c r="X173" i="1"/>
  <c r="AJ173" i="1" s="1"/>
  <c r="AJ171" i="1"/>
  <c r="AX171" i="1" s="1"/>
  <c r="AX146" i="1"/>
  <c r="J6" i="6"/>
  <c r="AX137" i="1"/>
  <c r="L15" i="4"/>
  <c r="AY136" i="1"/>
  <c r="M15" i="4" s="1"/>
  <c r="AX97" i="1"/>
  <c r="F12" i="4" s="1"/>
  <c r="F10" i="4"/>
  <c r="AX100" i="1"/>
  <c r="F15" i="4" s="1"/>
  <c r="F13" i="4"/>
  <c r="F16" i="4"/>
  <c r="AX103" i="1"/>
  <c r="F18" i="4" s="1"/>
  <c r="AX94" i="1"/>
  <c r="F9" i="4" s="1"/>
  <c r="F7" i="4"/>
  <c r="AX105" i="1"/>
  <c r="AY93" i="1" s="1"/>
  <c r="G8" i="4" s="1"/>
  <c r="F8" i="4"/>
  <c r="AX104" i="1"/>
  <c r="AY89" i="1" s="1"/>
  <c r="G4" i="4" s="1"/>
  <c r="AX91" i="1"/>
  <c r="F6" i="4" s="1"/>
  <c r="F4" i="4"/>
  <c r="F5" i="4"/>
  <c r="AX74" i="1"/>
  <c r="G34" i="4" s="1"/>
  <c r="G28" i="4"/>
  <c r="AX75" i="1"/>
  <c r="G35" i="4" s="1"/>
  <c r="G30" i="4"/>
  <c r="AX72" i="1"/>
  <c r="AX73" i="1"/>
  <c r="G33" i="4" s="1"/>
  <c r="AX84" i="1"/>
  <c r="AJ180" i="1" s="1"/>
  <c r="J7" i="6"/>
  <c r="J8" i="6"/>
  <c r="J9" i="6"/>
  <c r="J10" i="6"/>
  <c r="J11" i="6"/>
  <c r="J12" i="6"/>
  <c r="J13" i="6"/>
  <c r="J14" i="6"/>
  <c r="J15" i="6"/>
  <c r="J16" i="6"/>
  <c r="AX114" i="1"/>
  <c r="AW118" i="1"/>
  <c r="Q12" i="4" s="1"/>
  <c r="AK111" i="1"/>
  <c r="AK117" i="1"/>
  <c r="AK113" i="1"/>
  <c r="AK15" i="1"/>
  <c r="AK21" i="1" s="1"/>
  <c r="AW14" i="1"/>
  <c r="AZ111" i="1"/>
  <c r="AZ117" i="1"/>
  <c r="AZ113" i="1"/>
  <c r="AZ21" i="1"/>
  <c r="AW115" i="1" l="1"/>
  <c r="Q9" i="4" s="1"/>
  <c r="AY90" i="1"/>
  <c r="G5" i="4" s="1"/>
  <c r="AY146" i="1"/>
  <c r="E102" i="3" s="1"/>
  <c r="G32" i="4"/>
  <c r="AJ181" i="1"/>
  <c r="AJ179" i="1"/>
  <c r="F19" i="4"/>
  <c r="AY95" i="1"/>
  <c r="G10" i="4" s="1"/>
  <c r="AY98" i="1"/>
  <c r="G13" i="4" s="1"/>
  <c r="AY101" i="1"/>
  <c r="G16" i="4" s="1"/>
  <c r="AY92" i="1"/>
  <c r="G7" i="4" s="1"/>
  <c r="F20" i="4"/>
  <c r="AY102" i="1"/>
  <c r="G17" i="4" s="1"/>
  <c r="AY99" i="1"/>
  <c r="G14" i="4" s="1"/>
  <c r="AY96" i="1"/>
  <c r="G11" i="4" s="1"/>
  <c r="AX106" i="1"/>
  <c r="F21" i="4" s="1"/>
  <c r="AJ178" i="1"/>
  <c r="L16" i="4"/>
  <c r="AY123" i="1"/>
  <c r="AJ177" i="1"/>
  <c r="AY154" i="1"/>
  <c r="AY147" i="1"/>
  <c r="AY143" i="1"/>
  <c r="AY145" i="1"/>
  <c r="AY160" i="1"/>
  <c r="AY149" i="1"/>
  <c r="AY150" i="1"/>
  <c r="AY152" i="1"/>
  <c r="AY144" i="1"/>
  <c r="AY161" i="1"/>
  <c r="AY162" i="1"/>
  <c r="AY158" i="1"/>
  <c r="AY163" i="1"/>
  <c r="AY168" i="1"/>
  <c r="AY153" i="1"/>
  <c r="AY165" i="1"/>
  <c r="AY157" i="1"/>
  <c r="AY155" i="1"/>
  <c r="AY148" i="1"/>
  <c r="AY169" i="1"/>
  <c r="E106" i="3" s="1"/>
  <c r="AY156" i="1"/>
  <c r="AY167" i="1"/>
  <c r="AY166" i="1"/>
  <c r="AY142" i="1"/>
  <c r="E101" i="3" s="1"/>
  <c r="AJ183" i="1"/>
  <c r="AY34" i="1"/>
  <c r="AY40" i="1"/>
  <c r="AY30" i="1"/>
  <c r="AY28" i="1"/>
  <c r="AY36" i="1"/>
  <c r="AY32" i="1"/>
  <c r="AY38" i="1"/>
  <c r="AY26" i="1"/>
  <c r="AY159" i="1"/>
  <c r="E104" i="3" s="1"/>
  <c r="AY151" i="1"/>
  <c r="E103" i="3" s="1"/>
  <c r="AY164" i="1"/>
  <c r="E105" i="3" s="1"/>
  <c r="AJ22" i="1"/>
  <c r="AJ21" i="1"/>
  <c r="E6" i="6"/>
  <c r="D18" i="6"/>
  <c r="E18" i="6" s="1"/>
  <c r="J5" i="6"/>
  <c r="I17" i="6"/>
  <c r="J17" i="6" s="1"/>
  <c r="AJ182" i="1"/>
  <c r="AY131" i="1"/>
  <c r="AY126" i="1"/>
  <c r="AY8" i="1"/>
  <c r="AY6" i="1"/>
  <c r="AY10" i="1"/>
  <c r="AX173" i="1"/>
  <c r="AX177" i="1" s="1"/>
  <c r="D25" i="6"/>
  <c r="E25" i="6" s="1"/>
  <c r="AX14" i="1"/>
  <c r="AK22" i="1"/>
  <c r="K5" i="6"/>
  <c r="L5" i="6" s="1"/>
  <c r="AW15" i="1"/>
  <c r="AW117" i="1"/>
  <c r="Q11" i="4" s="1"/>
  <c r="AW111" i="1"/>
  <c r="Q5" i="4" s="1"/>
  <c r="AW113" i="1"/>
  <c r="Q7" i="4" s="1"/>
  <c r="R8" i="4"/>
  <c r="AX118" i="1"/>
  <c r="AX115" i="1"/>
  <c r="R9" i="4" s="1"/>
  <c r="M7" i="4" l="1"/>
  <c r="E122" i="3"/>
  <c r="M12" i="4"/>
  <c r="E123" i="3"/>
  <c r="E121" i="3"/>
  <c r="M4" i="4"/>
  <c r="AX117" i="1"/>
  <c r="R11" i="4" s="1"/>
  <c r="AX111" i="1"/>
  <c r="R5" i="4" s="1"/>
  <c r="R12" i="4"/>
  <c r="AX178" i="1"/>
  <c r="AX113" i="1"/>
  <c r="R7" i="4" s="1"/>
  <c r="AW22" i="1"/>
  <c r="AX15" i="1"/>
  <c r="AX21" i="1" s="1"/>
  <c r="AW21" i="1"/>
  <c r="D23" i="6"/>
  <c r="K17" i="6"/>
  <c r="L17" i="6" s="1"/>
  <c r="E23" i="6" l="1"/>
  <c r="D35" i="6"/>
  <c r="E35" i="6" s="1"/>
  <c r="AX22" i="1"/>
  <c r="AX1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ID#AAABDrqzjmo
    (2024-01-05 13:53:52)
[Comentário encadeado]
Sua versão do Excel permite que você leia este comentário encadeado, no entanto, as edições serão removidas se o arquivo for aberto em uma versão mais recente do Excel. Saiba mais: https://go.microsoft.com/fwlink/?linkid=870924
Comentário:
    Cancelamento com Assinatura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EyCcIl9j/jNspoB5vkhpQ5h/1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<sst xmlns="http://schemas.openxmlformats.org/spreadsheetml/2006/main" count="13985" uniqueCount="2819">
  <si>
    <t>Canal</t>
  </si>
  <si>
    <t>Showroom</t>
  </si>
  <si>
    <t>Online</t>
  </si>
  <si>
    <t>Distrato</t>
  </si>
  <si>
    <t>% Distrato</t>
  </si>
  <si>
    <t>Tipo venda</t>
  </si>
  <si>
    <t>Integral</t>
  </si>
  <si>
    <t>Fração</t>
  </si>
  <si>
    <t>Tipo de tabela</t>
  </si>
  <si>
    <t>Ano</t>
  </si>
  <si>
    <t>A vista</t>
  </si>
  <si>
    <t>Curta</t>
  </si>
  <si>
    <t>Longa</t>
  </si>
  <si>
    <t>Longuissima</t>
  </si>
  <si>
    <t>Regiao</t>
  </si>
  <si>
    <t>%</t>
  </si>
  <si>
    <t>Bloco</t>
  </si>
  <si>
    <t>% vendas</t>
  </si>
  <si>
    <t>Bloco A</t>
  </si>
  <si>
    <t>Bloco B</t>
  </si>
  <si>
    <t>Bloco C</t>
  </si>
  <si>
    <t>Meta 2024</t>
  </si>
  <si>
    <t>Vendas</t>
  </si>
  <si>
    <t>Mês</t>
  </si>
  <si>
    <t>Meta (VGV bruto)</t>
  </si>
  <si>
    <t>Total realizado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</si>
  <si>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</si>
  <si>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</si>
  <si>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</si>
  <si>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</si>
  <si>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</si>
  <si>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</si>
  <si>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</si>
  <si>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</si>
  <si>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</si>
  <si>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</si>
  <si>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</si>
  <si>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</si>
  <si>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Meta 2025</t>
  </si>
  <si>
    <t>FASE 1</t>
  </si>
  <si>
    <t>Atualizacao</t>
  </si>
  <si>
    <t>EM AJUSTE</t>
  </si>
  <si>
    <t>FRAÇÕES KLP</t>
  </si>
  <si>
    <t>VGV KLP</t>
  </si>
  <si>
    <t>Semanas</t>
  </si>
  <si>
    <t>Total</t>
  </si>
  <si>
    <t>Vendido</t>
  </si>
  <si>
    <t>Estoque</t>
  </si>
  <si>
    <t>% Vend</t>
  </si>
  <si>
    <t>% Est</t>
  </si>
  <si>
    <t>Total projetado</t>
  </si>
  <si>
    <t>Bloco C50</t>
  </si>
  <si>
    <t>Total fase 1</t>
  </si>
  <si>
    <t>Vagas de garagem</t>
  </si>
  <si>
    <t>Vendidas</t>
  </si>
  <si>
    <t>FASE 2</t>
  </si>
  <si>
    <t>Bloco C100</t>
  </si>
  <si>
    <t>Total vendido F1</t>
  </si>
  <si>
    <t>Total vendido F2</t>
  </si>
  <si>
    <t>Total F1+F2</t>
  </si>
  <si>
    <t>RELATORIO DE VENDAS</t>
  </si>
  <si>
    <t>VENDAS POR EQUIPE</t>
  </si>
  <si>
    <t>EQUIPE</t>
  </si>
  <si>
    <t>2022</t>
  </si>
  <si>
    <t>2023</t>
  </si>
  <si>
    <t>2024</t>
  </si>
  <si>
    <t>2025</t>
  </si>
  <si>
    <t>Pendente</t>
  </si>
  <si>
    <t>Interna</t>
  </si>
  <si>
    <t>Equipe Interna</t>
  </si>
  <si>
    <t>R$</t>
  </si>
  <si>
    <t># clientes</t>
  </si>
  <si>
    <t>Sócios</t>
  </si>
  <si>
    <t>Externa</t>
  </si>
  <si>
    <t>TOTAL</t>
  </si>
  <si>
    <t>VGV REALIZADO</t>
  </si>
  <si>
    <t>Desconto Real Viabilidade</t>
  </si>
  <si>
    <t>DESCONTO TOTAL</t>
  </si>
  <si>
    <t>Ganho Viabilidade</t>
  </si>
  <si>
    <t>Ganho / Perda Real Viabilidade</t>
  </si>
  <si>
    <t>Desconto Financeiro Medio</t>
  </si>
  <si>
    <t>$ Ticket médio X Cliente</t>
  </si>
  <si>
    <t>VENDAS POR CANAL / CAMPANHAS</t>
  </si>
  <si>
    <t>Clube G4</t>
  </si>
  <si>
    <t>Upgrade</t>
  </si>
  <si>
    <t>Parceria</t>
  </si>
  <si>
    <t>Relacionamento Corretor</t>
  </si>
  <si>
    <t>Networking</t>
  </si>
  <si>
    <t>Desconto Financeiro</t>
  </si>
  <si>
    <t>Status Contrato</t>
  </si>
  <si>
    <t>ATIVO</t>
  </si>
  <si>
    <t>Data da Venda</t>
  </si>
  <si>
    <t>(Tudo)</t>
  </si>
  <si>
    <t>Campanha</t>
  </si>
  <si>
    <t>VGV $</t>
  </si>
  <si>
    <t>(vazio)</t>
  </si>
  <si>
    <t>Permuta</t>
  </si>
  <si>
    <t>Relacionamento Cézar</t>
  </si>
  <si>
    <t>Instagram Cézar</t>
  </si>
  <si>
    <t>Nova compra</t>
  </si>
  <si>
    <t>Lead Corretor</t>
  </si>
  <si>
    <t>Trinca - Clax Club</t>
  </si>
  <si>
    <t>Indicação Proprietário</t>
  </si>
  <si>
    <t>Trinca - PodCast Cézar e Caio</t>
  </si>
  <si>
    <t>Trinca - PodCast Joel Jota</t>
  </si>
  <si>
    <t>Total Geral</t>
  </si>
  <si>
    <t>PERFORMANCE DE VENDAS</t>
  </si>
  <si>
    <t>Distratos contabilizados no mês da assinatura do contrato</t>
  </si>
  <si>
    <t>Vendas efetivadas</t>
  </si>
  <si>
    <t>Distratos para Upgrade</t>
  </si>
  <si>
    <t>Distratos</t>
  </si>
  <si>
    <t xml:space="preserve">Vendas Liquidas </t>
  </si>
  <si>
    <t>% Distrato p/ Upgrade</t>
  </si>
  <si>
    <t>POSIÇÃO DE VENDAS LIQUIDAS</t>
  </si>
  <si>
    <t>Distratos contabilizados no mês da solicitação do distrato</t>
  </si>
  <si>
    <t>Distrato para Upgrade</t>
  </si>
  <si>
    <t>VENDAS POR TIPO DE FRAÇÃO</t>
  </si>
  <si>
    <t># Frações</t>
  </si>
  <si>
    <t>$ Ticket Médio Integral</t>
  </si>
  <si>
    <t>13 semanas</t>
  </si>
  <si>
    <t>Ticket Medio</t>
  </si>
  <si>
    <t>8 semanas</t>
  </si>
  <si>
    <t>6 semanas</t>
  </si>
  <si>
    <t>Vaga</t>
  </si>
  <si>
    <t>VGV TOTAL</t>
  </si>
  <si>
    <t>Frações vendidas</t>
  </si>
  <si>
    <t>$ Ticket médio X Fração</t>
  </si>
  <si>
    <t>% de VENDAS POR TIPO DE TABELA</t>
  </si>
  <si>
    <t>Tipo de Tabela</t>
  </si>
  <si>
    <t>VENDAS POR PRODUTO</t>
  </si>
  <si>
    <t>VGV POR BLOCO</t>
  </si>
  <si>
    <t>A</t>
  </si>
  <si>
    <t xml:space="preserve">     Integral</t>
  </si>
  <si>
    <t xml:space="preserve">     13 semanas</t>
  </si>
  <si>
    <t>B</t>
  </si>
  <si>
    <t xml:space="preserve">     8 semanas</t>
  </si>
  <si>
    <t xml:space="preserve">     6 semanas</t>
  </si>
  <si>
    <t>c</t>
  </si>
  <si>
    <t xml:space="preserve">     4 semanas</t>
  </si>
  <si>
    <t>V</t>
  </si>
  <si>
    <t xml:space="preserve">     Vaga</t>
  </si>
  <si>
    <t>VENDAS POR ESTADO</t>
  </si>
  <si>
    <t>Sul</t>
  </si>
  <si>
    <t>RS</t>
  </si>
  <si>
    <t>PR</t>
  </si>
  <si>
    <t>SC</t>
  </si>
  <si>
    <t>Sudeste</t>
  </si>
  <si>
    <t>SP</t>
  </si>
  <si>
    <t>ES</t>
  </si>
  <si>
    <t>MG</t>
  </si>
  <si>
    <t>RJ</t>
  </si>
  <si>
    <t>Nordeste</t>
  </si>
  <si>
    <t>AL</t>
  </si>
  <si>
    <t>PB</t>
  </si>
  <si>
    <t>PI</t>
  </si>
  <si>
    <t>PE</t>
  </si>
  <si>
    <t>MA</t>
  </si>
  <si>
    <t>BA</t>
  </si>
  <si>
    <t>CE</t>
  </si>
  <si>
    <t>Centro-Oeste</t>
  </si>
  <si>
    <t>DF</t>
  </si>
  <si>
    <t>GO</t>
  </si>
  <si>
    <t>MT</t>
  </si>
  <si>
    <t>MS</t>
  </si>
  <si>
    <t>Norte</t>
  </si>
  <si>
    <t>AM</t>
  </si>
  <si>
    <t>AC</t>
  </si>
  <si>
    <t>TO</t>
  </si>
  <si>
    <t>PA</t>
  </si>
  <si>
    <t>EUA</t>
  </si>
  <si>
    <t>VGV NEGOCIADO</t>
  </si>
  <si>
    <t>Check</t>
  </si>
  <si>
    <t>ID</t>
  </si>
  <si>
    <t>CLIENTE</t>
  </si>
  <si>
    <t>FRAÇÃO</t>
  </si>
  <si>
    <t>PRODUTO</t>
  </si>
  <si>
    <t>Número do contrato</t>
  </si>
  <si>
    <t>Status 1</t>
  </si>
  <si>
    <t>Status 2</t>
  </si>
  <si>
    <t>Data do cancelamento</t>
  </si>
  <si>
    <t>Tipo unidade semanas</t>
  </si>
  <si>
    <t>Corretor 1</t>
  </si>
  <si>
    <t>Corretor 2</t>
  </si>
  <si>
    <t>GERENTE</t>
  </si>
  <si>
    <t>Tipo de Venda</t>
  </si>
  <si>
    <t>Tabela</t>
  </si>
  <si>
    <t>Origem da venda</t>
  </si>
  <si>
    <t>Visitou SH</t>
  </si>
  <si>
    <t>UF</t>
  </si>
  <si>
    <t>N de FU</t>
  </si>
  <si>
    <t>Data 1 apresentação</t>
  </si>
  <si>
    <t>Data de fechamento</t>
  </si>
  <si>
    <t>Latencia de compra</t>
  </si>
  <si>
    <t>VGV VIABILIDADE</t>
  </si>
  <si>
    <t>Valor Tabela</t>
  </si>
  <si>
    <t>Valor vendido</t>
  </si>
  <si>
    <t>Captador</t>
  </si>
  <si>
    <t>De Entrada</t>
  </si>
  <si>
    <t>Over tabela %</t>
  </si>
  <si>
    <t>Desconto Simulador %</t>
  </si>
  <si>
    <t>Ganho real</t>
  </si>
  <si>
    <t>Desconto Real %</t>
  </si>
  <si>
    <t>Desconto Total</t>
  </si>
  <si>
    <t>Desconto Total %</t>
  </si>
  <si>
    <t>Desconto Financeiro %</t>
  </si>
  <si>
    <t>Cancelamentos</t>
  </si>
  <si>
    <t># Clientes</t>
  </si>
  <si>
    <t>x</t>
  </si>
  <si>
    <t>Desistencias</t>
  </si>
  <si>
    <t>Somase Desc total (+)</t>
  </si>
  <si>
    <t>Somase Desc financ (+)</t>
  </si>
  <si>
    <t>Produto</t>
  </si>
  <si>
    <t>Somase Ganho Real  (+)</t>
  </si>
  <si>
    <t>Produto Ii</t>
  </si>
  <si>
    <t>Contagem Integral</t>
  </si>
  <si>
    <t>Responsavel pelo preenchimento</t>
  </si>
  <si>
    <t>SH GESTAO DE EMPREENDIMENTOS LTDA</t>
  </si>
  <si>
    <t>LDP-C-353-1</t>
  </si>
  <si>
    <t>C-353</t>
  </si>
  <si>
    <t>C-353-0001</t>
  </si>
  <si>
    <t>ASSINADO</t>
  </si>
  <si>
    <t>JUSCINEIA FRANCISCA RODRIGUES</t>
  </si>
  <si>
    <t>-</t>
  </si>
  <si>
    <t xml:space="preserve">
</t>
  </si>
  <si>
    <t>A. LANCIA SC ADMINISTRACAO DE BENS LTDA</t>
  </si>
  <si>
    <t>LDP-C-353-2</t>
  </si>
  <si>
    <t>C-353-0002</t>
  </si>
  <si>
    <t>SM ART CONCEITUACAO IMOBILIARIA LTDA</t>
  </si>
  <si>
    <t>LDP-C-353-3</t>
  </si>
  <si>
    <t>C-353-0003</t>
  </si>
  <si>
    <t>H8 LDP PARTICIPACOES LTDA</t>
  </si>
  <si>
    <t>LDP-C-353-4</t>
  </si>
  <si>
    <t>C-353-0004</t>
  </si>
  <si>
    <t>EMERSON FERNANDES MELLO</t>
  </si>
  <si>
    <t>LDP-A-211-1</t>
  </si>
  <si>
    <t>A-211</t>
  </si>
  <si>
    <t>A-211-0005</t>
  </si>
  <si>
    <t>TAMIRES SOARES DE CARVALHO</t>
  </si>
  <si>
    <t>MARCO ANTÔNIO FÉLIX ZAMBRANA</t>
  </si>
  <si>
    <t>SUSIMARI SILVA DE ASSIS BRASIL</t>
  </si>
  <si>
    <t>LDP-A-213-1</t>
  </si>
  <si>
    <t>A-213</t>
  </si>
  <si>
    <t>A-213-0006</t>
  </si>
  <si>
    <t>NAO ASSINADO</t>
  </si>
  <si>
    <t>CANCELADO</t>
  </si>
  <si>
    <t>LAISA DANGONI</t>
  </si>
  <si>
    <t>ARIANE PEREIRA BARBOSA</t>
  </si>
  <si>
    <t>FRATELLI PARTICIPACOES LTDA</t>
  </si>
  <si>
    <t>LDP-A-204-1</t>
  </si>
  <si>
    <t>A-204</t>
  </si>
  <si>
    <t>A-204-0007</t>
  </si>
  <si>
    <t>DAVID ROMULO LIMA DE OLIVEIRA</t>
  </si>
  <si>
    <t>ANDERSON LUIS DE OLIVEIRA LIMA</t>
  </si>
  <si>
    <t>GLOBAL AMERICA SYSTEM IMPORTACAO E EXPORTACAO DE EQUIPAMENTOS PARA SEGURANCA LTDA</t>
  </si>
  <si>
    <t>LDP-A-102-1</t>
  </si>
  <si>
    <t>A-102</t>
  </si>
  <si>
    <t>A-102-0008</t>
  </si>
  <si>
    <t>THAIS SCHONERWALD DA SILVA</t>
  </si>
  <si>
    <t>CAROLINE GOMIDES DO NASCIMENTO</t>
  </si>
  <si>
    <t>LDP-A-102-2</t>
  </si>
  <si>
    <t>A-102-0009</t>
  </si>
  <si>
    <t>ANA CLAUDIA QUEIROZ CAVALCANTE</t>
  </si>
  <si>
    <t>LDP-A-102-3</t>
  </si>
  <si>
    <t>A-102-0010</t>
  </si>
  <si>
    <t>LDP-A-102-4</t>
  </si>
  <si>
    <t>A-102-0011</t>
  </si>
  <si>
    <t>LDP-Vaga-002</t>
  </si>
  <si>
    <t>Vaga-002</t>
  </si>
  <si>
    <t>Vaga-002-0012</t>
  </si>
  <si>
    <t>RAFAEL LACERDA PRAZERES</t>
  </si>
  <si>
    <t>LDP-B-306-1</t>
  </si>
  <si>
    <t>B-306</t>
  </si>
  <si>
    <t>B-306-0013</t>
  </si>
  <si>
    <t>LUIZ HENRIQUE DE LUCCA MUNAIER</t>
  </si>
  <si>
    <t>FELLIPE BRAZ FERREIRA BILATE</t>
  </si>
  <si>
    <t>LDP-B-306-2</t>
  </si>
  <si>
    <t>B-306-0014</t>
  </si>
  <si>
    <t>LDP-B-306-3</t>
  </si>
  <si>
    <t>B-306-0015</t>
  </si>
  <si>
    <t>LDP-B-306-4</t>
  </si>
  <si>
    <t>B-306-0016</t>
  </si>
  <si>
    <t>LUCIANO RAIZLER</t>
  </si>
  <si>
    <t>LDP-B-202-1</t>
  </si>
  <si>
    <t>B-202</t>
  </si>
  <si>
    <t>B-202-0017</t>
  </si>
  <si>
    <t>ANDREA PEREIRA DRUCK</t>
  </si>
  <si>
    <t>LDP-C-153-3</t>
  </si>
  <si>
    <t>C-153</t>
  </si>
  <si>
    <t>C-153-0018</t>
  </si>
  <si>
    <t>CLEUZIANE SANTOS DE CARVALHO</t>
  </si>
  <si>
    <t>GUILHERME PESSOA PONTES</t>
  </si>
  <si>
    <t>LDP-C-153-4</t>
  </si>
  <si>
    <t>C-153-0019</t>
  </si>
  <si>
    <t>HABITASUL EMPREENDIMENTOS IMOBILIARIOS LIMITADA</t>
  </si>
  <si>
    <t>LDP-C-153-1</t>
  </si>
  <si>
    <t>C-153-0020</t>
  </si>
  <si>
    <t>LDP-C-153-2</t>
  </si>
  <si>
    <t>C-153-0021</t>
  </si>
  <si>
    <t>MARIA AUGUSTA MACEDO DE OLIVEIRA LEONI</t>
  </si>
  <si>
    <t>LDP-B-201-1</t>
  </si>
  <si>
    <t>B-201</t>
  </si>
  <si>
    <t>B-201-0022</t>
  </si>
  <si>
    <t>RFM CONSTRUTORA LTDA</t>
  </si>
  <si>
    <t>A-204-0023</t>
  </si>
  <si>
    <t>BEMBRA PARTICIPACOES LTDA</t>
  </si>
  <si>
    <t>LDP-A-203-1</t>
  </si>
  <si>
    <t>A-203</t>
  </si>
  <si>
    <t>A-203-0024</t>
  </si>
  <si>
    <t>LDP-A-203-2</t>
  </si>
  <si>
    <t>A-203-0025</t>
  </si>
  <si>
    <t>LDP-A-203-3</t>
  </si>
  <si>
    <t>A-203-0026</t>
  </si>
  <si>
    <t>LDP-A-203-4</t>
  </si>
  <si>
    <t>A-203-0027</t>
  </si>
  <si>
    <t>TANIA MARIA DREYER BELO</t>
  </si>
  <si>
    <t>LDP-B-324-2</t>
  </si>
  <si>
    <t>B-324</t>
  </si>
  <si>
    <t>B-324-0028</t>
  </si>
  <si>
    <t>MARIA KAROLINE DO NASCIMENTO RODRIGUES</t>
  </si>
  <si>
    <t>RENATO FEIO DA COSTA</t>
  </si>
  <si>
    <t>LDP-A-103-1</t>
  </si>
  <si>
    <t>A-103</t>
  </si>
  <si>
    <t>A-103-0029</t>
  </si>
  <si>
    <t>LDP-A-103-2</t>
  </si>
  <si>
    <t>A-103-0030</t>
  </si>
  <si>
    <t>LDP-A-103-3</t>
  </si>
  <si>
    <t>A-103-0031</t>
  </si>
  <si>
    <t>WALMIR APARECIDO AMERICO</t>
  </si>
  <si>
    <t>LDP-A-103-4</t>
  </si>
  <si>
    <t>A-103-0032</t>
  </si>
  <si>
    <t>MARCELO ALEXANDRE DALL AGNOL</t>
  </si>
  <si>
    <t>LDP-A-211-2</t>
  </si>
  <si>
    <t>A-211-0033</t>
  </si>
  <si>
    <t>SÂNGELA CRISTINA ARRUDA LIMA MORAIS</t>
  </si>
  <si>
    <t>JOSILAINE DA SILVA ANDRADE</t>
  </si>
  <si>
    <t>LDP-B-324-3</t>
  </si>
  <si>
    <t>B-324-0034</t>
  </si>
  <si>
    <t>CANCELADO UPGRADE</t>
  </si>
  <si>
    <t>FALSO</t>
  </si>
  <si>
    <t>6B</t>
  </si>
  <si>
    <t>PINEPIN PARTICIPACOES S/A</t>
  </si>
  <si>
    <t>LDP-B-224-1</t>
  </si>
  <si>
    <t>B-224</t>
  </si>
  <si>
    <t>B-224-0035</t>
  </si>
  <si>
    <t>LDP-B-224-7</t>
  </si>
  <si>
    <t>B-224-0036</t>
  </si>
  <si>
    <t>LDP-B-224-2</t>
  </si>
  <si>
    <t>B-224-0037</t>
  </si>
  <si>
    <t>LDP-B-224-3</t>
  </si>
  <si>
    <t>B-224-0038</t>
  </si>
  <si>
    <t>LDP-B-224-4</t>
  </si>
  <si>
    <t>B-224-0039</t>
  </si>
  <si>
    <t>LDP-B-224-5</t>
  </si>
  <si>
    <t>B-224-0040</t>
  </si>
  <si>
    <t>LDP-B-224-6</t>
  </si>
  <si>
    <t>B-224-0041</t>
  </si>
  <si>
    <t>LDP-B-224-8</t>
  </si>
  <si>
    <t>B-224-0042</t>
  </si>
  <si>
    <t>LDP-B-224-9</t>
  </si>
  <si>
    <t>B-224-0043</t>
  </si>
  <si>
    <t>LDP-B-224-10</t>
  </si>
  <si>
    <t>B-224-0044</t>
  </si>
  <si>
    <t>CESAR AUGUSTO SOUZA DA ROSA</t>
  </si>
  <si>
    <t>LDP-B-324-9</t>
  </si>
  <si>
    <t>B-324-0045</t>
  </si>
  <si>
    <t>LDP-B-324-10</t>
  </si>
  <si>
    <t>B-324-0046</t>
  </si>
  <si>
    <t>MARCOS ANTONIO GRESPAN</t>
  </si>
  <si>
    <t>A-203-0047</t>
  </si>
  <si>
    <t>LILIAN STEFANI FRITSCH ZIMMER</t>
  </si>
  <si>
    <t>A-203-0048</t>
  </si>
  <si>
    <t>A-203-0049</t>
  </si>
  <si>
    <t>=MÉDIASE('Consulta Contratos '!P:P, "online",</t>
  </si>
  <si>
    <t>A-203-0050</t>
  </si>
  <si>
    <t>VALDIRENE GEALH</t>
  </si>
  <si>
    <t>LDP-A-209-1</t>
  </si>
  <si>
    <t>A-209</t>
  </si>
  <si>
    <t>A-209-0051</t>
  </si>
  <si>
    <t>GÉSSICA GOZZI</t>
  </si>
  <si>
    <t>LDP-A-209-2</t>
  </si>
  <si>
    <t>A-209-0052</t>
  </si>
  <si>
    <t>LDP-A-209-3</t>
  </si>
  <si>
    <t>A-209-0053</t>
  </si>
  <si>
    <t>ROBSON RIZZOTTO</t>
  </si>
  <si>
    <t>LDP-B-219-1</t>
  </si>
  <si>
    <t>B-219</t>
  </si>
  <si>
    <t>B-219-0054</t>
  </si>
  <si>
    <t>MARIA DEILANE OLIVEIRA BARROSO</t>
  </si>
  <si>
    <t>RICARDO DOSSENA SILVA</t>
  </si>
  <si>
    <t>LDP-B-219-2</t>
  </si>
  <si>
    <t>B-219-0055</t>
  </si>
  <si>
    <t>MOATAZ BELAH MOHAMED NAGIUB M ABDELSALAM</t>
  </si>
  <si>
    <t>LDP-B-324-7</t>
  </si>
  <si>
    <t>B-324-0056</t>
  </si>
  <si>
    <t>PAULO HENRIQUE CARNEIRO DO PRADO MIALICHI</t>
  </si>
  <si>
    <t>LDP-A-209-4</t>
  </si>
  <si>
    <t>A-209-0057</t>
  </si>
  <si>
    <t>LUIS EDUARDO LOPES HADLER</t>
  </si>
  <si>
    <t>LDP-B-324-8</t>
  </si>
  <si>
    <t>B-324-0058</t>
  </si>
  <si>
    <t>JOSE CARLOS FRANCO</t>
  </si>
  <si>
    <t>LDP-B-319-1</t>
  </si>
  <si>
    <t>B-319</t>
  </si>
  <si>
    <t>B-319-0059</t>
  </si>
  <si>
    <t>MCW ENGENHARIA LTDA</t>
  </si>
  <si>
    <t>LDP-B-305-1</t>
  </si>
  <si>
    <t>B-305</t>
  </si>
  <si>
    <t>B-305-0060</t>
  </si>
  <si>
    <t>LDP-A-211-3</t>
  </si>
  <si>
    <t>A-211-0064</t>
  </si>
  <si>
    <t>ROQUE JOAO PATUZZI</t>
  </si>
  <si>
    <t>LDP-B-324-4</t>
  </si>
  <si>
    <t>B-324-0065</t>
  </si>
  <si>
    <t>MATEUS ORLANDO BEGNINI</t>
  </si>
  <si>
    <t>LUCAS TECCHIO MOTTA</t>
  </si>
  <si>
    <t>LDP-B-219-3</t>
  </si>
  <si>
    <t>B-219-0066</t>
  </si>
  <si>
    <t>FERNANDO LUIZ BEMFICA</t>
  </si>
  <si>
    <t>LDP-B-119-1</t>
  </si>
  <si>
    <t>B-119</t>
  </si>
  <si>
    <t>B-119-0067</t>
  </si>
  <si>
    <t>LAÍSA DANGONI</t>
  </si>
  <si>
    <t>LUCAS REIS RAMOS NASCIMENTO</t>
  </si>
  <si>
    <t>LDP-B-219-4</t>
  </si>
  <si>
    <t>B-219-0068</t>
  </si>
  <si>
    <t>GUSTAVO RIBEIRO GOMES</t>
  </si>
  <si>
    <t>BCS EMPREENDIMENTOS IMOBILIARIOS LTDA</t>
  </si>
  <si>
    <t>LDP-B-324-5</t>
  </si>
  <si>
    <t>B-324-0069</t>
  </si>
  <si>
    <t>ANA BEATRIZ DOS ANJOS RIBEIRO RODRIGUES</t>
  </si>
  <si>
    <t>LDP-B-124-10</t>
  </si>
  <si>
    <t>B-124</t>
  </si>
  <si>
    <t>B-124-0070</t>
  </si>
  <si>
    <t>LDP-B-124-9</t>
  </si>
  <si>
    <t>B-124-0071</t>
  </si>
  <si>
    <t>RICHARD BORBA MAGALHAES</t>
  </si>
  <si>
    <t>LDP-B-119-7</t>
  </si>
  <si>
    <t>B-119-0072</t>
  </si>
  <si>
    <t>LDP-B-119-8</t>
  </si>
  <si>
    <t>B-119-0073</t>
  </si>
  <si>
    <t>RINALDO CRISTO DA SILVA</t>
  </si>
  <si>
    <t>LDP-B-319-5</t>
  </si>
  <si>
    <t>B-319-0074</t>
  </si>
  <si>
    <t>ANTONIO CARLOS DE GODOY BRASIL</t>
  </si>
  <si>
    <t>LDP-B-207-2</t>
  </si>
  <si>
    <t>B-207</t>
  </si>
  <si>
    <t>B-205-0075</t>
  </si>
  <si>
    <t>LDP-B-205-2</t>
  </si>
  <si>
    <t>B-205</t>
  </si>
  <si>
    <t>B-205-0076</t>
  </si>
  <si>
    <t>LDP-B-205-3</t>
  </si>
  <si>
    <t>B-205-0077</t>
  </si>
  <si>
    <t>LDP-B-205-4</t>
  </si>
  <si>
    <t>B-205-0078</t>
  </si>
  <si>
    <t>CAIO DE FARIA MAIA</t>
  </si>
  <si>
    <t>LDP-B-219-5</t>
  </si>
  <si>
    <t>B-219-0079</t>
  </si>
  <si>
    <t>ELBER FERREIRA PORTUGAL</t>
  </si>
  <si>
    <t>LDP-B-319-2</t>
  </si>
  <si>
    <t>B-319-0080</t>
  </si>
  <si>
    <t>GILSON VIVIAN</t>
  </si>
  <si>
    <t>LDP-B-219-6</t>
  </si>
  <si>
    <t>B-219-0081</t>
  </si>
  <si>
    <t>NICOLE GIANNI TELES DA SILVA</t>
  </si>
  <si>
    <t>LDP-B-319-4</t>
  </si>
  <si>
    <t>B-219-0082</t>
  </si>
  <si>
    <t>JOAO LUIS MACHADO DA ROSA</t>
  </si>
  <si>
    <t>LDP-B-307-1</t>
  </si>
  <si>
    <t>B-307</t>
  </si>
  <si>
    <t>B-307-0083</t>
  </si>
  <si>
    <t>LDP-B-307-2</t>
  </si>
  <si>
    <t>B-307-0084</t>
  </si>
  <si>
    <t>LDP-B-307-3</t>
  </si>
  <si>
    <t>B-307-0085</t>
  </si>
  <si>
    <t>MATEUS LAMPERT</t>
  </si>
  <si>
    <t>LDP-B-307-4</t>
  </si>
  <si>
    <t>B-307-0086</t>
  </si>
  <si>
    <t>ELISABETH REINSTEIN ROSSONI</t>
  </si>
  <si>
    <t>LDP-B-319-9</t>
  </si>
  <si>
    <t>B-319-0087</t>
  </si>
  <si>
    <t>ALINE ROCHA FIOSSON</t>
  </si>
  <si>
    <t>LDP-B-319-10</t>
  </si>
  <si>
    <t>B-319-0088</t>
  </si>
  <si>
    <t>CINTIA CARLA DA CUNHA THORMANN</t>
  </si>
  <si>
    <t>A-209-0089</t>
  </si>
  <si>
    <t>A-209-0090</t>
  </si>
  <si>
    <t>A-209-0091</t>
  </si>
  <si>
    <t>A-209-0092</t>
  </si>
  <si>
    <t>JONATHAN ARRUDA TRINDADE</t>
  </si>
  <si>
    <t>B-219-0093</t>
  </si>
  <si>
    <t>JULIANA MAIA DE MELO WESTIN GARCIA</t>
  </si>
  <si>
    <t>LDP-B-319-8</t>
  </si>
  <si>
    <t>B-319-0094</t>
  </si>
  <si>
    <t>LDP-B-319-7</t>
  </si>
  <si>
    <t>B-219-0095</t>
  </si>
  <si>
    <t>SANDRO ROBERTO FERNANDES</t>
  </si>
  <si>
    <t>LDP-A-107-1</t>
  </si>
  <si>
    <t>A-107</t>
  </si>
  <si>
    <t>A-107-0096</t>
  </si>
  <si>
    <t>LDP-A-107-2</t>
  </si>
  <si>
    <t>A-107-0097</t>
  </si>
  <si>
    <t>LDP-A-107-3</t>
  </si>
  <si>
    <t>A-107-0098</t>
  </si>
  <si>
    <t>LDP-A-107-4</t>
  </si>
  <si>
    <t>A-107-0099</t>
  </si>
  <si>
    <t>SSPAR EMPREENDIMENTOS E PARTICIPAÇÕES EIREL</t>
  </si>
  <si>
    <t>LDP-B-324-6</t>
  </si>
  <si>
    <t>B-324-0100</t>
  </si>
  <si>
    <t>MAICO DE ARMAS ARAUJO</t>
  </si>
  <si>
    <t>MARIA JULIA PRESTES GARCIA</t>
  </si>
  <si>
    <t>LDP-B-219-7</t>
  </si>
  <si>
    <t>B-219-0101</t>
  </si>
  <si>
    <t>PEDRO HENRIQUE BERNARDI DIAS</t>
  </si>
  <si>
    <t>LDP-B-219-9</t>
  </si>
  <si>
    <t>B-219-0102</t>
  </si>
  <si>
    <t>LDP-B-219-10</t>
  </si>
  <si>
    <t>B-219-0103</t>
  </si>
  <si>
    <t>LDP-B-219-8</t>
  </si>
  <si>
    <t>B-219-0104</t>
  </si>
  <si>
    <t>LEANDRO HENRIQUE BIGHETTI</t>
  </si>
  <si>
    <t>LDP-A-211-4</t>
  </si>
  <si>
    <t>A-211-0105</t>
  </si>
  <si>
    <t>GREGORY VILLELA BRANDAO PAOLUCCI</t>
  </si>
  <si>
    <t>LDP-A-205-1</t>
  </si>
  <si>
    <t>A-205</t>
  </si>
  <si>
    <t>A-205-0106</t>
  </si>
  <si>
    <t>LDP-A-205-2</t>
  </si>
  <si>
    <t>A-205-0107</t>
  </si>
  <si>
    <t>LDP-A-205-3</t>
  </si>
  <si>
    <t>A-205-0108</t>
  </si>
  <si>
    <t>LDP-A-205-4</t>
  </si>
  <si>
    <t>A-205-0109</t>
  </si>
  <si>
    <t>MARCELLO BORSATO JUNIOR</t>
  </si>
  <si>
    <t>LDP-B-305-2</t>
  </si>
  <si>
    <t>B-305-0110</t>
  </si>
  <si>
    <t>DAISI RAQUEL DE PAULA</t>
  </si>
  <si>
    <t>LDP-A-201-1</t>
  </si>
  <si>
    <t>A-201</t>
  </si>
  <si>
    <t>A-201-0111</t>
  </si>
  <si>
    <t>LDP-A-201-2</t>
  </si>
  <si>
    <t>A-201-0112</t>
  </si>
  <si>
    <t>LDP-A-201-3</t>
  </si>
  <si>
    <t>A-201-0113</t>
  </si>
  <si>
    <t>LDP-A-201-4</t>
  </si>
  <si>
    <t>A-201-0114</t>
  </si>
  <si>
    <t>PATRICIA DE ARAUJO MELO</t>
  </si>
  <si>
    <t>LDP-B-301-1</t>
  </si>
  <si>
    <t>B-301</t>
  </si>
  <si>
    <t>B-301-0115</t>
  </si>
  <si>
    <t>MAIQUEL GRANDO</t>
  </si>
  <si>
    <t>LDP-B-319-3</t>
  </si>
  <si>
    <t>B-319-0116</t>
  </si>
  <si>
    <t>TB2 NEGOCIOS IMOBILIARIOS LTDA</t>
  </si>
  <si>
    <t>LDP-B-319-6</t>
  </si>
  <si>
    <t>B-319-0117</t>
  </si>
  <si>
    <t>ANA CLAUDIA PINTO FINKLER</t>
  </si>
  <si>
    <t>B-319-0118</t>
  </si>
  <si>
    <t>DANIEL GLAT</t>
  </si>
  <si>
    <t>B-319-0119</t>
  </si>
  <si>
    <t>B-319-0120</t>
  </si>
  <si>
    <t>GRAZIELE KARSBURG PADILHA</t>
  </si>
  <si>
    <t>B-319-0122</t>
  </si>
  <si>
    <t>GUSTAVO ZIPPERER</t>
  </si>
  <si>
    <t>LDP-B-308-1</t>
  </si>
  <si>
    <t>B-308</t>
  </si>
  <si>
    <t>B-308-0123</t>
  </si>
  <si>
    <t>MATHEUS FELIPE DA FONSECA SCHUTZ</t>
  </si>
  <si>
    <t>ADRIANO GOBBI FARINA</t>
  </si>
  <si>
    <t>LDP-B-301-2</t>
  </si>
  <si>
    <t>B-301-0124</t>
  </si>
  <si>
    <t>GILBERTO ZICA FIALHO</t>
  </si>
  <si>
    <t>LDP-B-110-1</t>
  </si>
  <si>
    <t>B-110</t>
  </si>
  <si>
    <t>B-110-0125</t>
  </si>
  <si>
    <t>LDP-B-210-1</t>
  </si>
  <si>
    <t>B-210</t>
  </si>
  <si>
    <t>B-210-0126</t>
  </si>
  <si>
    <t>LDP-B-207-1</t>
  </si>
  <si>
    <t>B-207-0127</t>
  </si>
  <si>
    <t>VIVIANE KOCH</t>
  </si>
  <si>
    <t>B-207-0128</t>
  </si>
  <si>
    <t>LURDES BELLEBONE FARINA</t>
  </si>
  <si>
    <t>B-319-0129</t>
  </si>
  <si>
    <t>ANTONIO CESAR VEBBER</t>
  </si>
  <si>
    <t>LDP-B-305-3</t>
  </si>
  <si>
    <t>B-305-0130</t>
  </si>
  <si>
    <t>ALEXANDRE DA SILVA</t>
  </si>
  <si>
    <t>B-219-0131</t>
  </si>
  <si>
    <t>B-219-0132</t>
  </si>
  <si>
    <t>BRUNO GIACOMET BORGES</t>
  </si>
  <si>
    <t>B-219-0133</t>
  </si>
  <si>
    <t>B-219-0134</t>
  </si>
  <si>
    <t>FLORENCIO GALAFASSI NETO</t>
  </si>
  <si>
    <t>B-201-0135</t>
  </si>
  <si>
    <t>SILVIA HELENA DE SEABRA TREVISAN</t>
  </si>
  <si>
    <t>LDP-B-201-2</t>
  </si>
  <si>
    <t>B-201-0136</t>
  </si>
  <si>
    <t>ANDRE PREZOTTO</t>
  </si>
  <si>
    <t>LDP-B-308-2</t>
  </si>
  <si>
    <t>B-308-0137</t>
  </si>
  <si>
    <t>LEONARDO RIBEIRO</t>
  </si>
  <si>
    <t>FELIPE CARNEIRO BECK</t>
  </si>
  <si>
    <t>B-301-0138</t>
  </si>
  <si>
    <t>EDUARDO ANTONIO MASCARELLO</t>
  </si>
  <si>
    <t>LDP-B-201-9</t>
  </si>
  <si>
    <t>B-201-0139</t>
  </si>
  <si>
    <t>LDP-B-201-10</t>
  </si>
  <si>
    <t>B-201-0140</t>
  </si>
  <si>
    <t>IGOR BENEVIDES MUNIZ</t>
  </si>
  <si>
    <t>LDP-B-101-1</t>
  </si>
  <si>
    <t>B-101</t>
  </si>
  <si>
    <t>B-101-0141</t>
  </si>
  <si>
    <t>ELIS MAYARA BESERRA DE CARVALHO</t>
  </si>
  <si>
    <t>KLATER PARTRICIPAÇOES EIRELI</t>
  </si>
  <si>
    <t>LDP-C-253-1</t>
  </si>
  <si>
    <t>C-253</t>
  </si>
  <si>
    <t>C-253-0142</t>
  </si>
  <si>
    <t>ESTEVAN PAVARIN</t>
  </si>
  <si>
    <t>LDP-B-301-3</t>
  </si>
  <si>
    <t>B-301-0143</t>
  </si>
  <si>
    <t>LDP-B-113-1</t>
  </si>
  <si>
    <t>B-113</t>
  </si>
  <si>
    <t>B-113-0144</t>
  </si>
  <si>
    <t>LDP-B-115-1</t>
  </si>
  <si>
    <t>B-115</t>
  </si>
  <si>
    <t>B-115-0145</t>
  </si>
  <si>
    <t>LDP-B-115-2</t>
  </si>
  <si>
    <t>B-115-0146</t>
  </si>
  <si>
    <t>LDP-B-113-2</t>
  </si>
  <si>
    <t>B-113-0147</t>
  </si>
  <si>
    <t>LDP-B-115-3</t>
  </si>
  <si>
    <t>B-115-0148</t>
  </si>
  <si>
    <t>LDP-B-113-3</t>
  </si>
  <si>
    <t>B-113-0149</t>
  </si>
  <si>
    <t>LDP-B-115-4</t>
  </si>
  <si>
    <t>B-115-0150</t>
  </si>
  <si>
    <t>LDP-B-113-4</t>
  </si>
  <si>
    <t>B-113-0151</t>
  </si>
  <si>
    <t>LDP-B-115-10</t>
  </si>
  <si>
    <t>B-115-0152</t>
  </si>
  <si>
    <t>LDP-B-115-5</t>
  </si>
  <si>
    <t>B-115-0153</t>
  </si>
  <si>
    <t>LDP-B-115-9</t>
  </si>
  <si>
    <t>B-115-0154</t>
  </si>
  <si>
    <t>LDP-B-115-8</t>
  </si>
  <si>
    <t>B-115-0155</t>
  </si>
  <si>
    <t>LDP-B-115-7</t>
  </si>
  <si>
    <t>B-115-0156</t>
  </si>
  <si>
    <t>LDP-B-115-6</t>
  </si>
  <si>
    <t>B-115-0157</t>
  </si>
  <si>
    <t>CLEVERSON VEIGA OLIVEIRA SOUZA</t>
  </si>
  <si>
    <t>B-301-0158</t>
  </si>
  <si>
    <t>ADRIANA DE CARLI SONDA</t>
  </si>
  <si>
    <t>LDP-B-205-1</t>
  </si>
  <si>
    <t>B-205-0159</t>
  </si>
  <si>
    <t>CARLOS MARCELO THIEME</t>
  </si>
  <si>
    <t>LDP-B-305-4</t>
  </si>
  <si>
    <t>B-305-0160</t>
  </si>
  <si>
    <t>JULIANO RAUBER</t>
  </si>
  <si>
    <t>LDP-B-301-7</t>
  </si>
  <si>
    <t>B-301-0161</t>
  </si>
  <si>
    <t>LDP-B-301-8</t>
  </si>
  <si>
    <t>B-301-0162</t>
  </si>
  <si>
    <t>MARIA LIVIA GONÇALVES PEREIRA</t>
  </si>
  <si>
    <t>LDP-B-301-4</t>
  </si>
  <si>
    <t>B-301-0163</t>
  </si>
  <si>
    <t>ANJOBC NEGOCIOS E PARTICIPACOES LTDA</t>
  </si>
  <si>
    <t>LDP-B-201-7</t>
  </si>
  <si>
    <t>B-201-0164</t>
  </si>
  <si>
    <t>HUGO GUIMARAES RODRIGUES</t>
  </si>
  <si>
    <t>LDP-B-301-9</t>
  </si>
  <si>
    <t>B-301-0165</t>
  </si>
  <si>
    <t>LDP-C-253-2</t>
  </si>
  <si>
    <t>C-253-0166</t>
  </si>
  <si>
    <t>LDP-C-253-3</t>
  </si>
  <si>
    <t>C-253-0167</t>
  </si>
  <si>
    <t>LDP-C-253-4</t>
  </si>
  <si>
    <t>C-253-0168</t>
  </si>
  <si>
    <t>LDP-B-201-8</t>
  </si>
  <si>
    <t>B-201-0169</t>
  </si>
  <si>
    <t>LDP-B-301-10</t>
  </si>
  <si>
    <t>B-301-0170</t>
  </si>
  <si>
    <t>GETULIO VELASCO MOREIRA FILHO</t>
  </si>
  <si>
    <t>LDP-B-105-1</t>
  </si>
  <si>
    <t>B-105</t>
  </si>
  <si>
    <t>B-105-0171</t>
  </si>
  <si>
    <t>LDP-B-105-2</t>
  </si>
  <si>
    <t>B-105-0172</t>
  </si>
  <si>
    <t>LDP-B-105-3</t>
  </si>
  <si>
    <t>B-105-0173</t>
  </si>
  <si>
    <t>LDP-B-105-4</t>
  </si>
  <si>
    <t>B-105-0174</t>
  </si>
  <si>
    <t>ZAIRA POSTAL TIRELLI</t>
  </si>
  <si>
    <t>LDP-B-201-3</t>
  </si>
  <si>
    <t>B-201-0175</t>
  </si>
  <si>
    <t>MARCELO MEDEIROS VIEIRA</t>
  </si>
  <si>
    <t>LDP-B-301-5</t>
  </si>
  <si>
    <t>B-301-0176</t>
  </si>
  <si>
    <t>HEDLEY PORT</t>
  </si>
  <si>
    <t>LDP-B-317-7</t>
  </si>
  <si>
    <t>B-317</t>
  </si>
  <si>
    <t>B-317-0177</t>
  </si>
  <si>
    <t>LDP-B-317-8</t>
  </si>
  <si>
    <t>B-317-0178</t>
  </si>
  <si>
    <t>CESAR LUIS RODRIGUES</t>
  </si>
  <si>
    <t>B-301-0179</t>
  </si>
  <si>
    <t>B-301-0180</t>
  </si>
  <si>
    <t>NATHAN PEREIRA DE BARROS</t>
  </si>
  <si>
    <t>B-319-0181</t>
  </si>
  <si>
    <t>ANA CAROLINE MAZZARDO</t>
  </si>
  <si>
    <t>B-319-0182</t>
  </si>
  <si>
    <t>LDP-Vaga-001</t>
  </si>
  <si>
    <t>Vaga-001</t>
  </si>
  <si>
    <t>Vaga-001-0183</t>
  </si>
  <si>
    <t>MIRIAM GUERRA DAMBORIARENA LOUREGA</t>
  </si>
  <si>
    <t>LDP-B-321-1</t>
  </si>
  <si>
    <t>B-321</t>
  </si>
  <si>
    <t>B-321-0184</t>
  </si>
  <si>
    <t>BRUNO DE FIGUEIREDO PIMPAO</t>
  </si>
  <si>
    <t>LDP-B-321-4</t>
  </si>
  <si>
    <t>B-321-0185</t>
  </si>
  <si>
    <t>DIONAS DOUGLAS ANVERCA</t>
  </si>
  <si>
    <t>LDP-B-321-2</t>
  </si>
  <si>
    <t>B-321-0186</t>
  </si>
  <si>
    <t>FELIPE DEPPE ALVES</t>
  </si>
  <si>
    <t>LDP-B-321-7</t>
  </si>
  <si>
    <t>B-321-0187</t>
  </si>
  <si>
    <t>LDP-B-321-8</t>
  </si>
  <si>
    <t>B-321-0188</t>
  </si>
  <si>
    <t>DEYSI CRISTINA DA ROLT</t>
  </si>
  <si>
    <t>LDP-B-317-9</t>
  </si>
  <si>
    <t>B-301-0189</t>
  </si>
  <si>
    <t>LDP-B-317-10</t>
  </si>
  <si>
    <t>B-317-0190</t>
  </si>
  <si>
    <t>ANA CAROLINA ALVES DE LIMA SALEM VANOSSI</t>
  </si>
  <si>
    <t>LDP-B-321-9</t>
  </si>
  <si>
    <t>B-321-0191</t>
  </si>
  <si>
    <t>LDP-B-321-10</t>
  </si>
  <si>
    <t>B-321-0192</t>
  </si>
  <si>
    <t>KAIO PINHEIRO</t>
  </si>
  <si>
    <t>LDP-B-321-5</t>
  </si>
  <si>
    <t>B-321-0193</t>
  </si>
  <si>
    <t>LDP-B-321-6</t>
  </si>
  <si>
    <t>B-321-0194</t>
  </si>
  <si>
    <t>DEISI FRANCIELE ROHR</t>
  </si>
  <si>
    <t>LDP-B-321-3</t>
  </si>
  <si>
    <t>B-321-0195</t>
  </si>
  <si>
    <t>LUCIANA SILVEIRA MANOSSO DA COSTA</t>
  </si>
  <si>
    <t>B-301-0196</t>
  </si>
  <si>
    <t>REBECCA LIZ DALMEIDA PERALTA</t>
  </si>
  <si>
    <t>A-211-0197</t>
  </si>
  <si>
    <t>JOAO JACKSON DUARTE</t>
  </si>
  <si>
    <t>LDP-B-316-9</t>
  </si>
  <si>
    <t>B-316</t>
  </si>
  <si>
    <t>B-316-0198</t>
  </si>
  <si>
    <t>LDP-B-316-10</t>
  </si>
  <si>
    <t>B-316-0199</t>
  </si>
  <si>
    <t>MARIA GABRIELA CARVALHO BORGES</t>
  </si>
  <si>
    <t>LDP-A-204-2</t>
  </si>
  <si>
    <t>A-204-0200</t>
  </si>
  <si>
    <t>CRISTIANO GIMENEZ FRANCO</t>
  </si>
  <si>
    <t>A-201-0201</t>
  </si>
  <si>
    <t>GRAZIELA MAGALHÃES SUBAM</t>
  </si>
  <si>
    <t>LICEIA DE MORAES DOS SANTOS</t>
  </si>
  <si>
    <t>LDP-A-111-4</t>
  </si>
  <si>
    <t>A-111</t>
  </si>
  <si>
    <t>A-111-0202</t>
  </si>
  <si>
    <t>A-201-0203</t>
  </si>
  <si>
    <t>A-201-0204</t>
  </si>
  <si>
    <t>A-201-0205</t>
  </si>
  <si>
    <t>ICARO MARIO CARON COVATTI</t>
  </si>
  <si>
    <t>LDP-B-301-6</t>
  </si>
  <si>
    <t>B-301-0206</t>
  </si>
  <si>
    <t>THIAGO ANDREI DOS SANTOS PEREIRA</t>
  </si>
  <si>
    <t>THIAGO DE PAULA BRONZI</t>
  </si>
  <si>
    <t>LDP-A-101-1</t>
  </si>
  <si>
    <t>A-101</t>
  </si>
  <si>
    <t>A-101-0207</t>
  </si>
  <si>
    <t>DIEGO SAMPAIO FAÇANHA</t>
  </si>
  <si>
    <t>LDP-A-101-2</t>
  </si>
  <si>
    <t>A-101-0208</t>
  </si>
  <si>
    <t>LDP-A-101-3</t>
  </si>
  <si>
    <t>A-101-0209</t>
  </si>
  <si>
    <t>LDP-A-101-4</t>
  </si>
  <si>
    <t>A-101-0210</t>
  </si>
  <si>
    <t>BRUNA CASSOL DAGA</t>
  </si>
  <si>
    <t>B-201-0211</t>
  </si>
  <si>
    <t>CHRISTIAN VELLOSO KUHN</t>
  </si>
  <si>
    <t>LDP-B-201-4</t>
  </si>
  <si>
    <t>B-201-0212</t>
  </si>
  <si>
    <t>AUGUSTO CESAR DE VIDAL BASTOS</t>
  </si>
  <si>
    <t>B-219-0213</t>
  </si>
  <si>
    <t>B-219-0214</t>
  </si>
  <si>
    <t>LIM PARTICIPAÇOES LTDA</t>
  </si>
  <si>
    <t>LDP-B-316-7</t>
  </si>
  <si>
    <t>B-316-0215</t>
  </si>
  <si>
    <t>LDP-B-316-8</t>
  </si>
  <si>
    <t>B-316-0216</t>
  </si>
  <si>
    <t>RENATA PEREIRA DE ALCANTARA</t>
  </si>
  <si>
    <t>LDP-B-317-1</t>
  </si>
  <si>
    <t>B-317-0217</t>
  </si>
  <si>
    <t>RUBENS MARCELO PEREIRA DA SILVA</t>
  </si>
  <si>
    <t>B-307-0218</t>
  </si>
  <si>
    <t>CHRISTIANI COSTA DE ARECIPPO</t>
  </si>
  <si>
    <t>B-307-0219</t>
  </si>
  <si>
    <t>ALINE DEFAVERI DO PRADO</t>
  </si>
  <si>
    <t>LDP-B-203-5</t>
  </si>
  <si>
    <t>B-203</t>
  </si>
  <si>
    <t>B-203-0220</t>
  </si>
  <si>
    <t>LUCIANA SAMPAIO PEIXOTO FERNANDES</t>
  </si>
  <si>
    <t>LDP-A-105-1</t>
  </si>
  <si>
    <t>A-105</t>
  </si>
  <si>
    <t>A-105-0221</t>
  </si>
  <si>
    <t>LDP-A-105-2</t>
  </si>
  <si>
    <t>A-105-0222</t>
  </si>
  <si>
    <t>LDP-A-105-3</t>
  </si>
  <si>
    <t>A-105-0223</t>
  </si>
  <si>
    <t>LDP-A-105-4</t>
  </si>
  <si>
    <t>A-105-0224</t>
  </si>
  <si>
    <t>MARIA CLARA MARTINS SOUZA NOSE</t>
  </si>
  <si>
    <t>LDP-B-210-9</t>
  </si>
  <si>
    <t>B-210-0225</t>
  </si>
  <si>
    <t>LDP-B-210-10</t>
  </si>
  <si>
    <t>B-210-0226</t>
  </si>
  <si>
    <t>RAFAEL DE PINHO SOUZA</t>
  </si>
  <si>
    <t>B-321-0227</t>
  </si>
  <si>
    <t>B-321-0228</t>
  </si>
  <si>
    <t>SOLID JKLA HOLDING PATRIMONIAL LTDA</t>
  </si>
  <si>
    <t>LDP-A-204-3</t>
  </si>
  <si>
    <t>A-204-0229</t>
  </si>
  <si>
    <t>AUREA SANTOS ALMEIDA</t>
  </si>
  <si>
    <t>B-301-0230</t>
  </si>
  <si>
    <t>MARCOS RENATO GELSI DOS SANTOS</t>
  </si>
  <si>
    <t>LDP-A-111-1</t>
  </si>
  <si>
    <t>A-111-0231</t>
  </si>
  <si>
    <t>GABRIELA NEHME BEMFICA</t>
  </si>
  <si>
    <t>LDP-B-210-2</t>
  </si>
  <si>
    <t>B-210-0232</t>
  </si>
  <si>
    <t>MAYNI GARRIDO PEREIRA</t>
  </si>
  <si>
    <t>LDP-B-203-1</t>
  </si>
  <si>
    <t>B-203-0233</t>
  </si>
  <si>
    <t>ADEMAR CHAGAS DA CRUZ</t>
  </si>
  <si>
    <t>LDP-B-316-1</t>
  </si>
  <si>
    <t>B-316-0234</t>
  </si>
  <si>
    <t>EDSON AVILA</t>
  </si>
  <si>
    <t>A-211-0235</t>
  </si>
  <si>
    <t>JULIA RODRIGUEZ MARTINS</t>
  </si>
  <si>
    <t>JOAO MARCELO MENDES DE SIQUEIRA</t>
  </si>
  <si>
    <t>LDP-B-316-6</t>
  </si>
  <si>
    <t>B-316-0236</t>
  </si>
  <si>
    <t>LEANDRO ROBERTO WINTER</t>
  </si>
  <si>
    <t>LDP-B-210-3</t>
  </si>
  <si>
    <t>B-210-0237</t>
  </si>
  <si>
    <t>DEISE ELIANE SILVA DE OLIVEIRA</t>
  </si>
  <si>
    <t>VINICIUS SANDER LIBARDI</t>
  </si>
  <si>
    <t>L. PHILIPPE CONSTRUÇOES EIRELI</t>
  </si>
  <si>
    <t>LDP-A-111-2</t>
  </si>
  <si>
    <t>A-111-0238</t>
  </si>
  <si>
    <t>MARCIO TEIXEIRA DE FARIAS</t>
  </si>
  <si>
    <t>B-301-0239</t>
  </si>
  <si>
    <t>JULIA ELIZA RUBIN</t>
  </si>
  <si>
    <t>LDP-B-203-7</t>
  </si>
  <si>
    <t>B-203-0240</t>
  </si>
  <si>
    <t>LDP-B-203-8</t>
  </si>
  <si>
    <t>B-203-0241</t>
  </si>
  <si>
    <t>IGOR VILAS BOAS DE FREITAS</t>
  </si>
  <si>
    <t>LDP-B-210-4</t>
  </si>
  <si>
    <t>B-210-0242</t>
  </si>
  <si>
    <t>JOAO AUGUSTO KETTERMANN</t>
  </si>
  <si>
    <t>A-213-0243</t>
  </si>
  <si>
    <t>ARTHUR LUIZ LIMA CAPELLA</t>
  </si>
  <si>
    <t>LDP-B-316-2</t>
  </si>
  <si>
    <t>B-316-0244</t>
  </si>
  <si>
    <t>LDP-B-119-3</t>
  </si>
  <si>
    <t>B-119-0245</t>
  </si>
  <si>
    <t>CYNTHIA SANTOS MAGALHAES ROCHA</t>
  </si>
  <si>
    <t>B-321-0246</t>
  </si>
  <si>
    <t>ALEXANDRE DE ASSIS</t>
  </si>
  <si>
    <t>LDP-B-101-9</t>
  </si>
  <si>
    <t>B-101-0247</t>
  </si>
  <si>
    <t>LEONARDO KISSEL DA SILVA</t>
  </si>
  <si>
    <t>LDP-B-101-10</t>
  </si>
  <si>
    <t>B-101-0248</t>
  </si>
  <si>
    <t>FLAVIO ELIAS RIBAS</t>
  </si>
  <si>
    <t>B-321-0249</t>
  </si>
  <si>
    <t>DEMERVAL FERREIRA</t>
  </si>
  <si>
    <t>B-201-0250</t>
  </si>
  <si>
    <t>PABLO DA COSTA PEREIRA</t>
  </si>
  <si>
    <t>LDP-B-203-2</t>
  </si>
  <si>
    <t>B-203-0251</t>
  </si>
  <si>
    <t>EDUARDO CAETANO MENDES REIS</t>
  </si>
  <si>
    <t>B-316-0252</t>
  </si>
  <si>
    <t>B-316-0253</t>
  </si>
  <si>
    <t>JOSIANE CACILDA SEVERO DE ROSA</t>
  </si>
  <si>
    <t>LDP-B-316-5</t>
  </si>
  <si>
    <t>B-316-0254</t>
  </si>
  <si>
    <t>ROBERTO GREGOLETTO</t>
  </si>
  <si>
    <t>LDP-A-111-3</t>
  </si>
  <si>
    <t>A-111-0255</t>
  </si>
  <si>
    <t>M RODRIGUEZ MENEZES INFORMATICA</t>
  </si>
  <si>
    <t>LDP-B-201-5</t>
  </si>
  <si>
    <t>B-201-0256</t>
  </si>
  <si>
    <t>CORATO INCORPORADORA E CONSTRUTORA DE IMOVEIS LTDA</t>
  </si>
  <si>
    <t>LDP-B-119-9</t>
  </si>
  <si>
    <t>B-119-0257</t>
  </si>
  <si>
    <t xml:space="preserve">ADRIANA SCHENKEL </t>
  </si>
  <si>
    <t>LDP-B-119-10</t>
  </si>
  <si>
    <t>B-119-0258</t>
  </si>
  <si>
    <t>KARINA SULTANI</t>
  </si>
  <si>
    <t>LDP-B-110-9</t>
  </si>
  <si>
    <t>B-110-0259</t>
  </si>
  <si>
    <t>NATALIA DA SILVA</t>
  </si>
  <si>
    <t>LDP-B-110-10</t>
  </si>
  <si>
    <t>B-110-0260</t>
  </si>
  <si>
    <t>JULIANA JOHANNPETER FRIEDRICH</t>
  </si>
  <si>
    <t>LDP-C-151-1</t>
  </si>
  <si>
    <t>C-151</t>
  </si>
  <si>
    <t>C-151-0261</t>
  </si>
  <si>
    <t>LDP-C-151-2</t>
  </si>
  <si>
    <t>C-151-0262</t>
  </si>
  <si>
    <t>LDP-C-151-3</t>
  </si>
  <si>
    <t>C-151-0263</t>
  </si>
  <si>
    <t>LDP-Vaga-003</t>
  </si>
  <si>
    <t>Vaga-003</t>
  </si>
  <si>
    <t>Vaga-003-0264</t>
  </si>
  <si>
    <t>LDP-C-151-4</t>
  </si>
  <si>
    <t>C-151-0265</t>
  </si>
  <si>
    <t>LUIZ EDUARDO FERREIRA</t>
  </si>
  <si>
    <t>LDP-B-203-3</t>
  </si>
  <si>
    <t>B-203-0266</t>
  </si>
  <si>
    <t>PAOLA NOTTOLINI FERRARI</t>
  </si>
  <si>
    <t>ALEXANDRE DEBASTIANI</t>
  </si>
  <si>
    <t>LDP-B-201-6</t>
  </si>
  <si>
    <t>B-201-0267</t>
  </si>
  <si>
    <t>IVANIA ZANIN MARIN MORO</t>
  </si>
  <si>
    <t>LDP-B-210-5</t>
  </si>
  <si>
    <t>B-210-0268</t>
  </si>
  <si>
    <t>LDP-B-317-4</t>
  </si>
  <si>
    <t>B-317-0269</t>
  </si>
  <si>
    <t>DIOGO SCUTA FAGLIARI</t>
  </si>
  <si>
    <t>LDP-B-317-6</t>
  </si>
  <si>
    <t>B-317-0270</t>
  </si>
  <si>
    <t>BRUNO MAZZOCHI BINOTTO</t>
  </si>
  <si>
    <t>LDP-A-109-1</t>
  </si>
  <si>
    <t>A-109</t>
  </si>
  <si>
    <t>A-109-0271</t>
  </si>
  <si>
    <t>SAMILA MOTA DOS SANTOS</t>
  </si>
  <si>
    <t>T &amp; T ADMINISTRADORA DE IMOVEIS LTDA</t>
  </si>
  <si>
    <t>LDP-B-320-7</t>
  </si>
  <si>
    <t>B-320</t>
  </si>
  <si>
    <t>B-320-0272</t>
  </si>
  <si>
    <t>LDP-B-320-8</t>
  </si>
  <si>
    <t>B-320-0273</t>
  </si>
  <si>
    <t>MARILIA GARCIA BRANDAO KOELLE</t>
  </si>
  <si>
    <t>LDP-B-320-1</t>
  </si>
  <si>
    <t>B-320-0274</t>
  </si>
  <si>
    <t>MADSON DA SILVA SOUSA</t>
  </si>
  <si>
    <t>B-205-0275</t>
  </si>
  <si>
    <t>DANIEL FERREIRA BRANCHER</t>
  </si>
  <si>
    <t>LDP-B-327-9</t>
  </si>
  <si>
    <t>B-327</t>
  </si>
  <si>
    <t>B-327-0276</t>
  </si>
  <si>
    <t>LDP-B-327-10</t>
  </si>
  <si>
    <t>B-327-0277</t>
  </si>
  <si>
    <t>LAE HOLFING LTDA</t>
  </si>
  <si>
    <t>LDP-B-320-6</t>
  </si>
  <si>
    <t>B-320-0278</t>
  </si>
  <si>
    <t>RODRIGO HENRIQUE SENNA DE SOUZA</t>
  </si>
  <si>
    <t>B-306-0279</t>
  </si>
  <si>
    <t>RODRIGO ALBEJANTE HOFFMANN</t>
  </si>
  <si>
    <t>LDP-B-327-6</t>
  </si>
  <si>
    <t>B-327-0280</t>
  </si>
  <si>
    <t>RAFAEL TAGLIARI MORES</t>
  </si>
  <si>
    <t>A-209-0281</t>
  </si>
  <si>
    <t>ANA PAULA VINCENZI</t>
  </si>
  <si>
    <t>LDP-B-202-6</t>
  </si>
  <si>
    <t>B-202-0282</t>
  </si>
  <si>
    <t>KATIA RAMOS DA SILVA</t>
  </si>
  <si>
    <t>FLORIVAL ANDRIOLLI JUNIOR</t>
  </si>
  <si>
    <t>LDP-B-202-5</t>
  </si>
  <si>
    <t>B-202-0283</t>
  </si>
  <si>
    <t>EDUARDO TADEU MALUTA FILHO</t>
  </si>
  <si>
    <t>ERICH GOMES MARQUES</t>
  </si>
  <si>
    <t>LDP-B-315-3</t>
  </si>
  <si>
    <t>B-315</t>
  </si>
  <si>
    <t>B-315-0284</t>
  </si>
  <si>
    <t>B SMART PARTICIPACOES LTDA</t>
  </si>
  <si>
    <t>LDP-B-208-1</t>
  </si>
  <si>
    <t>B-208</t>
  </si>
  <si>
    <t>B-208-0285</t>
  </si>
  <si>
    <t>LDP-B-208-2</t>
  </si>
  <si>
    <t>B-208-0286</t>
  </si>
  <si>
    <t>LDP-B-208-3</t>
  </si>
  <si>
    <t>B-208-0287</t>
  </si>
  <si>
    <t>LDP-B-208-4</t>
  </si>
  <si>
    <t>B-208-0288</t>
  </si>
  <si>
    <t>JADER DE SOUZA SILVA</t>
  </si>
  <si>
    <t>LDP-B-327-5</t>
  </si>
  <si>
    <t>B-327-0293</t>
  </si>
  <si>
    <t>LUCIANA CRIVELARI</t>
  </si>
  <si>
    <t>RODRIGO ROZAURO DONADUSSI</t>
  </si>
  <si>
    <t>LDP-B-315-5</t>
  </si>
  <si>
    <t>B-315-0294</t>
  </si>
  <si>
    <t>JUANRIBE PAGLIARIN</t>
  </si>
  <si>
    <t>LDP-A-207-1</t>
  </si>
  <si>
    <t>A-207</t>
  </si>
  <si>
    <t>A-207-0295</t>
  </si>
  <si>
    <t>FERNANDA SILVA OLIVEIRA</t>
  </si>
  <si>
    <t>LEIDIMAR RODRIGUES MARTINS</t>
  </si>
  <si>
    <t>LDP-A-207-2</t>
  </si>
  <si>
    <t>A-207-0296</t>
  </si>
  <si>
    <t>LDP-A-207-3</t>
  </si>
  <si>
    <t>A-207-0297</t>
  </si>
  <si>
    <t>LDP-A-207-4</t>
  </si>
  <si>
    <t>A-207-0298</t>
  </si>
  <si>
    <t>FORTE MARMORES E GRANITOS LTDA</t>
  </si>
  <si>
    <t>A-101-0299</t>
  </si>
  <si>
    <t>LDP-Vaga-024</t>
  </si>
  <si>
    <t>Vaga-024</t>
  </si>
  <si>
    <t>Vaga-024-0300</t>
  </si>
  <si>
    <t>A-101-0301</t>
  </si>
  <si>
    <t>A-101-0302</t>
  </si>
  <si>
    <t>A-101-0303</t>
  </si>
  <si>
    <t>GABRIEL POZZOBON KNOP</t>
  </si>
  <si>
    <t>LDP-B-317-5</t>
  </si>
  <si>
    <t>B-317-0304</t>
  </si>
  <si>
    <t>JOAO BATALHA DA SILVA NETO</t>
  </si>
  <si>
    <t>MONICA NADINY RAMOS GADELHA</t>
  </si>
  <si>
    <t>DIAMONDS PARTICIPAÇÕES LTDA</t>
  </si>
  <si>
    <t>LDP-C-252-2</t>
  </si>
  <si>
    <t>C-252</t>
  </si>
  <si>
    <t>C-252-0305</t>
  </si>
  <si>
    <t>WILLIAN CEZAR DA SILVA</t>
  </si>
  <si>
    <t>A-203-0306</t>
  </si>
  <si>
    <t>PABLO LUIZA</t>
  </si>
  <si>
    <t>ANTONIO CARLOS PINTO CELESTINO</t>
  </si>
  <si>
    <t>A-203-0307</t>
  </si>
  <si>
    <t>EXPLORATION HOLDING PARTICIPACOES LTDA</t>
  </si>
  <si>
    <t>A-203-0308</t>
  </si>
  <si>
    <t>JUNIOR CARLOS DANIEL</t>
  </si>
  <si>
    <t>B-307-0310</t>
  </si>
  <si>
    <t>MARCELO VIEIRA</t>
  </si>
  <si>
    <t>LDP-B-225-6</t>
  </si>
  <si>
    <t>B-225</t>
  </si>
  <si>
    <t>B-225-0311</t>
  </si>
  <si>
    <t>MARISTELA ROHRIG</t>
  </si>
  <si>
    <t>LDP-B-202-4</t>
  </si>
  <si>
    <t>B-202-0313</t>
  </si>
  <si>
    <t>VERA CRISTINA GUIMARAES GRASSMANN</t>
  </si>
  <si>
    <t>LDP-B-110-5</t>
  </si>
  <si>
    <t>B-110-0313</t>
  </si>
  <si>
    <t>THIAGO MARCEL SEGER</t>
  </si>
  <si>
    <t>LDP-B-225-5</t>
  </si>
  <si>
    <t>B-225-0320</t>
  </si>
  <si>
    <t>LETICIA FURLAN DOS REIS</t>
  </si>
  <si>
    <t>VITORIO PARTICIPACOES LTDA</t>
  </si>
  <si>
    <t>A-209-0321</t>
  </si>
  <si>
    <t>DANIEL SOBREIRA DA SILVA</t>
  </si>
  <si>
    <t>LDP-B-225-1</t>
  </si>
  <si>
    <t>B-225-0322</t>
  </si>
  <si>
    <t>MULAN HOLDING LTDA</t>
  </si>
  <si>
    <t>LDP-B-225-4</t>
  </si>
  <si>
    <t>B-225-0323</t>
  </si>
  <si>
    <t>FABIO DE FREITAS WOINARSKI</t>
  </si>
  <si>
    <t>LDP-B-226-5</t>
  </si>
  <si>
    <t>B-226</t>
  </si>
  <si>
    <t>B-226-0324</t>
  </si>
  <si>
    <t>GABRIEL NUNES DE ABREU</t>
  </si>
  <si>
    <t>LDP-B-226-1</t>
  </si>
  <si>
    <t>B-226-0325</t>
  </si>
  <si>
    <t>LDP-B-226-2</t>
  </si>
  <si>
    <t>B-226-0326</t>
  </si>
  <si>
    <t>WILSON VOLPATO</t>
  </si>
  <si>
    <t>LDP-B-110-2</t>
  </si>
  <si>
    <t>B-110-0327</t>
  </si>
  <si>
    <t>IURI MARQUES PATUZZI</t>
  </si>
  <si>
    <t>B-225-0328</t>
  </si>
  <si>
    <t>CLAUDIO DIEGO CAMPOS DA SILVA</t>
  </si>
  <si>
    <t>LUIZA RAUPP LOPES</t>
  </si>
  <si>
    <t>HENRIQUE LOPES FERRAZ AIDAR</t>
  </si>
  <si>
    <t>LDP-B-110-4</t>
  </si>
  <si>
    <t>B-110-0329</t>
  </si>
  <si>
    <t>FERNANDO SIMIOLI CORREA</t>
  </si>
  <si>
    <t>LDP-B-110-6</t>
  </si>
  <si>
    <t>B-110-0330</t>
  </si>
  <si>
    <t>MORGANA LOUISE BUSARDO</t>
  </si>
  <si>
    <t>LDP-B-225-3</t>
  </si>
  <si>
    <t>B-225-0331</t>
  </si>
  <si>
    <t>CARINE SANTOS MARTINI</t>
  </si>
  <si>
    <t>LDP-B-225-2</t>
  </si>
  <si>
    <t>B-225-0332</t>
  </si>
  <si>
    <t>VILSON JAIR DA SILVA</t>
  </si>
  <si>
    <t>LDP-B-315-1</t>
  </si>
  <si>
    <t>B-315-0334</t>
  </si>
  <si>
    <t>PAMELA CHRISTINA SOUZA MACEDO</t>
  </si>
  <si>
    <t>MURILO DE BRITO ANDRADE CAMARGO</t>
  </si>
  <si>
    <t>LDP-B-315-4</t>
  </si>
  <si>
    <t>B-315-0335</t>
  </si>
  <si>
    <t>LAURA WIESEL DE OLIVEIRA CANASSA</t>
  </si>
  <si>
    <t>LDP-B-315-6</t>
  </si>
  <si>
    <t>B-315-0336</t>
  </si>
  <si>
    <t>ALLAN DE SOUZA MORAES</t>
  </si>
  <si>
    <t>FOR PARTICIPACOES SOCIAIS LTDA</t>
  </si>
  <si>
    <t>LDP-A-109-2</t>
  </si>
  <si>
    <t>A-109-0337</t>
  </si>
  <si>
    <t>LDP-A-109-3</t>
  </si>
  <si>
    <t>A-109-0338</t>
  </si>
  <si>
    <t>MARCOS VINICIUS FELIZ E SILVA</t>
  </si>
  <si>
    <t>LDP-B-315-2</t>
  </si>
  <si>
    <t>B-315-0339</t>
  </si>
  <si>
    <t>RAFAEL NELSON SEGAT WOLF</t>
  </si>
  <si>
    <t>LDP-B-226-4</t>
  </si>
  <si>
    <t>B-226-0340</t>
  </si>
  <si>
    <t>REGIS FERREIRA PACHECO</t>
  </si>
  <si>
    <t>LDP-B-110-3</t>
  </si>
  <si>
    <t>B-110-0341</t>
  </si>
  <si>
    <t>GUSTAVO CAMARGO SILVERIO</t>
  </si>
  <si>
    <t>LDP-B-209-1</t>
  </si>
  <si>
    <t>B-209</t>
  </si>
  <si>
    <t>B-209-0342</t>
  </si>
  <si>
    <t>INVENTAEVENTO -  PRODUCAO DE EVENTOS LTDA</t>
  </si>
  <si>
    <t>LDP-B-203-10</t>
  </si>
  <si>
    <t>B-203-0343</t>
  </si>
  <si>
    <t>JACQUELINE PEREIRA PINAS</t>
  </si>
  <si>
    <t>A-203-0345</t>
  </si>
  <si>
    <t>PHILIP PORR</t>
  </si>
  <si>
    <t>LDP-A-204-4</t>
  </si>
  <si>
    <t>A-204-0346</t>
  </si>
  <si>
    <t>RAFAEL VITOLA PITOLI</t>
  </si>
  <si>
    <t>LDP-B-109-4</t>
  </si>
  <si>
    <t>B-109</t>
  </si>
  <si>
    <t>B-109-0347</t>
  </si>
  <si>
    <t>AFPR PARTICIPACOES SOCIETARIAS LTDA</t>
  </si>
  <si>
    <t>A-209-0348</t>
  </si>
  <si>
    <t>AVANCAR PARTICIPACOES LTDA</t>
  </si>
  <si>
    <t>LDP-B-209-4</t>
  </si>
  <si>
    <t>B-209-0349</t>
  </si>
  <si>
    <t>LDP-B-209-5</t>
  </si>
  <si>
    <t>B-209-0350</t>
  </si>
  <si>
    <t>ALESSANDRA DA COSTA KILER CHIQUITO</t>
  </si>
  <si>
    <t>LDP-B-209-3</t>
  </si>
  <si>
    <t>B-209-0351</t>
  </si>
  <si>
    <t>ALEXANDRE MOREIRA DA SILVA JUNIOR</t>
  </si>
  <si>
    <t>LDP-B-112-6</t>
  </si>
  <si>
    <t>B-112</t>
  </si>
  <si>
    <t>B-112-0352</t>
  </si>
  <si>
    <t>SAMANTA NUNES DA SILVA SILVEIRA</t>
  </si>
  <si>
    <t>LDP-B-112-5</t>
  </si>
  <si>
    <t>B-112-0353</t>
  </si>
  <si>
    <t xml:space="preserve">KAIQUE GONCALVES DA PAZ
</t>
  </si>
  <si>
    <t>LAURA COLLARES NUNES WANDERLEY LINS</t>
  </si>
  <si>
    <t>EDUARDO MURATORE THADDEU</t>
  </si>
  <si>
    <t>LDP-B-209-2</t>
  </si>
  <si>
    <t>B-209-0354</t>
  </si>
  <si>
    <t>ANA CLAUDIA ALTEMARI LUIZ</t>
  </si>
  <si>
    <t>ANDRE SANTANA MELO</t>
  </si>
  <si>
    <t>LDP-B-226-6</t>
  </si>
  <si>
    <t>B-226-0355</t>
  </si>
  <si>
    <t>FABIO LUCAS OLIVEIRA DA CUNHA</t>
  </si>
  <si>
    <t>LDP-B-109-6</t>
  </si>
  <si>
    <t>B-109-0356</t>
  </si>
  <si>
    <t>STEFANO GARCIA SIMONCELLI</t>
  </si>
  <si>
    <t>LDP-B-215-1</t>
  </si>
  <si>
    <t>B-215</t>
  </si>
  <si>
    <t>B-215-0357</t>
  </si>
  <si>
    <t>VIVIANE DA SILVA BASTOS</t>
  </si>
  <si>
    <t>LDP-A-113-1</t>
  </si>
  <si>
    <t>A-113</t>
  </si>
  <si>
    <t>A-113-0358</t>
  </si>
  <si>
    <t>LDP-A-113-2</t>
  </si>
  <si>
    <t>A-113-0359</t>
  </si>
  <si>
    <t>LDP-A-113-3</t>
  </si>
  <si>
    <t>A-113-0360</t>
  </si>
  <si>
    <t>LDP-A-113-4</t>
  </si>
  <si>
    <t>A-113-0361</t>
  </si>
  <si>
    <t>DANIEL FERREIRA DA SILVA</t>
  </si>
  <si>
    <t>LDP-B-109-5</t>
  </si>
  <si>
    <t>B-109-0362</t>
  </si>
  <si>
    <t>RAPHAEL PEGLOW SCHAFIROWITZ</t>
  </si>
  <si>
    <t>LDP-B-215-6</t>
  </si>
  <si>
    <t>B-215-0363</t>
  </si>
  <si>
    <t>LUIZ ANTONIO RODRIGUES</t>
  </si>
  <si>
    <t>LDP-B-215-2</t>
  </si>
  <si>
    <t>B-215-0365</t>
  </si>
  <si>
    <t>VANESSA FERNANDES LOPES MILLER</t>
  </si>
  <si>
    <t>LDP-B-109-3</t>
  </si>
  <si>
    <t>B-109-0366</t>
  </si>
  <si>
    <t>CRISTIANO DORNELES MILLER</t>
  </si>
  <si>
    <t>LDP-B-226-3</t>
  </si>
  <si>
    <t>B-226-0367</t>
  </si>
  <si>
    <t>LUCIANA DUTRA DRAETA</t>
  </si>
  <si>
    <t>LDP-B-215-4</t>
  </si>
  <si>
    <t>B-215-0368</t>
  </si>
  <si>
    <t>DANIEL BATISTA GOMES</t>
  </si>
  <si>
    <t>LDP-B-109-2</t>
  </si>
  <si>
    <t>B-109-0369</t>
  </si>
  <si>
    <t>BRUNO COSTA BEHRNDT</t>
  </si>
  <si>
    <t>LDP-B-215-5</t>
  </si>
  <si>
    <t>B-215-0371</t>
  </si>
  <si>
    <t>ROSA MARIA PEDROSSIAN</t>
  </si>
  <si>
    <t>LDP-B-112-2</t>
  </si>
  <si>
    <t>B-112-0372</t>
  </si>
  <si>
    <t>JANSEN MARGARIDO PEREIRA</t>
  </si>
  <si>
    <t>LDP-B-112-3</t>
  </si>
  <si>
    <t>B-112-0373</t>
  </si>
  <si>
    <t>RAFAEL NARCISO</t>
  </si>
  <si>
    <t>APENAS SERVO TUR COMUNICACAO E MARKETING LTDA</t>
  </si>
  <si>
    <t>LDP-B-223-6</t>
  </si>
  <si>
    <t>B-223</t>
  </si>
  <si>
    <t>B-223-0374</t>
  </si>
  <si>
    <t>GUSTAVO LOURENÇO DAROS</t>
  </si>
  <si>
    <t>RICARDO DA SILVA VIANA</t>
  </si>
  <si>
    <t>LDP-B-223-5</t>
  </si>
  <si>
    <t>B-223-0375</t>
  </si>
  <si>
    <t>4FAMILY EMPREENDIMENTOS LTDA</t>
  </si>
  <si>
    <t>LDP-B-223-2</t>
  </si>
  <si>
    <t>B-223-0376</t>
  </si>
  <si>
    <t>FERNANDA TAQUES THOMAZELLI DE OLIVEIRA</t>
  </si>
  <si>
    <t>LDP-A-200-1</t>
  </si>
  <si>
    <t>A-200</t>
  </si>
  <si>
    <t>A-200-0377</t>
  </si>
  <si>
    <t>LDP-A-200-2</t>
  </si>
  <si>
    <t>A-200-0378</t>
  </si>
  <si>
    <t>LDP-A-200-3</t>
  </si>
  <si>
    <t>A-200-0379</t>
  </si>
  <si>
    <t>LDP-A-200-4</t>
  </si>
  <si>
    <t>A-200-0380</t>
  </si>
  <si>
    <t>PEDRO HENRIQUE SOUZA MACHADO</t>
  </si>
  <si>
    <t>A-105-0381</t>
  </si>
  <si>
    <t>VANIA FRACALOSSI</t>
  </si>
  <si>
    <t>LDP-B-112-1</t>
  </si>
  <si>
    <t>B-112-0382</t>
  </si>
  <si>
    <t>M.MENCHAN PARTICIPACOES LTDA</t>
  </si>
  <si>
    <t>LDP-B-223-4</t>
  </si>
  <si>
    <t>B-223-0383</t>
  </si>
  <si>
    <t>longa</t>
  </si>
  <si>
    <t>JEPI PARTICIPACOES LTDA</t>
  </si>
  <si>
    <t>LDP-B-216-5</t>
  </si>
  <si>
    <t>B-216</t>
  </si>
  <si>
    <t>B-216-0384</t>
  </si>
  <si>
    <t>LDP-VAGA-004</t>
  </si>
  <si>
    <t>Vaga-004</t>
  </si>
  <si>
    <t>Vaga-004-0385</t>
  </si>
  <si>
    <t>EDUARDO LUIZ VANIN</t>
  </si>
  <si>
    <t>LDP-A-213-4</t>
  </si>
  <si>
    <t>A-213-0386</t>
  </si>
  <si>
    <t>TAYNA DOS SANTOS MOREIRA</t>
  </si>
  <si>
    <t>RONALDO MORSELLI</t>
  </si>
  <si>
    <t>LDP-B-216-4</t>
  </si>
  <si>
    <t>B-216-0387</t>
  </si>
  <si>
    <t>ELISANGELA DE FREITAS SCHELL</t>
  </si>
  <si>
    <t>TATIANE ROQUE VAZ</t>
  </si>
  <si>
    <t>B-223-0388</t>
  </si>
  <si>
    <t>FABIO MACHADO BALDISSERA</t>
  </si>
  <si>
    <t>LDP-B-216-3</t>
  </si>
  <si>
    <t>B-216-0389</t>
  </si>
  <si>
    <t>GIOVANNI LUIZ NARDELLO ROTTA</t>
  </si>
  <si>
    <t>LDP-B-223-1</t>
  </si>
  <si>
    <t>B-223-0390</t>
  </si>
  <si>
    <t>PEDRO MONFORTE</t>
  </si>
  <si>
    <t>NEXO IMPRTACAO E EXPORTACAO LTDA</t>
  </si>
  <si>
    <t>LDP-B-112-4</t>
  </si>
  <si>
    <t>B-112-0391</t>
  </si>
  <si>
    <t>RENATO SCHUCK SARAIVA</t>
  </si>
  <si>
    <t>B-112-0392</t>
  </si>
  <si>
    <t>A-105-0393</t>
  </si>
  <si>
    <t>ROBERTO JUN TERAHATA</t>
  </si>
  <si>
    <t>LDP-B-114-5</t>
  </si>
  <si>
    <t>B-114</t>
  </si>
  <si>
    <t>B-114-0394</t>
  </si>
  <si>
    <t>AIRTON APARECIDO FERREIRA DE BRITO</t>
  </si>
  <si>
    <t>LDP-B-216-1</t>
  </si>
  <si>
    <t>B-216-0395</t>
  </si>
  <si>
    <t>EDILSON JOSE DA ROCHA</t>
  </si>
  <si>
    <t>LDP-B-223-3</t>
  </si>
  <si>
    <t>B-223-0396</t>
  </si>
  <si>
    <t>OLIVIA CAMPOS MELO FONTOURA</t>
  </si>
  <si>
    <t>LDP-B-229-4</t>
  </si>
  <si>
    <t>B-229</t>
  </si>
  <si>
    <t>B-229-0397</t>
  </si>
  <si>
    <t>DEODORO ANTONIO OLIVEIRA VAZ</t>
  </si>
  <si>
    <t>LDP-B-216-2</t>
  </si>
  <si>
    <t>B-216-0398</t>
  </si>
  <si>
    <t>ELINTON BOBRIK</t>
  </si>
  <si>
    <t>LDP-B-114-4</t>
  </si>
  <si>
    <t>B-114-0399</t>
  </si>
  <si>
    <t>MARCOS FREDERICO NEVES PESSANHA</t>
  </si>
  <si>
    <t>LDP-B-109-1</t>
  </si>
  <si>
    <t>B-109-0400</t>
  </si>
  <si>
    <t>AAM12 ADMINISTRAÇÃO DE BENS PROPRIOS EIRELI</t>
  </si>
  <si>
    <t>B-109-0401</t>
  </si>
  <si>
    <t>EDUARDO BARRETTO MARTINS</t>
  </si>
  <si>
    <t>A-209-0402</t>
  </si>
  <si>
    <t>CAROLINE GOMIDES ( externo )</t>
  </si>
  <si>
    <t>CIAPLAN PLANEJAMENTO E CONSTRUÇOES LTDA</t>
  </si>
  <si>
    <t>LDP-B-204-1</t>
  </si>
  <si>
    <t>B-204</t>
  </si>
  <si>
    <t>B-204-0403</t>
  </si>
  <si>
    <t>LDP-B-204-2</t>
  </si>
  <si>
    <t>B-204-0404</t>
  </si>
  <si>
    <t>LDP-B-204-3</t>
  </si>
  <si>
    <t>B-204-0405</t>
  </si>
  <si>
    <t>LDP-B-204-4</t>
  </si>
  <si>
    <t>B-204-0406</t>
  </si>
  <si>
    <t>LDP-B-204-5</t>
  </si>
  <si>
    <t>B-204-0407</t>
  </si>
  <si>
    <t>LDP-B-204-6</t>
  </si>
  <si>
    <t>B-204-0408</t>
  </si>
  <si>
    <t>LDP-B-204-7</t>
  </si>
  <si>
    <t>B-204-0409</t>
  </si>
  <si>
    <t>LDP-B-204-8</t>
  </si>
  <si>
    <t>B-204-0410</t>
  </si>
  <si>
    <t>LDP-B-204-9</t>
  </si>
  <si>
    <t>B-204-0411</t>
  </si>
  <si>
    <t>LDP-B-204-10</t>
  </si>
  <si>
    <t>B-204-0412</t>
  </si>
  <si>
    <t>RICARDO COUTO DE PRADA</t>
  </si>
  <si>
    <t>LDP-B-229-1</t>
  </si>
  <si>
    <t>B-229-0413</t>
  </si>
  <si>
    <t>MAURO CABERLON VOLK</t>
  </si>
  <si>
    <t>LEONARDO</t>
  </si>
  <si>
    <t xml:space="preserve">MCARVALHO ZICA EIRELI ME </t>
  </si>
  <si>
    <t>LDP-B-229-2</t>
  </si>
  <si>
    <t>B-229-0414</t>
  </si>
  <si>
    <t>NATH</t>
  </si>
  <si>
    <t>DTRF PARTICIPACOES LTDA</t>
  </si>
  <si>
    <t>LDP-B-229-3</t>
  </si>
  <si>
    <t>B-229-0415</t>
  </si>
  <si>
    <t>HERCIO AGRANIONIK</t>
  </si>
  <si>
    <t>LDP-B-111-5</t>
  </si>
  <si>
    <t>B-111</t>
  </si>
  <si>
    <t>B-111-0416</t>
  </si>
  <si>
    <t>ALE</t>
  </si>
  <si>
    <t>LUANNA GOMES BUENO</t>
  </si>
  <si>
    <t>LDP-B-216-6</t>
  </si>
  <si>
    <t>B-216-0417</t>
  </si>
  <si>
    <t>FCX INVESTIMENTOS E PARTICIPACOES LTDA</t>
  </si>
  <si>
    <t>LDP-B-203-4</t>
  </si>
  <si>
    <t>B-203-0418</t>
  </si>
  <si>
    <t>B-203-0419</t>
  </si>
  <si>
    <t>STARX IMPORTACAO E EXPORTACAO LTDA</t>
  </si>
  <si>
    <t>LDP-B-211-1</t>
  </si>
  <si>
    <t>B-211</t>
  </si>
  <si>
    <t>B-211-0420</t>
  </si>
  <si>
    <t>LDP-B-211-4</t>
  </si>
  <si>
    <t>B-211-0421</t>
  </si>
  <si>
    <t>LDP-B-211-3</t>
  </si>
  <si>
    <t>B-211-0422</t>
  </si>
  <si>
    <t>ALEXANDRE OLIVEIRA ROCHA</t>
  </si>
  <si>
    <t>LDP-B-229-5</t>
  </si>
  <si>
    <t>B-229-0423</t>
  </si>
  <si>
    <t>LDP-A-213-2</t>
  </si>
  <si>
    <t>A-213-0424</t>
  </si>
  <si>
    <t>ALESSANDRO ARDISSON</t>
  </si>
  <si>
    <t>LDP-B-229-6</t>
  </si>
  <si>
    <t>B-229-0425</t>
  </si>
  <si>
    <t>BENJAMIN ROMANGNOLI PIVETA ASSUNCAO FILHO</t>
  </si>
  <si>
    <t>LDP-B-211-5</t>
  </si>
  <si>
    <t>B-211-0426</t>
  </si>
  <si>
    <t>LDP-B-211-6</t>
  </si>
  <si>
    <t>B-211-0427</t>
  </si>
  <si>
    <t>GR EMPREENDIMENTOS IMOBILIARIOS LTDA</t>
  </si>
  <si>
    <t>A-103-0428</t>
  </si>
  <si>
    <t>A-103-0429</t>
  </si>
  <si>
    <t>A-103-0430</t>
  </si>
  <si>
    <t>A-103-0431</t>
  </si>
  <si>
    <t>ADRIANE BURTET GHISI</t>
  </si>
  <si>
    <t>LDP-B-323-5</t>
  </si>
  <si>
    <t>B-323</t>
  </si>
  <si>
    <t>B-323-0432</t>
  </si>
  <si>
    <t>BRUNO GHISI</t>
  </si>
  <si>
    <t>LDP-B-323-6</t>
  </si>
  <si>
    <t>B-323-0433</t>
  </si>
  <si>
    <t>XA PROJETO E DESENVOLVIMENTO DE EMBARCACOES LTDA</t>
  </si>
  <si>
    <t>LDP-B-323-4</t>
  </si>
  <si>
    <t>B-323-0434</t>
  </si>
  <si>
    <t>ALCIONE ANTONIO SANTIN</t>
  </si>
  <si>
    <t>LDP-B-323-3</t>
  </si>
  <si>
    <t>B-323-0435</t>
  </si>
  <si>
    <t>ISIS GOMEZ MARTINS</t>
  </si>
  <si>
    <t>LDP-B-323-2</t>
  </si>
  <si>
    <t>B-323-0436</t>
  </si>
  <si>
    <t>LDP-Vaga-008</t>
  </si>
  <si>
    <t>Vaga-008</t>
  </si>
  <si>
    <t>Vaga-008-0437</t>
  </si>
  <si>
    <t>JULIO CESAR GHISI</t>
  </si>
  <si>
    <t>LDP-B-323-1</t>
  </si>
  <si>
    <t>B-323-0438</t>
  </si>
  <si>
    <t>MARCIO SOUZA CARNEIRO</t>
  </si>
  <si>
    <t>LDP-B-325-5</t>
  </si>
  <si>
    <t>B-325</t>
  </si>
  <si>
    <t>B-325-0439</t>
  </si>
  <si>
    <t>MARCELO HOFFMANN</t>
  </si>
  <si>
    <t>LDP-B-325-6</t>
  </si>
  <si>
    <t>B-325-0440</t>
  </si>
  <si>
    <t>CEDRIA INVESTIMENTOS LTDA</t>
  </si>
  <si>
    <t>LDP-B-325-1</t>
  </si>
  <si>
    <t>B-325-0441</t>
  </si>
  <si>
    <t>LDP-B-325-2</t>
  </si>
  <si>
    <t>B-325-0442</t>
  </si>
  <si>
    <t>JULIA HELENA DA CRUZ LUIZ</t>
  </si>
  <si>
    <t>LDP-B-325-3</t>
  </si>
  <si>
    <t>B-325-0443</t>
  </si>
  <si>
    <t>LEANDRO DESTRI GRENHANIN</t>
  </si>
  <si>
    <t>NATAN DOS SANTOS BILHAR</t>
  </si>
  <si>
    <t>LDP-B-114-3</t>
  </si>
  <si>
    <t>B-114-0444</t>
  </si>
  <si>
    <t>ACW4X HOLDING PATRIMONIAL S.A.</t>
  </si>
  <si>
    <t>LDP-B-227-4</t>
  </si>
  <si>
    <t>B-227</t>
  </si>
  <si>
    <t>B-227-0445</t>
  </si>
  <si>
    <t>THIAGO ALEXANDRE DEPPE MACHADO</t>
  </si>
  <si>
    <t>LDP-B-227-5</t>
  </si>
  <si>
    <t>B-227-0446</t>
  </si>
  <si>
    <t>FOCOLARE EMPREENDIMENTOS E PARTICIPACOES LTDA</t>
  </si>
  <si>
    <t>LDP-B-227-6</t>
  </si>
  <si>
    <t>B-227-0447</t>
  </si>
  <si>
    <t>ALEXANDRE MOISES EGER SCHARF</t>
  </si>
  <si>
    <t>A-213-0449</t>
  </si>
  <si>
    <t>ISMAEL ROGGIA SILVA</t>
  </si>
  <si>
    <t>LDP-B-227-3</t>
  </si>
  <si>
    <t>B-227-0450</t>
  </si>
  <si>
    <t>RAFAEL BONANATA DA ROCHA</t>
  </si>
  <si>
    <t>LDP-B-227-1</t>
  </si>
  <si>
    <t>B-227-0451</t>
  </si>
  <si>
    <t>LDP-Vaga-009</t>
  </si>
  <si>
    <t>Vaga-009</t>
  </si>
  <si>
    <t>Vaga-009-0452</t>
  </si>
  <si>
    <t>LDP-A-104-1</t>
  </si>
  <si>
    <t>A-104</t>
  </si>
  <si>
    <t>A-104-0453</t>
  </si>
  <si>
    <t>LDP-A-104-2</t>
  </si>
  <si>
    <t>A-104-0454</t>
  </si>
  <si>
    <t>LDP-A-104-3</t>
  </si>
  <si>
    <t>A-104-0455</t>
  </si>
  <si>
    <t>LDP-A-104-4</t>
  </si>
  <si>
    <t>A-104-0456</t>
  </si>
  <si>
    <t>VGLLP ADMINISTRADORA DE BENS LTDA</t>
  </si>
  <si>
    <t>LDP-B-325-4</t>
  </si>
  <si>
    <t>B-325-0457</t>
  </si>
  <si>
    <t>ROKA PATRIMONIAL LTDA</t>
  </si>
  <si>
    <t>LDP-B-221-1</t>
  </si>
  <si>
    <t>B-221</t>
  </si>
  <si>
    <t>B-221-0458</t>
  </si>
  <si>
    <t>LDP-B-221-2</t>
  </si>
  <si>
    <t>B-221-0459</t>
  </si>
  <si>
    <t>FERNANDO AMENT</t>
  </si>
  <si>
    <t>LDP-B-227-2</t>
  </si>
  <si>
    <t>B-227-0460</t>
  </si>
  <si>
    <t>LARSON EMPREENDIMENTOS IMOBILIARIOS LTDA</t>
  </si>
  <si>
    <t>LDP-A-213-3</t>
  </si>
  <si>
    <t>A-213-0461</t>
  </si>
  <si>
    <t>BOEIRA EMPREENDIMENTOS IMOBILIARIOS LTDA</t>
  </si>
  <si>
    <t>LDP-B-217-1</t>
  </si>
  <si>
    <t>B-217</t>
  </si>
  <si>
    <t>B-217-0462</t>
  </si>
  <si>
    <t>A-105-0463</t>
  </si>
  <si>
    <t>LUCIANA DORA COSTA</t>
  </si>
  <si>
    <t>LDP-B-217-5</t>
  </si>
  <si>
    <t>B-217-0464</t>
  </si>
  <si>
    <t>ANDRE LUIZ GORNERO</t>
  </si>
  <si>
    <t>LDP-B-217-6</t>
  </si>
  <si>
    <t>B-217-0465</t>
  </si>
  <si>
    <t>PIKIRI PARTICIPACOES LTDA</t>
  </si>
  <si>
    <t>LDP-B-303-1</t>
  </si>
  <si>
    <t>B-303</t>
  </si>
  <si>
    <t>B-303-0466</t>
  </si>
  <si>
    <t>LDP-B-303-2</t>
  </si>
  <si>
    <t>B-303-0467</t>
  </si>
  <si>
    <t>LDP-B-303-3</t>
  </si>
  <si>
    <t>B-303-0468</t>
  </si>
  <si>
    <t>LDP-B-303-5</t>
  </si>
  <si>
    <t>B-303-0469</t>
  </si>
  <si>
    <t>LDP-B-303-4</t>
  </si>
  <si>
    <t>B-303-0470</t>
  </si>
  <si>
    <t>LDP-B-303-7</t>
  </si>
  <si>
    <t>B-303-0471</t>
  </si>
  <si>
    <t>LDP-B-303-6</t>
  </si>
  <si>
    <t>B-303-0472</t>
  </si>
  <si>
    <t>LDP-B-303-8</t>
  </si>
  <si>
    <t>B-303-0473</t>
  </si>
  <si>
    <t>LDP-B-303-10</t>
  </si>
  <si>
    <t>B-303-0474</t>
  </si>
  <si>
    <t>LDP-B-303-9</t>
  </si>
  <si>
    <t>B-303-0475</t>
  </si>
  <si>
    <t>PERICLES ASSAD HASSUN FILHO</t>
  </si>
  <si>
    <t>B-210-0476</t>
  </si>
  <si>
    <t>PEDRO MONFORTE/ARIANE PEREIRA BARBOSA</t>
  </si>
  <si>
    <t>ELIZANDRO ROSERGIO HOFFMANN</t>
  </si>
  <si>
    <t>LDP-B-217-2</t>
  </si>
  <si>
    <t>B-217-0477</t>
  </si>
  <si>
    <t>DEBORA CRISTIAM CARVALHO GALVAO</t>
  </si>
  <si>
    <t>LDP-B-217-4</t>
  </si>
  <si>
    <t>B-217-0478</t>
  </si>
  <si>
    <t>MARTIN ERNY FALLER</t>
  </si>
  <si>
    <t>LDP-B-217-3</t>
  </si>
  <si>
    <t>B-217-0479</t>
  </si>
  <si>
    <t>ALEXANDRE ESTRELLA SALVIA</t>
  </si>
  <si>
    <t>LDP-B-311-5</t>
  </si>
  <si>
    <t>B-311</t>
  </si>
  <si>
    <t>B-311-0480</t>
  </si>
  <si>
    <t>FLAVIO MALDONADO</t>
  </si>
  <si>
    <t>LDP-B-311-4</t>
  </si>
  <si>
    <t>B-311-0481</t>
  </si>
  <si>
    <t>BRUNA GRILLO MARCELINO FUCHTER</t>
  </si>
  <si>
    <t>B-210-0482</t>
  </si>
  <si>
    <t>ELIAS DE MATOS BRITO</t>
  </si>
  <si>
    <t>LDP-B-311-1</t>
  </si>
  <si>
    <t>B-311-0483</t>
  </si>
  <si>
    <t>TIAGO DEBUSSI REIS DE DEUS</t>
  </si>
  <si>
    <t>LDP-B-311-2</t>
  </si>
  <si>
    <t>B-311-0484</t>
  </si>
  <si>
    <t>MARIELE KACZANOSKI</t>
  </si>
  <si>
    <t>DAVI DE OLIVEIRA</t>
  </si>
  <si>
    <t>JUNIA ROHENKOHL</t>
  </si>
  <si>
    <t>LDP-B-311-3</t>
  </si>
  <si>
    <t>B-311-0485</t>
  </si>
  <si>
    <t>CLAUDIO CARLUCCI SILVEIRA</t>
  </si>
  <si>
    <t>DETRINA HOLDING LTDA</t>
  </si>
  <si>
    <t>LDP-B-210-6</t>
  </si>
  <si>
    <t>B-210-0486</t>
  </si>
  <si>
    <t>GUSTAVO SOUZA DE FARIA</t>
  </si>
  <si>
    <t>A-105-0487</t>
  </si>
  <si>
    <t>CARLOS AUGUSTO ROCHA DOS SANTOS</t>
  </si>
  <si>
    <t>LDP-B-311-6</t>
  </si>
  <si>
    <t>B-311-0488</t>
  </si>
  <si>
    <t>GUIMARAES - INCORPORADORA E ADMINISTRADORA DE IMOVEIS LTDA</t>
  </si>
  <si>
    <t>A-211-0489</t>
  </si>
  <si>
    <t>EAP EMPREENDIMENTOS IMOBILIARIOS</t>
  </si>
  <si>
    <t>A-209-0490</t>
  </si>
  <si>
    <t>MEIRE MIECO MARUYAMA</t>
  </si>
  <si>
    <t>B-317-0491</t>
  </si>
  <si>
    <t>ANDREIA TERNOSKI ANTONIO</t>
  </si>
  <si>
    <t>LDP-B-317-2</t>
  </si>
  <si>
    <t>B-317-0492</t>
  </si>
  <si>
    <t>FABIA</t>
  </si>
  <si>
    <t>MASTER GESTAO EMPRESARIAL LTDA</t>
  </si>
  <si>
    <t>LDP-B-309-1</t>
  </si>
  <si>
    <t>B-309</t>
  </si>
  <si>
    <t>B-309-0493</t>
  </si>
  <si>
    <t>LDP-B-329-1</t>
  </si>
  <si>
    <t>B-329</t>
  </si>
  <si>
    <t>B-329-0494</t>
  </si>
  <si>
    <t>LDP-B-309-2</t>
  </si>
  <si>
    <t>B-309-0495</t>
  </si>
  <si>
    <t>LDP-B-309-3</t>
  </si>
  <si>
    <t>B-309-0496</t>
  </si>
  <si>
    <t>LDP-B-309-4</t>
  </si>
  <si>
    <t>B-309-0497</t>
  </si>
  <si>
    <t>LDP-B-309-5</t>
  </si>
  <si>
    <t>B-309-0498</t>
  </si>
  <si>
    <t>LDP-B-309-6</t>
  </si>
  <si>
    <t>B-309-0499</t>
  </si>
  <si>
    <t>LDP-B-309-7</t>
  </si>
  <si>
    <t>B-309-0500</t>
  </si>
  <si>
    <t>LDP-B-309-8</t>
  </si>
  <si>
    <t>B-309-0501</t>
  </si>
  <si>
    <t>LDP-B-309-9</t>
  </si>
  <si>
    <t>B-309-0502</t>
  </si>
  <si>
    <t>LDP-B-309-10</t>
  </si>
  <si>
    <t>B-309-0503</t>
  </si>
  <si>
    <t>LDP-B-329-2</t>
  </si>
  <si>
    <t>B-329-0504</t>
  </si>
  <si>
    <t>LDP-B-329-3</t>
  </si>
  <si>
    <t>B-329-0505</t>
  </si>
  <si>
    <t>LDP-B-329-4</t>
  </si>
  <si>
    <t>B-329-0506</t>
  </si>
  <si>
    <t>LDP-B-329-5</t>
  </si>
  <si>
    <t>B-329-0507</t>
  </si>
  <si>
    <t>LDP-B-329-6</t>
  </si>
  <si>
    <t>B-329-0508</t>
  </si>
  <si>
    <t>LDP-B-329-7</t>
  </si>
  <si>
    <t>B-329-0509</t>
  </si>
  <si>
    <t>LDP-B-329-8</t>
  </si>
  <si>
    <t>B-329-0510</t>
  </si>
  <si>
    <t>LDP-B-329-9</t>
  </si>
  <si>
    <t>B-329-0511</t>
  </si>
  <si>
    <t>LDP-B-329-10</t>
  </si>
  <si>
    <t>B-329-0512</t>
  </si>
  <si>
    <t>MARA DENISE DIAS MACIEL</t>
  </si>
  <si>
    <t>LDP-B-317-3</t>
  </si>
  <si>
    <t>B-317-0513</t>
  </si>
  <si>
    <t>A-209-0514</t>
  </si>
  <si>
    <t>HENRIQUE LAWISCH CARGNELUTTI</t>
  </si>
  <si>
    <t>LDP-B-327-4</t>
  </si>
  <si>
    <t>B-327-0515</t>
  </si>
  <si>
    <t>B-227-0516</t>
  </si>
  <si>
    <t>RODRIGO PORTELA DE SANTANA</t>
  </si>
  <si>
    <t>LDP-B-124-2</t>
  </si>
  <si>
    <t>B-124-0517</t>
  </si>
  <si>
    <t>C&amp;M ADMINISTRADORA DE IMOVEIS LTDA</t>
  </si>
  <si>
    <t>LDP-B-327-1</t>
  </si>
  <si>
    <t>B-327-0518</t>
  </si>
  <si>
    <t>CAMILA OLIVEIRA DA SILVA</t>
  </si>
  <si>
    <t>LDP-B-327-3</t>
  </si>
  <si>
    <t>B-327-0519</t>
  </si>
  <si>
    <t xml:space="preserve">ANDRESSA SILVA DE OLIVEIRA </t>
  </si>
  <si>
    <t>STEFAN VARGAS</t>
  </si>
  <si>
    <t>LDP-B-327-2</t>
  </si>
  <si>
    <t>B-327-0520</t>
  </si>
  <si>
    <t>ANTONIO MARCOS RESENDE TEIXEIRA</t>
  </si>
  <si>
    <t>LDP-B-221-6</t>
  </si>
  <si>
    <t>B-221-0521</t>
  </si>
  <si>
    <t>DAVI DE OLIVEIRA REIS</t>
  </si>
  <si>
    <t>ELY KLEIM JUNIOR</t>
  </si>
  <si>
    <t>DULCEMAR BAUMGARTEN</t>
  </si>
  <si>
    <t>LDP-B-221-3</t>
  </si>
  <si>
    <t>B-211-0522</t>
  </si>
  <si>
    <t>LDP-B-221-4</t>
  </si>
  <si>
    <t>B-211-0523</t>
  </si>
  <si>
    <t>HOTTSILVA ASSETS LTDA</t>
  </si>
  <si>
    <t>LDP-B-304-1</t>
  </si>
  <si>
    <t>B-304</t>
  </si>
  <si>
    <t>B-304-0524</t>
  </si>
  <si>
    <t>LDP-B-304-2</t>
  </si>
  <si>
    <t>B-304-0525</t>
  </si>
  <si>
    <t>LDP-B-304-3</t>
  </si>
  <si>
    <t>B-304-0526</t>
  </si>
  <si>
    <t>LDP-B-304-4</t>
  </si>
  <si>
    <t>B-304-0527</t>
  </si>
  <si>
    <t>LDP-B-304-5</t>
  </si>
  <si>
    <t>B-304-0528</t>
  </si>
  <si>
    <t>LDP-B-304-6</t>
  </si>
  <si>
    <t>B-304-0529</t>
  </si>
  <si>
    <t>LDP-B-304-7</t>
  </si>
  <si>
    <t>B-304-0530</t>
  </si>
  <si>
    <t>LDP-B-304-8</t>
  </si>
  <si>
    <t>B-304-0531</t>
  </si>
  <si>
    <t>LDP-B-304-9</t>
  </si>
  <si>
    <t>B-304-0532</t>
  </si>
  <si>
    <t>LDP-B-304-10</t>
  </si>
  <si>
    <t>B-304-0533</t>
  </si>
  <si>
    <t>VERTIC MASTER EMPILHADEIRAS LTDA</t>
  </si>
  <si>
    <t>A-204-0534</t>
  </si>
  <si>
    <t>FLAVIA AMATO REAME</t>
  </si>
  <si>
    <t>LDP-B-221-5</t>
  </si>
  <si>
    <t>B-221-0535</t>
  </si>
  <si>
    <t>DERMOT RODNEY DE FREITAS BARBOSA</t>
  </si>
  <si>
    <t>LDP-A-109-4</t>
  </si>
  <si>
    <t>A-109-0536</t>
  </si>
  <si>
    <t>LUIZ PEDRO DE SOUZA</t>
  </si>
  <si>
    <t>LDP-B-220-6</t>
  </si>
  <si>
    <t>B-220</t>
  </si>
  <si>
    <t>B-220-0537</t>
  </si>
  <si>
    <t>LEONARDO CRISTHIAN ALVES DE MOURA</t>
  </si>
  <si>
    <t>THIAGO PETRUCELLI</t>
  </si>
  <si>
    <t>LUCIANO CHEDE</t>
  </si>
  <si>
    <t>LDP-B-211-2</t>
  </si>
  <si>
    <t>B-211-0538</t>
  </si>
  <si>
    <t>ANA PAULA CALIL JANICKE</t>
  </si>
  <si>
    <t>LDP-B-209-6</t>
  </si>
  <si>
    <t>B-209-0539</t>
  </si>
  <si>
    <t>B-311-0540</t>
  </si>
  <si>
    <t>BETHANIA BREDA GASPARETTO</t>
  </si>
  <si>
    <t>LDP-B-220-5</t>
  </si>
  <si>
    <t>B-220-0541</t>
  </si>
  <si>
    <t>RAFAEL MADRID SILVEIRA</t>
  </si>
  <si>
    <t>LDP-B-220-3</t>
  </si>
  <si>
    <t>B-220-0542</t>
  </si>
  <si>
    <t>JOAO CARLOS MEDEIROS</t>
  </si>
  <si>
    <t>LDP-B-220-1</t>
  </si>
  <si>
    <t>B-220-0543</t>
  </si>
  <si>
    <t>LDP-B-220-2</t>
  </si>
  <si>
    <t>B-220-0544</t>
  </si>
  <si>
    <t>FABIO CHAGAS DA SILVA</t>
  </si>
  <si>
    <t>LDP-B-203-6</t>
  </si>
  <si>
    <t>B-203-0545</t>
  </si>
  <si>
    <t>EDSON FELIPE MUCHOLOWSKI</t>
  </si>
  <si>
    <t>LDP-B-222-4</t>
  </si>
  <si>
    <t>B-222</t>
  </si>
  <si>
    <t>B-222-0546</t>
  </si>
  <si>
    <t>JONNATHAN OCTAVIO SECRIERU BOSCAN</t>
  </si>
  <si>
    <t>LDP-B-222-5</t>
  </si>
  <si>
    <t>B-222-0547</t>
  </si>
  <si>
    <t>SOL INCORPORADORA E ADMINISTRADORA DE BENS LTDA</t>
  </si>
  <si>
    <t>LDP-B-222-6</t>
  </si>
  <si>
    <t>B-222-0548</t>
  </si>
  <si>
    <t xml:space="preserve">MONTIANO EMPREENDIMENTOS S A </t>
  </si>
  <si>
    <t>LDP-B-220-4</t>
  </si>
  <si>
    <t>B-220-0549</t>
  </si>
  <si>
    <t>JULIO CARLOS BENJAMIN BAUMGARTEN</t>
  </si>
  <si>
    <t>B-219-0550</t>
  </si>
  <si>
    <t>JAIRO BIRAMAR DE OLIVEIRA</t>
  </si>
  <si>
    <t>LDP-B-228-2</t>
  </si>
  <si>
    <t>B-228</t>
  </si>
  <si>
    <t>B-228-0551</t>
  </si>
  <si>
    <t>IAN RODRIGUES BIRBAUM</t>
  </si>
  <si>
    <t>VANESSA SILVA CARDOSO</t>
  </si>
  <si>
    <t>B-221-0552</t>
  </si>
  <si>
    <t>NIVALDO DE OLIVEIRA JUNIOR</t>
  </si>
  <si>
    <t>LDP-B-228-5</t>
  </si>
  <si>
    <t>B-228-0553</t>
  </si>
  <si>
    <t>SCHIAVINATO INUSTRIAL LTDA</t>
  </si>
  <si>
    <t>LDP-B-222-2</t>
  </si>
  <si>
    <t>B-222-0554</t>
  </si>
  <si>
    <t>LIANA BARROS BITTENCOURT MONTEIRO FILIPE</t>
  </si>
  <si>
    <t>LDP-B-116-6</t>
  </si>
  <si>
    <t>B-116</t>
  </si>
  <si>
    <t>B-116-0555</t>
  </si>
  <si>
    <t>NEUDIMAR DALL ONDER</t>
  </si>
  <si>
    <t>A-205-0556</t>
  </si>
  <si>
    <t>INTEGRAL</t>
  </si>
  <si>
    <t>LDP-VAGA-011</t>
  </si>
  <si>
    <t>VAGA-011</t>
  </si>
  <si>
    <t>VAGA-011-0557</t>
  </si>
  <si>
    <t>A-205-0558</t>
  </si>
  <si>
    <t>A-205-0559</t>
  </si>
  <si>
    <t>A-205-0560</t>
  </si>
  <si>
    <t>VICENTE DE CASSIO NOGUEIRA</t>
  </si>
  <si>
    <t>LDP-B-225-7</t>
  </si>
  <si>
    <t>B-225-0561</t>
  </si>
  <si>
    <t>EDUARDO PERES  SOUZA</t>
  </si>
  <si>
    <t>LDP-B-323-7</t>
  </si>
  <si>
    <t>B-323-0562</t>
  </si>
  <si>
    <t>JANAINA GORNERO</t>
  </si>
  <si>
    <t>LDP-B-222-1</t>
  </si>
  <si>
    <t>B-222-0563</t>
  </si>
  <si>
    <t>JOAO BATALHA DA SILVA NETO/ARIANE PEREIRA BARBOSA</t>
  </si>
  <si>
    <t>CESAR PIZZATO QUADROS</t>
  </si>
  <si>
    <t>LDP-B-323-8</t>
  </si>
  <si>
    <t>B-323-0564</t>
  </si>
  <si>
    <t>LMC EMPREENDIMENTOS E PARTICIPACOES LTDA</t>
  </si>
  <si>
    <t>LDP-B-217-7</t>
  </si>
  <si>
    <t>B-217-0565</t>
  </si>
  <si>
    <t>JEAN PAULO DOS SANTOS</t>
  </si>
  <si>
    <t>CHALABI SERVICOS DE SAUDE LTDA</t>
  </si>
  <si>
    <t>B-321-0566</t>
  </si>
  <si>
    <t>LDP-B-124-5</t>
  </si>
  <si>
    <t>B-124-0567</t>
  </si>
  <si>
    <t>LEONARDO DA FONSECA LIEDKE</t>
  </si>
  <si>
    <t>LDP-B-311-8</t>
  </si>
  <si>
    <t>B-311-0568</t>
  </si>
  <si>
    <t>SDG ADMINISTRADORA DE BENS PROPRIOS LTDA</t>
  </si>
  <si>
    <t>LDP-B-211-7</t>
  </si>
  <si>
    <t>B-211-0569</t>
  </si>
  <si>
    <t>ADRIANO MACEDO DA FONSECA</t>
  </si>
  <si>
    <t>LDP-B-209-7</t>
  </si>
  <si>
    <t>B-209-0570</t>
  </si>
  <si>
    <t>SERGIO FONSECA DE CARVALHO FILHO</t>
  </si>
  <si>
    <t>LDP-B-323-9</t>
  </si>
  <si>
    <t>B-323-0571</t>
  </si>
  <si>
    <t>MARISA CARVALHO RAPHAEL</t>
  </si>
  <si>
    <t>LDP-B-325-10</t>
  </si>
  <si>
    <t>B-325-0572</t>
  </si>
  <si>
    <t>LDP-B-228-4</t>
  </si>
  <si>
    <t>B-228-0573</t>
  </si>
  <si>
    <t>BRUNO OTAVIO DE CASTRO CARDOSO</t>
  </si>
  <si>
    <t>LDP-B-327-8</t>
  </si>
  <si>
    <t>B-327-0574</t>
  </si>
  <si>
    <t>ADRIANO PEIXOTO DOS SANTOS</t>
  </si>
  <si>
    <t>LDP-B-311-10</t>
  </si>
  <si>
    <t>B-311-0575</t>
  </si>
  <si>
    <t>RENAN FERREIRA MASSON</t>
  </si>
  <si>
    <t>LDP-B-311-7</t>
  </si>
  <si>
    <t>B-311-0576</t>
  </si>
  <si>
    <t>FABRICIA PEREIRA DE SOUZA</t>
  </si>
  <si>
    <t>AGROPECUARIA G3 LTDA</t>
  </si>
  <si>
    <t>A-213-0577</t>
  </si>
  <si>
    <t>VILURISO PARTICIPAÇOES SOCIETARIAS LTDA</t>
  </si>
  <si>
    <t>A-105-0578</t>
  </si>
  <si>
    <t>MARIA EDUARDA GARBELOTTO DO CANTO</t>
  </si>
  <si>
    <t>LDP-B-114-6</t>
  </si>
  <si>
    <t>B-114-0579</t>
  </si>
  <si>
    <t>STUDIO 219 LAJE DE PEDRA ADMINISTRACAO DE IMOVEIS LTDA</t>
  </si>
  <si>
    <t>B-219-0580</t>
  </si>
  <si>
    <t>PEDRO KLEINUBING PORTO</t>
  </si>
  <si>
    <t>LDP-B-214-3</t>
  </si>
  <si>
    <t>B-214</t>
  </si>
  <si>
    <t>B-214-0581</t>
  </si>
  <si>
    <t>LDP-B-214-4</t>
  </si>
  <si>
    <t>B-214-0582</t>
  </si>
  <si>
    <t>LEANDRO BRAGA BARBOSA</t>
  </si>
  <si>
    <t>LDP-B-214-5</t>
  </si>
  <si>
    <t>B-214-0583</t>
  </si>
  <si>
    <t>LDP-B-214-6</t>
  </si>
  <si>
    <t>B-214-0584</t>
  </si>
  <si>
    <t>CB EMPREENDIMENTOS IMOBILIARIOS LTDA</t>
  </si>
  <si>
    <t>LDP-B-212-1</t>
  </si>
  <si>
    <t>B-212</t>
  </si>
  <si>
    <t>B-212-0585</t>
  </si>
  <si>
    <t>LDP-B-212-2</t>
  </si>
  <si>
    <t>B-212-0586</t>
  </si>
  <si>
    <t>LDP-B-212-3</t>
  </si>
  <si>
    <t>B-212-0587</t>
  </si>
  <si>
    <t>LDP-B-212-4</t>
  </si>
  <si>
    <t>B-212-0588</t>
  </si>
  <si>
    <t>LDP-B-212-5</t>
  </si>
  <si>
    <t>B-212-0589</t>
  </si>
  <si>
    <t>LDP-B-212-6</t>
  </si>
  <si>
    <t>B-212-0590</t>
  </si>
  <si>
    <t>LDP-B-212-7</t>
  </si>
  <si>
    <t>B-212-0591</t>
  </si>
  <si>
    <t>LDP-B-212-8</t>
  </si>
  <si>
    <t>B-212-0592</t>
  </si>
  <si>
    <t>LDP-B-212-9</t>
  </si>
  <si>
    <t>B-212-0593</t>
  </si>
  <si>
    <t>LDP-B-212-10</t>
  </si>
  <si>
    <t>B-212-0594</t>
  </si>
  <si>
    <t>RAFAEL LAURIA MARCAL TUCCI</t>
  </si>
  <si>
    <t>LDP-B-323-10</t>
  </si>
  <si>
    <t>B-323-0595</t>
  </si>
  <si>
    <t>SERGIO JUNIOR DA SILVA</t>
  </si>
  <si>
    <t>SOLAR CONSTRUCOES, INCORPORACOES E PARTICIPACOES LTDA</t>
  </si>
  <si>
    <t>A-205-0596</t>
  </si>
  <si>
    <t>A-205-0597</t>
  </si>
  <si>
    <t>A-205-0598</t>
  </si>
  <si>
    <t>A-205-0599</t>
  </si>
  <si>
    <t>VAGA-011-0600</t>
  </si>
  <si>
    <t>LUIS FERNANDO LOSS MALDANER</t>
  </si>
  <si>
    <t>LDP-B-206-1</t>
  </si>
  <si>
    <t>B-206</t>
  </si>
  <si>
    <t>B-206-0601</t>
  </si>
  <si>
    <t>LDP-B-206-2</t>
  </si>
  <si>
    <t>B-206-0602</t>
  </si>
  <si>
    <t>LDP-B-206-3</t>
  </si>
  <si>
    <t>B-206-0603</t>
  </si>
  <si>
    <t>LDP-B-206-4</t>
  </si>
  <si>
    <t>B-206-0604</t>
  </si>
  <si>
    <t>AGROPECUARIA INTEGRACAO LTDA</t>
  </si>
  <si>
    <t>LDP-B-218-5</t>
  </si>
  <si>
    <t>B-218</t>
  </si>
  <si>
    <t>B-218-0605</t>
  </si>
  <si>
    <t>LDP-B-218-6</t>
  </si>
  <si>
    <t>B-218-0606</t>
  </si>
  <si>
    <t>GABRIEL BORGES ALVES</t>
  </si>
  <si>
    <t>LDP-B-211-8</t>
  </si>
  <si>
    <t>B-211-0607</t>
  </si>
  <si>
    <t>ANDREA L. FEINE LTDA</t>
  </si>
  <si>
    <t>LDP-B-214-1</t>
  </si>
  <si>
    <t>B-214-0608</t>
  </si>
  <si>
    <t>LDP-B-214-2</t>
  </si>
  <si>
    <t>B-214-0609</t>
  </si>
  <si>
    <t>JFELIX PRODUCOES &amp; MARKETING LTDA</t>
  </si>
  <si>
    <t>B-221-0611</t>
  </si>
  <si>
    <t>MARGARETE MEDINA MACIEL</t>
  </si>
  <si>
    <t>LDP-B-211-9</t>
  </si>
  <si>
    <t>B-211-0612</t>
  </si>
  <si>
    <t>PEDRO PIRES DE CAMPOS NETO</t>
  </si>
  <si>
    <t>LDP-B-218-1</t>
  </si>
  <si>
    <t>B-218-0613</t>
  </si>
  <si>
    <t>LDP-B-218-2</t>
  </si>
  <si>
    <t>B-218-0614</t>
  </si>
  <si>
    <t>LDP-C-251-1</t>
  </si>
  <si>
    <t>C-251</t>
  </si>
  <si>
    <t>C-251-0615</t>
  </si>
  <si>
    <t>LDP-C-251-2</t>
  </si>
  <si>
    <t>C-251-0616</t>
  </si>
  <si>
    <t>LDP-C-251-3</t>
  </si>
  <si>
    <t>C-251-0617</t>
  </si>
  <si>
    <t>LDP-C-251-4</t>
  </si>
  <si>
    <t>C-251-0618</t>
  </si>
  <si>
    <t>LDP-VAGA-012</t>
  </si>
  <si>
    <t>VAGA-012</t>
  </si>
  <si>
    <t>VAGA-012-0619</t>
  </si>
  <si>
    <t>FABIO RODRIGO MARQUES</t>
  </si>
  <si>
    <t>LDP-B-311-9</t>
  </si>
  <si>
    <t>B-311-0620</t>
  </si>
  <si>
    <t>JOAO PAULO MELO MARTINI</t>
  </si>
  <si>
    <t>LDP-B-211-10</t>
  </si>
  <si>
    <t>B-211-0621</t>
  </si>
  <si>
    <t>FA EMPREENDIMENTOS IMOBILIARIOS LTDA</t>
  </si>
  <si>
    <t>LDP-B-218-3</t>
  </si>
  <si>
    <t>B-218-0622</t>
  </si>
  <si>
    <t>23,33%</t>
  </si>
  <si>
    <t>LDP-B-218-4</t>
  </si>
  <si>
    <t>B-218-0623</t>
  </si>
  <si>
    <t>JOSE LEANDRO DA SILVA</t>
  </si>
  <si>
    <t>LDP-B-327-7</t>
  </si>
  <si>
    <t>B-327-0624</t>
  </si>
  <si>
    <t>BRUNO FURTADO BENETTI</t>
  </si>
  <si>
    <t>B-211-0625</t>
  </si>
  <si>
    <t>LETICIA BARBOSA DE CASTRO PRIORI</t>
  </si>
  <si>
    <t>LDP-B-322-5</t>
  </si>
  <si>
    <t>B-322</t>
  </si>
  <si>
    <t>B-322-0626</t>
  </si>
  <si>
    <t>VINICIUS PEDROSO SEVERO</t>
  </si>
  <si>
    <t>A-209-0627</t>
  </si>
  <si>
    <t>100,00%</t>
  </si>
  <si>
    <t>GUILHERME JOAO SOMBRIO</t>
  </si>
  <si>
    <t>A-105-0628</t>
  </si>
  <si>
    <t>20,61%</t>
  </si>
  <si>
    <t>LDP-B-114-1</t>
  </si>
  <si>
    <t>B-114-0629</t>
  </si>
  <si>
    <t>66,68%</t>
  </si>
  <si>
    <t>CARMEN MARTINS MORGADO DE JESUS</t>
  </si>
  <si>
    <t>LDP-B-322-1</t>
  </si>
  <si>
    <t>B-322-0630</t>
  </si>
  <si>
    <t>15,07%</t>
  </si>
  <si>
    <t>GUSTAVO KOCH PINHEIRO</t>
  </si>
  <si>
    <t>LDP-B-322-2</t>
  </si>
  <si>
    <t>B-322-0631</t>
  </si>
  <si>
    <t>VITOR CANEDO</t>
  </si>
  <si>
    <t>59,17%</t>
  </si>
  <si>
    <t>MG PROJETOS LTDA</t>
  </si>
  <si>
    <t>LDP-B-322-3</t>
  </si>
  <si>
    <t>B-322-0632</t>
  </si>
  <si>
    <t>27,83%</t>
  </si>
  <si>
    <t>ANDREA GIUGLIANI</t>
  </si>
  <si>
    <t>LDP-B-322-6</t>
  </si>
  <si>
    <t>B-322-0633</t>
  </si>
  <si>
    <t>24,08%</t>
  </si>
  <si>
    <t>FABIANE ROMAO</t>
  </si>
  <si>
    <t>LDP-B-322-4</t>
  </si>
  <si>
    <t>B-322-0634</t>
  </si>
  <si>
    <t>52,87%</t>
  </si>
  <si>
    <t>OM25 SPORTS LTDA</t>
  </si>
  <si>
    <t>LDP-VAGA-013</t>
  </si>
  <si>
    <t>VAGA-013</t>
  </si>
  <si>
    <t>VAGA-013-0635</t>
  </si>
  <si>
    <t>25,11%</t>
  </si>
  <si>
    <t>LDP-C-351-1</t>
  </si>
  <si>
    <t>C-351</t>
  </si>
  <si>
    <t>C-351-0636</t>
  </si>
  <si>
    <t>LDP-C-351-3</t>
  </si>
  <si>
    <t>C-351-0637</t>
  </si>
  <si>
    <t>LDP-C-351-2</t>
  </si>
  <si>
    <t>C-351-0638</t>
  </si>
  <si>
    <t>LDP-C-351-4</t>
  </si>
  <si>
    <t>C-351-0639</t>
  </si>
  <si>
    <t>LYDIANE PEREIRA LEAL</t>
  </si>
  <si>
    <t>LDP-B-328-5</t>
  </si>
  <si>
    <t>B-328</t>
  </si>
  <si>
    <t>B-328-0640</t>
  </si>
  <si>
    <t>26,85%</t>
  </si>
  <si>
    <t>GIORGIA AURORA DEVIENNE PASTORI</t>
  </si>
  <si>
    <t>A-105-0641</t>
  </si>
  <si>
    <t>KATI MARI SAYURI KOHATSU</t>
  </si>
  <si>
    <t>LDP-B-128-3</t>
  </si>
  <si>
    <t>B-128</t>
  </si>
  <si>
    <t>B-128-0642</t>
  </si>
  <si>
    <t>22,09%</t>
  </si>
  <si>
    <t>LUCIO FLAVIO PRETTO</t>
  </si>
  <si>
    <t>LDP-B-128-5</t>
  </si>
  <si>
    <t>B-128-0643</t>
  </si>
  <si>
    <t>13,33%</t>
  </si>
  <si>
    <t>RICARDO FORTES CORREA MEYER</t>
  </si>
  <si>
    <t>LDP-B-328-1</t>
  </si>
  <si>
    <t>B-328-0644</t>
  </si>
  <si>
    <t>CARLA DELLA BONA</t>
  </si>
  <si>
    <t>LDP-B-328-4</t>
  </si>
  <si>
    <t>B-328-0645</t>
  </si>
  <si>
    <t>NORBERTO LUIZ ZANELATTO</t>
  </si>
  <si>
    <t>LDP-B-328-3</t>
  </si>
  <si>
    <t>B-328-0646</t>
  </si>
  <si>
    <t>LDP-B-328-2</t>
  </si>
  <si>
    <t>B-328-0647</t>
  </si>
  <si>
    <t>CARLOS ALBERTO FERRARI VIEIRA</t>
  </si>
  <si>
    <t>LDP-B-128-1</t>
  </si>
  <si>
    <t>B-128-0648</t>
  </si>
  <si>
    <t>20,26%</t>
  </si>
  <si>
    <t>ORDIPAR PARTICIPACOES EM SOCIEDADES EMPRESARIAIS LTDA</t>
  </si>
  <si>
    <t>LDP-B-326-4</t>
  </si>
  <si>
    <t>B-326</t>
  </si>
  <si>
    <t>B-326-0650</t>
  </si>
  <si>
    <t>39.416.05</t>
  </si>
  <si>
    <t>MARCIA HELENA SCHNECK</t>
  </si>
  <si>
    <t>LDP-B-326-3</t>
  </si>
  <si>
    <t>B-326-0651</t>
  </si>
  <si>
    <t>VINÍCIUS LORENZINI LIMA</t>
  </si>
  <si>
    <t>35,55%</t>
  </si>
  <si>
    <t>IGOR LOSS DA SILVA</t>
  </si>
  <si>
    <t>LDP-B-215-3</t>
  </si>
  <si>
    <t>B-215-0652</t>
  </si>
  <si>
    <t>30,11%</t>
  </si>
  <si>
    <t>EVANDRO GERMANO DE SOUZA</t>
  </si>
  <si>
    <t>LDP-B-326-6</t>
  </si>
  <si>
    <t>B-326-0653</t>
  </si>
  <si>
    <t>2,12%</t>
  </si>
  <si>
    <t>ADILSON VERWIEBE</t>
  </si>
  <si>
    <t>LDP-B-320-5</t>
  </si>
  <si>
    <t>B-320-0654</t>
  </si>
  <si>
    <t>50,13%</t>
  </si>
  <si>
    <t>JOSE RICARDO PATARO BOTELHO DE QUEIROZ</t>
  </si>
  <si>
    <t>LDP-B-326-1</t>
  </si>
  <si>
    <t>B-326-0655</t>
  </si>
  <si>
    <t>EDUARDO KNEIP</t>
  </si>
  <si>
    <t>LDP-B-320-4</t>
  </si>
  <si>
    <t>B-320-0656</t>
  </si>
  <si>
    <t>PRIME ULTRAFORM LTDA</t>
  </si>
  <si>
    <t>B-201-0657</t>
  </si>
  <si>
    <t>14,71%</t>
  </si>
  <si>
    <t>FREDERICO STURMER</t>
  </si>
  <si>
    <t>LDP-B-320-2</t>
  </si>
  <si>
    <t>B-320-0658</t>
  </si>
  <si>
    <t>DANNY CESAR GABRIEL DE OLIVEIRA JUMES</t>
  </si>
  <si>
    <t>B-301-0659</t>
  </si>
  <si>
    <t>LCA PARTICIPACOES LTDA</t>
  </si>
  <si>
    <t>B-301-0660</t>
  </si>
  <si>
    <t>B-315-0661</t>
  </si>
  <si>
    <t>VALDIR PASA</t>
  </si>
  <si>
    <t>B-215-0662</t>
  </si>
  <si>
    <t>CLESIO BROGNI</t>
  </si>
  <si>
    <t>LDP-A-115-1</t>
  </si>
  <si>
    <t>A-115</t>
  </si>
  <si>
    <t>A-115-0663</t>
  </si>
  <si>
    <t>LDP-VAGA-014</t>
  </si>
  <si>
    <t>VAGA-014</t>
  </si>
  <si>
    <t>VAGA-014-0664</t>
  </si>
  <si>
    <t>LDP-A-115-2</t>
  </si>
  <si>
    <t>A-115-0665</t>
  </si>
  <si>
    <t>LDP-A-115-3</t>
  </si>
  <si>
    <t>A-115-0666</t>
  </si>
  <si>
    <t>LDP-A-115-4</t>
  </si>
  <si>
    <t>A-115-0667</t>
  </si>
  <si>
    <t>LDP-A-206-1</t>
  </si>
  <si>
    <t>A-206</t>
  </si>
  <si>
    <t>A-206-0668</t>
  </si>
  <si>
    <t>LDP-VAGA-015</t>
  </si>
  <si>
    <t>VAGA-015</t>
  </si>
  <si>
    <t>VAGA-015-0669</t>
  </si>
  <si>
    <t>LDP-A-206-2</t>
  </si>
  <si>
    <t>A-206-0670</t>
  </si>
  <si>
    <t>LDP-A-206-3</t>
  </si>
  <si>
    <t>A-206-0671</t>
  </si>
  <si>
    <t>LDP-A-206-4</t>
  </si>
  <si>
    <t>A-206-0672</t>
  </si>
  <si>
    <t>ELAINE APARECIDA FERREIRA DOS SANTOS</t>
  </si>
  <si>
    <t>B-221-0674</t>
  </si>
  <si>
    <t>B-221-0675</t>
  </si>
  <si>
    <t>A-111-0676</t>
  </si>
  <si>
    <t>KLAUBER DE ARAUJO SOUZA AZEVEDO</t>
  </si>
  <si>
    <t>B-315-0677</t>
  </si>
  <si>
    <t>RAISSA OKADA</t>
  </si>
  <si>
    <t>20,10%</t>
  </si>
  <si>
    <t>FABIANO ALVES DE OLIVEIRA</t>
  </si>
  <si>
    <t>B-201-0678</t>
  </si>
  <si>
    <t>16,05%</t>
  </si>
  <si>
    <t>B-229-0679</t>
  </si>
  <si>
    <t>17,58%</t>
  </si>
  <si>
    <t>H R ROLIM ADMINISTRADORA DE BENS LTDA</t>
  </si>
  <si>
    <t>B-210-0680</t>
  </si>
  <si>
    <t>14,90%</t>
  </si>
  <si>
    <t>HENRIQUE LIMA DE OLIVEIRA</t>
  </si>
  <si>
    <t>B-214-0681</t>
  </si>
  <si>
    <t>LAURA FONTES</t>
  </si>
  <si>
    <t>1,01%</t>
  </si>
  <si>
    <t>FLAVIA BRIOSCHI</t>
  </si>
  <si>
    <t>B-210-0682</t>
  </si>
  <si>
    <t>16,11%</t>
  </si>
  <si>
    <t>THALES ROCHA BORDIGNON</t>
  </si>
  <si>
    <t>LDP-B-111-6</t>
  </si>
  <si>
    <t>B-111-0683</t>
  </si>
  <si>
    <t>13,29%</t>
  </si>
  <si>
    <t>ALVARO DELLA BONA</t>
  </si>
  <si>
    <t>B-214-0684</t>
  </si>
  <si>
    <t>2,89%</t>
  </si>
  <si>
    <t>B.M.F GESTAO PATRIMONIAL LTDA</t>
  </si>
  <si>
    <t>LDP-B-111-4</t>
  </si>
  <si>
    <t>B-111-0686</t>
  </si>
  <si>
    <t>27,74%</t>
  </si>
  <si>
    <t>21,26%</t>
  </si>
  <si>
    <t>ALESSANDRA</t>
  </si>
  <si>
    <t>CAIO CESAR ARRUDA REGIS</t>
  </si>
  <si>
    <t>LDP-B-111-2</t>
  </si>
  <si>
    <t>B-111-0687</t>
  </si>
  <si>
    <t>19,92%</t>
  </si>
  <si>
    <t>4,36%</t>
  </si>
  <si>
    <t>LUIZ GUILHERME POERNER</t>
  </si>
  <si>
    <t>LDP-B-111-1</t>
  </si>
  <si>
    <t>B-111-0688</t>
  </si>
  <si>
    <t>10,53%</t>
  </si>
  <si>
    <t>19,84%</t>
  </si>
  <si>
    <t>HARMONIA PARTICIPACOES E INVESTIMENTOS LTDA</t>
  </si>
  <si>
    <t>LDP-B-121-1</t>
  </si>
  <si>
    <t>B-121</t>
  </si>
  <si>
    <t>B-121-0689</t>
  </si>
  <si>
    <t>32,86%</t>
  </si>
  <si>
    <t>ELIZABETH VIERO ARAUJO</t>
  </si>
  <si>
    <t>LDP-B-117-1</t>
  </si>
  <si>
    <t>B-117</t>
  </si>
  <si>
    <t>B-117-0690</t>
  </si>
  <si>
    <t>14,73%</t>
  </si>
  <si>
    <t>LDP-B-121-2</t>
  </si>
  <si>
    <t>B-121-0691</t>
  </si>
  <si>
    <t>LDP-B-121-3</t>
  </si>
  <si>
    <t>B-121-0692</t>
  </si>
  <si>
    <t>LDP-B-121-4</t>
  </si>
  <si>
    <t>B-121-0693</t>
  </si>
  <si>
    <t>LDP-B-121-5</t>
  </si>
  <si>
    <t>B-121-0694</t>
  </si>
  <si>
    <t>LDP-B-121-6</t>
  </si>
  <si>
    <t>B-121-0695</t>
  </si>
  <si>
    <t>LDP-B-121-7</t>
  </si>
  <si>
    <t>B-121-0696</t>
  </si>
  <si>
    <t>LDP-B-121-8</t>
  </si>
  <si>
    <t>B-121-0697</t>
  </si>
  <si>
    <t>LDP-B-121-9</t>
  </si>
  <si>
    <t>B-121-0698</t>
  </si>
  <si>
    <t>LDP-B-121-10</t>
  </si>
  <si>
    <t>B-121-0699</t>
  </si>
  <si>
    <t>VALERIA MARIA PILATTI</t>
  </si>
  <si>
    <t>LDP-C-254-1</t>
  </si>
  <si>
    <t>C-254</t>
  </si>
  <si>
    <t>C-254-0700</t>
  </si>
  <si>
    <t>33,32%</t>
  </si>
  <si>
    <t>21,62%</t>
  </si>
  <si>
    <t>LDP-C-254-2</t>
  </si>
  <si>
    <t>C-254-0701</t>
  </si>
  <si>
    <t>LDP-C-254-3</t>
  </si>
  <si>
    <t>C-254-0702</t>
  </si>
  <si>
    <t>LDP-C-254-4</t>
  </si>
  <si>
    <t>C-254-0703</t>
  </si>
  <si>
    <t>LDP-VAGA-016</t>
  </si>
  <si>
    <t>VAGA-016</t>
  </si>
  <si>
    <t>VAGA-016-0704</t>
  </si>
  <si>
    <t>33,51%</t>
  </si>
  <si>
    <t>JFZ PARTICIPACOES LTDA</t>
  </si>
  <si>
    <t>B-218-0705</t>
  </si>
  <si>
    <t>1,33%</t>
  </si>
  <si>
    <t>SILVA HOLDING FAMILIAR LTDA</t>
  </si>
  <si>
    <t>LDP-B-117-4</t>
  </si>
  <si>
    <t>B-117-0706</t>
  </si>
  <si>
    <t>12,90%</t>
  </si>
  <si>
    <t>FIDO PARTICIPACOES S A</t>
  </si>
  <si>
    <t>B-218-0707</t>
  </si>
  <si>
    <t>11,26%</t>
  </si>
  <si>
    <t>RAFAEL STEFANON</t>
  </si>
  <si>
    <t>LDP-B-122-7</t>
  </si>
  <si>
    <t>B-122</t>
  </si>
  <si>
    <t>B-122-0708</t>
  </si>
  <si>
    <t>RVT PARTICIPACOES LTDA</t>
  </si>
  <si>
    <t>B-218-0709</t>
  </si>
  <si>
    <t>B-218-0710</t>
  </si>
  <si>
    <t>MARCIO VELLOSO FONTES</t>
  </si>
  <si>
    <t>LDP-B-122-9</t>
  </si>
  <si>
    <t>B-122-0711</t>
  </si>
  <si>
    <t>MARISTELA MARIA FIORINI</t>
  </si>
  <si>
    <t>LDP-B-122-8</t>
  </si>
  <si>
    <t>B-122-0712</t>
  </si>
  <si>
    <t>EDUARDO RAMOS ZART</t>
  </si>
  <si>
    <t>LDP-B-116-5</t>
  </si>
  <si>
    <t>B-116-0713</t>
  </si>
  <si>
    <t>9,40%</t>
  </si>
  <si>
    <t>LEO</t>
  </si>
  <si>
    <t>B-116-0715</t>
  </si>
  <si>
    <t>IGOR VIEIRA XAVIER</t>
  </si>
  <si>
    <t>LDP-B-132-1</t>
  </si>
  <si>
    <t>B-132</t>
  </si>
  <si>
    <t>B-132-0716</t>
  </si>
  <si>
    <t xml:space="preserve">IGOR VIEIRA XAVIER </t>
  </si>
  <si>
    <t>LDP-B-132-4</t>
  </si>
  <si>
    <t>B-132-0717</t>
  </si>
  <si>
    <t>VINICIUS ALANO DE ATAIDES</t>
  </si>
  <si>
    <t>LDP-B-132-2</t>
  </si>
  <si>
    <t>B-132-0718</t>
  </si>
  <si>
    <t>4,05%</t>
  </si>
  <si>
    <t>LDP-B-132-3</t>
  </si>
  <si>
    <t>B-132-0719</t>
  </si>
  <si>
    <t>DIEGO LUCIANO LOPES DA COSTA</t>
  </si>
  <si>
    <t>B-321-0720</t>
  </si>
  <si>
    <t>0,57%</t>
  </si>
  <si>
    <t>B-321-0721</t>
  </si>
  <si>
    <t>LDP-B-228-1</t>
  </si>
  <si>
    <t>B-228-0722</t>
  </si>
  <si>
    <t>9,04%</t>
  </si>
  <si>
    <t>LDP-B-228-6</t>
  </si>
  <si>
    <t>B-228-0723</t>
  </si>
  <si>
    <t>ANDERSON DARONCO</t>
  </si>
  <si>
    <t>LDP-B-326-2</t>
  </si>
  <si>
    <t>B-326-0724</t>
  </si>
  <si>
    <t>6,05%</t>
  </si>
  <si>
    <t>LDP-B-326-5</t>
  </si>
  <si>
    <t>B-326-0725</t>
  </si>
  <si>
    <t>PAULO JOSE TONELLO MENDES FERREIRA</t>
  </si>
  <si>
    <t>LDP-B-215-7</t>
  </si>
  <si>
    <t>B-215-0726</t>
  </si>
  <si>
    <t>5,95%</t>
  </si>
  <si>
    <t>ANDRE NERY</t>
  </si>
  <si>
    <t>LDP-B-215-8</t>
  </si>
  <si>
    <t>B-215-0727</t>
  </si>
  <si>
    <t>MAGNO ADMINISTRACAO DE BENS E PARTICIPACOES LTDA</t>
  </si>
  <si>
    <t>LDP-B-122-4</t>
  </si>
  <si>
    <t>B-122-0728</t>
  </si>
  <si>
    <t>0,98%</t>
  </si>
  <si>
    <t>LDP-B-122-5</t>
  </si>
  <si>
    <t>B-122-0729</t>
  </si>
  <si>
    <t>LDP-B-116-1</t>
  </si>
  <si>
    <t>B-116-0730</t>
  </si>
  <si>
    <t>8,15%</t>
  </si>
  <si>
    <t>LDP-B-116-2</t>
  </si>
  <si>
    <t>B-116-0731</t>
  </si>
  <si>
    <t>ACDC ADMINISTRADORA DE BENS E DIREITOS LTDA</t>
  </si>
  <si>
    <t>LDP-B-118-1</t>
  </si>
  <si>
    <t>B-118</t>
  </si>
  <si>
    <t>B-118-0732</t>
  </si>
  <si>
    <t>5,79%</t>
  </si>
  <si>
    <t>LDP-B-118-4</t>
  </si>
  <si>
    <t>B-118-0733</t>
  </si>
  <si>
    <t>LDP-B-116-3</t>
  </si>
  <si>
    <t>B-116-0734</t>
  </si>
  <si>
    <t>6,34%</t>
  </si>
  <si>
    <t>LDP-B-116-4</t>
  </si>
  <si>
    <t>B-116-0735</t>
  </si>
  <si>
    <t>LDP-B-118-2</t>
  </si>
  <si>
    <t>B-118-0736</t>
  </si>
  <si>
    <t>5,56%</t>
  </si>
  <si>
    <t>LDP-B-114-2</t>
  </si>
  <si>
    <t>B-114-0737</t>
  </si>
  <si>
    <t>AUREO RODRIGO LOCATELLI</t>
  </si>
  <si>
    <t>LDP-B-215-9</t>
  </si>
  <si>
    <t>B-215-0738</t>
  </si>
  <si>
    <t>1,48%</t>
  </si>
  <si>
    <t>JAMES SIRTOLI</t>
  </si>
  <si>
    <t>LDP-B-215-10</t>
  </si>
  <si>
    <t>B-215-0739</t>
  </si>
  <si>
    <t>LEONARDO CRISTIAN ALVES DE MOURA</t>
  </si>
  <si>
    <t>1,05%</t>
  </si>
  <si>
    <t>HELDER BRITO NASCIMENTO</t>
  </si>
  <si>
    <t>LDP-B-221-10</t>
  </si>
  <si>
    <t>B-221-0740</t>
  </si>
  <si>
    <t>-4,34%</t>
  </si>
  <si>
    <t>CCNN IMOVEIS LTDA</t>
  </si>
  <si>
    <t>LDP-B-120-1</t>
  </si>
  <si>
    <t>B-120</t>
  </si>
  <si>
    <t>B-120-0741</t>
  </si>
  <si>
    <t>-0,29%</t>
  </si>
  <si>
    <t>LDP-B-120-2</t>
  </si>
  <si>
    <t>B-120-0742</t>
  </si>
  <si>
    <t>LDP-B-120-3</t>
  </si>
  <si>
    <t>B-120-0743</t>
  </si>
  <si>
    <t>LDP-B-120-4</t>
  </si>
  <si>
    <t>B-120-0744</t>
  </si>
  <si>
    <t>LDP-B-120-5</t>
  </si>
  <si>
    <t>B-120-0745</t>
  </si>
  <si>
    <t>LDP-B-120-6</t>
  </si>
  <si>
    <t>B-120-0746</t>
  </si>
  <si>
    <t>LDP-B-120-7</t>
  </si>
  <si>
    <t>B-120-0747</t>
  </si>
  <si>
    <t>LDP-B-120-8</t>
  </si>
  <si>
    <t>B-120-0748</t>
  </si>
  <si>
    <t>LDP-B-120-9</t>
  </si>
  <si>
    <t>B-120-0749</t>
  </si>
  <si>
    <t>LDP-B-120-10</t>
  </si>
  <si>
    <t>B-120-0750</t>
  </si>
  <si>
    <t>LDP-B-128-2</t>
  </si>
  <si>
    <t>B-128-0751</t>
  </si>
  <si>
    <t>7,53%</t>
  </si>
  <si>
    <t>LDP-B-128-4</t>
  </si>
  <si>
    <t>B-128-0752</t>
  </si>
  <si>
    <t>LDP-B-128-6</t>
  </si>
  <si>
    <t>B-128-0753</t>
  </si>
  <si>
    <t>GUIDO NEULS JUNIOR</t>
  </si>
  <si>
    <t>LDP-B-221-9</t>
  </si>
  <si>
    <t>B-221-0754</t>
  </si>
  <si>
    <t>0,36%</t>
  </si>
  <si>
    <t>MARA CRISTINA LAUXEN</t>
  </si>
  <si>
    <t>LDP-B-122-1</t>
  </si>
  <si>
    <t>B-122-0755</t>
  </si>
  <si>
    <t>6,83%</t>
  </si>
  <si>
    <t>LDP-B-122-2</t>
  </si>
  <si>
    <t>B-122-0756</t>
  </si>
  <si>
    <t>EWERTON SILVA FAGUNDES</t>
  </si>
  <si>
    <t>LDP-B-118-3</t>
  </si>
  <si>
    <t>B-118-0757</t>
  </si>
  <si>
    <t>1,94%</t>
  </si>
  <si>
    <t>LDP-B-118-6</t>
  </si>
  <si>
    <t>B-118-0758</t>
  </si>
  <si>
    <t>CARLOS CINI</t>
  </si>
  <si>
    <t>B-322-0759</t>
  </si>
  <si>
    <t>0,81%</t>
  </si>
  <si>
    <t>LDP-B-320-3</t>
  </si>
  <si>
    <t>B-320-0760</t>
  </si>
  <si>
    <t>JULIANE CRISTINE RIDDER</t>
  </si>
  <si>
    <t>LDP-B-119-4</t>
  </si>
  <si>
    <t>B-119-0761</t>
  </si>
  <si>
    <t>LDP-B-119-5</t>
  </si>
  <si>
    <t>B-119-0762</t>
  </si>
  <si>
    <t>B-328-0763</t>
  </si>
  <si>
    <t>5,05%</t>
  </si>
  <si>
    <t>LDP-B-328-6</t>
  </si>
  <si>
    <t>B-328-0764</t>
  </si>
  <si>
    <t>FERNANDO MARIOTTO</t>
  </si>
  <si>
    <t>B-122-0765</t>
  </si>
  <si>
    <t>2,91%</t>
  </si>
  <si>
    <t>B-122-0766</t>
  </si>
  <si>
    <t>JOAO ANTONIO DORNELLES D ARRIAGA</t>
  </si>
  <si>
    <t>LDP-B-221-7</t>
  </si>
  <si>
    <t>B-221-0767</t>
  </si>
  <si>
    <t>0,82%</t>
  </si>
  <si>
    <t>ANDERSON SASSI HOLDING LTDA</t>
  </si>
  <si>
    <t>LDP-B-110-7</t>
  </si>
  <si>
    <t>B-110-0768</t>
  </si>
  <si>
    <t>6,15%</t>
  </si>
  <si>
    <t>DANIEL DINIZ MANUCCI</t>
  </si>
  <si>
    <t>LDP-B-110-8</t>
  </si>
  <si>
    <t>B-110-0769</t>
  </si>
  <si>
    <t>-1,64%</t>
  </si>
  <si>
    <t>JULIO CESAR SANTOS CABRERA</t>
  </si>
  <si>
    <t>B-208-0770</t>
  </si>
  <si>
    <t>8,37%</t>
  </si>
  <si>
    <t>B-208-0771</t>
  </si>
  <si>
    <t>B-208-0772</t>
  </si>
  <si>
    <t>B-208-0773</t>
  </si>
  <si>
    <t>LDP-B-124-1</t>
  </si>
  <si>
    <t>B-124-0774</t>
  </si>
  <si>
    <t>6,43%</t>
  </si>
  <si>
    <t>LDP-B-124-4</t>
  </si>
  <si>
    <t>B-124-0775</t>
  </si>
  <si>
    <t>GABRIEL AMARAL REGIO</t>
  </si>
  <si>
    <t>LDP-B-124-8</t>
  </si>
  <si>
    <t>B-124-0776</t>
  </si>
  <si>
    <t>0,31%</t>
  </si>
  <si>
    <t>WL INCORP INCORPORACOES IMOBILIARIAS LTDA</t>
  </si>
  <si>
    <t>B-124-0777</t>
  </si>
  <si>
    <t>0,87%</t>
  </si>
  <si>
    <t>LDP-B-124-6</t>
  </si>
  <si>
    <t>B-124-0778</t>
  </si>
  <si>
    <t>CONRADO METIDIERI BATISTA</t>
  </si>
  <si>
    <t>LDP-B-128-9</t>
  </si>
  <si>
    <t>B-128-0838</t>
  </si>
  <si>
    <t>A TRINCA MIDIA E PARTICIPACOES LTDA</t>
  </si>
  <si>
    <t>LDP-B-108-1</t>
  </si>
  <si>
    <t>B-108</t>
  </si>
  <si>
    <t>B-108-0780</t>
  </si>
  <si>
    <t>-52,76%</t>
  </si>
  <si>
    <t>LDP-B-108-2</t>
  </si>
  <si>
    <t>B-108-0781</t>
  </si>
  <si>
    <t>LDP-B-108-3</t>
  </si>
  <si>
    <t>B-108-0782</t>
  </si>
  <si>
    <t>LDP-B-108-4</t>
  </si>
  <si>
    <t>B-108-0783</t>
  </si>
  <si>
    <t>EDSON DIEGO DA SILVA</t>
  </si>
  <si>
    <t>LDP-C-206-3</t>
  </si>
  <si>
    <t>C-206</t>
  </si>
  <si>
    <t>C-206-0892</t>
  </si>
  <si>
    <t>1,60%</t>
  </si>
  <si>
    <t>VIVENDI CONSTRUCOES E INCORPORACOES LTDA</t>
  </si>
  <si>
    <t>LDP-B-310-1</t>
  </si>
  <si>
    <t>B-310</t>
  </si>
  <si>
    <t>B-310-0785</t>
  </si>
  <si>
    <t>3,99%</t>
  </si>
  <si>
    <t>LDP-B-310-2</t>
  </si>
  <si>
    <t>B-310-0786</t>
  </si>
  <si>
    <t>LDP-B-310-3</t>
  </si>
  <si>
    <t>B-310-0787</t>
  </si>
  <si>
    <t>LDP-B-310-4</t>
  </si>
  <si>
    <t>B-310-0788</t>
  </si>
  <si>
    <t>LDP-B-310-5</t>
  </si>
  <si>
    <t>B-310-0789</t>
  </si>
  <si>
    <t>LDP-B-310-6</t>
  </si>
  <si>
    <t>B-310-0790</t>
  </si>
  <si>
    <t>LDP-B-310-7</t>
  </si>
  <si>
    <t>B-310-0791</t>
  </si>
  <si>
    <t>LDP-B-310-8</t>
  </si>
  <si>
    <t>B-310-0792</t>
  </si>
  <si>
    <t>LDP-B-310-9</t>
  </si>
  <si>
    <t>B-310-0793</t>
  </si>
  <si>
    <t>LDP-B-310-10</t>
  </si>
  <si>
    <t>B-310-0794</t>
  </si>
  <si>
    <t>LDP-B-312-1</t>
  </si>
  <si>
    <t>B-312</t>
  </si>
  <si>
    <t>B-312-0795</t>
  </si>
  <si>
    <t>LDP-B-312-2</t>
  </si>
  <si>
    <t>B-312-0796</t>
  </si>
  <si>
    <t>LDP-B-312-3</t>
  </si>
  <si>
    <t>B-312-0797</t>
  </si>
  <si>
    <t>LDP-B-312-4</t>
  </si>
  <si>
    <t>B-312-0798</t>
  </si>
  <si>
    <t>LDP-B-312-5</t>
  </si>
  <si>
    <t>B-312-0799</t>
  </si>
  <si>
    <t>LDP-B-312-6</t>
  </si>
  <si>
    <t>B-312-0800</t>
  </si>
  <si>
    <t>LDP-B-312-7</t>
  </si>
  <si>
    <t>B-312-0801</t>
  </si>
  <si>
    <t>LDP-B-312-8</t>
  </si>
  <si>
    <t>B-312-0802</t>
  </si>
  <si>
    <t>LDP-B-312-9</t>
  </si>
  <si>
    <t>B-312-0803</t>
  </si>
  <si>
    <t>LDP-B-312-10</t>
  </si>
  <si>
    <t>B-312-0804</t>
  </si>
  <si>
    <t>CLOVIS ALBERTO LIMBERGER HAHN</t>
  </si>
  <si>
    <t>B-221-0805</t>
  </si>
  <si>
    <t>MARCOS MAGALHAES</t>
  </si>
  <si>
    <t>LDP-C-206-6</t>
  </si>
  <si>
    <t>C-206-0893</t>
  </si>
  <si>
    <t>GUILHERME MARCIANO PRESTES DA SILVA</t>
  </si>
  <si>
    <t>LDP-C-202-1</t>
  </si>
  <si>
    <t>C-202</t>
  </si>
  <si>
    <t>C-202-0884</t>
  </si>
  <si>
    <t>LEONARDO NUNES</t>
  </si>
  <si>
    <t>19,94%</t>
  </si>
  <si>
    <t>CARMEN LIGIA B DE ANDRADE F NERY</t>
  </si>
  <si>
    <t>LDP-B-128-7</t>
  </si>
  <si>
    <t>B-128-0808</t>
  </si>
  <si>
    <t>0,79%</t>
  </si>
  <si>
    <t>FABRICIO FELIPPE DA SILVA COSTA</t>
  </si>
  <si>
    <t>LDP-B-117-3</t>
  </si>
  <si>
    <t>B-117-0809</t>
  </si>
  <si>
    <t>2,98%</t>
  </si>
  <si>
    <t>B-117-0810</t>
  </si>
  <si>
    <t>TORRESANI PARTICIPACOES LTDA</t>
  </si>
  <si>
    <t>B-202-0811</t>
  </si>
  <si>
    <t>0,17%</t>
  </si>
  <si>
    <t>B-202-0812</t>
  </si>
  <si>
    <t>LDP-C-202-4</t>
  </si>
  <si>
    <t>C-202-0885</t>
  </si>
  <si>
    <t>HORTIFRUTI BRASILANDIA LTDA</t>
  </si>
  <si>
    <t>LDP-B-225-8</t>
  </si>
  <si>
    <t>B-225-0829</t>
  </si>
  <si>
    <t>1,15%</t>
  </si>
  <si>
    <t>LDP-B-202-7</t>
  </si>
  <si>
    <t>B-202-0815</t>
  </si>
  <si>
    <t>10,73%</t>
  </si>
  <si>
    <t>LDP-B-202-9</t>
  </si>
  <si>
    <t>B-202-0816</t>
  </si>
  <si>
    <t>LDP-B-202-10</t>
  </si>
  <si>
    <t>B-202-0817</t>
  </si>
  <si>
    <t>73 PR ENGENHARIA LTDA</t>
  </si>
  <si>
    <t>LDP-B-128-10</t>
  </si>
  <si>
    <t>B-128-0818</t>
  </si>
  <si>
    <t>10,64%</t>
  </si>
  <si>
    <t>LDP-B-214-7</t>
  </si>
  <si>
    <t>B-214-0819</t>
  </si>
  <si>
    <t>2,27%</t>
  </si>
  <si>
    <t>LDP-B-214-8</t>
  </si>
  <si>
    <t>B-214-0820</t>
  </si>
  <si>
    <t>LDP-B-214-9</t>
  </si>
  <si>
    <t>B-214-0821</t>
  </si>
  <si>
    <t>ROSSEANE REBUIT DOS SANTOS</t>
  </si>
  <si>
    <t>B-225-0822</t>
  </si>
  <si>
    <t>0,94%</t>
  </si>
  <si>
    <t>ECD CONTABLIDADE LTDA</t>
  </si>
  <si>
    <t>LDP-B-117-5</t>
  </si>
  <si>
    <t>B-117-0823</t>
  </si>
  <si>
    <t>LDP-B-117-6</t>
  </si>
  <si>
    <t>B-117-0824</t>
  </si>
  <si>
    <t>LDP-B-202-2</t>
  </si>
  <si>
    <t>B-202-0825</t>
  </si>
  <si>
    <t>7,30%</t>
  </si>
  <si>
    <t>LDP-B-202-3</t>
  </si>
  <si>
    <t>B-202-0826</t>
  </si>
  <si>
    <t>CMLPAR LTDA</t>
  </si>
  <si>
    <t>LDP-B-122-3</t>
  </si>
  <si>
    <t>B-202-0827</t>
  </si>
  <si>
    <t>LDP-B-122-6</t>
  </si>
  <si>
    <t>B-202-0828</t>
  </si>
  <si>
    <t>3,62%</t>
  </si>
  <si>
    <t>JACKSON LOPES QUATORZE VOLTAS</t>
  </si>
  <si>
    <t>LDP-C-210-3</t>
  </si>
  <si>
    <t>C-210</t>
  </si>
  <si>
    <t>C-210-0895</t>
  </si>
  <si>
    <t>8,47%</t>
  </si>
  <si>
    <t>JAYME PAMPONET  DE CERQUEIRA NETO</t>
  </si>
  <si>
    <t>LDP-B-119-2</t>
  </si>
  <si>
    <t>B-119-0806</t>
  </si>
  <si>
    <t>7,02%</t>
  </si>
  <si>
    <t>LDP-B-119-6</t>
  </si>
  <si>
    <t>B-119-0807</t>
  </si>
  <si>
    <t>LEANDRO HENRIQUE MARTINELLI</t>
  </si>
  <si>
    <t>LDP-B-221-8</t>
  </si>
  <si>
    <t>B-221-0779</t>
  </si>
  <si>
    <t>-2,18%</t>
  </si>
  <si>
    <t>CLARA TIEMI HAYASHI</t>
  </si>
  <si>
    <t>LDP-B-128-8</t>
  </si>
  <si>
    <t>B-128-0833</t>
  </si>
  <si>
    <t>SINARA PEROSA</t>
  </si>
  <si>
    <t>LDP-B-324-1</t>
  </si>
  <si>
    <t>B-324-0834</t>
  </si>
  <si>
    <t>7,66%</t>
  </si>
  <si>
    <t>B-324-0835</t>
  </si>
  <si>
    <t>GUILHERME RONCHI</t>
  </si>
  <si>
    <t>B-202-0836</t>
  </si>
  <si>
    <t>11,30%</t>
  </si>
  <si>
    <t>B-202-0837</t>
  </si>
  <si>
    <t>LUCAS MACHADO DE ARAUJO BEZERRA</t>
  </si>
  <si>
    <t>LDP-C-218-2</t>
  </si>
  <si>
    <t>C-218</t>
  </si>
  <si>
    <t>C-218-0887</t>
  </si>
  <si>
    <t xml:space="preserve"> JONNATHAN  E LAURA</t>
  </si>
  <si>
    <t>8,38%</t>
  </si>
  <si>
    <t>L. G. EMPREENDIMENTOS LTDA</t>
  </si>
  <si>
    <t>LDP-B-117-7</t>
  </si>
  <si>
    <t>B-117-0839</t>
  </si>
  <si>
    <t>LDP-B-117-8</t>
  </si>
  <si>
    <t>B-117-0840</t>
  </si>
  <si>
    <t>LDP-B-117-9</t>
  </si>
  <si>
    <t>B-117-0841</t>
  </si>
  <si>
    <t>AMANDA LOUCATELLI REIS</t>
  </si>
  <si>
    <t>B-132-0842</t>
  </si>
  <si>
    <t>2,73%</t>
  </si>
  <si>
    <t>B-132-0843</t>
  </si>
  <si>
    <t>FABIO JOAO SEGABINAZZI</t>
  </si>
  <si>
    <t>LDP-B-118-7</t>
  </si>
  <si>
    <t>B-118-0844</t>
  </si>
  <si>
    <t>-1,14%</t>
  </si>
  <si>
    <t>MARCELO BARDEN</t>
  </si>
  <si>
    <t>LDP-B-118-10</t>
  </si>
  <si>
    <t>B-118-0845</t>
  </si>
  <si>
    <t>CRISTIANE MARTINS DA COSTA ORTIZ</t>
  </si>
  <si>
    <t>LDP-B-111-7</t>
  </si>
  <si>
    <t>B-111-0846</t>
  </si>
  <si>
    <t>LDP-B-111-9</t>
  </si>
  <si>
    <t>B-111-0847</t>
  </si>
  <si>
    <t>LDP-B-111-10</t>
  </si>
  <si>
    <t>B-111-0848</t>
  </si>
  <si>
    <t>A-206-0849</t>
  </si>
  <si>
    <t>14,08%</t>
  </si>
  <si>
    <t>VAGA-015-0850</t>
  </si>
  <si>
    <t>A-206-0851</t>
  </si>
  <si>
    <t>A-206-0852</t>
  </si>
  <si>
    <t>A-206-0853</t>
  </si>
  <si>
    <t>SAULO ADJUTO LEPESQUEUR</t>
  </si>
  <si>
    <t>LDP-B-126-1</t>
  </si>
  <si>
    <t>B-126</t>
  </si>
  <si>
    <t>B-126-0854</t>
  </si>
  <si>
    <t>9,83%</t>
  </si>
  <si>
    <t>LDP-B-126-2</t>
  </si>
  <si>
    <t>B-126-0855</t>
  </si>
  <si>
    <t>LDP-B-126-3</t>
  </si>
  <si>
    <t>B-126-0856</t>
  </si>
  <si>
    <t>LDP-B-126-4</t>
  </si>
  <si>
    <t>B-126-0857</t>
  </si>
  <si>
    <t>LDP-B-126-5</t>
  </si>
  <si>
    <t>B-126-0858</t>
  </si>
  <si>
    <t>CASSIO FERNANDO LAGO REIS</t>
  </si>
  <si>
    <t>LDP-B-114-7</t>
  </si>
  <si>
    <t>B-114-0859</t>
  </si>
  <si>
    <t>EDUARDO GONCALVES REIS</t>
  </si>
  <si>
    <t>LDP-C-201-7</t>
  </si>
  <si>
    <t>C-201</t>
  </si>
  <si>
    <t>C-201-0860</t>
  </si>
  <si>
    <t>2,67%</t>
  </si>
  <si>
    <t>AILTON ANTONIO OLIVEIRA DE MORAES</t>
  </si>
  <si>
    <t>LDP-C-203-7</t>
  </si>
  <si>
    <t>C-203</t>
  </si>
  <si>
    <t>C-203-0861</t>
  </si>
  <si>
    <t>LDP-C-207-1</t>
  </si>
  <si>
    <t>C-207</t>
  </si>
  <si>
    <t>C-207-0862</t>
  </si>
  <si>
    <t>71,20%</t>
  </si>
  <si>
    <t>-0,03%</t>
  </si>
  <si>
    <t>LDP-C-207-4</t>
  </si>
  <si>
    <t>C-207-0863</t>
  </si>
  <si>
    <t>LDP-C-201-2</t>
  </si>
  <si>
    <t>C-201-0864</t>
  </si>
  <si>
    <t>LDP-C-201-5</t>
  </si>
  <si>
    <t>C-201-0865</t>
  </si>
  <si>
    <t>NVM ADMINISTRACAO E PARTICIPACAO LTDA</t>
  </si>
  <si>
    <t>LDP-C-201-3</t>
  </si>
  <si>
    <t>C-201-0866</t>
  </si>
  <si>
    <t>LDP-C-201-6</t>
  </si>
  <si>
    <t>C-201-0867</t>
  </si>
  <si>
    <t>LDP-C-201-1</t>
  </si>
  <si>
    <t>C-201-0868</t>
  </si>
  <si>
    <t>1,95%</t>
  </si>
  <si>
    <t>LDP-C-201-4</t>
  </si>
  <si>
    <t>C-201-0869</t>
  </si>
  <si>
    <t>NELSON NERY JUNIOR</t>
  </si>
  <si>
    <t>LDP-C-207-7</t>
  </si>
  <si>
    <t>C-207-0870</t>
  </si>
  <si>
    <t>LPD-C-205-2</t>
  </si>
  <si>
    <t>C-205</t>
  </si>
  <si>
    <t>C-205-0871</t>
  </si>
  <si>
    <t>10,56%</t>
  </si>
  <si>
    <t>LPD-C-205-5</t>
  </si>
  <si>
    <t>C-205-0872</t>
  </si>
  <si>
    <t>DOCTOR'S ACADEMY CURSOS E TREINAMENTOS LTDA</t>
  </si>
  <si>
    <t>LDP-B-302-1</t>
  </si>
  <si>
    <t>B-302</t>
  </si>
  <si>
    <t>B-302-0873</t>
  </si>
  <si>
    <t>LDP-B-302-2</t>
  </si>
  <si>
    <t>B-302-0874</t>
  </si>
  <si>
    <t>LDP-B-302-3</t>
  </si>
  <si>
    <t>B-302-0875</t>
  </si>
  <si>
    <t>LDP-B-302-4</t>
  </si>
  <si>
    <t>B-302-0876</t>
  </si>
  <si>
    <t>LDP-B-302-5</t>
  </si>
  <si>
    <t>B-302-0877</t>
  </si>
  <si>
    <t>LDP-B-302-6</t>
  </si>
  <si>
    <t>B-302-0878</t>
  </si>
  <si>
    <t>LDP-B-302-7</t>
  </si>
  <si>
    <t>B-302-0879</t>
  </si>
  <si>
    <t>LDP-B-302-8</t>
  </si>
  <si>
    <t>B-302-0880</t>
  </si>
  <si>
    <t>LDP-B-302-9</t>
  </si>
  <si>
    <t>B-302-0881</t>
  </si>
  <si>
    <t>LDP-B-302-10</t>
  </si>
  <si>
    <t>B-302-0882</t>
  </si>
  <si>
    <t>EDUARDO LUIS DE LIMA</t>
  </si>
  <si>
    <t>LDP-C-203-9</t>
  </si>
  <si>
    <t>C-203-0883</t>
  </si>
  <si>
    <t>3,65%</t>
  </si>
  <si>
    <t>MERAKI PARTICIPACAO E ADMINISTRACAO DE BENS LTDA</t>
  </si>
  <si>
    <t>LDP-B-316-3</t>
  </si>
  <si>
    <t>B-316-0813</t>
  </si>
  <si>
    <t>-3,35%</t>
  </si>
  <si>
    <t>B-316-0814</t>
  </si>
  <si>
    <t>LDP-B-216-7</t>
  </si>
  <si>
    <t>B-216-0830</t>
  </si>
  <si>
    <t>6,62%</t>
  </si>
  <si>
    <t>LDP-B-216-8</t>
  </si>
  <si>
    <t>B-216-0831</t>
  </si>
  <si>
    <t>LDP-B-216-9</t>
  </si>
  <si>
    <t>B-216-0832</t>
  </si>
  <si>
    <t>MOISES MEIRELES SALLES BRUNO</t>
  </si>
  <si>
    <t>LDP-C-210-1</t>
  </si>
  <si>
    <t>C-210-0890</t>
  </si>
  <si>
    <t>12,99%</t>
  </si>
  <si>
    <t>fabia</t>
  </si>
  <si>
    <t>PAULO EDUARDO SILVA DUARTE</t>
  </si>
  <si>
    <t>LDP-C-210-4</t>
  </si>
  <si>
    <t>C-210-0894</t>
  </si>
  <si>
    <t>6,27%</t>
  </si>
  <si>
    <t>ROGERIO HERCULES FERREIRA</t>
  </si>
  <si>
    <t>LDP-C-202-9</t>
  </si>
  <si>
    <t>C-202-0891</t>
  </si>
  <si>
    <t>0,53%</t>
  </si>
  <si>
    <t>PEDRO ERNESTO FERREIRA MIRANDA</t>
  </si>
  <si>
    <t>LDP-C-218-1</t>
  </si>
  <si>
    <t>C-218-0886</t>
  </si>
  <si>
    <t>RAFAEL DE OLIVEIRA GOMES</t>
  </si>
  <si>
    <t>LDP-C-218-3</t>
  </si>
  <si>
    <t>C-218-0888</t>
  </si>
  <si>
    <t>RODOLFO DA PAULA FARIA OLIEIRA</t>
  </si>
  <si>
    <t>C-218-0889</t>
  </si>
  <si>
    <t>9,35%</t>
  </si>
  <si>
    <t>W2C PARTICIPACOES LTDA</t>
  </si>
  <si>
    <t>LDP-B-124-7</t>
  </si>
  <si>
    <t>B-124-0784</t>
  </si>
  <si>
    <t>LEANDRO MARTINS CARDOSO</t>
  </si>
  <si>
    <t>LDP-C-217-8</t>
  </si>
  <si>
    <t>C-217</t>
  </si>
  <si>
    <t>C-217-0896</t>
  </si>
  <si>
    <t>0,44%</t>
  </si>
  <si>
    <t>CASSIO CASTILHOS CASAGRANDA</t>
  </si>
  <si>
    <t>LDP-C-202-8</t>
  </si>
  <si>
    <t>C-202-0897</t>
  </si>
  <si>
    <t>0,74%</t>
  </si>
  <si>
    <t>LUIZ AMERICO LOCATTO FIGUEIREDO</t>
  </si>
  <si>
    <t>LDP-C-203-6</t>
  </si>
  <si>
    <t>C-203-0898</t>
  </si>
  <si>
    <t>9,89%</t>
  </si>
  <si>
    <t>LDP-C-212-1</t>
  </si>
  <si>
    <t>C-212</t>
  </si>
  <si>
    <t>C-212-0899</t>
  </si>
  <si>
    <t>8,92%</t>
  </si>
  <si>
    <t>LUCAS SCHIRMER MARTINS</t>
  </si>
  <si>
    <t>LDP-C-203-5</t>
  </si>
  <si>
    <t>C-203-0900</t>
  </si>
  <si>
    <t>RUDA FARIAS FORMOLO PELLINI</t>
  </si>
  <si>
    <t>LDP-C-007-3</t>
  </si>
  <si>
    <t>C-007</t>
  </si>
  <si>
    <t>C-007-0901</t>
  </si>
  <si>
    <t>LDP-C-203-1</t>
  </si>
  <si>
    <t>C-203-0902</t>
  </si>
  <si>
    <t>33,04%</t>
  </si>
  <si>
    <t>15,54%</t>
  </si>
  <si>
    <t>PETRA REPRESENTACAO COMERCIAL EIRELI ME</t>
  </si>
  <si>
    <t>LDP-A-202-1</t>
  </si>
  <si>
    <t>A-202</t>
  </si>
  <si>
    <t>A-202-0903</t>
  </si>
  <si>
    <t>LDP-A-202-2</t>
  </si>
  <si>
    <t>A-202-0904</t>
  </si>
  <si>
    <t>LDP-A-202-3</t>
  </si>
  <si>
    <t>A-202-0905</t>
  </si>
  <si>
    <t>LDP-A-202-4</t>
  </si>
  <si>
    <t>A-202-0906</t>
  </si>
  <si>
    <t>LDP-VAGA-017</t>
  </si>
  <si>
    <t>VAGA-017</t>
  </si>
  <si>
    <t>VAGA-017-0907</t>
  </si>
  <si>
    <t>RODRIGO MARTINS DE CASTRO GOMES</t>
  </si>
  <si>
    <t>LDP-C-212-3</t>
  </si>
  <si>
    <t>C-212-0908</t>
  </si>
  <si>
    <t>MUNDIAL EXPORT ASSESSORIA COMERCIO EXTERIOR IMPORTACAO E EXPORTACAO LTDA</t>
  </si>
  <si>
    <t>LDP-C-009-1</t>
  </si>
  <si>
    <t>C-009</t>
  </si>
  <si>
    <t>C-009-0910</t>
  </si>
  <si>
    <t>LDP-C-009-2</t>
  </si>
  <si>
    <t>C-009-0911</t>
  </si>
  <si>
    <t>LDP-C-009-3</t>
  </si>
  <si>
    <t>C-009-0912</t>
  </si>
  <si>
    <t>LDP-C-009-4</t>
  </si>
  <si>
    <t>C-009-0913</t>
  </si>
  <si>
    <t xml:space="preserve">ALESSANDRO PEREIRA - SOCIEDADE INDIVIDUAL DE ADVOCACIA </t>
  </si>
  <si>
    <t>LDP-C-214-7</t>
  </si>
  <si>
    <t>C-214</t>
  </si>
  <si>
    <t>C-214-0914</t>
  </si>
  <si>
    <t>MARCELO LIPERT</t>
  </si>
  <si>
    <t>LDP-C-212-4</t>
  </si>
  <si>
    <t>C-212-0915</t>
  </si>
  <si>
    <t>RPF HOLDING SA</t>
  </si>
  <si>
    <t>LDP-C-212-2</t>
  </si>
  <si>
    <t>C-212-0916</t>
  </si>
  <si>
    <t>GLAUCO MARCONE VIEIRA SOUZA</t>
  </si>
  <si>
    <t>LDP-B-130-8</t>
  </si>
  <si>
    <t>B-130</t>
  </si>
  <si>
    <t>B-130-0917</t>
  </si>
  <si>
    <t>LDP-B-130-2</t>
  </si>
  <si>
    <t>B-130-0918</t>
  </si>
  <si>
    <t>LDP-B-130-5</t>
  </si>
  <si>
    <t>B-130-0919</t>
  </si>
  <si>
    <t>PEDRO LUIZ POZZA</t>
  </si>
  <si>
    <t>LDP-C-203-2</t>
  </si>
  <si>
    <t>C-203-0920</t>
  </si>
  <si>
    <t>LUIZ FELIPE MENDES PINHEIRO DA SILVA</t>
  </si>
  <si>
    <t>LDP-B-102-1</t>
  </si>
  <si>
    <t>B-102</t>
  </si>
  <si>
    <t>B-102-0921</t>
  </si>
  <si>
    <t>3,96%</t>
  </si>
  <si>
    <t>LDP-B-102-4</t>
  </si>
  <si>
    <t>B-102-0922</t>
  </si>
  <si>
    <t>SCUSSEL EMPREENDIMENTOS IMOBILIARIOS LTDA</t>
  </si>
  <si>
    <t>LDP-B-130-1</t>
  </si>
  <si>
    <t>B-130-0923</t>
  </si>
  <si>
    <t>3,11%</t>
  </si>
  <si>
    <t>LDP-B-130-4</t>
  </si>
  <si>
    <t>B-130-0924</t>
  </si>
  <si>
    <t>NILTON BANDEIRA DA SILVA JUNIOR</t>
  </si>
  <si>
    <t>LDP-C-203-4</t>
  </si>
  <si>
    <t>C-203-0925</t>
  </si>
  <si>
    <t>AUDREY REZECK OPPENHEIMER</t>
  </si>
  <si>
    <t>LDP-B-130-9</t>
  </si>
  <si>
    <t>B-130-0926</t>
  </si>
  <si>
    <t>FLAVIA ANICETO ELIAS KURY</t>
  </si>
  <si>
    <t>LDP-B-130-10</t>
  </si>
  <si>
    <t>B-130-0927</t>
  </si>
  <si>
    <t>GRENTESKI SOUSA EMPREENDIMENTOS LTDA</t>
  </si>
  <si>
    <t>LDP-B-130-7</t>
  </si>
  <si>
    <t>B-130-0928</t>
  </si>
  <si>
    <t>MARCIO ANDRE PAVANI MACHADO</t>
  </si>
  <si>
    <t>LDP-B-126-7</t>
  </si>
  <si>
    <t>B-126-0930</t>
  </si>
  <si>
    <t>LDP-B-123-1</t>
  </si>
  <si>
    <t>B-123</t>
  </si>
  <si>
    <t>B-123-0931</t>
  </si>
  <si>
    <t>LDP-B-123-4</t>
  </si>
  <si>
    <t>B-123-0932</t>
  </si>
  <si>
    <t>RODOLFO PARDO ALBAGLI FILHO</t>
  </si>
  <si>
    <t>LDP-B-130-3</t>
  </si>
  <si>
    <t>B-130-0933</t>
  </si>
  <si>
    <t>LDP-B-130-6</t>
  </si>
  <si>
    <t>B-130-0934</t>
  </si>
  <si>
    <t>MARCELO MARTINS GENTIL</t>
  </si>
  <si>
    <t>LDP-B-126-9</t>
  </si>
  <si>
    <t>B-126-0935</t>
  </si>
  <si>
    <t>BRUNO GARCIA DE LIMA</t>
  </si>
  <si>
    <t>LDP-C-210-2</t>
  </si>
  <si>
    <t>C-210-0936</t>
  </si>
  <si>
    <t>MGF INVESTIMENTOS LTDA</t>
  </si>
  <si>
    <t>LDP-B-132-5</t>
  </si>
  <si>
    <t>B-132-0937</t>
  </si>
  <si>
    <t>Não</t>
  </si>
  <si>
    <t>SONIA REGINA SCHENA BERTOL</t>
  </si>
  <si>
    <t>B-105-0938</t>
  </si>
  <si>
    <t>Sim</t>
  </si>
  <si>
    <t>FLAVIA CANHO GALLEAZZI</t>
  </si>
  <si>
    <t>LDP-B-106-2</t>
  </si>
  <si>
    <t>B-106</t>
  </si>
  <si>
    <t>B-106-0939</t>
  </si>
  <si>
    <t>MARCOS ALEXANDRE PASSARELLES DE SOUZA FILHO</t>
  </si>
  <si>
    <t>LDP-B-118-5</t>
  </si>
  <si>
    <t>B-118-0940</t>
  </si>
  <si>
    <t>LDP-C-312-1</t>
  </si>
  <si>
    <t>C-312</t>
  </si>
  <si>
    <t>C-312-0941</t>
  </si>
  <si>
    <t>DIARIO DE BORDO LTDA</t>
  </si>
  <si>
    <t>LDP-B-126-6</t>
  </si>
  <si>
    <t>B-126-0942</t>
  </si>
  <si>
    <t>REAL VILLE COMPANY LTDA</t>
  </si>
  <si>
    <t>LDP-B-106-1</t>
  </si>
  <si>
    <t>B-106-0943</t>
  </si>
  <si>
    <t xml:space="preserve">NAO ASSINADO </t>
  </si>
  <si>
    <t>JULIA PASSOS FERREIRA NETTO</t>
  </si>
  <si>
    <t>ELSO POLIZEL JUNIOR</t>
  </si>
  <si>
    <t>LDP-B-124-3</t>
  </si>
  <si>
    <t>B-124-0944</t>
  </si>
  <si>
    <t>LDP-C-206-1</t>
  </si>
  <si>
    <t>C-206-0945</t>
  </si>
  <si>
    <t>SIMONE BOING GUIMARAES</t>
  </si>
  <si>
    <t>LDP-B-129-2</t>
  </si>
  <si>
    <t>B-129</t>
  </si>
  <si>
    <t>B-129-0946</t>
  </si>
  <si>
    <t>LUCIANA TELES FILOGONIO ABREU</t>
  </si>
  <si>
    <t>LDP-B-111-3</t>
  </si>
  <si>
    <t>B-111-0947</t>
  </si>
  <si>
    <t>FABIA-ALE</t>
  </si>
  <si>
    <t>ANDREIA CAPELLATO PETT ME</t>
  </si>
  <si>
    <t>B-112-0948</t>
  </si>
  <si>
    <t>ANDRE LUIS MARTEL</t>
  </si>
  <si>
    <t>LDP-B-129-1</t>
  </si>
  <si>
    <t>B-129-0949</t>
  </si>
  <si>
    <t>NGL IMOB LTDA</t>
  </si>
  <si>
    <t>LDP-B-132-6</t>
  </si>
  <si>
    <t>B-132-0950</t>
  </si>
  <si>
    <t>INTER BRASIL SUL ADMINISTRADORA DE BENS LTDA</t>
  </si>
  <si>
    <t>LDP-B-129-3</t>
  </si>
  <si>
    <t>B-129-0951</t>
  </si>
  <si>
    <t>LUCIANE WEIRICH SAUTHIER</t>
  </si>
  <si>
    <t>LDP-B-129-6</t>
  </si>
  <si>
    <t>B-129-0952</t>
  </si>
  <si>
    <t>EDUARDO TADEU MALUTA FILHO / ARIANE PEREIRA BARBOSA</t>
  </si>
  <si>
    <t>PAULO GUILHERME TELLES</t>
  </si>
  <si>
    <t>LDP-B-129-5</t>
  </si>
  <si>
    <t>B-129-0953</t>
  </si>
  <si>
    <t xml:space="preserve">Trinca </t>
  </si>
  <si>
    <t>Média Follow Up - 2025</t>
  </si>
  <si>
    <t>Média Latência - 2025</t>
  </si>
  <si>
    <t xml:space="preserve">SH </t>
  </si>
  <si>
    <t>Funil</t>
  </si>
  <si>
    <t>ONLINE</t>
  </si>
  <si>
    <t>SH</t>
  </si>
  <si>
    <t>janeiro</t>
  </si>
  <si>
    <t>Novo Lead</t>
  </si>
  <si>
    <t>fevereiro</t>
  </si>
  <si>
    <t>Investigação</t>
  </si>
  <si>
    <t>março</t>
  </si>
  <si>
    <t>Interessado</t>
  </si>
  <si>
    <t>abril</t>
  </si>
  <si>
    <t>Reunião realizada</t>
  </si>
  <si>
    <t>maio</t>
  </si>
  <si>
    <t>Negociação</t>
  </si>
  <si>
    <t>junho</t>
  </si>
  <si>
    <t>Venda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</si>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</sst>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  <numFmt numFmtId="165" formatCode="0.0%"/>
    <numFmt numFmtId="166" formatCode="#,##0_ ;[Red]\-#,##0\ "/>
    <numFmt numFmtId="167" formatCode="[$-416]mmm\-yy"/>
    <numFmt numFmtId="168" formatCode="_-* #,##0_-;\-* #,##0_-;_-* &quot;-&quot;??_-;_-@"/>
    <numFmt numFmtId="169" formatCode="#,##0.00_ ;[Red]\-#,##0.00\ "/>
    <numFmt numFmtId="170" formatCode="#,##0.0_ ;[Red]\-#,##0.0\ "/>
    <numFmt numFmtId="171" formatCode="[$R$ -416]#,##0.00"/>
    <numFmt numFmtId="172" formatCode="yyyy&quot;/&quot;mm&quot;/&quot;d"/>
    <numFmt numFmtId="173" formatCode="_-* #,##0.00_-;\-* #,##0.00_-;_-* &quot;-&quot;??_-;_-@"/>
    <numFmt numFmtId="174" formatCode="yyyy/mm/d"/>
    <numFmt numFmtId="175" formatCode="d/m/yyyy"/>
    <numFmt numFmtId="176" formatCode="_-&quot;R$&quot;\ * #,##0.000_-;\-&quot;R$&quot;\ * #,##0.000_-;_-&quot;R$&quot;\ * &quot;-&quot;??_-;_-@"/>
    <numFmt numFmtId="177" formatCode="&quot;R$&quot;\ #,##0.00"/>
    <numFmt numFmtId="178" formatCode="_-* #,##0_-;\-* #,##0_-;_-* &quot;-&quot;??_-;_-@_-"/>
  </numFmts>
  <fonts count="5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2060"/>
      <name val="Calibri"/>
      <family val="2"/>
    </font>
    <font>
      <sz val="8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rgb="FF002060"/>
      <name val="Calibri"/>
      <family val="2"/>
    </font>
    <font>
      <sz val="10"/>
      <color rgb="FF7F7F7F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sz val="8"/>
      <color rgb="FF434343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color rgb="FF0070C0"/>
      <name val="Calibri"/>
      <family val="2"/>
    </font>
    <font>
      <sz val="10"/>
      <color rgb="FF002060"/>
      <name val="Calibri"/>
      <family val="2"/>
    </font>
    <font>
      <sz val="10"/>
      <color rgb="FFA5A5A5"/>
      <name val="Calibri"/>
      <family val="2"/>
    </font>
    <font>
      <sz val="10"/>
      <color rgb="FFCCCCCC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scheme val="major"/>
    </font>
    <font>
      <sz val="10"/>
      <color theme="0"/>
      <name val="Calibri"/>
      <scheme val="major"/>
    </font>
    <font>
      <b/>
      <sz val="10"/>
      <color rgb="FF002060"/>
      <name val="Calibri"/>
      <scheme val="major"/>
    </font>
    <font>
      <sz val="10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b/>
      <sz val="9"/>
      <color rgb="FF002060"/>
      <name val="Calibri"/>
      <family val="2"/>
    </font>
    <font>
      <b/>
      <sz val="9"/>
      <color theme="1"/>
      <name val="Calibri"/>
      <family val="2"/>
    </font>
    <font>
      <sz val="9"/>
      <color rgb="FF7F7F7F"/>
      <name val="Calibri"/>
      <family val="2"/>
    </font>
    <font>
      <sz val="9"/>
      <color rgb="FF002060"/>
      <name val="Calibri"/>
      <family val="2"/>
    </font>
    <font>
      <sz val="11"/>
      <color theme="0"/>
      <name val="Calibri"/>
      <scheme val="minor"/>
    </font>
    <font>
      <b/>
      <sz val="11"/>
      <color theme="1"/>
      <name val="Calibri"/>
      <scheme val="minor"/>
    </font>
    <font>
      <sz val="8"/>
      <color rgb="FFFF0000"/>
      <name val="Tahoma"/>
      <family val="2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sz val="8"/>
      <color rgb="FF002060"/>
      <name val="Calibri"/>
      <family val="2"/>
    </font>
    <font>
      <sz val="8"/>
      <color theme="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3D3D3"/>
        <bgColor rgb="FFD3D3D3"/>
      </patternFill>
    </fill>
    <fill>
      <patternFill patternType="solid">
        <fgColor rgb="FFCFE2F3"/>
        <bgColor rgb="FFCFE2F3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39997558519241921"/>
      </top>
      <bottom style="thin">
        <color theme="4" tint="0.5999938962981048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rgb="FF000000"/>
      </right>
      <top style="thin">
        <color theme="4" tint="0.59999389629810485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rgb="FF000000"/>
      </right>
      <top style="thin">
        <color theme="4" tint="0.39997558519241921"/>
      </top>
      <bottom style="thin">
        <color theme="4" tint="0.59999389629810485"/>
      </bottom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 style="medium">
        <color rgb="FF000000"/>
      </bottom>
      <diagonal/>
    </border>
    <border>
      <left/>
      <right style="thin">
        <color theme="4" tint="0.59999389629810485"/>
      </right>
      <top/>
      <bottom style="medium">
        <color rgb="FF000000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 style="medium">
        <color rgb="FF000000"/>
      </bottom>
      <diagonal/>
    </border>
    <border>
      <left/>
      <right/>
      <top style="thin">
        <color theme="4" tint="0.39997558519241921"/>
      </top>
      <bottom style="medium">
        <color rgb="FF000000"/>
      </bottom>
      <diagonal/>
    </border>
    <border>
      <left style="thin">
        <color theme="4" tint="0.59999389629810485"/>
      </left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59999389629810485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59999389629810485"/>
      </top>
      <bottom style="medium">
        <color rgb="FF000000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59999389629810485"/>
      </top>
      <bottom style="medium">
        <color rgb="FF000000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528">
    <xf numFmtId="0" fontId="0" fillId="0" borderId="0" xfId="0"/>
    <xf numFmtId="0" fontId="6" fillId="0" borderId="0" xfId="0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/>
    </xf>
    <xf numFmtId="0" fontId="8" fillId="0" borderId="0" xfId="0" applyFont="1"/>
    <xf numFmtId="168" fontId="9" fillId="4" borderId="2" xfId="0" applyNumberFormat="1" applyFont="1" applyFill="1" applyBorder="1" applyAlignment="1">
      <alignment horizontal="center" vertical="center"/>
    </xf>
    <xf numFmtId="166" fontId="9" fillId="4" borderId="2" xfId="0" applyNumberFormat="1" applyFont="1" applyFill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8" fontId="8" fillId="0" borderId="0" xfId="0" applyNumberFormat="1" applyFont="1" applyAlignment="1">
      <alignment horizontal="center" vertical="top"/>
    </xf>
    <xf numFmtId="168" fontId="9" fillId="0" borderId="0" xfId="0" applyNumberFormat="1" applyFont="1" applyAlignment="1">
      <alignment horizontal="center" vertical="top"/>
    </xf>
    <xf numFmtId="164" fontId="6" fillId="0" borderId="0" xfId="0" applyNumberFormat="1" applyFont="1" applyAlignment="1">
      <alignment horizontal="center" vertical="center"/>
    </xf>
    <xf numFmtId="168" fontId="8" fillId="0" borderId="6" xfId="0" applyNumberFormat="1" applyFont="1" applyBorder="1" applyAlignment="1">
      <alignment horizontal="center" vertical="center"/>
    </xf>
    <xf numFmtId="166" fontId="12" fillId="2" borderId="1" xfId="0" applyNumberFormat="1" applyFont="1" applyFill="1" applyBorder="1" applyAlignment="1">
      <alignment horizontal="center" vertical="center"/>
    </xf>
    <xf numFmtId="49" fontId="15" fillId="9" borderId="10" xfId="0" applyNumberFormat="1" applyFont="1" applyFill="1" applyBorder="1" applyAlignment="1">
      <alignment horizontal="center" vertical="center" wrapText="1"/>
    </xf>
    <xf numFmtId="49" fontId="15" fillId="9" borderId="10" xfId="0" applyNumberFormat="1" applyFont="1" applyFill="1" applyBorder="1" applyAlignment="1">
      <alignment horizontal="center" vertical="center" wrapText="1" readingOrder="1"/>
    </xf>
    <xf numFmtId="0" fontId="15" fillId="9" borderId="10" xfId="0" applyFont="1" applyFill="1" applyBorder="1" applyAlignment="1">
      <alignment horizontal="center" vertical="center" wrapText="1" readingOrder="1"/>
    </xf>
    <xf numFmtId="173" fontId="15" fillId="9" borderId="10" xfId="0" applyNumberFormat="1" applyFont="1" applyFill="1" applyBorder="1" applyAlignment="1">
      <alignment horizontal="center" vertical="center" wrapText="1" readingOrder="1"/>
    </xf>
    <xf numFmtId="0" fontId="16" fillId="9" borderId="1" xfId="0" applyFont="1" applyFill="1" applyBorder="1" applyAlignment="1">
      <alignment horizontal="center" vertical="center" wrapText="1" readingOrder="1"/>
    </xf>
    <xf numFmtId="10" fontId="16" fillId="9" borderId="1" xfId="0" applyNumberFormat="1" applyFont="1" applyFill="1" applyBorder="1" applyAlignment="1">
      <alignment horizontal="center" vertical="center" wrapText="1"/>
    </xf>
    <xf numFmtId="10" fontId="16" fillId="9" borderId="1" xfId="0" applyNumberFormat="1" applyFont="1" applyFill="1" applyBorder="1" applyAlignment="1">
      <alignment horizontal="center" vertical="center" wrapText="1" readingOrder="1"/>
    </xf>
    <xf numFmtId="49" fontId="15" fillId="11" borderId="1" xfId="0" applyNumberFormat="1" applyFont="1" applyFill="1" applyBorder="1" applyAlignment="1">
      <alignment horizontal="center" vertical="center" wrapText="1" readingOrder="1"/>
    </xf>
    <xf numFmtId="10" fontId="15" fillId="11" borderId="1" xfId="0" applyNumberFormat="1" applyFont="1" applyFill="1" applyBorder="1" applyAlignment="1">
      <alignment horizontal="center" vertical="center" wrapText="1" readingOrder="1"/>
    </xf>
    <xf numFmtId="49" fontId="15" fillId="9" borderId="11" xfId="0" applyNumberFormat="1" applyFont="1" applyFill="1" applyBorder="1" applyAlignment="1">
      <alignment horizontal="center" vertical="center" wrapText="1" readingOrder="1"/>
    </xf>
    <xf numFmtId="0" fontId="16" fillId="12" borderId="10" xfId="0" applyFont="1" applyFill="1" applyBorder="1" applyAlignment="1">
      <alignment horizontal="right" vertical="center" readingOrder="1"/>
    </xf>
    <xf numFmtId="0" fontId="16" fillId="13" borderId="10" xfId="0" applyFont="1" applyFill="1" applyBorder="1" applyAlignment="1">
      <alignment horizontal="left" vertical="center" readingOrder="1"/>
    </xf>
    <xf numFmtId="0" fontId="16" fillId="13" borderId="10" xfId="0" applyFont="1" applyFill="1" applyBorder="1" applyAlignment="1">
      <alignment horizontal="center" vertical="center" readingOrder="1"/>
    </xf>
    <xf numFmtId="14" fontId="15" fillId="13" borderId="10" xfId="0" applyNumberFormat="1" applyFont="1" applyFill="1" applyBorder="1" applyAlignment="1">
      <alignment horizontal="center" vertical="center" readingOrder="1"/>
    </xf>
    <xf numFmtId="173" fontId="16" fillId="13" borderId="10" xfId="0" applyNumberFormat="1" applyFont="1" applyFill="1" applyBorder="1" applyAlignment="1">
      <alignment horizontal="left" vertical="center" readingOrder="1"/>
    </xf>
    <xf numFmtId="173" fontId="15" fillId="13" borderId="10" xfId="0" applyNumberFormat="1" applyFont="1" applyFill="1" applyBorder="1" applyAlignment="1">
      <alignment horizontal="center"/>
    </xf>
    <xf numFmtId="172" fontId="16" fillId="13" borderId="10" xfId="0" applyNumberFormat="1" applyFont="1" applyFill="1" applyBorder="1" applyAlignment="1">
      <alignment horizontal="center" vertical="center" readingOrder="1"/>
    </xf>
    <xf numFmtId="174" fontId="16" fillId="10" borderId="10" xfId="0" applyNumberFormat="1" applyFont="1" applyFill="1" applyBorder="1" applyAlignment="1">
      <alignment horizontal="center" vertical="center" readingOrder="1"/>
    </xf>
    <xf numFmtId="0" fontId="16" fillId="10" borderId="10" xfId="0" applyFont="1" applyFill="1" applyBorder="1" applyAlignment="1">
      <alignment horizontal="center" vertical="center" readingOrder="1"/>
    </xf>
    <xf numFmtId="173" fontId="16" fillId="11" borderId="10" xfId="0" applyNumberFormat="1" applyFont="1" applyFill="1" applyBorder="1" applyAlignment="1">
      <alignment horizontal="left" vertical="center" readingOrder="1"/>
    </xf>
    <xf numFmtId="10" fontId="16" fillId="11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center" vertical="center" readingOrder="1"/>
    </xf>
    <xf numFmtId="10" fontId="16" fillId="13" borderId="10" xfId="0" applyNumberFormat="1" applyFont="1" applyFill="1" applyBorder="1" applyAlignment="1">
      <alignment horizontal="center" vertical="center" readingOrder="1"/>
    </xf>
    <xf numFmtId="165" fontId="16" fillId="11" borderId="10" xfId="0" applyNumberFormat="1" applyFont="1" applyFill="1" applyBorder="1" applyAlignment="1">
      <alignment horizontal="center" vertical="center" readingOrder="1"/>
    </xf>
    <xf numFmtId="173" fontId="15" fillId="13" borderId="12" xfId="0" applyNumberFormat="1" applyFont="1" applyFill="1" applyBorder="1" applyAlignment="1">
      <alignment horizontal="center"/>
    </xf>
    <xf numFmtId="172" fontId="16" fillId="13" borderId="12" xfId="0" applyNumberFormat="1" applyFont="1" applyFill="1" applyBorder="1" applyAlignment="1">
      <alignment horizontal="center" vertical="center" readingOrder="1"/>
    </xf>
    <xf numFmtId="0" fontId="16" fillId="13" borderId="12" xfId="0" applyFont="1" applyFill="1" applyBorder="1" applyAlignment="1">
      <alignment horizontal="center" vertical="center" readingOrder="1"/>
    </xf>
    <xf numFmtId="14" fontId="16" fillId="10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left" vertical="center" readingOrder="1"/>
    </xf>
    <xf numFmtId="0" fontId="16" fillId="10" borderId="12" xfId="0" applyFont="1" applyFill="1" applyBorder="1" applyAlignment="1">
      <alignment horizontal="center" vertical="center" readingOrder="1"/>
    </xf>
    <xf numFmtId="14" fontId="16" fillId="13" borderId="12" xfId="0" applyNumberFormat="1" applyFont="1" applyFill="1" applyBorder="1" applyAlignment="1">
      <alignment horizontal="center" vertical="center" readingOrder="1"/>
    </xf>
    <xf numFmtId="14" fontId="16" fillId="16" borderId="12" xfId="0" applyNumberFormat="1" applyFont="1" applyFill="1" applyBorder="1" applyAlignment="1">
      <alignment horizontal="center" vertical="center" readingOrder="1"/>
    </xf>
    <xf numFmtId="14" fontId="15" fillId="7" borderId="10" xfId="0" applyNumberFormat="1" applyFont="1" applyFill="1" applyBorder="1" applyAlignment="1">
      <alignment horizontal="center" vertical="center" readingOrder="1"/>
    </xf>
    <xf numFmtId="0" fontId="16" fillId="12" borderId="13" xfId="0" applyFont="1" applyFill="1" applyBorder="1" applyAlignment="1">
      <alignment horizontal="right" vertical="center" readingOrder="1"/>
    </xf>
    <xf numFmtId="175" fontId="16" fillId="13" borderId="12" xfId="0" applyNumberFormat="1" applyFont="1" applyFill="1" applyBorder="1" applyAlignment="1">
      <alignment horizontal="center" vertical="center" readingOrder="1"/>
    </xf>
    <xf numFmtId="173" fontId="16" fillId="13" borderId="10" xfId="0" applyNumberFormat="1" applyFont="1" applyFill="1" applyBorder="1" applyAlignment="1">
      <alignment horizontal="left" vertical="top" readingOrder="1"/>
    </xf>
    <xf numFmtId="0" fontId="16" fillId="17" borderId="10" xfId="0" applyFont="1" applyFill="1" applyBorder="1" applyAlignment="1">
      <alignment horizontal="center" vertical="center" readingOrder="1"/>
    </xf>
    <xf numFmtId="175" fontId="15" fillId="13" borderId="10" xfId="0" applyNumberFormat="1" applyFont="1" applyFill="1" applyBorder="1" applyAlignment="1">
      <alignment horizontal="center" vertical="center" readingOrder="1"/>
    </xf>
    <xf numFmtId="0" fontId="15" fillId="7" borderId="10" xfId="0" applyFont="1" applyFill="1" applyBorder="1" applyAlignment="1">
      <alignment horizontal="center" vertical="center" readingOrder="1"/>
    </xf>
    <xf numFmtId="0" fontId="16" fillId="7" borderId="10" xfId="0" applyFont="1" applyFill="1" applyBorder="1" applyAlignment="1">
      <alignment horizontal="center" vertical="center" readingOrder="1"/>
    </xf>
    <xf numFmtId="172" fontId="16" fillId="7" borderId="12" xfId="0" applyNumberFormat="1" applyFont="1" applyFill="1" applyBorder="1" applyAlignment="1">
      <alignment horizontal="center" vertical="center" readingOrder="1"/>
    </xf>
    <xf numFmtId="10" fontId="15" fillId="14" borderId="10" xfId="0" applyNumberFormat="1" applyFont="1" applyFill="1" applyBorder="1" applyAlignment="1">
      <alignment horizontal="center" vertical="center" readingOrder="1"/>
    </xf>
    <xf numFmtId="14" fontId="16" fillId="7" borderId="12" xfId="0" applyNumberFormat="1" applyFont="1" applyFill="1" applyBorder="1" applyAlignment="1">
      <alignment horizontal="center" vertical="center" readingOrder="1"/>
    </xf>
    <xf numFmtId="0" fontId="16" fillId="7" borderId="12" xfId="0" applyFont="1" applyFill="1" applyBorder="1" applyAlignment="1">
      <alignment horizontal="center" vertical="center" readingOrder="1"/>
    </xf>
    <xf numFmtId="173" fontId="15" fillId="11" borderId="10" xfId="0" applyNumberFormat="1" applyFont="1" applyFill="1" applyBorder="1" applyAlignment="1">
      <alignment horizontal="left" vertical="center" readingOrder="1"/>
    </xf>
    <xf numFmtId="165" fontId="15" fillId="11" borderId="10" xfId="0" applyNumberFormat="1" applyFont="1" applyFill="1" applyBorder="1" applyAlignment="1">
      <alignment horizontal="center" vertical="center" readingOrder="1"/>
    </xf>
    <xf numFmtId="173" fontId="16" fillId="13" borderId="10" xfId="0" applyNumberFormat="1" applyFont="1" applyFill="1" applyBorder="1" applyAlignment="1">
      <alignment horizontal="center" vertical="center" readingOrder="1"/>
    </xf>
    <xf numFmtId="14" fontId="16" fillId="13" borderId="10" xfId="0" applyNumberFormat="1" applyFont="1" applyFill="1" applyBorder="1" applyAlignment="1">
      <alignment horizontal="center" vertical="center" readingOrder="1"/>
    </xf>
    <xf numFmtId="0" fontId="15" fillId="13" borderId="10" xfId="0" applyFont="1" applyFill="1" applyBorder="1" applyAlignment="1">
      <alignment horizontal="left" vertical="center" readingOrder="1"/>
    </xf>
    <xf numFmtId="175" fontId="16" fillId="13" borderId="10" xfId="0" applyNumberFormat="1" applyFont="1" applyFill="1" applyBorder="1" applyAlignment="1">
      <alignment horizontal="center" vertical="center" readingOrder="1"/>
    </xf>
    <xf numFmtId="14" fontId="16" fillId="10" borderId="12" xfId="0" applyNumberFormat="1" applyFont="1" applyFill="1" applyBorder="1" applyAlignment="1">
      <alignment horizontal="center" vertical="center" readingOrder="1"/>
    </xf>
    <xf numFmtId="0" fontId="15" fillId="14" borderId="10" xfId="0" applyFont="1" applyFill="1" applyBorder="1" applyAlignment="1">
      <alignment horizontal="center" vertical="center" readingOrder="1"/>
    </xf>
    <xf numFmtId="0" fontId="16" fillId="0" borderId="10" xfId="0" applyFont="1" applyBorder="1" applyAlignment="1">
      <alignment horizontal="center" vertical="center" readingOrder="1"/>
    </xf>
    <xf numFmtId="0" fontId="5" fillId="15" borderId="0" xfId="0" applyFont="1" applyFill="1"/>
    <xf numFmtId="0" fontId="16" fillId="14" borderId="10" xfId="0" applyFont="1" applyFill="1" applyBorder="1" applyAlignment="1">
      <alignment horizontal="center" vertical="center" readingOrder="1"/>
    </xf>
    <xf numFmtId="14" fontId="16" fillId="15" borderId="0" xfId="0" applyNumberFormat="1" applyFont="1" applyFill="1" applyAlignment="1">
      <alignment horizontal="center" vertical="center" readingOrder="1"/>
    </xf>
    <xf numFmtId="0" fontId="5" fillId="15" borderId="0" xfId="0" applyFont="1" applyFill="1" applyAlignment="1">
      <alignment horizontal="center"/>
    </xf>
    <xf numFmtId="49" fontId="15" fillId="9" borderId="4" xfId="0" applyNumberFormat="1" applyFont="1" applyFill="1" applyBorder="1" applyAlignment="1">
      <alignment horizontal="center" vertical="center" wrapText="1"/>
    </xf>
    <xf numFmtId="0" fontId="5" fillId="15" borderId="4" xfId="0" applyFont="1" applyFill="1" applyBorder="1"/>
    <xf numFmtId="168" fontId="8" fillId="2" borderId="4" xfId="0" applyNumberFormat="1" applyFont="1" applyFill="1" applyBorder="1"/>
    <xf numFmtId="165" fontId="8" fillId="2" borderId="4" xfId="0" applyNumberFormat="1" applyFont="1" applyFill="1" applyBorder="1" applyAlignment="1">
      <alignment horizontal="center"/>
    </xf>
    <xf numFmtId="168" fontId="8" fillId="2" borderId="6" xfId="0" applyNumberFormat="1" applyFont="1" applyFill="1" applyBorder="1" applyAlignment="1">
      <alignment horizontal="center" vertical="center"/>
    </xf>
    <xf numFmtId="168" fontId="8" fillId="2" borderId="7" xfId="0" applyNumberFormat="1" applyFont="1" applyFill="1" applyBorder="1" applyAlignment="1">
      <alignment horizontal="center" vertical="center"/>
    </xf>
    <xf numFmtId="0" fontId="19" fillId="0" borderId="0" xfId="0" applyFont="1"/>
    <xf numFmtId="168" fontId="8" fillId="0" borderId="4" xfId="0" applyNumberFormat="1" applyFont="1" applyBorder="1" applyAlignment="1">
      <alignment horizontal="center" vertical="center"/>
    </xf>
    <xf numFmtId="168" fontId="9" fillId="4" borderId="6" xfId="0" applyNumberFormat="1" applyFont="1" applyFill="1" applyBorder="1" applyAlignment="1">
      <alignment horizontal="center" vertical="center"/>
    </xf>
    <xf numFmtId="0" fontId="0" fillId="0" borderId="4" xfId="0" applyBorder="1"/>
    <xf numFmtId="0" fontId="19" fillId="0" borderId="4" xfId="0" applyFont="1" applyBorder="1"/>
    <xf numFmtId="0" fontId="0" fillId="0" borderId="0" xfId="0" applyAlignment="1">
      <alignment horizontal="center"/>
    </xf>
    <xf numFmtId="168" fontId="7" fillId="3" borderId="4" xfId="0" applyNumberFormat="1" applyFont="1" applyFill="1" applyBorder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 vertical="center"/>
    </xf>
    <xf numFmtId="168" fontId="6" fillId="2" borderId="4" xfId="0" applyNumberFormat="1" applyFont="1" applyFill="1" applyBorder="1"/>
    <xf numFmtId="0" fontId="8" fillId="2" borderId="4" xfId="0" applyFont="1" applyFill="1" applyBorder="1"/>
    <xf numFmtId="0" fontId="8" fillId="0" borderId="4" xfId="0" applyFont="1" applyBorder="1" applyAlignment="1">
      <alignment horizontal="center" vertical="center"/>
    </xf>
    <xf numFmtId="168" fontId="9" fillId="4" borderId="7" xfId="0" applyNumberFormat="1" applyFont="1" applyFill="1" applyBorder="1" applyAlignment="1">
      <alignment horizontal="center" vertical="center"/>
    </xf>
    <xf numFmtId="165" fontId="8" fillId="2" borderId="4" xfId="0" applyNumberFormat="1" applyFont="1" applyFill="1" applyBorder="1"/>
    <xf numFmtId="167" fontId="6" fillId="3" borderId="4" xfId="0" applyNumberFormat="1" applyFont="1" applyFill="1" applyBorder="1" applyAlignment="1">
      <alignment horizontal="left" vertical="center" indent="2"/>
    </xf>
    <xf numFmtId="0" fontId="8" fillId="2" borderId="4" xfId="0" applyFont="1" applyFill="1" applyBorder="1" applyAlignment="1">
      <alignment horizontal="center" vertical="center"/>
    </xf>
    <xf numFmtId="166" fontId="8" fillId="2" borderId="4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169" fontId="6" fillId="3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68" fontId="8" fillId="2" borderId="16" xfId="0" applyNumberFormat="1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left" vertical="center" indent="2"/>
    </xf>
    <xf numFmtId="168" fontId="8" fillId="2" borderId="17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168" fontId="8" fillId="2" borderId="19" xfId="0" applyNumberFormat="1" applyFont="1" applyFill="1" applyBorder="1" applyAlignment="1">
      <alignment horizontal="center" vertical="center"/>
    </xf>
    <xf numFmtId="167" fontId="6" fillId="3" borderId="4" xfId="0" applyNumberFormat="1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169" fontId="6" fillId="3" borderId="4" xfId="0" applyNumberFormat="1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164" fontId="8" fillId="2" borderId="9" xfId="0" applyNumberFormat="1" applyFont="1" applyFill="1" applyBorder="1" applyAlignment="1">
      <alignment horizontal="left" vertical="center"/>
    </xf>
    <xf numFmtId="168" fontId="8" fillId="2" borderId="19" xfId="0" applyNumberFormat="1" applyFont="1" applyFill="1" applyBorder="1" applyAlignment="1">
      <alignment horizontal="right" vertical="center" indent="1"/>
    </xf>
    <xf numFmtId="0" fontId="8" fillId="2" borderId="8" xfId="0" applyFont="1" applyFill="1" applyBorder="1" applyAlignment="1">
      <alignment horizontal="right" vertical="center" indent="1"/>
    </xf>
    <xf numFmtId="168" fontId="8" fillId="2" borderId="20" xfId="0" applyNumberFormat="1" applyFont="1" applyFill="1" applyBorder="1" applyAlignment="1">
      <alignment horizontal="right" vertical="center" indent="1"/>
    </xf>
    <xf numFmtId="168" fontId="14" fillId="2" borderId="8" xfId="0" applyNumberFormat="1" applyFont="1" applyFill="1" applyBorder="1" applyAlignment="1">
      <alignment horizontal="right"/>
    </xf>
    <xf numFmtId="165" fontId="6" fillId="2" borderId="4" xfId="0" applyNumberFormat="1" applyFont="1" applyFill="1" applyBorder="1"/>
    <xf numFmtId="168" fontId="6" fillId="3" borderId="4" xfId="0" applyNumberFormat="1" applyFont="1" applyFill="1" applyBorder="1" applyAlignment="1">
      <alignment horizontal="right" vertical="center" indent="1"/>
    </xf>
    <xf numFmtId="164" fontId="12" fillId="2" borderId="2" xfId="0" applyNumberFormat="1" applyFont="1" applyFill="1" applyBorder="1" applyAlignment="1">
      <alignment horizontal="left" vertical="center"/>
    </xf>
    <xf numFmtId="165" fontId="8" fillId="2" borderId="21" xfId="0" applyNumberFormat="1" applyFont="1" applyFill="1" applyBorder="1"/>
    <xf numFmtId="166" fontId="8" fillId="2" borderId="21" xfId="0" applyNumberFormat="1" applyFont="1" applyFill="1" applyBorder="1"/>
    <xf numFmtId="165" fontId="6" fillId="2" borderId="21" xfId="0" applyNumberFormat="1" applyFont="1" applyFill="1" applyBorder="1" applyAlignment="1">
      <alignment horizontal="center"/>
    </xf>
    <xf numFmtId="167" fontId="7" fillId="3" borderId="4" xfId="0" applyNumberFormat="1" applyFont="1" applyFill="1" applyBorder="1" applyAlignment="1">
      <alignment horizontal="center" vertical="center"/>
    </xf>
    <xf numFmtId="165" fontId="8" fillId="2" borderId="21" xfId="0" applyNumberFormat="1" applyFont="1" applyFill="1" applyBorder="1" applyAlignment="1">
      <alignment horizontal="center"/>
    </xf>
    <xf numFmtId="165" fontId="6" fillId="2" borderId="21" xfId="0" applyNumberFormat="1" applyFont="1" applyFill="1" applyBorder="1" applyAlignment="1">
      <alignment vertical="center"/>
    </xf>
    <xf numFmtId="168" fontId="9" fillId="4" borderId="16" xfId="0" applyNumberFormat="1" applyFont="1" applyFill="1" applyBorder="1" applyAlignment="1">
      <alignment horizontal="center" vertical="center"/>
    </xf>
    <xf numFmtId="168" fontId="8" fillId="0" borderId="16" xfId="0" applyNumberFormat="1" applyFont="1" applyBorder="1" applyAlignment="1">
      <alignment horizontal="center" vertical="center"/>
    </xf>
    <xf numFmtId="165" fontId="8" fillId="2" borderId="21" xfId="0" applyNumberFormat="1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5" fontId="8" fillId="0" borderId="5" xfId="0" applyNumberFormat="1" applyFont="1" applyBorder="1" applyAlignment="1">
      <alignment horizontal="center" vertical="center"/>
    </xf>
    <xf numFmtId="165" fontId="20" fillId="18" borderId="5" xfId="0" applyNumberFormat="1" applyFont="1" applyFill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166" fontId="8" fillId="2" borderId="19" xfId="0" applyNumberFormat="1" applyFont="1" applyFill="1" applyBorder="1" applyAlignment="1">
      <alignment horizontal="center" vertical="center"/>
    </xf>
    <xf numFmtId="166" fontId="8" fillId="0" borderId="16" xfId="0" applyNumberFormat="1" applyFont="1" applyBorder="1" applyAlignment="1">
      <alignment horizontal="right" vertical="center"/>
    </xf>
    <xf numFmtId="166" fontId="9" fillId="4" borderId="16" xfId="0" applyNumberFormat="1" applyFont="1" applyFill="1" applyBorder="1" applyAlignment="1">
      <alignment horizontal="right" vertical="center"/>
    </xf>
    <xf numFmtId="166" fontId="8" fillId="2" borderId="21" xfId="0" applyNumberFormat="1" applyFont="1" applyFill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165" fontId="9" fillId="18" borderId="5" xfId="0" applyNumberFormat="1" applyFont="1" applyFill="1" applyBorder="1" applyAlignment="1">
      <alignment horizontal="center" vertical="center"/>
    </xf>
    <xf numFmtId="165" fontId="9" fillId="18" borderId="14" xfId="0" applyNumberFormat="1" applyFont="1" applyFill="1" applyBorder="1" applyAlignment="1">
      <alignment horizontal="center" vertical="center"/>
    </xf>
    <xf numFmtId="165" fontId="9" fillId="4" borderId="1" xfId="1" applyNumberFormat="1" applyFont="1" applyFill="1" applyBorder="1" applyAlignment="1">
      <alignment horizontal="center" vertical="center"/>
    </xf>
    <xf numFmtId="0" fontId="14" fillId="2" borderId="4" xfId="0" applyFont="1" applyFill="1" applyBorder="1"/>
    <xf numFmtId="165" fontId="12" fillId="2" borderId="4" xfId="0" applyNumberFormat="1" applyFont="1" applyFill="1" applyBorder="1" applyAlignment="1">
      <alignment horizontal="center"/>
    </xf>
    <xf numFmtId="164" fontId="12" fillId="2" borderId="16" xfId="0" applyNumberFormat="1" applyFont="1" applyFill="1" applyBorder="1" applyAlignment="1">
      <alignment horizontal="left" vertical="center"/>
    </xf>
    <xf numFmtId="164" fontId="12" fillId="2" borderId="19" xfId="0" applyNumberFormat="1" applyFont="1" applyFill="1" applyBorder="1" applyAlignment="1">
      <alignment horizontal="left" vertical="center"/>
    </xf>
    <xf numFmtId="166" fontId="8" fillId="2" borderId="6" xfId="0" applyNumberFormat="1" applyFont="1" applyFill="1" applyBorder="1" applyAlignment="1">
      <alignment horizontal="center" vertical="center"/>
    </xf>
    <xf numFmtId="166" fontId="9" fillId="4" borderId="6" xfId="0" applyNumberFormat="1" applyFont="1" applyFill="1" applyBorder="1" applyAlignment="1">
      <alignment horizontal="center" vertical="center"/>
    </xf>
    <xf numFmtId="166" fontId="12" fillId="2" borderId="6" xfId="0" applyNumberFormat="1" applyFont="1" applyFill="1" applyBorder="1" applyAlignment="1">
      <alignment horizontal="center" vertical="center"/>
    </xf>
    <xf numFmtId="164" fontId="12" fillId="2" borderId="16" xfId="0" applyNumberFormat="1" applyFont="1" applyFill="1" applyBorder="1" applyAlignment="1">
      <alignment horizontal="center" vertical="center"/>
    </xf>
    <xf numFmtId="167" fontId="6" fillId="3" borderId="4" xfId="0" applyNumberFormat="1" applyFont="1" applyFill="1" applyBorder="1" applyAlignment="1">
      <alignment horizontal="center" vertical="center"/>
    </xf>
    <xf numFmtId="168" fontId="8" fillId="0" borderId="36" xfId="0" applyNumberFormat="1" applyFont="1" applyBorder="1" applyAlignment="1">
      <alignment vertical="center"/>
    </xf>
    <xf numFmtId="168" fontId="6" fillId="3" borderId="37" xfId="0" applyNumberFormat="1" applyFont="1" applyFill="1" applyBorder="1" applyAlignment="1">
      <alignment vertical="center"/>
    </xf>
    <xf numFmtId="168" fontId="10" fillId="0" borderId="38" xfId="0" applyNumberFormat="1" applyFont="1" applyBorder="1" applyAlignment="1">
      <alignment vertical="center"/>
    </xf>
    <xf numFmtId="168" fontId="6" fillId="5" borderId="37" xfId="0" applyNumberFormat="1" applyFont="1" applyFill="1" applyBorder="1" applyAlignment="1">
      <alignment vertical="center"/>
    </xf>
    <xf numFmtId="168" fontId="8" fillId="2" borderId="41" xfId="0" applyNumberFormat="1" applyFont="1" applyFill="1" applyBorder="1" applyAlignment="1">
      <alignment horizontal="center" vertical="center"/>
    </xf>
    <xf numFmtId="168" fontId="6" fillId="3" borderId="37" xfId="0" applyNumberFormat="1" applyFont="1" applyFill="1" applyBorder="1" applyAlignment="1">
      <alignment horizontal="center" vertical="center"/>
    </xf>
    <xf numFmtId="168" fontId="8" fillId="0" borderId="44" xfId="0" applyNumberFormat="1" applyFont="1" applyBorder="1" applyAlignment="1">
      <alignment horizontal="center" vertical="center"/>
    </xf>
    <xf numFmtId="168" fontId="9" fillId="4" borderId="44" xfId="0" applyNumberFormat="1" applyFont="1" applyFill="1" applyBorder="1" applyAlignment="1">
      <alignment horizontal="center" vertical="center"/>
    </xf>
    <xf numFmtId="168" fontId="9" fillId="4" borderId="45" xfId="0" applyNumberFormat="1" applyFont="1" applyFill="1" applyBorder="1" applyAlignment="1">
      <alignment horizontal="center" vertical="center"/>
    </xf>
    <xf numFmtId="168" fontId="6" fillId="3" borderId="30" xfId="0" applyNumberFormat="1" applyFont="1" applyFill="1" applyBorder="1" applyAlignment="1">
      <alignment horizontal="center" vertical="center"/>
    </xf>
    <xf numFmtId="168" fontId="7" fillId="3" borderId="30" xfId="0" applyNumberFormat="1" applyFont="1" applyFill="1" applyBorder="1" applyAlignment="1">
      <alignment horizontal="center" vertical="center"/>
    </xf>
    <xf numFmtId="168" fontId="7" fillId="3" borderId="31" xfId="0" applyNumberFormat="1" applyFont="1" applyFill="1" applyBorder="1" applyAlignment="1">
      <alignment horizontal="center" vertical="center"/>
    </xf>
    <xf numFmtId="164" fontId="12" fillId="0" borderId="4" xfId="0" applyNumberFormat="1" applyFont="1" applyBorder="1" applyAlignment="1">
      <alignment horizontal="left"/>
    </xf>
    <xf numFmtId="164" fontId="12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 vertical="center"/>
    </xf>
    <xf numFmtId="0" fontId="12" fillId="2" borderId="4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21" fillId="0" borderId="4" xfId="0" applyNumberFormat="1" applyFont="1" applyBorder="1" applyAlignment="1">
      <alignment horizontal="left"/>
    </xf>
    <xf numFmtId="0" fontId="8" fillId="0" borderId="4" xfId="0" applyFont="1" applyBorder="1"/>
    <xf numFmtId="168" fontId="8" fillId="2" borderId="42" xfId="0" applyNumberFormat="1" applyFont="1" applyFill="1" applyBorder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 vertical="center"/>
    </xf>
    <xf numFmtId="168" fontId="6" fillId="3" borderId="39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166" fontId="22" fillId="0" borderId="37" xfId="0" applyNumberFormat="1" applyFont="1" applyBorder="1" applyAlignment="1">
      <alignment vertical="center"/>
    </xf>
    <xf numFmtId="165" fontId="23" fillId="0" borderId="4" xfId="0" applyNumberFormat="1" applyFont="1" applyBorder="1" applyAlignment="1">
      <alignment horizontal="center" vertical="center"/>
    </xf>
    <xf numFmtId="10" fontId="23" fillId="0" borderId="39" xfId="0" applyNumberFormat="1" applyFont="1" applyBorder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2" borderId="4" xfId="0" applyFont="1" applyFill="1" applyBorder="1" applyAlignment="1">
      <alignment horizontal="left"/>
    </xf>
    <xf numFmtId="164" fontId="24" fillId="0" borderId="0" xfId="0" applyNumberFormat="1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168" fontId="8" fillId="2" borderId="15" xfId="0" applyNumberFormat="1" applyFont="1" applyFill="1" applyBorder="1" applyAlignment="1">
      <alignment horizontal="center" vertical="center"/>
    </xf>
    <xf numFmtId="168" fontId="9" fillId="4" borderId="15" xfId="0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9" fillId="4" borderId="7" xfId="0" applyNumberFormat="1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center" vertical="center"/>
    </xf>
    <xf numFmtId="166" fontId="8" fillId="8" borderId="15" xfId="0" applyNumberFormat="1" applyFont="1" applyFill="1" applyBorder="1" applyAlignment="1">
      <alignment horizontal="center" vertical="center"/>
    </xf>
    <xf numFmtId="166" fontId="9" fillId="4" borderId="15" xfId="0" applyNumberFormat="1" applyFont="1" applyFill="1" applyBorder="1" applyAlignment="1">
      <alignment horizontal="center" vertical="center"/>
    </xf>
    <xf numFmtId="165" fontId="25" fillId="2" borderId="4" xfId="0" applyNumberFormat="1" applyFont="1" applyFill="1" applyBorder="1" applyAlignment="1">
      <alignment horizontal="center"/>
    </xf>
    <xf numFmtId="0" fontId="8" fillId="8" borderId="17" xfId="0" applyFont="1" applyFill="1" applyBorder="1" applyAlignment="1">
      <alignment horizontal="left" vertical="center"/>
    </xf>
    <xf numFmtId="0" fontId="8" fillId="8" borderId="20" xfId="0" applyFont="1" applyFill="1" applyBorder="1" applyAlignment="1">
      <alignment horizontal="left" vertical="center"/>
    </xf>
    <xf numFmtId="166" fontId="8" fillId="8" borderId="7" xfId="0" applyNumberFormat="1" applyFont="1" applyFill="1" applyBorder="1" applyAlignment="1">
      <alignment horizontal="center" vertical="center"/>
    </xf>
    <xf numFmtId="166" fontId="9" fillId="4" borderId="7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8" fillId="8" borderId="18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166" fontId="8" fillId="8" borderId="8" xfId="0" applyNumberFormat="1" applyFont="1" applyFill="1" applyBorder="1" applyAlignment="1">
      <alignment horizontal="center" vertical="center"/>
    </xf>
    <xf numFmtId="166" fontId="9" fillId="4" borderId="8" xfId="0" applyNumberFormat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left" vertical="center"/>
    </xf>
    <xf numFmtId="166" fontId="8" fillId="8" borderId="1" xfId="0" applyNumberFormat="1" applyFont="1" applyFill="1" applyBorder="1" applyAlignment="1">
      <alignment horizontal="center" vertical="center"/>
    </xf>
    <xf numFmtId="165" fontId="8" fillId="0" borderId="0" xfId="0" applyNumberFormat="1" applyFont="1"/>
    <xf numFmtId="170" fontId="8" fillId="0" borderId="0" xfId="0" applyNumberFormat="1" applyFont="1"/>
    <xf numFmtId="0" fontId="24" fillId="0" borderId="0" xfId="0" applyFont="1"/>
    <xf numFmtId="168" fontId="24" fillId="0" borderId="0" xfId="0" applyNumberFormat="1" applyFont="1"/>
    <xf numFmtId="164" fontId="3" fillId="0" borderId="4" xfId="0" applyNumberFormat="1" applyFont="1" applyBorder="1" applyAlignment="1">
      <alignment horizontal="left"/>
    </xf>
    <xf numFmtId="0" fontId="26" fillId="0" borderId="0" xfId="0" applyFont="1"/>
    <xf numFmtId="164" fontId="27" fillId="0" borderId="4" xfId="0" applyNumberFormat="1" applyFont="1" applyBorder="1" applyAlignment="1">
      <alignment horizontal="left"/>
    </xf>
    <xf numFmtId="0" fontId="9" fillId="2" borderId="4" xfId="0" applyFont="1" applyFill="1" applyBorder="1"/>
    <xf numFmtId="165" fontId="12" fillId="2" borderId="4" xfId="0" applyNumberFormat="1" applyFont="1" applyFill="1" applyBorder="1" applyAlignment="1">
      <alignment horizontal="left"/>
    </xf>
    <xf numFmtId="0" fontId="26" fillId="2" borderId="4" xfId="0" applyFont="1" applyFill="1" applyBorder="1" applyAlignment="1">
      <alignment horizontal="left"/>
    </xf>
    <xf numFmtId="0" fontId="26" fillId="2" borderId="4" xfId="0" applyFont="1" applyFill="1" applyBorder="1"/>
    <xf numFmtId="0" fontId="4" fillId="2" borderId="4" xfId="0" applyFont="1" applyFill="1" applyBorder="1"/>
    <xf numFmtId="166" fontId="26" fillId="2" borderId="4" xfId="0" applyNumberFormat="1" applyFont="1" applyFill="1" applyBorder="1"/>
    <xf numFmtId="167" fontId="7" fillId="3" borderId="4" xfId="0" quotePrefix="1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68" fontId="8" fillId="0" borderId="2" xfId="0" applyNumberFormat="1" applyFont="1" applyBorder="1" applyAlignment="1">
      <alignment horizontal="center" vertical="center"/>
    </xf>
    <xf numFmtId="166" fontId="8" fillId="2" borderId="4" xfId="0" applyNumberFormat="1" applyFont="1" applyFill="1" applyBorder="1"/>
    <xf numFmtId="166" fontId="8" fillId="0" borderId="2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71" fontId="8" fillId="2" borderId="4" xfId="0" applyNumberFormat="1" applyFont="1" applyFill="1" applyBorder="1"/>
    <xf numFmtId="171" fontId="9" fillId="2" borderId="4" xfId="0" applyNumberFormat="1" applyFont="1" applyFill="1" applyBorder="1"/>
    <xf numFmtId="166" fontId="6" fillId="3" borderId="4" xfId="0" applyNumberFormat="1" applyFont="1" applyFill="1" applyBorder="1" applyAlignment="1">
      <alignment horizontal="center" vertical="center"/>
    </xf>
    <xf numFmtId="166" fontId="7" fillId="3" borderId="4" xfId="0" applyNumberFormat="1" applyFont="1" applyFill="1" applyBorder="1" applyAlignment="1">
      <alignment horizontal="center" vertical="center"/>
    </xf>
    <xf numFmtId="0" fontId="13" fillId="7" borderId="4" xfId="0" applyFont="1" applyFill="1" applyBorder="1"/>
    <xf numFmtId="173" fontId="15" fillId="9" borderId="4" xfId="0" applyNumberFormat="1" applyFont="1" applyFill="1" applyBorder="1" applyAlignment="1">
      <alignment horizontal="center" vertical="center" wrapText="1" readingOrder="1"/>
    </xf>
    <xf numFmtId="172" fontId="15" fillId="9" borderId="4" xfId="0" applyNumberFormat="1" applyFont="1" applyFill="1" applyBorder="1" applyAlignment="1">
      <alignment horizontal="center" vertical="center" wrapText="1" readingOrder="1"/>
    </xf>
    <xf numFmtId="174" fontId="15" fillId="10" borderId="4" xfId="0" applyNumberFormat="1" applyFont="1" applyFill="1" applyBorder="1" applyAlignment="1">
      <alignment horizontal="center" vertical="center" wrapText="1" readingOrder="1"/>
    </xf>
    <xf numFmtId="0" fontId="15" fillId="10" borderId="4" xfId="0" applyFont="1" applyFill="1" applyBorder="1" applyAlignment="1">
      <alignment horizontal="center" vertical="center" wrapText="1" readingOrder="1"/>
    </xf>
    <xf numFmtId="49" fontId="15" fillId="9" borderId="4" xfId="0" applyNumberFormat="1" applyFont="1" applyFill="1" applyBorder="1" applyAlignment="1">
      <alignment horizontal="center" vertical="center" wrapText="1" readingOrder="1"/>
    </xf>
    <xf numFmtId="14" fontId="16" fillId="15" borderId="4" xfId="0" applyNumberFormat="1" applyFont="1" applyFill="1" applyBorder="1" applyAlignment="1">
      <alignment horizontal="center" vertical="center" readingOrder="1"/>
    </xf>
    <xf numFmtId="0" fontId="5" fillId="15" borderId="4" xfId="0" applyFont="1" applyFill="1" applyBorder="1" applyAlignment="1">
      <alignment horizontal="center"/>
    </xf>
    <xf numFmtId="17" fontId="0" fillId="0" borderId="0" xfId="0" applyNumberFormat="1"/>
    <xf numFmtId="177" fontId="0" fillId="0" borderId="0" xfId="0" applyNumberFormat="1"/>
    <xf numFmtId="9" fontId="0" fillId="0" borderId="0" xfId="1" applyFont="1"/>
    <xf numFmtId="0" fontId="0" fillId="0" borderId="21" xfId="0" applyBorder="1"/>
    <xf numFmtId="0" fontId="0" fillId="0" borderId="21" xfId="0" applyBorder="1" applyAlignment="1">
      <alignment horizontal="center"/>
    </xf>
    <xf numFmtId="0" fontId="19" fillId="0" borderId="21" xfId="0" applyFont="1" applyBorder="1"/>
    <xf numFmtId="168" fontId="12" fillId="20" borderId="31" xfId="0" applyNumberFormat="1" applyFont="1" applyFill="1" applyBorder="1" applyAlignment="1">
      <alignment horizontal="center" vertical="center"/>
    </xf>
    <xf numFmtId="168" fontId="12" fillId="20" borderId="7" xfId="0" applyNumberFormat="1" applyFont="1" applyFill="1" applyBorder="1" applyAlignment="1">
      <alignment horizontal="center" vertical="center"/>
    </xf>
    <xf numFmtId="168" fontId="9" fillId="20" borderId="7" xfId="0" applyNumberFormat="1" applyFont="1" applyFill="1" applyBorder="1" applyAlignment="1">
      <alignment horizontal="center" vertical="center"/>
    </xf>
    <xf numFmtId="168" fontId="12" fillId="20" borderId="30" xfId="0" applyNumberFormat="1" applyFont="1" applyFill="1" applyBorder="1" applyAlignment="1">
      <alignment horizontal="center" vertical="center"/>
    </xf>
    <xf numFmtId="168" fontId="12" fillId="20" borderId="15" xfId="0" applyNumberFormat="1" applyFont="1" applyFill="1" applyBorder="1" applyAlignment="1">
      <alignment horizontal="center" vertical="center"/>
    </xf>
    <xf numFmtId="168" fontId="9" fillId="20" borderId="15" xfId="0" applyNumberFormat="1" applyFont="1" applyFill="1" applyBorder="1" applyAlignment="1">
      <alignment horizontal="center" vertical="center"/>
    </xf>
    <xf numFmtId="168" fontId="12" fillId="20" borderId="20" xfId="0" applyNumberFormat="1" applyFont="1" applyFill="1" applyBorder="1" applyAlignment="1">
      <alignment horizontal="right" vertical="center" indent="1"/>
    </xf>
    <xf numFmtId="166" fontId="12" fillId="20" borderId="7" xfId="0" applyNumberFormat="1" applyFont="1" applyFill="1" applyBorder="1" applyAlignment="1">
      <alignment horizontal="right" vertical="center"/>
    </xf>
    <xf numFmtId="166" fontId="12" fillId="20" borderId="17" xfId="0" applyNumberFormat="1" applyFont="1" applyFill="1" applyBorder="1" applyAlignment="1">
      <alignment horizontal="right" vertical="center"/>
    </xf>
    <xf numFmtId="177" fontId="15" fillId="9" borderId="1" xfId="0" applyNumberFormat="1" applyFont="1" applyFill="1" applyBorder="1" applyAlignment="1">
      <alignment horizontal="center" vertical="center" wrapText="1" readingOrder="1"/>
    </xf>
    <xf numFmtId="177" fontId="16" fillId="13" borderId="10" xfId="0" applyNumberFormat="1" applyFont="1" applyFill="1" applyBorder="1" applyAlignment="1">
      <alignment horizontal="center" vertical="center" readingOrder="1"/>
    </xf>
    <xf numFmtId="177" fontId="16" fillId="11" borderId="10" xfId="0" applyNumberFormat="1" applyFont="1" applyFill="1" applyBorder="1" applyAlignment="1">
      <alignment horizontal="center" vertical="center" readingOrder="1"/>
    </xf>
    <xf numFmtId="177" fontId="16" fillId="16" borderId="10" xfId="0" applyNumberFormat="1" applyFont="1" applyFill="1" applyBorder="1" applyAlignment="1">
      <alignment horizontal="center" vertical="center" readingOrder="1"/>
    </xf>
    <xf numFmtId="177" fontId="16" fillId="7" borderId="10" xfId="0" applyNumberFormat="1" applyFont="1" applyFill="1" applyBorder="1" applyAlignment="1">
      <alignment horizontal="center" vertical="center" readingOrder="1"/>
    </xf>
    <xf numFmtId="177" fontId="0" fillId="0" borderId="0" xfId="0" applyNumberFormat="1" applyAlignment="1">
      <alignment horizontal="center" vertical="center"/>
    </xf>
    <xf numFmtId="173" fontId="16" fillId="11" borderId="10" xfId="0" applyNumberFormat="1" applyFont="1" applyFill="1" applyBorder="1" applyAlignment="1">
      <alignment horizontal="center" vertical="center" readingOrder="1"/>
    </xf>
    <xf numFmtId="173" fontId="16" fillId="7" borderId="10" xfId="0" applyNumberFormat="1" applyFont="1" applyFill="1" applyBorder="1" applyAlignment="1">
      <alignment horizontal="center" vertical="center" readingOrder="1"/>
    </xf>
    <xf numFmtId="4" fontId="16" fillId="7" borderId="10" xfId="0" applyNumberFormat="1" applyFont="1" applyFill="1" applyBorder="1" applyAlignment="1">
      <alignment horizontal="center" vertical="center" readingOrder="1"/>
    </xf>
    <xf numFmtId="168" fontId="7" fillId="2" borderId="4" xfId="0" applyNumberFormat="1" applyFont="1" applyFill="1" applyBorder="1"/>
    <xf numFmtId="165" fontId="12" fillId="2" borderId="4" xfId="0" applyNumberFormat="1" applyFont="1" applyFill="1" applyBorder="1" applyAlignment="1">
      <alignment horizontal="center" vertical="center"/>
    </xf>
    <xf numFmtId="168" fontId="12" fillId="2" borderId="42" xfId="0" applyNumberFormat="1" applyFont="1" applyFill="1" applyBorder="1" applyAlignment="1">
      <alignment horizontal="center" vertical="center"/>
    </xf>
    <xf numFmtId="0" fontId="12" fillId="0" borderId="4" xfId="0" applyFont="1" applyBorder="1"/>
    <xf numFmtId="0" fontId="28" fillId="0" borderId="4" xfId="0" applyFont="1" applyBorder="1"/>
    <xf numFmtId="177" fontId="29" fillId="0" borderId="1" xfId="0" applyNumberFormat="1" applyFont="1" applyBorder="1" applyAlignment="1">
      <alignment horizontal="center" vertical="center"/>
    </xf>
    <xf numFmtId="0" fontId="30" fillId="19" borderId="1" xfId="0" applyFont="1" applyFill="1" applyBorder="1" applyAlignment="1">
      <alignment horizontal="center" vertical="center"/>
    </xf>
    <xf numFmtId="10" fontId="29" fillId="22" borderId="1" xfId="0" applyNumberFormat="1" applyFont="1" applyFill="1" applyBorder="1" applyAlignment="1">
      <alignment horizontal="center" vertical="center"/>
    </xf>
    <xf numFmtId="177" fontId="33" fillId="19" borderId="1" xfId="0" applyNumberFormat="1" applyFont="1" applyFill="1" applyBorder="1" applyAlignment="1">
      <alignment horizontal="center" vertical="center"/>
    </xf>
    <xf numFmtId="44" fontId="32" fillId="0" borderId="48" xfId="0" applyNumberFormat="1" applyFont="1" applyBorder="1" applyAlignment="1">
      <alignment horizontal="center" vertical="center"/>
    </xf>
    <xf numFmtId="177" fontId="32" fillId="0" borderId="48" xfId="0" applyNumberFormat="1" applyFont="1" applyBorder="1" applyAlignment="1">
      <alignment horizontal="center" vertical="center"/>
    </xf>
    <xf numFmtId="9" fontId="32" fillId="0" borderId="48" xfId="1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17" fontId="35" fillId="19" borderId="48" xfId="0" applyNumberFormat="1" applyFont="1" applyFill="1" applyBorder="1" applyAlignment="1">
      <alignment horizontal="center" vertical="center"/>
    </xf>
    <xf numFmtId="9" fontId="32" fillId="0" borderId="4" xfId="1" applyFont="1" applyBorder="1"/>
    <xf numFmtId="9" fontId="34" fillId="0" borderId="4" xfId="1" applyFont="1" applyBorder="1"/>
    <xf numFmtId="0" fontId="32" fillId="0" borderId="0" xfId="0" applyFont="1"/>
    <xf numFmtId="0" fontId="35" fillId="19" borderId="49" xfId="0" applyFont="1" applyFill="1" applyBorder="1" applyAlignment="1">
      <alignment horizontal="center" vertical="center"/>
    </xf>
    <xf numFmtId="177" fontId="32" fillId="0" borderId="4" xfId="0" applyNumberFormat="1" applyFont="1" applyBorder="1" applyAlignment="1">
      <alignment horizontal="center" vertical="center"/>
    </xf>
    <xf numFmtId="177" fontId="33" fillId="19" borderId="4" xfId="0" applyNumberFormat="1" applyFont="1" applyFill="1" applyBorder="1" applyAlignment="1">
      <alignment horizontal="center" vertical="center"/>
    </xf>
    <xf numFmtId="10" fontId="33" fillId="19" borderId="4" xfId="0" applyNumberFormat="1" applyFont="1" applyFill="1" applyBorder="1" applyAlignment="1">
      <alignment horizontal="center" vertical="center"/>
    </xf>
    <xf numFmtId="173" fontId="16" fillId="23" borderId="10" xfId="0" applyNumberFormat="1" applyFont="1" applyFill="1" applyBorder="1" applyAlignment="1">
      <alignment horizontal="left" vertical="center" readingOrder="1"/>
    </xf>
    <xf numFmtId="0" fontId="0" fillId="23" borderId="0" xfId="0" applyFill="1"/>
    <xf numFmtId="173" fontId="15" fillId="23" borderId="10" xfId="0" applyNumberFormat="1" applyFont="1" applyFill="1" applyBorder="1" applyAlignment="1">
      <alignment horizontal="left" vertical="center" readingOrder="1"/>
    </xf>
    <xf numFmtId="173" fontId="15" fillId="23" borderId="10" xfId="0" applyNumberFormat="1" applyFont="1" applyFill="1" applyBorder="1" applyAlignment="1">
      <alignment horizontal="right" vertical="center" readingOrder="1"/>
    </xf>
    <xf numFmtId="10" fontId="29" fillId="24" borderId="1" xfId="0" applyNumberFormat="1" applyFont="1" applyFill="1" applyBorder="1" applyAlignment="1">
      <alignment horizontal="center" vertical="center"/>
    </xf>
    <xf numFmtId="177" fontId="16" fillId="23" borderId="10" xfId="0" applyNumberFormat="1" applyFont="1" applyFill="1" applyBorder="1" applyAlignment="1">
      <alignment horizontal="center" vertical="center" readingOrder="1"/>
    </xf>
    <xf numFmtId="165" fontId="16" fillId="23" borderId="10" xfId="0" applyNumberFormat="1" applyFont="1" applyFill="1" applyBorder="1" applyAlignment="1">
      <alignment horizontal="center" vertical="center" readingOrder="1"/>
    </xf>
    <xf numFmtId="168" fontId="12" fillId="0" borderId="0" xfId="0" applyNumberFormat="1" applyFont="1" applyAlignment="1">
      <alignment horizontal="left"/>
    </xf>
    <xf numFmtId="0" fontId="6" fillId="3" borderId="40" xfId="0" applyFont="1" applyFill="1" applyBorder="1" applyAlignment="1">
      <alignment horizontal="center" vertical="center" wrapText="1"/>
    </xf>
    <xf numFmtId="10" fontId="9" fillId="4" borderId="1" xfId="1" applyNumberFormat="1" applyFont="1" applyFill="1" applyBorder="1" applyAlignment="1">
      <alignment horizontal="center" vertical="center"/>
    </xf>
    <xf numFmtId="168" fontId="0" fillId="0" borderId="0" xfId="0" applyNumberFormat="1"/>
    <xf numFmtId="10" fontId="20" fillId="18" borderId="14" xfId="0" applyNumberFormat="1" applyFont="1" applyFill="1" applyBorder="1" applyAlignment="1">
      <alignment horizontal="center" vertical="center"/>
    </xf>
    <xf numFmtId="0" fontId="0" fillId="25" borderId="0" xfId="0" applyFill="1"/>
    <xf numFmtId="168" fontId="6" fillId="0" borderId="4" xfId="0" applyNumberFormat="1" applyFont="1" applyBorder="1" applyAlignment="1">
      <alignment horizontal="center" vertical="center"/>
    </xf>
    <xf numFmtId="168" fontId="7" fillId="3" borderId="52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10" fontId="8" fillId="0" borderId="0" xfId="0" applyNumberFormat="1" applyFont="1"/>
    <xf numFmtId="10" fontId="8" fillId="2" borderId="4" xfId="0" applyNumberFormat="1" applyFont="1" applyFill="1" applyBorder="1" applyAlignment="1">
      <alignment horizontal="center"/>
    </xf>
    <xf numFmtId="168" fontId="8" fillId="2" borderId="8" xfId="0" applyNumberFormat="1" applyFont="1" applyFill="1" applyBorder="1" applyAlignment="1">
      <alignment horizontal="right" vertical="center" indent="1"/>
    </xf>
    <xf numFmtId="0" fontId="37" fillId="0" borderId="0" xfId="0" applyFont="1" applyAlignment="1">
      <alignment horizontal="center" vertical="center"/>
    </xf>
    <xf numFmtId="167" fontId="37" fillId="3" borderId="4" xfId="0" applyNumberFormat="1" applyFont="1" applyFill="1" applyBorder="1" applyAlignment="1">
      <alignment horizontal="center" vertical="center"/>
    </xf>
    <xf numFmtId="167" fontId="38" fillId="3" borderId="4" xfId="0" quotePrefix="1" applyNumberFormat="1" applyFont="1" applyFill="1" applyBorder="1" applyAlignment="1">
      <alignment horizontal="center" vertical="center"/>
    </xf>
    <xf numFmtId="168" fontId="39" fillId="2" borderId="35" xfId="0" applyNumberFormat="1" applyFont="1" applyFill="1" applyBorder="1" applyAlignment="1">
      <alignment horizontal="right" vertical="center" indent="1"/>
    </xf>
    <xf numFmtId="168" fontId="39" fillId="0" borderId="4" xfId="0" applyNumberFormat="1" applyFont="1" applyBorder="1" applyAlignment="1">
      <alignment horizontal="center" vertical="center"/>
    </xf>
    <xf numFmtId="168" fontId="39" fillId="2" borderId="6" xfId="0" applyNumberFormat="1" applyFont="1" applyFill="1" applyBorder="1" applyAlignment="1">
      <alignment horizontal="center" vertical="center"/>
    </xf>
    <xf numFmtId="168" fontId="40" fillId="4" borderId="6" xfId="0" applyNumberFormat="1" applyFont="1" applyFill="1" applyBorder="1" applyAlignment="1">
      <alignment horizontal="center" vertical="center"/>
    </xf>
    <xf numFmtId="168" fontId="41" fillId="20" borderId="31" xfId="0" applyNumberFormat="1" applyFont="1" applyFill="1" applyBorder="1" applyAlignment="1">
      <alignment horizontal="center" vertical="center"/>
    </xf>
    <xf numFmtId="168" fontId="41" fillId="20" borderId="0" xfId="0" applyNumberFormat="1" applyFont="1" applyFill="1" applyAlignment="1">
      <alignment horizontal="center" vertical="center"/>
    </xf>
    <xf numFmtId="168" fontId="41" fillId="20" borderId="7" xfId="0" applyNumberFormat="1" applyFont="1" applyFill="1" applyBorder="1" applyAlignment="1">
      <alignment horizontal="center" vertical="center"/>
    </xf>
    <xf numFmtId="168" fontId="40" fillId="20" borderId="7" xfId="0" applyNumberFormat="1" applyFont="1" applyFill="1" applyBorder="1" applyAlignment="1">
      <alignment horizontal="center" vertical="center"/>
    </xf>
    <xf numFmtId="168" fontId="39" fillId="2" borderId="28" xfId="0" applyNumberFormat="1" applyFont="1" applyFill="1" applyBorder="1" applyAlignment="1">
      <alignment horizontal="right" vertical="center" indent="1"/>
    </xf>
    <xf numFmtId="168" fontId="41" fillId="20" borderId="4" xfId="0" applyNumberFormat="1" applyFont="1" applyFill="1" applyBorder="1" applyAlignment="1">
      <alignment horizontal="center" vertical="center"/>
    </xf>
    <xf numFmtId="168" fontId="41" fillId="20" borderId="15" xfId="0" applyNumberFormat="1" applyFont="1" applyFill="1" applyBorder="1" applyAlignment="1">
      <alignment horizontal="center" vertical="center"/>
    </xf>
    <xf numFmtId="168" fontId="40" fillId="20" borderId="15" xfId="0" applyNumberFormat="1" applyFont="1" applyFill="1" applyBorder="1" applyAlignment="1">
      <alignment horizontal="center" vertical="center"/>
    </xf>
    <xf numFmtId="168" fontId="37" fillId="3" borderId="27" xfId="0" applyNumberFormat="1" applyFont="1" applyFill="1" applyBorder="1" applyAlignment="1">
      <alignment horizontal="center" vertical="center"/>
    </xf>
    <xf numFmtId="168" fontId="39" fillId="0" borderId="27" xfId="0" applyNumberFormat="1" applyFont="1" applyBorder="1" applyAlignment="1">
      <alignment horizontal="center" vertical="center"/>
    </xf>
    <xf numFmtId="168" fontId="38" fillId="3" borderId="27" xfId="0" applyNumberFormat="1" applyFont="1" applyFill="1" applyBorder="1" applyAlignment="1">
      <alignment horizontal="center" vertical="center"/>
    </xf>
    <xf numFmtId="168" fontId="38" fillId="3" borderId="28" xfId="0" applyNumberFormat="1" applyFont="1" applyFill="1" applyBorder="1" applyAlignment="1">
      <alignment horizontal="center" vertical="center"/>
    </xf>
    <xf numFmtId="168" fontId="41" fillId="20" borderId="30" xfId="0" applyNumberFormat="1" applyFont="1" applyFill="1" applyBorder="1" applyAlignment="1">
      <alignment horizontal="center" vertical="center"/>
    </xf>
    <xf numFmtId="168" fontId="39" fillId="20" borderId="30" xfId="0" applyNumberFormat="1" applyFont="1" applyFill="1" applyBorder="1" applyAlignment="1">
      <alignment horizontal="center" vertical="center"/>
    </xf>
    <xf numFmtId="168" fontId="39" fillId="0" borderId="0" xfId="0" applyNumberFormat="1" applyFont="1" applyAlignment="1">
      <alignment horizontal="center" vertical="center"/>
    </xf>
    <xf numFmtId="168" fontId="39" fillId="0" borderId="1" xfId="0" applyNumberFormat="1" applyFont="1" applyBorder="1" applyAlignment="1">
      <alignment horizontal="center" vertical="center"/>
    </xf>
    <xf numFmtId="168" fontId="40" fillId="4" borderId="1" xfId="0" applyNumberFormat="1" applyFont="1" applyFill="1" applyBorder="1" applyAlignment="1">
      <alignment horizontal="center" vertical="center"/>
    </xf>
    <xf numFmtId="168" fontId="41" fillId="0" borderId="0" xfId="0" applyNumberFormat="1" applyFont="1" applyAlignment="1">
      <alignment horizontal="center" vertical="center"/>
    </xf>
    <xf numFmtId="168" fontId="38" fillId="3" borderId="1" xfId="0" applyNumberFormat="1" applyFont="1" applyFill="1" applyBorder="1" applyAlignment="1">
      <alignment horizontal="center" vertical="center"/>
    </xf>
    <xf numFmtId="168" fontId="42" fillId="0" borderId="1" xfId="0" applyNumberFormat="1" applyFont="1" applyBorder="1" applyAlignment="1">
      <alignment horizontal="center" vertical="center"/>
    </xf>
    <xf numFmtId="168" fontId="37" fillId="5" borderId="1" xfId="0" applyNumberFormat="1" applyFont="1" applyFill="1" applyBorder="1" applyAlignment="1">
      <alignment horizontal="center" vertical="center"/>
    </xf>
    <xf numFmtId="168" fontId="40" fillId="5" borderId="1" xfId="0" applyNumberFormat="1" applyFont="1" applyFill="1" applyBorder="1" applyAlignment="1">
      <alignment horizontal="center" vertical="center"/>
    </xf>
    <xf numFmtId="0" fontId="5" fillId="24" borderId="0" xfId="0" applyFont="1" applyFill="1"/>
    <xf numFmtId="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77" fontId="44" fillId="19" borderId="1" xfId="0" applyNumberFormat="1" applyFont="1" applyFill="1" applyBorder="1" applyAlignment="1">
      <alignment horizontal="center"/>
    </xf>
    <xf numFmtId="9" fontId="44" fillId="19" borderId="1" xfId="0" applyNumberFormat="1" applyFont="1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9" fontId="0" fillId="26" borderId="1" xfId="0" applyNumberFormat="1" applyFill="1" applyBorder="1" applyAlignment="1">
      <alignment horizontal="center"/>
    </xf>
    <xf numFmtId="177" fontId="0" fillId="26" borderId="1" xfId="0" applyNumberFormat="1" applyFill="1" applyBorder="1" applyAlignment="1">
      <alignment horizontal="center"/>
    </xf>
    <xf numFmtId="0" fontId="15" fillId="7" borderId="12" xfId="0" applyFont="1" applyFill="1" applyBorder="1" applyAlignment="1">
      <alignment horizontal="center" vertical="center" readingOrder="1"/>
    </xf>
    <xf numFmtId="0" fontId="5" fillId="24" borderId="4" xfId="0" applyFont="1" applyFill="1" applyBorder="1"/>
    <xf numFmtId="0" fontId="16" fillId="25" borderId="10" xfId="0" applyFont="1" applyFill="1" applyBorder="1" applyAlignment="1">
      <alignment horizontal="left" vertical="center" readingOrder="1"/>
    </xf>
    <xf numFmtId="0" fontId="5" fillId="27" borderId="0" xfId="0" applyFont="1" applyFill="1"/>
    <xf numFmtId="168" fontId="12" fillId="0" borderId="0" xfId="0" applyNumberFormat="1" applyFont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9" fontId="0" fillId="0" borderId="58" xfId="0" applyNumberFormat="1" applyBorder="1" applyAlignment="1">
      <alignment horizontal="center"/>
    </xf>
    <xf numFmtId="9" fontId="0" fillId="0" borderId="59" xfId="0" applyNumberFormat="1" applyBorder="1" applyAlignment="1">
      <alignment horizontal="center"/>
    </xf>
    <xf numFmtId="177" fontId="0" fillId="0" borderId="58" xfId="0" applyNumberFormat="1" applyBorder="1" applyAlignment="1">
      <alignment horizontal="center"/>
    </xf>
    <xf numFmtId="177" fontId="44" fillId="19" borderId="6" xfId="0" applyNumberFormat="1" applyFont="1" applyFill="1" applyBorder="1" applyAlignment="1">
      <alignment horizontal="center"/>
    </xf>
    <xf numFmtId="9" fontId="44" fillId="19" borderId="6" xfId="0" applyNumberFormat="1" applyFont="1" applyFill="1" applyBorder="1" applyAlignment="1">
      <alignment horizontal="center"/>
    </xf>
    <xf numFmtId="10" fontId="15" fillId="9" borderId="1" xfId="0" applyNumberFormat="1" applyFont="1" applyFill="1" applyBorder="1" applyAlignment="1">
      <alignment horizontal="center" vertical="center" wrapText="1" readingOrder="1"/>
    </xf>
    <xf numFmtId="10" fontId="16" fillId="7" borderId="10" xfId="0" applyNumberFormat="1" applyFont="1" applyFill="1" applyBorder="1" applyAlignment="1">
      <alignment horizontal="center" vertical="center" readingOrder="1"/>
    </xf>
    <xf numFmtId="10" fontId="0" fillId="0" borderId="0" xfId="0" applyNumberFormat="1" applyAlignment="1">
      <alignment horizontal="center" vertical="center"/>
    </xf>
    <xf numFmtId="0" fontId="5" fillId="27" borderId="4" xfId="0" applyFont="1" applyFill="1" applyBorder="1"/>
    <xf numFmtId="166" fontId="43" fillId="0" borderId="55" xfId="0" applyNumberFormat="1" applyFont="1" applyBorder="1" applyAlignment="1">
      <alignment vertical="center"/>
    </xf>
    <xf numFmtId="168" fontId="40" fillId="4" borderId="58" xfId="0" applyNumberFormat="1" applyFont="1" applyFill="1" applyBorder="1" applyAlignment="1">
      <alignment vertical="center"/>
    </xf>
    <xf numFmtId="165" fontId="8" fillId="0" borderId="4" xfId="0" applyNumberFormat="1" applyFont="1" applyBorder="1" applyAlignment="1">
      <alignment horizontal="center"/>
    </xf>
    <xf numFmtId="166" fontId="43" fillId="0" borderId="27" xfId="0" applyNumberFormat="1" applyFont="1" applyBorder="1" applyAlignment="1">
      <alignment horizontal="center" vertical="center"/>
    </xf>
    <xf numFmtId="10" fontId="43" fillId="0" borderId="27" xfId="0" applyNumberFormat="1" applyFont="1" applyBorder="1" applyAlignment="1">
      <alignment horizontal="center" vertical="center"/>
    </xf>
    <xf numFmtId="10" fontId="43" fillId="0" borderId="28" xfId="0" applyNumberFormat="1" applyFont="1" applyBorder="1" applyAlignment="1">
      <alignment horizontal="center" vertical="center"/>
    </xf>
    <xf numFmtId="168" fontId="6" fillId="3" borderId="4" xfId="0" applyNumberFormat="1" applyFont="1" applyFill="1" applyBorder="1" applyAlignment="1">
      <alignment vertical="center"/>
    </xf>
    <xf numFmtId="168" fontId="7" fillId="3" borderId="4" xfId="0" applyNumberFormat="1" applyFont="1" applyFill="1" applyBorder="1" applyAlignment="1">
      <alignment vertical="center"/>
    </xf>
    <xf numFmtId="168" fontId="4" fillId="2" borderId="4" xfId="0" applyNumberFormat="1" applyFont="1" applyFill="1" applyBorder="1"/>
    <xf numFmtId="168" fontId="26" fillId="2" borderId="4" xfId="0" applyNumberFormat="1" applyFont="1" applyFill="1" applyBorder="1"/>
    <xf numFmtId="0" fontId="11" fillId="8" borderId="18" xfId="0" applyFont="1" applyFill="1" applyBorder="1" applyAlignment="1">
      <alignment horizontal="left" vertical="center"/>
    </xf>
    <xf numFmtId="10" fontId="29" fillId="28" borderId="1" xfId="0" applyNumberFormat="1" applyFont="1" applyFill="1" applyBorder="1" applyAlignment="1">
      <alignment horizontal="center" vertical="center"/>
    </xf>
    <xf numFmtId="168" fontId="41" fillId="20" borderId="31" xfId="0" applyNumberFormat="1" applyFont="1" applyFill="1" applyBorder="1" applyAlignment="1">
      <alignment horizontal="center" vertical="center" indent="1"/>
    </xf>
    <xf numFmtId="168" fontId="41" fillId="0" borderId="15" xfId="0" applyNumberFormat="1" applyFont="1" applyBorder="1" applyAlignment="1">
      <alignment horizontal="center" vertical="center"/>
    </xf>
    <xf numFmtId="178" fontId="6" fillId="3" borderId="4" xfId="0" applyNumberFormat="1" applyFont="1" applyFill="1" applyBorder="1" applyAlignment="1">
      <alignment vertical="center"/>
    </xf>
    <xf numFmtId="0" fontId="44" fillId="19" borderId="1" xfId="0" applyFont="1" applyFill="1" applyBorder="1" applyAlignment="1">
      <alignment horizontal="center" vertical="center"/>
    </xf>
    <xf numFmtId="14" fontId="15" fillId="7" borderId="12" xfId="0" applyNumberFormat="1" applyFont="1" applyFill="1" applyBorder="1" applyAlignment="1">
      <alignment horizontal="center" vertical="center" readingOrder="1"/>
    </xf>
    <xf numFmtId="177" fontId="9" fillId="2" borderId="4" xfId="0" applyNumberFormat="1" applyFont="1" applyFill="1" applyBorder="1"/>
    <xf numFmtId="0" fontId="0" fillId="0" borderId="2" xfId="0" applyBorder="1" applyAlignment="1">
      <alignment horizontal="center"/>
    </xf>
    <xf numFmtId="0" fontId="5" fillId="29" borderId="4" xfId="0" applyFont="1" applyFill="1" applyBorder="1"/>
    <xf numFmtId="3" fontId="6" fillId="3" borderId="4" xfId="0" applyNumberFormat="1" applyFont="1" applyFill="1" applyBorder="1" applyAlignment="1">
      <alignment vertical="center"/>
    </xf>
    <xf numFmtId="173" fontId="16" fillId="13" borderId="10" xfId="0" applyNumberFormat="1" applyFont="1" applyFill="1" applyBorder="1" applyAlignment="1">
      <alignment horizontal="center" vertical="top" readingOrder="1"/>
    </xf>
    <xf numFmtId="0" fontId="16" fillId="13" borderId="12" xfId="0" applyFont="1" applyFill="1" applyBorder="1" applyAlignment="1">
      <alignment horizontal="center" vertical="center" wrapText="1" readingOrder="1"/>
    </xf>
    <xf numFmtId="0" fontId="15" fillId="9" borderId="4" xfId="0" applyNumberFormat="1" applyFont="1" applyFill="1" applyBorder="1" applyAlignment="1">
      <alignment horizontal="center" vertical="center" wrapText="1" readingOrder="1"/>
    </xf>
    <xf numFmtId="0" fontId="15" fillId="13" borderId="12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5" fillId="13" borderId="12" xfId="0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left" wrapText="1"/>
    </xf>
    <xf numFmtId="0" fontId="0" fillId="0" borderId="0" xfId="0" pivotButton="1" applyAlignment="1">
      <alignment horizontal="center"/>
    </xf>
    <xf numFmtId="0" fontId="8" fillId="2" borderId="4" xfId="0" applyFon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10" fontId="9" fillId="2" borderId="4" xfId="0" applyNumberFormat="1" applyFont="1" applyFill="1" applyBorder="1" applyAlignment="1">
      <alignment horizontal="center"/>
    </xf>
    <xf numFmtId="10" fontId="33" fillId="19" borderId="0" xfId="0" applyNumberFormat="1" applyFont="1" applyFill="1" applyAlignment="1">
      <alignment horizontal="center" vertical="center"/>
    </xf>
    <xf numFmtId="14" fontId="16" fillId="13" borderId="10" xfId="0" applyNumberFormat="1" applyFont="1" applyFill="1" applyBorder="1" applyAlignment="1">
      <alignment horizontal="left" vertical="center" readingOrder="1"/>
    </xf>
    <xf numFmtId="14" fontId="16" fillId="17" borderId="10" xfId="0" applyNumberFormat="1" applyFont="1" applyFill="1" applyBorder="1" applyAlignment="1">
      <alignment horizontal="left" vertical="center" readingOrder="1"/>
    </xf>
    <xf numFmtId="14" fontId="15" fillId="13" borderId="10" xfId="0" applyNumberFormat="1" applyFont="1" applyFill="1" applyBorder="1" applyAlignment="1">
      <alignment horizontal="left" vertical="center" readingOrder="1"/>
    </xf>
    <xf numFmtId="14" fontId="16" fillId="7" borderId="10" xfId="0" applyNumberFormat="1" applyFont="1" applyFill="1" applyBorder="1" applyAlignment="1">
      <alignment horizontal="left" vertical="center" readingOrder="1"/>
    </xf>
    <xf numFmtId="14" fontId="15" fillId="7" borderId="10" xfId="0" applyNumberFormat="1" applyFont="1" applyFill="1" applyBorder="1" applyAlignment="1">
      <alignment horizontal="left" vertical="center" readingOrder="1"/>
    </xf>
    <xf numFmtId="14" fontId="17" fillId="7" borderId="10" xfId="0" applyNumberFormat="1" applyFont="1" applyFill="1" applyBorder="1" applyAlignment="1">
      <alignment horizontal="left" vertical="center" readingOrder="1"/>
    </xf>
    <xf numFmtId="14" fontId="15" fillId="0" borderId="10" xfId="0" applyNumberFormat="1" applyFont="1" applyBorder="1" applyAlignment="1">
      <alignment horizontal="left" vertical="center" readingOrder="1"/>
    </xf>
    <xf numFmtId="14" fontId="16" fillId="0" borderId="10" xfId="0" applyNumberFormat="1" applyFont="1" applyBorder="1" applyAlignment="1">
      <alignment horizontal="left" vertical="center" readingOrder="1"/>
    </xf>
    <xf numFmtId="14" fontId="46" fillId="0" borderId="10" xfId="0" applyNumberFormat="1" applyFont="1" applyBorder="1" applyAlignment="1">
      <alignment horizontal="left" vertical="center" readingOrder="1"/>
    </xf>
    <xf numFmtId="10" fontId="0" fillId="0" borderId="0" xfId="0" applyNumberFormat="1"/>
    <xf numFmtId="173" fontId="16" fillId="13" borderId="10" xfId="0" applyNumberFormat="1" applyFont="1" applyFill="1" applyBorder="1" applyAlignment="1">
      <alignment horizontal="center" vertical="top" wrapText="1" readingOrder="1"/>
    </xf>
    <xf numFmtId="0" fontId="5" fillId="15" borderId="4" xfId="0" applyFont="1" applyFill="1" applyBorder="1" applyAlignment="1">
      <alignment wrapText="1"/>
    </xf>
    <xf numFmtId="173" fontId="15" fillId="13" borderId="12" xfId="0" applyNumberFormat="1" applyFont="1" applyFill="1" applyBorder="1" applyAlignment="1">
      <alignment horizontal="center" wrapText="1"/>
    </xf>
    <xf numFmtId="0" fontId="47" fillId="0" borderId="0" xfId="0" applyFont="1"/>
    <xf numFmtId="0" fontId="5" fillId="2" borderId="4" xfId="0" applyFont="1" applyFill="1" applyBorder="1"/>
    <xf numFmtId="0" fontId="49" fillId="2" borderId="4" xfId="0" applyFont="1" applyFill="1" applyBorder="1"/>
    <xf numFmtId="0" fontId="47" fillId="0" borderId="61" xfId="0" applyFont="1" applyBorder="1" applyAlignment="1">
      <alignment horizontal="center"/>
    </xf>
    <xf numFmtId="0" fontId="47" fillId="0" borderId="65" xfId="0" applyFont="1" applyBorder="1" applyAlignment="1">
      <alignment horizontal="center"/>
    </xf>
    <xf numFmtId="0" fontId="47" fillId="0" borderId="62" xfId="0" applyFont="1" applyBorder="1" applyAlignment="1">
      <alignment horizontal="center"/>
    </xf>
    <xf numFmtId="0" fontId="47" fillId="0" borderId="60" xfId="0" applyFont="1" applyBorder="1" applyAlignment="1">
      <alignment horizontal="center"/>
    </xf>
    <xf numFmtId="0" fontId="47" fillId="0" borderId="63" xfId="0" applyFont="1" applyBorder="1" applyAlignment="1">
      <alignment horizontal="center"/>
    </xf>
    <xf numFmtId="0" fontId="50" fillId="2" borderId="4" xfId="0" applyFont="1" applyFill="1" applyBorder="1"/>
    <xf numFmtId="0" fontId="47" fillId="0" borderId="64" xfId="0" applyFont="1" applyBorder="1" applyAlignment="1">
      <alignment horizontal="center"/>
    </xf>
    <xf numFmtId="0" fontId="47" fillId="0" borderId="66" xfId="0" applyFont="1" applyBorder="1" applyAlignment="1">
      <alignment horizontal="center"/>
    </xf>
    <xf numFmtId="14" fontId="0" fillId="0" borderId="0" xfId="0" applyNumberFormat="1"/>
    <xf numFmtId="0" fontId="15" fillId="9" borderId="10" xfId="0" applyNumberFormat="1" applyFont="1" applyFill="1" applyBorder="1" applyAlignment="1">
      <alignment horizontal="center" vertical="center" wrapText="1" readingOrder="1"/>
    </xf>
    <xf numFmtId="1" fontId="47" fillId="0" borderId="61" xfId="0" applyNumberFormat="1" applyFont="1" applyBorder="1" applyAlignment="1">
      <alignment horizontal="center"/>
    </xf>
    <xf numFmtId="0" fontId="48" fillId="30" borderId="4" xfId="0" applyFont="1" applyFill="1" applyBorder="1" applyAlignment="1">
      <alignment horizontal="center"/>
    </xf>
    <xf numFmtId="1" fontId="47" fillId="0" borderId="61" xfId="0" applyNumberFormat="1" applyFont="1" applyBorder="1" applyAlignment="1">
      <alignment horizontal="center" wrapText="1"/>
    </xf>
    <xf numFmtId="0" fontId="48" fillId="30" borderId="70" xfId="0" applyFont="1" applyFill="1" applyBorder="1" applyAlignment="1">
      <alignment horizontal="center"/>
    </xf>
    <xf numFmtId="0" fontId="48" fillId="30" borderId="71" xfId="0" applyFont="1" applyFill="1" applyBorder="1" applyAlignment="1">
      <alignment horizontal="center"/>
    </xf>
    <xf numFmtId="10" fontId="47" fillId="0" borderId="72" xfId="0" applyNumberFormat="1" applyFont="1" applyBorder="1" applyAlignment="1">
      <alignment horizontal="center"/>
    </xf>
    <xf numFmtId="10" fontId="47" fillId="0" borderId="73" xfId="0" applyNumberFormat="1" applyFont="1" applyBorder="1" applyAlignment="1">
      <alignment horizontal="center"/>
    </xf>
    <xf numFmtId="10" fontId="47" fillId="0" borderId="74" xfId="0" applyNumberFormat="1" applyFont="1" applyBorder="1" applyAlignment="1">
      <alignment horizontal="center"/>
    </xf>
    <xf numFmtId="10" fontId="47" fillId="0" borderId="75" xfId="0" applyNumberFormat="1" applyFont="1" applyBorder="1" applyAlignment="1">
      <alignment horizontal="center"/>
    </xf>
    <xf numFmtId="10" fontId="47" fillId="0" borderId="76" xfId="0" applyNumberFormat="1" applyFont="1" applyBorder="1" applyAlignment="1">
      <alignment horizontal="center"/>
    </xf>
    <xf numFmtId="10" fontId="47" fillId="0" borderId="77" xfId="0" applyNumberFormat="1" applyFont="1" applyBorder="1" applyAlignment="1">
      <alignment horizontal="center"/>
    </xf>
    <xf numFmtId="0" fontId="47" fillId="0" borderId="78" xfId="0" applyFont="1" applyBorder="1" applyAlignment="1">
      <alignment horizontal="center"/>
    </xf>
    <xf numFmtId="0" fontId="47" fillId="0" borderId="79" xfId="0" applyFont="1" applyBorder="1" applyAlignment="1">
      <alignment horizontal="center"/>
    </xf>
    <xf numFmtId="0" fontId="47" fillId="0" borderId="80" xfId="0" applyFont="1" applyBorder="1" applyAlignment="1">
      <alignment horizontal="center"/>
    </xf>
    <xf numFmtId="10" fontId="47" fillId="0" borderId="81" xfId="0" applyNumberFormat="1" applyFont="1" applyBorder="1" applyAlignment="1">
      <alignment horizontal="center"/>
    </xf>
    <xf numFmtId="0" fontId="47" fillId="0" borderId="4" xfId="0" applyFont="1" applyBorder="1"/>
    <xf numFmtId="0" fontId="47" fillId="0" borderId="72" xfId="0" applyFont="1" applyBorder="1" applyAlignment="1">
      <alignment horizontal="center"/>
    </xf>
    <xf numFmtId="1" fontId="47" fillId="0" borderId="82" xfId="0" applyNumberFormat="1" applyFont="1" applyBorder="1" applyAlignment="1">
      <alignment horizontal="center"/>
    </xf>
    <xf numFmtId="0" fontId="47" fillId="0" borderId="82" xfId="0" applyFont="1" applyBorder="1" applyAlignment="1">
      <alignment horizontal="center"/>
    </xf>
    <xf numFmtId="0" fontId="47" fillId="0" borderId="83" xfId="0" applyFont="1" applyBorder="1" applyAlignment="1">
      <alignment horizontal="center"/>
    </xf>
    <xf numFmtId="0" fontId="47" fillId="0" borderId="84" xfId="0" applyFont="1" applyBorder="1" applyAlignment="1">
      <alignment horizontal="center"/>
    </xf>
    <xf numFmtId="0" fontId="47" fillId="0" borderId="85" xfId="0" applyFont="1" applyBorder="1" applyAlignment="1">
      <alignment horizontal="center"/>
    </xf>
    <xf numFmtId="0" fontId="31" fillId="21" borderId="1" xfId="0" applyFont="1" applyFill="1" applyBorder="1" applyAlignment="1">
      <alignment horizontal="center" vertical="center"/>
    </xf>
    <xf numFmtId="168" fontId="6" fillId="3" borderId="5" xfId="0" applyNumberFormat="1" applyFont="1" applyFill="1" applyBorder="1" applyAlignment="1">
      <alignment horizontal="center" vertical="center"/>
    </xf>
    <xf numFmtId="168" fontId="6" fillId="3" borderId="4" xfId="0" applyNumberFormat="1" applyFont="1" applyFill="1" applyBorder="1" applyAlignment="1">
      <alignment horizontal="center" vertical="center"/>
    </xf>
    <xf numFmtId="0" fontId="44" fillId="19" borderId="1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9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31" fillId="21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8" fontId="6" fillId="3" borderId="5" xfId="0" applyNumberFormat="1" applyFont="1" applyFill="1" applyBorder="1" applyAlignment="1">
      <alignment horizontal="center" vertical="center"/>
    </xf>
    <xf numFmtId="168" fontId="6" fillId="3" borderId="4" xfId="0" applyNumberFormat="1" applyFont="1" applyFill="1" applyBorder="1" applyAlignment="1">
      <alignment horizontal="center" vertical="center"/>
    </xf>
    <xf numFmtId="168" fontId="8" fillId="2" borderId="16" xfId="0" applyNumberFormat="1" applyFont="1" applyFill="1" applyBorder="1" applyAlignment="1">
      <alignment horizontal="left" vertical="center"/>
    </xf>
    <xf numFmtId="168" fontId="8" fillId="2" borderId="18" xfId="0" applyNumberFormat="1" applyFont="1" applyFill="1" applyBorder="1" applyAlignment="1">
      <alignment horizontal="left" vertical="center"/>
    </xf>
    <xf numFmtId="168" fontId="8" fillId="2" borderId="17" xfId="0" applyNumberFormat="1" applyFont="1" applyFill="1" applyBorder="1" applyAlignment="1">
      <alignment horizontal="left" vertical="center"/>
    </xf>
    <xf numFmtId="168" fontId="8" fillId="2" borderId="16" xfId="0" applyNumberFormat="1" applyFont="1" applyFill="1" applyBorder="1" applyAlignment="1">
      <alignment vertical="center" indent="2"/>
    </xf>
    <xf numFmtId="168" fontId="8" fillId="2" borderId="17" xfId="0" applyNumberFormat="1" applyFont="1" applyFill="1" applyBorder="1" applyAlignment="1">
      <alignment vertical="center" indent="2"/>
    </xf>
    <xf numFmtId="168" fontId="6" fillId="3" borderId="24" xfId="0" applyNumberFormat="1" applyFont="1" applyFill="1" applyBorder="1" applyAlignment="1">
      <alignment horizontal="center" vertical="center"/>
    </xf>
    <xf numFmtId="168" fontId="6" fillId="3" borderId="14" xfId="0" applyNumberFormat="1" applyFont="1" applyFill="1" applyBorder="1" applyAlignment="1">
      <alignment horizontal="center" vertical="center"/>
    </xf>
    <xf numFmtId="168" fontId="6" fillId="3" borderId="25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45" fillId="28" borderId="54" xfId="0" applyFont="1" applyFill="1" applyBorder="1" applyAlignment="1">
      <alignment horizontal="center"/>
    </xf>
    <xf numFmtId="0" fontId="45" fillId="28" borderId="55" xfId="0" applyFont="1" applyFill="1" applyBorder="1" applyAlignment="1">
      <alignment horizontal="center"/>
    </xf>
    <xf numFmtId="0" fontId="45" fillId="28" borderId="56" xfId="0" applyFont="1" applyFill="1" applyBorder="1" applyAlignment="1">
      <alignment horizontal="center"/>
    </xf>
    <xf numFmtId="0" fontId="44" fillId="19" borderId="1" xfId="0" applyFont="1" applyFill="1" applyBorder="1" applyAlignment="1">
      <alignment horizontal="center"/>
    </xf>
    <xf numFmtId="0" fontId="44" fillId="19" borderId="54" xfId="0" applyFont="1" applyFill="1" applyBorder="1" applyAlignment="1">
      <alignment horizontal="center"/>
    </xf>
    <xf numFmtId="0" fontId="44" fillId="19" borderId="55" xfId="0" applyFont="1" applyFill="1" applyBorder="1" applyAlignment="1">
      <alignment horizontal="center"/>
    </xf>
    <xf numFmtId="0" fontId="44" fillId="19" borderId="56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9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/>
    </xf>
    <xf numFmtId="0" fontId="8" fillId="2" borderId="19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166" fontId="8" fillId="2" borderId="2" xfId="0" applyNumberFormat="1" applyFont="1" applyFill="1" applyBorder="1" applyAlignment="1">
      <alignment horizontal="center" vertical="center"/>
    </xf>
    <xf numFmtId="166" fontId="8" fillId="2" borderId="9" xfId="0" applyNumberFormat="1" applyFont="1" applyFill="1" applyBorder="1" applyAlignment="1">
      <alignment horizontal="center" vertical="center"/>
    </xf>
    <xf numFmtId="168" fontId="8" fillId="2" borderId="2" xfId="0" applyNumberFormat="1" applyFont="1" applyFill="1" applyBorder="1" applyAlignment="1">
      <alignment horizontal="center" vertical="center"/>
    </xf>
    <xf numFmtId="168" fontId="8" fillId="2" borderId="9" xfId="0" applyNumberFormat="1" applyFont="1" applyFill="1" applyBorder="1" applyAlignment="1">
      <alignment horizontal="center" vertical="center"/>
    </xf>
    <xf numFmtId="167" fontId="37" fillId="3" borderId="32" xfId="0" applyNumberFormat="1" applyFont="1" applyFill="1" applyBorder="1" applyAlignment="1">
      <alignment horizontal="center" vertical="center"/>
    </xf>
    <xf numFmtId="167" fontId="37" fillId="3" borderId="33" xfId="0" applyNumberFormat="1" applyFont="1" applyFill="1" applyBorder="1" applyAlignment="1">
      <alignment horizontal="center" vertical="center"/>
    </xf>
    <xf numFmtId="168" fontId="38" fillId="3" borderId="2" xfId="0" applyNumberFormat="1" applyFont="1" applyFill="1" applyBorder="1" applyAlignment="1">
      <alignment horizontal="center" vertical="center"/>
    </xf>
    <xf numFmtId="168" fontId="38" fillId="3" borderId="9" xfId="0" applyNumberFormat="1" applyFont="1" applyFill="1" applyBorder="1" applyAlignment="1">
      <alignment horizontal="center" vertical="center"/>
    </xf>
    <xf numFmtId="168" fontId="42" fillId="2" borderId="2" xfId="0" applyNumberFormat="1" applyFont="1" applyFill="1" applyBorder="1" applyAlignment="1">
      <alignment horizontal="center" vertical="center" indent="2"/>
    </xf>
    <xf numFmtId="168" fontId="42" fillId="2" borderId="9" xfId="0" applyNumberFormat="1" applyFont="1" applyFill="1" applyBorder="1" applyAlignment="1">
      <alignment horizontal="center" vertical="center" indent="2"/>
    </xf>
    <xf numFmtId="168" fontId="42" fillId="2" borderId="50" xfId="0" applyNumberFormat="1" applyFont="1" applyFill="1" applyBorder="1" applyAlignment="1">
      <alignment horizontal="center" vertical="center" indent="2"/>
    </xf>
    <xf numFmtId="168" fontId="42" fillId="2" borderId="51" xfId="0" applyNumberFormat="1" applyFont="1" applyFill="1" applyBorder="1" applyAlignment="1">
      <alignment horizontal="center" vertical="center" indent="2"/>
    </xf>
    <xf numFmtId="168" fontId="8" fillId="2" borderId="16" xfId="0" applyNumberFormat="1" applyFont="1" applyFill="1" applyBorder="1" applyAlignment="1">
      <alignment horizontal="center" vertical="center" indent="2"/>
    </xf>
    <xf numFmtId="168" fontId="8" fillId="2" borderId="18" xfId="0" applyNumberFormat="1" applyFont="1" applyFill="1" applyBorder="1" applyAlignment="1">
      <alignment horizontal="center" vertical="center" indent="2"/>
    </xf>
    <xf numFmtId="168" fontId="8" fillId="2" borderId="17" xfId="0" applyNumberFormat="1" applyFont="1" applyFill="1" applyBorder="1" applyAlignment="1">
      <alignment horizontal="center" vertical="center" indent="2"/>
    </xf>
    <xf numFmtId="0" fontId="43" fillId="2" borderId="26" xfId="0" applyFont="1" applyFill="1" applyBorder="1" applyAlignment="1">
      <alignment horizontal="center" vertical="center"/>
    </xf>
    <xf numFmtId="0" fontId="43" fillId="2" borderId="27" xfId="0" applyFont="1" applyFill="1" applyBorder="1" applyAlignment="1">
      <alignment horizontal="center" vertical="center"/>
    </xf>
    <xf numFmtId="0" fontId="43" fillId="2" borderId="54" xfId="0" applyFont="1" applyFill="1" applyBorder="1" applyAlignment="1">
      <alignment horizontal="center" vertical="center"/>
    </xf>
    <xf numFmtId="0" fontId="43" fillId="2" borderId="55" xfId="0" applyFont="1" applyFill="1" applyBorder="1" applyAlignment="1">
      <alignment horizontal="center" vertical="center"/>
    </xf>
    <xf numFmtId="168" fontId="37" fillId="5" borderId="2" xfId="0" applyNumberFormat="1" applyFont="1" applyFill="1" applyBorder="1" applyAlignment="1">
      <alignment horizontal="center" vertical="center" indent="2"/>
    </xf>
    <xf numFmtId="168" fontId="37" fillId="5" borderId="9" xfId="0" applyNumberFormat="1" applyFont="1" applyFill="1" applyBorder="1" applyAlignment="1">
      <alignment horizontal="center" vertical="center" indent="2"/>
    </xf>
    <xf numFmtId="168" fontId="39" fillId="2" borderId="34" xfId="0" applyNumberFormat="1" applyFont="1" applyFill="1" applyBorder="1" applyAlignment="1">
      <alignment horizontal="center" vertical="center" indent="2"/>
    </xf>
    <xf numFmtId="168" fontId="39" fillId="2" borderId="29" xfId="0" applyNumberFormat="1" applyFont="1" applyFill="1" applyBorder="1" applyAlignment="1">
      <alignment horizontal="center" vertical="center" indent="2"/>
    </xf>
    <xf numFmtId="168" fontId="39" fillId="2" borderId="26" xfId="0" applyNumberFormat="1" applyFont="1" applyFill="1" applyBorder="1" applyAlignment="1">
      <alignment horizontal="center" vertical="center" indent="2"/>
    </xf>
    <xf numFmtId="168" fontId="37" fillId="3" borderId="26" xfId="0" applyNumberFormat="1" applyFont="1" applyFill="1" applyBorder="1" applyAlignment="1">
      <alignment horizontal="center" vertical="center" wrapText="1"/>
    </xf>
    <xf numFmtId="168" fontId="37" fillId="3" borderId="29" xfId="0" applyNumberFormat="1" applyFont="1" applyFill="1" applyBorder="1" applyAlignment="1">
      <alignment horizontal="center" vertical="center" wrapText="1"/>
    </xf>
    <xf numFmtId="168" fontId="39" fillId="2" borderId="2" xfId="0" applyNumberFormat="1" applyFont="1" applyFill="1" applyBorder="1" applyAlignment="1">
      <alignment horizontal="center" vertical="center"/>
    </xf>
    <xf numFmtId="168" fontId="39" fillId="2" borderId="9" xfId="0" applyNumberFormat="1" applyFont="1" applyFill="1" applyBorder="1" applyAlignment="1">
      <alignment horizontal="center" vertical="center"/>
    </xf>
    <xf numFmtId="168" fontId="6" fillId="3" borderId="46" xfId="0" applyNumberFormat="1" applyFont="1" applyFill="1" applyBorder="1" applyAlignment="1">
      <alignment horizontal="center" vertical="center"/>
    </xf>
    <xf numFmtId="168" fontId="6" fillId="3" borderId="47" xfId="0" applyNumberFormat="1" applyFont="1" applyFill="1" applyBorder="1" applyAlignment="1">
      <alignment horizontal="center" vertical="center"/>
    </xf>
    <xf numFmtId="168" fontId="8" fillId="2" borderId="32" xfId="0" applyNumberFormat="1" applyFont="1" applyFill="1" applyBorder="1" applyAlignment="1">
      <alignment horizontal="center" vertical="center"/>
    </xf>
    <xf numFmtId="168" fontId="8" fillId="2" borderId="43" xfId="0" applyNumberFormat="1" applyFont="1" applyFill="1" applyBorder="1" applyAlignment="1">
      <alignment horizontal="center" vertical="center"/>
    </xf>
    <xf numFmtId="168" fontId="6" fillId="3" borderId="53" xfId="0" applyNumberFormat="1" applyFont="1" applyFill="1" applyBorder="1" applyAlignment="1">
      <alignment horizontal="left" vertical="center" indent="2"/>
    </xf>
    <xf numFmtId="168" fontId="6" fillId="3" borderId="29" xfId="0" applyNumberFormat="1" applyFont="1" applyFill="1" applyBorder="1" applyAlignment="1">
      <alignment horizontal="left" vertical="center" indent="2"/>
    </xf>
    <xf numFmtId="168" fontId="8" fillId="2" borderId="2" xfId="0" applyNumberFormat="1" applyFont="1" applyFill="1" applyBorder="1" applyAlignment="1">
      <alignment horizontal="center" vertical="center" indent="2"/>
    </xf>
    <xf numFmtId="17" fontId="48" fillId="30" borderId="67" xfId="0" applyNumberFormat="1" applyFont="1" applyFill="1" applyBorder="1" applyAlignment="1">
      <alignment horizontal="center"/>
    </xf>
    <xf numFmtId="17" fontId="48" fillId="30" borderId="68" xfId="0" applyNumberFormat="1" applyFont="1" applyFill="1" applyBorder="1" applyAlignment="1">
      <alignment horizontal="center"/>
    </xf>
    <xf numFmtId="17" fontId="48" fillId="30" borderId="69" xfId="0" applyNumberFormat="1" applyFont="1" applyFill="1" applyBorder="1" applyAlignment="1">
      <alignment horizontal="center"/>
    </xf>
    <xf numFmtId="0" fontId="48" fillId="30" borderId="67" xfId="0" applyFont="1" applyFill="1" applyBorder="1" applyAlignment="1">
      <alignment horizontal="center"/>
    </xf>
    <xf numFmtId="0" fontId="48" fillId="30" borderId="68" xfId="0" applyFont="1" applyFill="1" applyBorder="1" applyAlignment="1">
      <alignment horizontal="center"/>
    </xf>
    <xf numFmtId="0" fontId="48" fillId="30" borderId="69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7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numFmt numFmtId="177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1-4776-AF2C-93C0911CB1AD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1-4776-AF2C-93C0911C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F-4E8F-95B6-744DB783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1-4B98-B5DB-6D00B9776CBF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1-4B98-B5DB-6D00B9776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baseline="0"/>
              <a:t>Vendas por tipo de tabela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0.13878624470440898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4-4BB6-B65C-33816593F9EF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0.46198767538198632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4-4BB6-B65C-33816593F9EF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0.39922607991360476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4-4BB6-B65C-33816593F9EF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4-4BB6-B65C-33816593F9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5FD-4C76-90AF-661244E95AF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5FD-4C76-90AF-661244E95AF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5FD-4C76-90AF-661244E95AF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5FD-4C76-90AF-661244E95AF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5FD-4C76-90AF-661244E95AF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5FD-4C76-90AF-661244E95A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0.57882004051337843</c:v>
                </c:pt>
                <c:pt idx="1">
                  <c:v>0.29250366331311417</c:v>
                </c:pt>
                <c:pt idx="2">
                  <c:v>3.2247013882777301E-2</c:v>
                </c:pt>
                <c:pt idx="3">
                  <c:v>8.6117044341747565E-2</c:v>
                </c:pt>
                <c:pt idx="4">
                  <c:v>1.0312237948982643E-2</c:v>
                </c:pt>
                <c:pt idx="5">
                  <c:v>7.7928221964192385E-4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F-414D-9B24-A0B66398F88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352-4BFC-998D-BCB3ADB81A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352-4BFC-998D-BCB3ADB81A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52-4BFC-998D-BCB3ADB81A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0.27836060550159103</c:v>
                </c:pt>
                <c:pt idx="1">
                  <c:v>0.50225696776479789</c:v>
                </c:pt>
                <c:pt idx="2">
                  <c:v>0.21337790651918356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1-4F7A-B7FE-5E934A1BC4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C-4E01-91CB-2A5356FE00CA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C-4E01-91CB-2A5356FE0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Distratos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6-454E-9987-25403EC56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A-4EB9-BC4E-89C274927619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A-4EB9-BC4E-89C27492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0.13878624470440898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A-4736-AED4-632C3E717B69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0.46198767538198632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0A-4736-AED4-632C3E717B69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0.39922607991360476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0A-4736-AED4-632C3E717B69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0A-4736-AED4-632C3E717B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78-4F47-840A-4E8F8D5C8E2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78-4F47-840A-4E8F8D5C8E2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78-4F47-840A-4E8F8D5C8E2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78-4F47-840A-4E8F8D5C8E2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178-4F47-840A-4E8F8D5C8E2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178-4F47-840A-4E8F8D5C8E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0.57882004051337843</c:v>
                </c:pt>
                <c:pt idx="1">
                  <c:v>0.29250366331311417</c:v>
                </c:pt>
                <c:pt idx="2">
                  <c:v>3.2247013882777301E-2</c:v>
                </c:pt>
                <c:pt idx="3">
                  <c:v>8.6117044341747565E-2</c:v>
                </c:pt>
                <c:pt idx="4">
                  <c:v>1.0312237948982643E-2</c:v>
                </c:pt>
                <c:pt idx="5">
                  <c:v>7.7928221964192385E-4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78-4F47-840A-4E8F8D5C8E2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F2-4467-A469-91EAF511F3D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F2-4467-A469-91EAF511F3D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F2-4467-A469-91EAF511F3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0.27836060550159103</c:v>
                </c:pt>
                <c:pt idx="1">
                  <c:v>0.50225696776479789</c:v>
                </c:pt>
                <c:pt idx="2">
                  <c:v>0.21337790651918356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F2-4467-A469-91EAF511F3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28013</xdr:colOff>
      <xdr:row>15</xdr:row>
      <xdr:rowOff>1118</xdr:rowOff>
    </xdr:from>
    <xdr:to>
      <xdr:col>11</xdr:col>
      <xdr:colOff>661146</xdr:colOff>
      <xdr:row>29</xdr:row>
      <xdr:rowOff>77318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39218</xdr:colOff>
      <xdr:row>34</xdr:row>
      <xdr:rowOff>180413</xdr:rowOff>
    </xdr:from>
    <xdr:to>
      <xdr:col>11</xdr:col>
      <xdr:colOff>638735</xdr:colOff>
      <xdr:row>49</xdr:row>
      <xdr:rowOff>66113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63478F-6FA9-A8FF-4069-F6F32BF4D6BB}"/>
            </a:ext>
            <a:ext uri="{147F2762-F138-4A5C-976F-8EAC2B608ADB}">
              <a16:predDERef xmlns:a16="http://schemas.microsoft.com/office/drawing/2014/main" pre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61631</xdr:colOff>
      <xdr:row>55</xdr:row>
      <xdr:rowOff>146795</xdr:rowOff>
    </xdr:from>
    <xdr:to>
      <xdr:col>8</xdr:col>
      <xdr:colOff>840441</xdr:colOff>
      <xdr:row>70</xdr:row>
      <xdr:rowOff>32495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4AD45A-AB52-0E4D-3599-FB6399D7C602}"/>
            </a:ext>
            <a:ext uri="{147F2762-F138-4A5C-976F-8EAC2B608ADB}">
              <a16:predDERef xmlns:a16="http://schemas.microsoft.com/office/drawing/2014/main" pred="{A763478F-6FA9-A8FF-4069-F6F32BF4D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291353</xdr:colOff>
      <xdr:row>79</xdr:row>
      <xdr:rowOff>179294</xdr:rowOff>
    </xdr:from>
    <xdr:to>
      <xdr:col>11</xdr:col>
      <xdr:colOff>190500</xdr:colOff>
      <xdr:row>95</xdr:row>
      <xdr:rowOff>89647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465AF7F-E277-C245-CED4-E142AEDDA5D2}"/>
            </a:ext>
            <a:ext uri="{147F2762-F138-4A5C-976F-8EAC2B608ADB}">
              <a16:predDERef xmlns:a16="http://schemas.microsoft.com/office/drawing/2014/main" pred="{1E4AD45A-AB52-0E4D-3599-FB6399D7C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778807</xdr:colOff>
      <xdr:row>96</xdr:row>
      <xdr:rowOff>135590</xdr:rowOff>
    </xdr:from>
    <xdr:to>
      <xdr:col>11</xdr:col>
      <xdr:colOff>907676</xdr:colOff>
      <xdr:row>115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58C9AFF-66B9-64DC-BA62-89EF8E341B0C}"/>
            </a:ext>
            <a:ext uri="{147F2762-F138-4A5C-976F-8EAC2B608ADB}">
              <a16:predDERef xmlns:a16="http://schemas.microsoft.com/office/drawing/2014/main" pred="{A465AF7F-E277-C245-CED4-E142AEDDA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1025338</xdr:colOff>
      <xdr:row>112</xdr:row>
      <xdr:rowOff>169208</xdr:rowOff>
    </xdr:from>
    <xdr:to>
      <xdr:col>12</xdr:col>
      <xdr:colOff>431426</xdr:colOff>
      <xdr:row>127</xdr:row>
      <xdr:rowOff>54908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5DD63E5-C0F2-1ABA-B108-6AC7DFC4C1B2}"/>
            </a:ext>
            <a:ext uri="{147F2762-F138-4A5C-976F-8EAC2B608ADB}">
              <a16:predDERef xmlns:a16="http://schemas.microsoft.com/office/drawing/2014/main" pred="{958C9AFF-66B9-64DC-BA62-89EF8E341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22411</xdr:colOff>
      <xdr:row>23</xdr:row>
      <xdr:rowOff>179292</xdr:rowOff>
    </xdr:from>
    <xdr:to>
      <xdr:col>61</xdr:col>
      <xdr:colOff>431426</xdr:colOff>
      <xdr:row>44</xdr:row>
      <xdr:rowOff>201705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106455</xdr:colOff>
      <xdr:row>63</xdr:row>
      <xdr:rowOff>75080</xdr:rowOff>
    </xdr:from>
    <xdr:to>
      <xdr:col>61</xdr:col>
      <xdr:colOff>402290</xdr:colOff>
      <xdr:row>83</xdr:row>
      <xdr:rowOff>220756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C9CCD36-7CC5-4E70-A8BD-04488F24DEE8}"/>
            </a:ext>
            <a:ext uri="{147F2762-F138-4A5C-976F-8EAC2B608ADB}">
              <a16:predDERef xmlns:a16="http://schemas.microsoft.com/office/drawing/2014/main" pre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22410</xdr:colOff>
      <xdr:row>86</xdr:row>
      <xdr:rowOff>179294</xdr:rowOff>
    </xdr:from>
    <xdr:to>
      <xdr:col>61</xdr:col>
      <xdr:colOff>504265</xdr:colOff>
      <xdr:row>105</xdr:row>
      <xdr:rowOff>190500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896AE1-55F5-4889-B11B-A91EF7EC3412}"/>
            </a:ext>
            <a:ext uri="{147F2762-F138-4A5C-976F-8EAC2B608ADB}">
              <a16:predDERef xmlns:a16="http://schemas.microsoft.com/office/drawing/2014/main" pred="{8C9CCD36-7CC5-4E70-A8BD-04488F24D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22412</xdr:colOff>
      <xdr:row>107</xdr:row>
      <xdr:rowOff>78443</xdr:rowOff>
    </xdr:from>
    <xdr:to>
      <xdr:col>61</xdr:col>
      <xdr:colOff>504265</xdr:colOff>
      <xdr:row>119</xdr:row>
      <xdr:rowOff>112058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9F55D58-AABE-454B-A88C-B4AD7EC95016}"/>
            </a:ext>
            <a:ext uri="{147F2762-F138-4A5C-976F-8EAC2B608ADB}">
              <a16:predDERef xmlns:a16="http://schemas.microsoft.com/office/drawing/2014/main" pred="{BD896AE1-55F5-4889-B11B-A91EF7EC3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78442</xdr:colOff>
      <xdr:row>140</xdr:row>
      <xdr:rowOff>11205</xdr:rowOff>
    </xdr:from>
    <xdr:to>
      <xdr:col>61</xdr:col>
      <xdr:colOff>661148</xdr:colOff>
      <xdr:row>172</xdr:row>
      <xdr:rowOff>190499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88B22D5-0F9A-47D9-BC7C-2AC110716A26}"/>
            </a:ext>
            <a:ext uri="{147F2762-F138-4A5C-976F-8EAC2B608ADB}">
              <a16:predDERef xmlns:a16="http://schemas.microsoft.com/office/drawing/2014/main" pred="{E9F55D58-AABE-454B-A88C-B4AD7EC95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67236</xdr:colOff>
      <xdr:row>120</xdr:row>
      <xdr:rowOff>190500</xdr:rowOff>
    </xdr:from>
    <xdr:to>
      <xdr:col>61</xdr:col>
      <xdr:colOff>582706</xdr:colOff>
      <xdr:row>137</xdr:row>
      <xdr:rowOff>22412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DC91028-714C-4174-A50D-7FD16EBCC042}"/>
            </a:ext>
            <a:ext uri="{147F2762-F138-4A5C-976F-8EAC2B608ADB}">
              <a16:predDERef xmlns:a16="http://schemas.microsoft.com/office/drawing/2014/main" pred="{F88B22D5-0F9A-47D9-BC7C-2AC110716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1.635748032408" createdVersion="8" refreshedVersion="8" minRefreshableVersion="3" recordCount="926" xr:uid="{B5F278E7-5D6E-4310-8E1A-E80BACDAA787}">
  <cacheSource type="worksheet">
    <worksheetSource ref="B1:Z1048576" sheet="Consulta Contratos"/>
  </cacheSource>
  <cacheFields count="25">
    <cacheField name="Data da Venda" numFmtId="14">
      <sharedItems containsDate="1" containsBlank="1" containsMixedTypes="1" minDate="2022-08-05T00:00:00" maxDate="2025-03-01T00:00:00" count="371">
        <d v="2022-08-05T00:00:00"/>
        <d v="2022-08-06T00:00:00"/>
        <d v="2022-08-07T00:00:00"/>
        <d v="2022-08-11T00:00:00"/>
        <d v="2022-08-20T00:00:00"/>
        <d v="2022-10-25T00:00:00"/>
        <d v="2022-08-26T00:00:00"/>
        <d v="2022-12-07T00:00:00"/>
        <d v="2022-08-30T00:00:00"/>
        <d v="2022-09-04T00:00:00"/>
        <d v="2022-09-12T00:00:00"/>
        <d v="2022-09-13T00:00:00"/>
        <d v="2022-09-15T00:00:00"/>
        <d v="2022-09-16T00:00:00"/>
        <d v="2022-09-17T00:00:00"/>
        <d v="2022-09-20T00:00:00"/>
        <d v="2022-09-21T00:00:00"/>
        <d v="2022-09-23T00:00:00"/>
        <d v="2022-09-24T00:00:00"/>
        <d v="2022-09-26T00:00:00"/>
        <d v="2022-09-27T00:00:00"/>
        <d v="2022-09-30T00:00:00"/>
        <d v="2022-10-01T00:00:00"/>
        <d v="2022-10-02T00:00:00"/>
        <d v="2022-10-04T00:00:00"/>
        <d v="2022-10-07T00:00:00"/>
        <d v="2022-10-08T00:00:00"/>
        <d v="2022-10-11T00:00:00"/>
        <d v="2022-10-12T00:00:00"/>
        <d v="2022-10-14T00:00:00"/>
        <d v="2022-10-16T00:00:00"/>
        <d v="2022-10-22T00:00:00"/>
        <d v="2022-10-23T00:00:00"/>
        <d v="2022-10-27T00:00:00"/>
        <d v="2022-10-28T00:00:00"/>
        <d v="2023-01-04T00:00:00"/>
        <d v="2022-10-30T00:00:00"/>
        <d v="2022-11-01T00:00:00"/>
        <d v="2022-11-03T00:00:00"/>
        <d v="2022-11-05T00:00:00"/>
        <d v="2022-11-06T00:00:00"/>
        <d v="2022-11-08T00:00:00"/>
        <d v="2022-11-11T00:00:00"/>
        <d v="2022-11-13T00:00:00"/>
        <d v="2022-11-15T00:00:00"/>
        <d v="2022-12-01T00:00:00"/>
        <d v="2022-11-17T00:00:00"/>
        <d v="2022-11-18T00:00:00"/>
        <d v="2022-11-19T00:00:00"/>
        <d v="2022-11-24T00:00:00"/>
        <d v="2022-11-26T00:00:00"/>
        <d v="2022-11-27T00:00:00"/>
        <d v="2022-11-28T00:00:00"/>
        <d v="2022-11-29T00:00:00"/>
        <d v="2022-12-02T00:00:00"/>
        <d v="2022-12-03T00:00:00"/>
        <d v="2022-12-04T00:00:00"/>
        <d v="2022-12-08T00:00:00"/>
        <d v="2022-12-10T00:00:00"/>
        <d v="2022-12-11T00:00:00"/>
        <d v="2022-12-15T00:00:00"/>
        <d v="2022-12-16T00:00:00"/>
        <d v="2022-12-17T00:00:00"/>
        <d v="2022-12-18T00:00:00"/>
        <d v="2022-12-20T00:00:00"/>
        <d v="2022-12-22T00:00:00"/>
        <d v="2022-12-23T00:00:00"/>
        <d v="2023-01-01T00:00:00"/>
        <d v="2022-12-24T00:00:00"/>
        <d v="2022-12-26T00:00:00"/>
        <d v="2022-12-27T00:00:00"/>
        <d v="2022-12-29T00:00:00"/>
        <d v="2022-12-30T00:00:00"/>
        <d v="2022-12-31T00:00:00"/>
        <d v="2023-01-02T00:00:00"/>
        <d v="2023-01-06T00:00:00"/>
        <d v="2023-01-07T00:00:00"/>
        <d v="2023-01-08T00:00:00"/>
        <d v="2023-01-09T00:00:00"/>
        <d v="2023-01-13T00:00:00"/>
        <d v="2023-02-01T00:00:00"/>
        <d v="2023-01-14T00:00:00"/>
        <d v="2023-01-15T00:00:00"/>
        <d v="2023-01-17T00:00:00"/>
        <d v="2023-01-19T00:00:00"/>
        <d v="2023-01-22T00:00:00"/>
        <d v="2023-01-23T00:00:00"/>
        <d v="2023-01-26T00:00:00"/>
        <d v="2023-01-27T00:00:00"/>
        <d v="2023-03-01T00:00:00"/>
        <d v="2023-01-28T00:00:00"/>
        <d v="2023-01-30T00:00:00"/>
        <d v="2023-01-31T00:00:00"/>
        <d v="2023-02-02T00:00:00"/>
        <d v="2023-02-13T00:00:00"/>
        <d v="2023-02-19T00:00:00"/>
        <d v="2023-02-23T00:00:00"/>
        <d v="2023-03-05T00:00:00"/>
        <d v="2023-03-08T00:00:00"/>
        <d v="2023-03-14T00:00:00"/>
        <d v="2023-03-16T00:00:00"/>
        <d v="2023-03-19T00:00:00"/>
        <d v="2023-03-25T00:00:00"/>
        <d v="2023-03-28T00:00:00"/>
        <d v="2023-03-31T00:00:00"/>
        <d v="2023-05-01T00:00:00"/>
        <d v="2023-04-07T00:00:00"/>
        <d v="2023-04-09T00:00:00"/>
        <d v="2023-04-15T00:00:00"/>
        <d v="2023-04-21T00:00:00"/>
        <d v="2023-04-22T00:00:00"/>
        <d v="2023-04-26T00:00:00"/>
        <d v="2023-04-27T00:00:00"/>
        <d v="2023-04-29T00:00:00"/>
        <d v="2023-05-03T00:00:00"/>
        <d v="2023-05-08T00:00:00"/>
        <d v="2023-05-15T00:00:00"/>
        <d v="2023-05-19T00:00:00"/>
        <d v="2023-05-23T00:00:00"/>
        <d v="2023-05-24T00:00:00"/>
        <d v="2023-05-25T00:00:00"/>
        <d v="2023-05-26T00:00:00"/>
        <d v="2023-05-28T00:00:00"/>
        <d v="2023-05-30T00:00:00"/>
        <d v="2023-05-31T00:00:00"/>
        <d v="2023-06-01T00:00:00"/>
        <d v="2023-06-04T00:00:00"/>
        <d v="2023-06-07T00:00:00"/>
        <d v="2023-06-10T00:00:00"/>
        <d v="2023-06-13T00:00:00"/>
        <d v="2023-06-15T00:00:00"/>
        <d v="2023-06-17T00:00:00"/>
        <d v="2023-06-19T00:00:00"/>
        <d v="2023-06-20T00:00:00"/>
        <d v="2023-06-22T00:00:00"/>
        <d v="2023-06-23T00:00:00"/>
        <d v="2023-06-24T00:00:00"/>
        <d v="2023-06-25T00:00:00"/>
        <d v="2023-06-26T00:00:00"/>
        <d v="2023-07-01T00:00:00"/>
        <d v="2023-06-28T00:00:00"/>
        <d v="2023-06-30T00:00:00"/>
        <d v="2023-07-04T00:00:00"/>
        <d v="2023-07-08T00:00:00"/>
        <d v="2023-07-09T00:00:00"/>
        <d v="2023-07-12T00:00:00"/>
        <d v="2023-07-14T00:00:00"/>
        <d v="2023-07-15T00:00:00"/>
        <d v="2023-07-17T00:00:00"/>
        <d v="2023-07-18T00:00:00"/>
        <d v="2023-07-22T00:00:00"/>
        <d v="2023-08-01T00:00:00"/>
        <d v="2023-07-24T00:00:00"/>
        <d v="2023-07-25T00:00:00"/>
        <d v="2023-07-26T00:00:00"/>
        <d v="2023-07-29T00:00:00"/>
        <d v="2023-08-03T00:00:00"/>
        <d v="2023-08-04T00:00:00"/>
        <d v="2023-08-05T00:00:00"/>
        <d v="2023-08-06T00:00:00"/>
        <d v="2023-08-10T00:00:00"/>
        <d v="2023-08-11T00:00:00"/>
        <d v="2023-08-12T00:00:00"/>
        <d v="2023-08-18T00:00:00"/>
        <d v="2023-08-16T00:00:00"/>
        <d v="2023-08-17T00:00:00"/>
        <d v="2023-08-19T00:00:00"/>
        <d v="2023-08-24T00:00:00"/>
        <d v="2023-08-29T00:00:00"/>
        <d v="2023-08-31T00:00:00"/>
        <d v="2023-09-03T00:00:00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5T00:00:00"/>
        <d v="2023-09-16T00:00:00"/>
        <d v="2023-09-17T00:00:00"/>
        <d v="2023-09-25T00:00:00"/>
        <d v="2023-09-26T00:00:00"/>
        <d v="2023-09-27T00:00:00"/>
        <d v="2023-09-28T00:00:00"/>
        <d v="2023-10-01T00:00:00"/>
        <d v="2023-10-05T00:00:00"/>
        <d v="2023-10-06T00:00:00"/>
        <d v="2023-10-07T00:00:00"/>
        <d v="2023-10-11T00:00:00"/>
        <d v="2023-10-12T00:00:00"/>
        <d v="2023-10-13T00:00:00"/>
        <d v="2023-10-14T00:00:00"/>
        <d v="2023-10-15T00:00:00"/>
        <d v="2023-10-16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1-01T00:00:00"/>
        <d v="2023-10-31T00:00:00"/>
        <d v="2023-11-04T00:00:00"/>
        <d v="2023-11-09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1T00:00:00"/>
        <d v="2023-11-22T00:00:00"/>
        <d v="2023-11-25T00:00:00"/>
        <d v="2023-12-01T00:00:00"/>
        <d v="2023-11-28T00:00:00"/>
        <d v="2023-11-29T00:00:00"/>
        <d v="2023-11-30T00:00:00"/>
        <d v="2023-12-06T00:00:00"/>
        <d v="2023-12-07T00:00:00"/>
        <d v="2023-12-12T00:00:00"/>
        <d v="2023-12-15T00:00:00"/>
        <d v="2023-12-16T00:00:00"/>
        <d v="2023-12-20T00:00:00"/>
        <d v="2023-12-22T00:00:00"/>
        <d v="2023-12-23T00:00:00"/>
        <d v="2023-12-25T00:00:00"/>
        <d v="2023-12-26T00:00:00"/>
        <d v="2023-12-27T00:00:00"/>
        <d v="2023-12-29T00:00:00"/>
        <d v="2024-01-01T00:00:00"/>
        <d v="2023-12-30T00:00:00"/>
        <d v="2023-12-31T00:00:00"/>
        <d v="2024-01-04T00:00:00"/>
        <d v="2024-01-09T00:00:00"/>
        <d v="2024-01-11T00:00:00"/>
        <d v="2024-01-12T00:00:00"/>
        <d v="2024-01-14T00:00:00"/>
        <d v="2024-01-17T00:00:00"/>
        <d v="2024-01-22T00:00:00"/>
        <d v="2024-01-23T00:00:00"/>
        <d v="2024-01-27T00:00:00"/>
        <d v="2024-01-28T00:00:00"/>
        <d v="2024-01-31T00:00:00"/>
        <d v="2024-02-02T00:00:00"/>
        <d v="2024-02-03T00:00:00"/>
        <d v="2024-02-07T00:00:00"/>
        <d v="2024-02-10T00:00:00"/>
        <d v="2024-02-15T00:00:00"/>
        <d v="2024-02-17T00:00:00"/>
        <d v="2024-02-18T00:00:00"/>
        <d v="2024-02-21T00:00:00"/>
        <d v="2024-02-22T00:00:00"/>
        <d v="2024-02-24T00:00:00"/>
        <d v="2024-02-29T00:00:00"/>
        <d v="2024-03-01T00:00:00"/>
        <d v="2024-03-02T00:00:00"/>
        <d v="2024-03-26T00:00:00"/>
        <d v="2024-03-13T00:00:00"/>
        <d v="2024-03-24T00:00:00"/>
        <d v="2024-03-27T00:00:00"/>
        <d v="2024-03-29T00:00:00"/>
        <d v="2024-04-01T00:00:00"/>
        <d v="2024-04-03T00:00:00"/>
        <d v="2024-04-04T00:00:00"/>
        <d v="2024-04-05T00:00:00"/>
        <d v="2024-04-08T00:00:00"/>
        <d v="2024-04-16T00:00:00"/>
        <d v="2024-04-19T00:00:00"/>
        <d v="2024-04-20T00:00:00"/>
        <d v="2024-04-23T00:00:00"/>
        <d v="2024-04-25T00:00:00"/>
        <d v="2024-06-01T00:00:00"/>
        <d v="2024-05-14T00:00:00"/>
        <d v="2024-05-17T00:00:00"/>
        <d v="2024-05-29T00:00:00"/>
        <d v="2024-06-05T00:00:00"/>
        <d v="2024-06-10T00:00:00"/>
        <d v="2024-06-11T00:00:00"/>
        <d v="2024-06-22T00:00:00"/>
        <d v="2024-06-26T00:00:00"/>
        <d v="2024-08-01T00:00:00"/>
        <d v="2024-07-14T00:00:00"/>
        <d v="2024-07-15T00:00:00"/>
        <d v="2024-07-17T00:00:00"/>
        <d v="2024-07-18T00:00:00"/>
        <d v="2024-07-22T00:00:00"/>
        <d v="2024-07-20T00:00:00"/>
        <d v="2024-07-29T00:00:00"/>
        <d v="2024-07-23T00:00:00"/>
        <d v="2024-07-25T00:00:00"/>
        <d v="2024-07-26T00:00:00"/>
        <d v="2024-07-27T00:00:00"/>
        <d v="2024-07-28T00:00:00"/>
        <d v="2024-07-30T00:00:00"/>
        <d v="2024-07-31T00:00:00"/>
        <d v="2024-08-02T00:00:00"/>
        <d v="2024-08-09T00:00:00"/>
        <d v="2024-08-10T00:00:00"/>
        <d v="2024-08-11T00:00:00"/>
        <d v="2024-08-18T00:00:00"/>
        <d v="2024-08-19T00:00:00"/>
        <d v="2024-08-21T00:00:00"/>
        <d v="2024-08-22T00:00:00"/>
        <d v="2024-09-15T00:00:00"/>
        <d v="2024-09-01T00:00:00"/>
        <d v="2024-11-18T00:00:00"/>
        <d v="2024-08-26T00:00:00"/>
        <d v="2024-11-06T00:00:00"/>
        <d v="2024-08-28T00:00:00"/>
        <d v="2024-09-09T00:00:00"/>
        <d v="2024-08-31T00:00:00"/>
        <d v="2024-09-02T00:00:00"/>
        <d v="2024-11-30T00:00:00"/>
        <d v="2024-08-27T00:00:00"/>
        <d v="2024-09-13T00:00:00"/>
        <d v="2024-09-14T00:00:00"/>
        <d v="2024-11-08T00:00:00"/>
        <d v="2024-09-16T00:00:00"/>
        <d v="2024-09-18T00:00:00"/>
        <d v="2024-09-19T00:00:00"/>
        <d v="2024-09-23T00:00:00"/>
        <d v="2024-09-24T00:00:00"/>
        <d v="2024-09-25T00:00:00"/>
        <d v="2024-09-26T00:00:00"/>
        <d v="2024-09-27T00:00:00"/>
        <d v="2024-09-29T00:00:00"/>
        <d v="2024-09-30T00:00:00"/>
        <d v="2024-10-08T00:00:00"/>
        <d v="2024-10-29T00:00:00"/>
        <d v="2024-08-30T00:00:00"/>
        <d v="2024-09-11T00:00:00"/>
        <d v="2024-11-12T00:00:00"/>
        <d v="2024-11-22T00:00:00"/>
        <d v="2024-11-17T00:00:00"/>
        <d v="2024-12-02T00:00:00"/>
        <d v="2024-12-12T00:00:00"/>
        <d v="2024-12-14T00:00:00"/>
        <d v="2024-12-15T00:00:00"/>
        <d v="2024-12-16T00:00:00"/>
        <d v="2024-12-19T00:00:00"/>
        <d v="2024-12-27T00:00:00"/>
        <d v="2024-12-30T00:00:00"/>
        <d v="2025-01-07T00:00:00"/>
        <d v="2025-01-10T00:00:00"/>
        <d v="2025-01-13T00:00:00"/>
        <d v="2025-01-15T00:00:00"/>
        <d v="2025-01-17T00:00:00"/>
        <d v="2025-01-23T00:00:00"/>
        <d v="2025-01-26T00:00:00"/>
        <d v="2025-01-27T00:00:00"/>
        <d v="2025-01-28T00:00:00"/>
        <d v="2025-01-31T00:00:00"/>
        <d v="2025-02-05T00:00:00"/>
        <d v="2025-02-08T00:00:00"/>
        <d v="2025-02-09T00:00:00"/>
        <d v="2025-02-11T00:00:00"/>
        <d v="2025-02-12T00:00:00"/>
        <s v="Pendente"/>
        <d v="2025-02-14T00:00:00"/>
        <d v="2025-02-20T00:00:00"/>
        <d v="2025-02-21T00:00:00"/>
        <d v="2025-02-24T00:00:00"/>
        <d v="2025-02-28T00:00:00"/>
        <m/>
      </sharedItems>
    </cacheField>
    <cacheField name="CLIENTE" numFmtId="0">
      <sharedItems containsBlank="1"/>
    </cacheField>
    <cacheField name="FRAÇÃO" numFmtId="0">
      <sharedItems containsBlank="1"/>
    </cacheField>
    <cacheField name="PRODUTO" numFmtId="0">
      <sharedItems containsBlank="1"/>
    </cacheField>
    <cacheField name="Número do contrato" numFmtId="0">
      <sharedItems containsBlank="1"/>
    </cacheField>
    <cacheField name="Status 1" numFmtId="0">
      <sharedItems containsBlank="1"/>
    </cacheField>
    <cacheField name="Status 2" numFmtId="0">
      <sharedItems containsBlank="1" count="4">
        <s v="ATIVO"/>
        <s v="CANCELADO"/>
        <s v="CANCELADO UPGRADE"/>
        <m/>
      </sharedItems>
    </cacheField>
    <cacheField name="Data do cancelamento" numFmtId="0">
      <sharedItems containsNonDate="0" containsDate="1" containsString="0" containsBlank="1" minDate="1899-12-30T00:00:00" maxDate="2025-01-31T00:00:00"/>
    </cacheField>
    <cacheField name="Tipo unidade semanas" numFmtId="0">
      <sharedItems containsBlank="1" containsMixedTypes="1" containsNumber="1" containsInteger="1" minValue="4" maxValue="52"/>
    </cacheField>
    <cacheField name="Corretor 1" numFmtId="0">
      <sharedItems containsBlank="1"/>
    </cacheField>
    <cacheField name="Corretor 2" numFmtId="0">
      <sharedItems containsBlank="1"/>
    </cacheField>
    <cacheField name="GERENTE" numFmtId="0">
      <sharedItems containsBlank="1"/>
    </cacheField>
    <cacheField name="Tipo de Venda" numFmtId="0">
      <sharedItems containsBlank="1"/>
    </cacheField>
    <cacheField name="Tabela" numFmtId="0">
      <sharedItems containsBlank="1"/>
    </cacheField>
    <cacheField name="Origem da venda" numFmtId="0">
      <sharedItems containsBlank="1" containsMixedTypes="1" containsNumber="1" containsInteger="1" minValue="0" maxValue="0"/>
    </cacheField>
    <cacheField name="Campanha" numFmtId="0">
      <sharedItems containsBlank="1" count="27">
        <m/>
        <s v="Permuta"/>
        <s v="Relacionamento Cézar"/>
        <s v="Upgrade"/>
        <s v="Lead Corretor"/>
        <s v="Nova compra"/>
        <s v="Instagram Cézar"/>
        <s v="Indicação Proprietário"/>
        <s v="Trinca - PodCast Joel Jota"/>
        <s v="Trinca - PodCast Cézar e Caio"/>
        <s v="Trinca - Clax Club"/>
        <s v="Pré lançamento C100" u="1"/>
        <s v="Campanha Gerentes " u="1"/>
        <s v="1° fase-Comissão Dobrada" u="1"/>
        <s v="2° fase-Comissão Dobrada" u="1"/>
        <s v="Campanha Gerentes" u="1"/>
        <s v="Trinca" u="1"/>
        <s v="Relaciomanento Cézar" u="1"/>
        <s v="Clax Club - UEFA - Trinca" u="1"/>
        <s v="Upgrade - (Campanha Gerentes)" u="1"/>
        <s v="2º compra" u="1"/>
        <s v="3º compra" u="1"/>
        <s v="Instagram Cézar " u="1"/>
        <s v="Indicação Proprietário " u="1"/>
        <s v="2º compra - (Campanha Gerentes )" u="1"/>
        <s v="Instagram Cezar - Campanha Gerentes" u="1"/>
        <s v="2º Compra -1° fase-Comissão Dobrada" u="1"/>
      </sharedItems>
    </cacheField>
    <cacheField name="Visitou SH" numFmtId="0">
      <sharedItems containsBlank="1"/>
    </cacheField>
    <cacheField name="UF" numFmtId="0">
      <sharedItems containsBlank="1"/>
    </cacheField>
    <cacheField name="N de FU" numFmtId="0">
      <sharedItems containsString="0" containsBlank="1" containsNumber="1" containsInteger="1" minValue="0" maxValue="30"/>
    </cacheField>
    <cacheField name="Data 1 apresentação" numFmtId="0">
      <sharedItems containsDate="1" containsBlank="1" containsMixedTypes="1" minDate="2021-12-19T00:00:00" maxDate="2025-03-03T00:00:00"/>
    </cacheField>
    <cacheField name="Data de fechamento" numFmtId="0">
      <sharedItems containsDate="1" containsBlank="1" containsMixedTypes="1" minDate="2022-08-05T00:00:00" maxDate="2025-03-01T00:00:00"/>
    </cacheField>
    <cacheField name="Latencia de compra" numFmtId="0">
      <sharedItems containsBlank="1" containsMixedTypes="1" containsNumber="1" containsInteger="1" minValue="0" maxValue="730"/>
    </cacheField>
    <cacheField name="VGV VIABILIDADE" numFmtId="0">
      <sharedItems containsString="0" containsBlank="1" containsNumber="1" minValue="0" maxValue="2763670"/>
    </cacheField>
    <cacheField name="Valor Tabela" numFmtId="0">
      <sharedItems containsString="0" containsBlank="1" containsNumber="1" minValue="0" maxValue="3037000"/>
    </cacheField>
    <cacheField name="Valor vendido" numFmtId="0">
      <sharedItems containsString="0" containsBlank="1" containsNumber="1" minValue="0" maxValue="2539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6">
  <r>
    <x v="0"/>
    <s v="SH GESTAO DE EMPREENDIMENTOS LTDA"/>
    <s v="LDP-C-353-1"/>
    <s v="C-353"/>
    <s v="C-353-0001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0"/>
    <s v="A. LANCIA SC ADMINISTRACAO DE BENS LTDA"/>
    <s v="LDP-C-353-2"/>
    <s v="C-353"/>
    <s v="C-353-0002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0"/>
    <s v="SM ART CONCEITUACAO IMOBILIARIA LTDA"/>
    <s v="LDP-C-353-3"/>
    <s v="C-353"/>
    <s v="C-353-0003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RS"/>
    <m/>
    <s v="-"/>
    <d v="2022-08-05T00:00:00"/>
    <m/>
    <n v="1905750"/>
    <n v="1905750"/>
    <n v="1227750"/>
  </r>
  <r>
    <x v="0"/>
    <s v="H8 LDP PARTICIPACOES LTDA"/>
    <s v="LDP-C-353-4"/>
    <s v="C-353"/>
    <s v="C-353-0004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1"/>
    <s v="EMERSON FERNANDES MELLO"/>
    <s v="LDP-A-211-1"/>
    <s v="A-211"/>
    <s v="A-211-0005"/>
    <s v="ASSINADO"/>
    <x v="0"/>
    <d v="1899-12-30T00:00:00"/>
    <n v="13"/>
    <s v="TAMIRES SOARES DE CARVALHO"/>
    <s v="MARCO ANTÔNIO FÉLIX ZAMBRANA"/>
    <s v="-"/>
    <s v="Interna"/>
    <s v="Longuissima"/>
    <s v="Showroom"/>
    <x v="0"/>
    <m/>
    <s v="RS"/>
    <m/>
    <s v="-"/>
    <d v="2022-08-06T00:00:00"/>
    <m/>
    <n v="1022000"/>
    <n v="1022000"/>
    <n v="1057000"/>
  </r>
  <r>
    <x v="1"/>
    <s v="SUSIMARI SILVA DE ASSIS BRASIL"/>
    <s v="LDP-A-213-1"/>
    <s v="A-213"/>
    <s v="A-213-0006"/>
    <s v="NAO ASSINADO"/>
    <x v="1"/>
    <d v="2022-09-08T00:00:00"/>
    <n v="13"/>
    <s v="LAISA DANGONI"/>
    <s v="ARIANE PEREIRA BARBOSA"/>
    <s v="-"/>
    <s v="Interna"/>
    <s v="Longa"/>
    <s v="Showroom"/>
    <x v="0"/>
    <m/>
    <s v="-"/>
    <m/>
    <s v="-"/>
    <d v="2022-08-06T00:00:00"/>
    <m/>
    <n v="0"/>
    <n v="0"/>
    <n v="1057000"/>
  </r>
  <r>
    <x v="1"/>
    <s v="FRATELLI PARTICIPACOES LTDA"/>
    <s v="LDP-A-204-1"/>
    <s v="A-204"/>
    <s v="A-204-0007"/>
    <s v="NAO ASSINADO"/>
    <x v="1"/>
    <d v="2022-08-09T00:00:00"/>
    <n v="13"/>
    <s v="DAVID ROMULO LIMA DE OLIVEIRA"/>
    <s v="ANDERSON LUIS DE OLIVEIRA LIMA"/>
    <s v="-"/>
    <s v="Interna"/>
    <s v="Longa"/>
    <s v="Showroom"/>
    <x v="0"/>
    <m/>
    <s v="-"/>
    <m/>
    <s v="-"/>
    <d v="2022-08-06T00:00:00"/>
    <m/>
    <n v="0"/>
    <n v="0"/>
    <n v="1283000"/>
  </r>
  <r>
    <x v="2"/>
    <s v="GLOBAL AMERICA SYSTEM IMPORTACAO E EXPORTACAO DE EQUIPAMENTOS PARA SEGURANCA LTDA"/>
    <s v="LDP-A-102-1"/>
    <s v="A-102"/>
    <s v="A-102-0008"/>
    <s v="ASSINADO"/>
    <x v="0"/>
    <d v="1899-12-30T00:00:00"/>
    <s v="Integral"/>
    <s v="THAIS SCHONERWALD DA SILVA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2"/>
    <s v="A-102"/>
    <s v="A-102-0009"/>
    <s v="ASSINADO"/>
    <x v="0"/>
    <d v="1899-12-30T00:00:00"/>
    <s v="Integral"/>
    <s v="ANA CLAUDIA QUEIROZ CAVALCANTE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3"/>
    <s v="A-102"/>
    <s v="A-102-001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4"/>
    <s v="A-102"/>
    <s v="A-102-001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Vaga-002"/>
    <s v="Vaga-002"/>
    <s v="Vaga-002-0012"/>
    <s v="ASSINADO"/>
    <x v="0"/>
    <d v="1899-12-30T00:00:00"/>
    <n v="52"/>
    <s v="THAIS SCHONERWALD DA SILVA"/>
    <s v="CAROLINE GOMIDES DO NASCIMENTO"/>
    <s v="-"/>
    <s v="Interna"/>
    <s v="Curta"/>
    <s v="Showroom"/>
    <x v="1"/>
    <m/>
    <s v="RS"/>
    <m/>
    <s v="-"/>
    <d v="2022-08-07T00:00:00"/>
    <m/>
    <n v="1"/>
    <n v="1"/>
    <n v="1"/>
  </r>
  <r>
    <x v="3"/>
    <s v="RAFAEL LACERDA PRAZERES"/>
    <s v="LDP-B-306-1"/>
    <s v="B-306"/>
    <s v="B-306-0013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2"/>
    <s v="B-306"/>
    <s v="B-306-0014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3"/>
    <s v="B-306"/>
    <s v="B-306-0015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4"/>
    <s v="B-306"/>
    <s v="B-306-0016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4"/>
    <s v="LUCIANO RAIZLER"/>
    <s v="LDP-B-202-1"/>
    <s v="B-202"/>
    <s v="B-202-0017"/>
    <s v="ASSINADO"/>
    <x v="0"/>
    <d v="1899-12-30T00:00:00"/>
    <n v="6"/>
    <s v="DAVID ROMULO LIMA DE OLIVEIRA"/>
    <s v="ANDERSON LUIS DE OLIVEIRA LIMA"/>
    <s v="-"/>
    <s v="Interna"/>
    <s v="Longa"/>
    <s v="Showroom"/>
    <x v="0"/>
    <m/>
    <s v="RS"/>
    <m/>
    <d v="2022-01-27T00:00:00"/>
    <d v="2022-08-20T00:00:00"/>
    <n v="205"/>
    <n v="360000"/>
    <n v="360000"/>
    <n v="342000"/>
  </r>
  <r>
    <x v="5"/>
    <s v="ANDREA PEREIRA DRUCK"/>
    <s v="LDP-C-153-3"/>
    <s v="C-153"/>
    <s v="C-153-0018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x v="5"/>
    <s v="ANDREA PEREIRA DRUCK"/>
    <s v="LDP-C-153-4"/>
    <s v="C-153"/>
    <s v="C-153-0019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x v="5"/>
    <s v="HABITASUL EMPREENDIMENTOS IMOBILIARIOS LIMITADA"/>
    <s v="LDP-C-153-1"/>
    <s v="C-153"/>
    <s v="C-153-0020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x v="5"/>
    <s v="HABITASUL EMPREENDIMENTOS IMOBILIARIOS LIMITADA"/>
    <s v="LDP-C-153-2"/>
    <s v="C-153"/>
    <s v="C-153-0021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x v="6"/>
    <s v="MARIA AUGUSTA MACEDO DE OLIVEIRA LEONI"/>
    <s v="LDP-B-201-1"/>
    <s v="B-201"/>
    <s v="B-201-0022"/>
    <s v="ASSINADO"/>
    <x v="1"/>
    <d v="2022-09-15T00:00:00"/>
    <n v="6"/>
    <s v="MARCO ANTÔNIO FÉLIX ZAMBRANA"/>
    <s v="MARCO ANTÔNIO FÉLIX ZAMBRANA"/>
    <s v="-"/>
    <s v="Interna"/>
    <s v="Longa"/>
    <s v="Showroom"/>
    <x v="0"/>
    <m/>
    <s v="-"/>
    <m/>
    <d v="2022-08-26T00:00:00"/>
    <d v="2022-08-26T00:00:00"/>
    <n v="0"/>
    <n v="0"/>
    <n v="0"/>
    <n v="333000"/>
  </r>
  <r>
    <x v="7"/>
    <s v="RFM CONSTRUTORA LTDA"/>
    <s v="LDP-A-204-1"/>
    <s v="A-204"/>
    <s v="A-204-0023"/>
    <s v="ASSINADO"/>
    <x v="0"/>
    <d v="1899-12-30T00:00:00"/>
    <n v="13"/>
    <s v="JUSCINEIA FRANCISCA RODRIGUES"/>
    <s v="JUSCINEIA FRANCISCA RODRIGUES"/>
    <s v="-"/>
    <s v="Sócios"/>
    <s v="Longa"/>
    <s v="Sócios"/>
    <x v="1"/>
    <m/>
    <s v="SP"/>
    <m/>
    <s v="-"/>
    <d v="2022-12-07T00:00:00"/>
    <m/>
    <n v="1240000"/>
    <n v="1240000"/>
    <n v="950000"/>
  </r>
  <r>
    <x v="8"/>
    <s v="BEMBRA PARTICIPACOES LTDA"/>
    <s v="LDP-A-203-1"/>
    <s v="A-203"/>
    <s v="A-203-0024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2"/>
    <s v="A-203"/>
    <s v="A-203-0025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3"/>
    <s v="A-203"/>
    <s v="A-203-0026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4"/>
    <s v="A-203"/>
    <s v="A-203-0027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9"/>
    <s v="TANIA MARIA DREYER BELO"/>
    <s v="LDP-B-324-2"/>
    <s v="B-324"/>
    <s v="B-324-0028"/>
    <s v="ASSINADO"/>
    <x v="0"/>
    <d v="1899-12-30T00:00:00"/>
    <n v="6"/>
    <s v="MARIA KAROLINE DO NASCIMENTO RODRIGUES"/>
    <s v="MARCO ANTÔNIO FÉLIX ZAMBRANA"/>
    <s v="-"/>
    <s v="Interna"/>
    <s v="Curta"/>
    <s v="Showroom"/>
    <x v="0"/>
    <m/>
    <s v="DF"/>
    <m/>
    <d v="2022-09-04T00:00:00"/>
    <d v="2022-09-04T00:00:00"/>
    <n v="0"/>
    <n v="360000"/>
    <n v="360000"/>
    <n v="300000"/>
  </r>
  <r>
    <x v="10"/>
    <s v="RENATO FEIO DA COSTA"/>
    <s v="LDP-A-103-1"/>
    <s v="A-103"/>
    <s v="A-103-0029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x v="10"/>
    <s v="RENATO FEIO DA COSTA"/>
    <s v="LDP-A-103-2"/>
    <s v="A-103"/>
    <s v="A-103-0030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x v="10"/>
    <s v="RENATO FEIO DA COSTA"/>
    <s v="LDP-A-103-3"/>
    <s v="A-103"/>
    <s v="A-103-0031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x v="10"/>
    <s v="RENATO FEIO DA COSTA"/>
    <s v="LDP-A-103-4"/>
    <s v="A-103"/>
    <s v="A-103-0032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x v="10"/>
    <s v="MARCELO ALEXANDRE DALL AGNOL"/>
    <s v="LDP-A-211-2"/>
    <s v="A-211"/>
    <s v="A-211-0033"/>
    <s v="NAO ASSINADO"/>
    <x v="1"/>
    <d v="2022-09-19T00:00:00"/>
    <n v="13"/>
    <s v="SÂNGELA CRISTINA ARRUDA LIMA MORAIS"/>
    <s v="MARCO ANTÔNIO FÉLIX ZAMBRANA"/>
    <s v="-"/>
    <s v="Interna"/>
    <s v="Curta"/>
    <s v="Showroom"/>
    <x v="0"/>
    <m/>
    <s v="-"/>
    <m/>
    <d v="2022-09-12T00:00:00"/>
    <d v="2022-09-12T00:00:00"/>
    <n v="0"/>
    <n v="0"/>
    <n v="0"/>
    <n v="932400"/>
  </r>
  <r>
    <x v="10"/>
    <s v="JOSILAINE DA SILVA ANDRADE"/>
    <s v="LDP-B-324-3"/>
    <s v="B-324"/>
    <s v="B-324-0034"/>
    <s v="ASSINADO"/>
    <x v="2"/>
    <d v="2023-06-30T00:00:00"/>
    <n v="6"/>
    <s v="SÂNGELA CRISTINA ARRUDA LIMA MORAIS"/>
    <s v="SÂNGELA CRISTINA ARRUDA LIMA MORAIS"/>
    <s v="-"/>
    <s v="Interna"/>
    <s v="Longa"/>
    <s v="Showroom"/>
    <x v="0"/>
    <m/>
    <s v="-"/>
    <m/>
    <d v="2022-09-12T00:00:00"/>
    <d v="2022-09-12T00:00:00"/>
    <n v="0"/>
    <n v="360000"/>
    <n v="360000"/>
    <n v="383000"/>
  </r>
  <r>
    <x v="11"/>
    <s v="PINEPIN PARTICIPACOES S/A"/>
    <s v="LDP-B-224-1"/>
    <s v="B-224"/>
    <s v="B-224-0035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2551000"/>
    <n v="2551000"/>
    <n v="2040000"/>
  </r>
  <r>
    <x v="11"/>
    <s v="PINEPIN PARTICIPACOES S/A"/>
    <s v="LDP-B-224-7"/>
    <s v="B-224"/>
    <s v="B-224-0036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2"/>
    <s v="B-224"/>
    <s v="B-224-0037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3"/>
    <s v="B-224"/>
    <s v="B-224-0038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4"/>
    <s v="B-224"/>
    <s v="B-224-0039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5"/>
    <s v="B-224"/>
    <s v="B-224-0040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6"/>
    <s v="B-224"/>
    <s v="B-224-0041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8"/>
    <s v="B-224"/>
    <s v="B-224-0042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9"/>
    <s v="B-224"/>
    <s v="B-224-0043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10"/>
    <s v="B-224"/>
    <s v="B-224-0044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2"/>
    <s v="CESAR AUGUSTO SOUZA DA ROSA"/>
    <s v="LDP-B-324-9"/>
    <s v="B-324"/>
    <s v="B-324-0045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x v="12"/>
    <s v="CESAR AUGUSTO SOUZA DA ROSA"/>
    <s v="LDP-B-324-10"/>
    <s v="B-324"/>
    <s v="B-324-0046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x v="13"/>
    <s v="MARCOS ANTONIO GRESPAN"/>
    <s v="LDP-A-203-1"/>
    <s v="A-203"/>
    <s v="A-203-0047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6-16T00:00:00"/>
    <d v="2022-09-16T00:00:00"/>
    <n v="92"/>
    <n v="0"/>
    <n v="0"/>
    <n v="836000"/>
  </r>
  <r>
    <x v="13"/>
    <s v="MARCOS ANTONIO GRESPAN"/>
    <s v="LDP-A-203-2"/>
    <s v="A-203"/>
    <s v="A-203-0048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x v="13"/>
    <s v="MARCOS ANTONIO GRESPAN"/>
    <s v="LDP-A-203-3"/>
    <s v="A-203"/>
    <s v="A-203-0049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=MÉDIASE('Consulta Contratos '!P:P, &quot;online&quot;,"/>
    <m/>
    <d v="2022-09-16T00:00:00"/>
    <d v="2022-09-16T00:00:00"/>
    <n v="0"/>
    <n v="0"/>
    <n v="0"/>
    <n v="836000"/>
  </r>
  <r>
    <x v="13"/>
    <s v="MARCOS ANTONIO GRESPAN"/>
    <s v="LDP-A-203-4"/>
    <s v="A-203"/>
    <s v="A-203-0050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x v="14"/>
    <s v="VALDIRENE GEALH"/>
    <s v="LDP-A-209-1"/>
    <s v="A-209"/>
    <s v="A-209-0051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VALDIRENE GEALH"/>
    <s v="LDP-A-209-2"/>
    <s v="A-209"/>
    <s v="A-209-0052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VALDIRENE GEALH"/>
    <s v="LDP-A-209-3"/>
    <s v="A-209"/>
    <s v="A-209-0053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ROBSON RIZZOTTO"/>
    <s v="LDP-B-219-1"/>
    <s v="B-219"/>
    <s v="B-219-0054"/>
    <s v="ASSINADO"/>
    <x v="0"/>
    <d v="1899-12-30T00:00:00"/>
    <n v="6"/>
    <s v="CLEUZIANE SANTOS DE CARVALHO"/>
    <s v="MARIA DEILANE OLIVEIRA BARROSO"/>
    <s v="-"/>
    <s v="Interna"/>
    <s v="Longa"/>
    <s v="Showroom"/>
    <x v="0"/>
    <m/>
    <s v="RS"/>
    <m/>
    <d v="2022-05-13T00:00:00"/>
    <d v="2022-09-17T00:00:00"/>
    <n v="127"/>
    <n v="327000"/>
    <n v="327000"/>
    <n v="329000"/>
  </r>
  <r>
    <x v="14"/>
    <s v="RICARDO DOSSENA SILVA"/>
    <s v="LDP-B-219-2"/>
    <s v="B-219"/>
    <s v="B-219-0055"/>
    <s v="ASSINADO"/>
    <x v="1"/>
    <d v="2022-09-28T00:00:00"/>
    <n v="6"/>
    <s v="ANA CLAUDIA QUEIROZ CAVALCANTE"/>
    <s v="ANA CLAUDIA QUEIROZ CAVALCANTE"/>
    <s v="-"/>
    <s v="Interna"/>
    <s v="Longa"/>
    <s v="Showroom"/>
    <x v="0"/>
    <m/>
    <s v="-"/>
    <m/>
    <d v="2021-12-19T00:00:00"/>
    <d v="2022-09-17T00:00:00"/>
    <n v="272"/>
    <n v="0"/>
    <n v="0"/>
    <n v="340000"/>
  </r>
  <r>
    <x v="14"/>
    <s v="MOATAZ BELAH MOHAMED NAGIUB M ABDELSALAM"/>
    <s v="LDP-B-324-7"/>
    <s v="B-324"/>
    <s v="B-324-0056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x v="14"/>
    <s v="VALDIRENE GEALH"/>
    <s v="LDP-A-209-4"/>
    <s v="A-209"/>
    <s v="A-209-0057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LUIS EDUARDO LOPES HADLER"/>
    <s v="LDP-B-324-8"/>
    <s v="B-324"/>
    <s v="B-324-0058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x v="15"/>
    <s v="JOSE CARLOS FRANCO"/>
    <s v="LDP-B-319-1"/>
    <s v="B-319"/>
    <s v="B-319-0059"/>
    <s v="ASSINADO"/>
    <x v="2"/>
    <d v="2024-07-23T00:00:00"/>
    <n v="6"/>
    <s v="MARIA KAROLINE DO NASCIMENTO RODRIGUES"/>
    <s v="MARCO ANTÔNIO FÉLIX ZAMBRANA"/>
    <s v="-"/>
    <s v="Interna"/>
    <s v="Longuissima"/>
    <s v="Showroom"/>
    <x v="0"/>
    <m/>
    <s v="SP"/>
    <m/>
    <d v="2022-09-20T00:00:00"/>
    <d v="2022-09-20T00:00:00"/>
    <n v="0"/>
    <n v="327000"/>
    <n v="327000"/>
    <n v="328000"/>
  </r>
  <r>
    <x v="16"/>
    <s v="MCW ENGENHARIA LTDA"/>
    <s v="LDP-B-305-1"/>
    <s v="B-305"/>
    <s v="B-305-0060"/>
    <s v="ASSINADO"/>
    <x v="0"/>
    <d v="1899-12-30T00:00:00"/>
    <n v="13"/>
    <s v="JUSCINEIA FRANCISCA RODRIGUES"/>
    <s v="JUSCINEIA FRANCISCA RODRIGUES"/>
    <s v="-"/>
    <s v="Sócios"/>
    <s v="A vista"/>
    <s v="Sócios"/>
    <x v="1"/>
    <m/>
    <s v="RS"/>
    <m/>
    <s v="-"/>
    <d v="2022-09-21T00:00:00"/>
    <m/>
    <n v="683000"/>
    <n v="683000"/>
    <n v="341500"/>
  </r>
  <r>
    <x v="17"/>
    <s v="MARCOS ANTONIO GRESPAN"/>
    <s v="LDP-A-211-3"/>
    <s v="A-211"/>
    <s v="A-211-0064"/>
    <s v="ASSINADO"/>
    <x v="0"/>
    <d v="1899-12-30T00:00:00"/>
    <n v="13"/>
    <s v="LILIAN STEFANI FRITSCH ZIMMER"/>
    <s v="MARCO ANTÔNIO FÉLIX ZAMBRANA"/>
    <s v="-"/>
    <s v="Interna"/>
    <s v="Longuissima"/>
    <s v="Showroom"/>
    <x v="0"/>
    <m/>
    <s v="RS"/>
    <m/>
    <d v="2022-09-16T00:00:00"/>
    <d v="2022-09-23T00:00:00"/>
    <n v="7"/>
    <n v="1022000"/>
    <n v="1022000"/>
    <n v="1040000"/>
  </r>
  <r>
    <x v="18"/>
    <s v="ROQUE JOAO PATUZZI"/>
    <s v="LDP-B-324-4"/>
    <s v="B-324"/>
    <s v="B-324-0065"/>
    <s v="ASSINADO"/>
    <x v="0"/>
    <d v="1899-12-30T00:00:00"/>
    <n v="6"/>
    <s v="MATEUS ORLANDO BEGNINI"/>
    <s v="MATEUS ORLANDO BEGNINI"/>
    <s v="-"/>
    <s v="Interna"/>
    <s v="Curta"/>
    <s v="Showroom"/>
    <x v="0"/>
    <m/>
    <s v="RS"/>
    <m/>
    <d v="2022-09-24T00:00:00"/>
    <d v="2022-09-24T00:00:00"/>
    <n v="0"/>
    <n v="360000"/>
    <n v="360000"/>
    <n v="334069.2"/>
  </r>
  <r>
    <x v="19"/>
    <s v="LUCAS TECCHIO MOTTA"/>
    <s v="LDP-B-219-3"/>
    <s v="B-219"/>
    <s v="B-219-0066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SC"/>
    <m/>
    <d v="2022-09-26T00:00:00"/>
    <d v="2022-09-26T00:00:00"/>
    <n v="0"/>
    <n v="327000"/>
    <n v="327000"/>
    <n v="338079.1"/>
  </r>
  <r>
    <x v="20"/>
    <s v="FERNANDO LUIZ BEMFICA"/>
    <s v="LDP-B-119-1"/>
    <s v="B-119"/>
    <s v="B-119-0067"/>
    <s v="ASSINADO"/>
    <x v="0"/>
    <d v="1899-12-30T00:00:00"/>
    <n v="6"/>
    <s v="LAISA DANGONI"/>
    <s v="LAÍSA DANGONI"/>
    <s v="-"/>
    <s v="Interna"/>
    <s v="Curta"/>
    <s v="Showroom"/>
    <x v="0"/>
    <m/>
    <s v="SC"/>
    <m/>
    <d v="2022-09-24T00:00:00"/>
    <d v="2022-09-27T00:00:00"/>
    <n v="3"/>
    <n v="354000"/>
    <n v="354000"/>
    <n v="356000"/>
  </r>
  <r>
    <x v="21"/>
    <s v="LUCAS REIS RAMOS NASCIMENTO"/>
    <s v="LDP-B-219-4"/>
    <s v="B-219"/>
    <s v="B-219-0068"/>
    <s v="ASSINADO"/>
    <x v="0"/>
    <d v="1899-12-30T00:00:00"/>
    <n v="6"/>
    <s v="GUSTAVO RIBEIRO GOMES"/>
    <s v="GUSTAVO RIBEIRO GOMES"/>
    <s v="-"/>
    <s v="Interna"/>
    <s v="Longa"/>
    <s v="Showroom"/>
    <x v="0"/>
    <m/>
    <s v="MG"/>
    <m/>
    <d v="2022-09-30T00:00:00"/>
    <d v="2022-09-30T00:00:00"/>
    <n v="0"/>
    <n v="327000"/>
    <n v="327000"/>
    <n v="329000"/>
  </r>
  <r>
    <x v="22"/>
    <s v="BCS EMPREENDIMENTOS IMOBILIARIOS LTDA"/>
    <s v="LDP-B-324-5"/>
    <s v="B-324"/>
    <s v="B-324-006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S"/>
    <m/>
    <d v="2022-10-01T00:00:00"/>
    <d v="2022-10-01T00:00:00"/>
    <n v="0"/>
    <n v="360000"/>
    <n v="360000"/>
    <n v="362039"/>
  </r>
  <r>
    <x v="23"/>
    <s v="ANA BEATRIZ DOS ANJOS RIBEIRO RODRIGUES"/>
    <s v="LDP-B-124-10"/>
    <s v="B-124"/>
    <s v="B-124-0070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x v="23"/>
    <s v="ANA BEATRIZ DOS ANJOS RIBEIRO RODRIGUES"/>
    <s v="LDP-B-124-9"/>
    <s v="B-124"/>
    <s v="B-124-0071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x v="24"/>
    <s v="RICHARD BORBA MAGALHAES"/>
    <s v="LDP-B-119-7"/>
    <s v="B-119"/>
    <s v="B-119-0072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x v="24"/>
    <s v="RICHARD BORBA MAGALHAES"/>
    <s v="LDP-B-119-8"/>
    <s v="B-119"/>
    <s v="B-119-0073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x v="25"/>
    <s v="RINALDO CRISTO DA SILVA"/>
    <s v="LDP-B-319-5"/>
    <s v="B-319"/>
    <s v="B-319-0074"/>
    <s v="ASSINADO"/>
    <x v="0"/>
    <d v="1899-12-30T00:00:00"/>
    <n v="6"/>
    <s v="LUIZ HENRIQUE DE LUCCA MUNAIER"/>
    <s v="MARCO ANTÔNIO FÉLIX ZAMBRANA"/>
    <s v="-"/>
    <s v="Interna"/>
    <s v="Curta"/>
    <s v="Showroom"/>
    <x v="0"/>
    <m/>
    <s v="SP"/>
    <m/>
    <d v="2022-10-05T00:00:00"/>
    <d v="2022-10-07T00:00:00"/>
    <n v="2"/>
    <n v="327000"/>
    <n v="327000"/>
    <n v="275000"/>
  </r>
  <r>
    <x v="26"/>
    <s v="ANTONIO CARLOS DE GODOY BRASIL"/>
    <s v="LDP-B-207-2"/>
    <s v="B-207"/>
    <s v="B-205-0075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710000"/>
  </r>
  <r>
    <x v="26"/>
    <s v="ANTONIO CARLOS DE GODOY BRASIL"/>
    <s v="LDP-B-205-2"/>
    <s v="B-205"/>
    <s v="B-205-0076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6"/>
    <s v="ANTONIO CARLOS DE GODOY BRASIL"/>
    <s v="LDP-B-205-3"/>
    <s v="B-205"/>
    <s v="B-205-0077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6"/>
    <s v="ANTONIO CARLOS DE GODOY BRASIL"/>
    <s v="LDP-B-205-4"/>
    <s v="B-205"/>
    <s v="B-205-0078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7"/>
    <s v="CAIO DE FARIA MAIA"/>
    <s v="LDP-B-219-5"/>
    <s v="B-219"/>
    <s v="B-219-007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2-10-11T00:00:00"/>
    <d v="2022-10-11T00:00:00"/>
    <n v="0"/>
    <n v="327000"/>
    <n v="327000"/>
    <n v="330000"/>
  </r>
  <r>
    <x v="28"/>
    <s v="ELBER FERREIRA PORTUGAL"/>
    <s v="LDP-B-319-2"/>
    <s v="B-319"/>
    <s v="B-319-0080"/>
    <s v="NAO ASSINADO"/>
    <x v="1"/>
    <d v="2022-10-18T00:00:00"/>
    <n v="6"/>
    <s v="LUIZ HENRIQUE DE LUCCA MUNAIER"/>
    <s v="ANA CLAUDIA QUEIROZ CAVALCANTE"/>
    <s v="-"/>
    <s v="Interna"/>
    <s v="Longa"/>
    <s v="Showroom"/>
    <x v="0"/>
    <m/>
    <s v="-"/>
    <m/>
    <d v="2022-10-12T00:00:00"/>
    <d v="2022-10-12T00:00:00"/>
    <n v="0"/>
    <n v="0"/>
    <n v="0"/>
    <n v="330000"/>
  </r>
  <r>
    <x v="29"/>
    <s v="GILSON VIVIAN"/>
    <s v="LDP-B-219-6"/>
    <s v="B-219"/>
    <s v="B-219-0081"/>
    <s v="ASSINADO"/>
    <x v="0"/>
    <d v="1899-12-30T00:00:00"/>
    <n v="6"/>
    <s v="MATEUS ORLANDO BEGNINI"/>
    <s v="MATEUS ORLANDO BEGNINI"/>
    <s v="-"/>
    <s v="Interna"/>
    <s v="Longa"/>
    <s v="Showroom"/>
    <x v="0"/>
    <m/>
    <s v="SC"/>
    <m/>
    <d v="2022-10-14T00:00:00"/>
    <d v="2022-10-14T00:00:00"/>
    <n v="0"/>
    <n v="327000"/>
    <n v="327000"/>
    <n v="320000"/>
  </r>
  <r>
    <x v="29"/>
    <s v="NICOLE GIANNI TELES DA SILVA"/>
    <s v="LDP-B-319-4"/>
    <s v="B-319"/>
    <s v="B-219-0082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RJ"/>
    <m/>
    <d v="2022-10-14T00:00:00"/>
    <d v="2022-10-14T00:00:00"/>
    <n v="0"/>
    <n v="327000"/>
    <n v="327000"/>
    <n v="330000"/>
  </r>
  <r>
    <x v="30"/>
    <s v="JOAO LUIS MACHADO DA ROSA"/>
    <s v="LDP-B-307-1"/>
    <s v="B-307"/>
    <s v="B-307-0083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x v="30"/>
    <s v="JOAO LUIS MACHADO DA ROSA"/>
    <s v="LDP-B-307-2"/>
    <s v="B-307"/>
    <s v="B-307-0084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x v="30"/>
    <s v="JOAO LUIS MACHADO DA ROSA"/>
    <s v="LDP-B-307-3"/>
    <s v="B-307"/>
    <s v="B-307-0085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x v="30"/>
    <s v="JOAO LUIS MACHADO DA ROSA"/>
    <s v="LDP-B-307-4"/>
    <s v="B-307"/>
    <s v="B-307-0086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x v="31"/>
    <s v="ELISABETH REINSTEIN ROSSONI"/>
    <s v="LDP-B-319-9"/>
    <s v="B-319"/>
    <s v="B-319-0087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x v="31"/>
    <s v="ELISABETH REINSTEIN ROSSONI"/>
    <s v="LDP-B-319-10"/>
    <s v="B-319"/>
    <s v="B-319-0088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x v="32"/>
    <s v="CINTIA CARLA DA CUNHA THORMANN"/>
    <s v="LDP-A-209-1"/>
    <s v="A-209"/>
    <s v="A-209-0089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2"/>
    <s v="A-209"/>
    <s v="A-209-0090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3"/>
    <s v="A-209"/>
    <s v="A-209-0091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4"/>
    <s v="A-209"/>
    <s v="A-209-0092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JONATHAN ARRUDA TRINDADE"/>
    <s v="LDP-B-219-2"/>
    <s v="B-219"/>
    <s v="B-219-0093"/>
    <s v="ASSINADO"/>
    <x v="1"/>
    <d v="2023-06-13T00:00:00"/>
    <n v="6"/>
    <s v="MATEUS ORLANDO BEGNINI"/>
    <s v="MATEUS ORLANDO BEGNINI"/>
    <s v="-"/>
    <s v="Interna"/>
    <s v="Longuissima"/>
    <s v="Showroom"/>
    <x v="0"/>
    <m/>
    <s v="-"/>
    <m/>
    <d v="2022-10-23T00:00:00"/>
    <d v="2022-10-23T00:00:00"/>
    <n v="0"/>
    <n v="327000"/>
    <n v="327000"/>
    <n v="338000"/>
  </r>
  <r>
    <x v="33"/>
    <s v="JULIANA MAIA DE MELO WESTIN GARCIA"/>
    <s v="LDP-B-319-8"/>
    <s v="B-319"/>
    <s v="B-319-0094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x v="33"/>
    <s v="JULIANA MAIA DE MELO WESTIN GARCIA"/>
    <s v="LDP-B-319-7"/>
    <s v="B-319"/>
    <s v="B-219-0095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x v="34"/>
    <s v="SANDRO ROBERTO FERNANDES"/>
    <s v="LDP-A-107-1"/>
    <s v="A-107"/>
    <s v="A-107-0096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2"/>
    <s v="A-107"/>
    <s v="A-107-0097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3"/>
    <s v="A-107"/>
    <s v="A-107-0098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4"/>
    <s v="A-107"/>
    <s v="A-107-0099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5"/>
    <s v="SSPAR EMPREENDIMENTOS E PARTICIPAÇÕES EIREL"/>
    <s v="LDP-B-324-6"/>
    <s v="B-324"/>
    <s v="B-324-0100"/>
    <s v="ASSINADO"/>
    <x v="0"/>
    <d v="1899-12-30T00:00:00"/>
    <n v="6"/>
    <s v="MAICO DE ARMAS ARAUJO"/>
    <s v="MATEUS LAMPERT"/>
    <s v="-"/>
    <s v="Externa"/>
    <s v="Longa"/>
    <s v="Parceria"/>
    <x v="0"/>
    <m/>
    <s v="RS"/>
    <m/>
    <s v="-"/>
    <d v="2023-01-04T00:00:00"/>
    <m/>
    <n v="360000"/>
    <n v="360000"/>
    <n v="361549.19"/>
  </r>
  <r>
    <x v="36"/>
    <s v="MARIA JULIA PRESTES GARCIA"/>
    <s v="LDP-B-219-7"/>
    <s v="B-219"/>
    <s v="B-219-0101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PEDRO HENRIQUE BERNARDI DIAS"/>
    <s v="LDP-B-219-9"/>
    <s v="B-219"/>
    <s v="B-219-0102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PEDRO HENRIQUE BERNARDI DIAS"/>
    <s v="LDP-B-219-10"/>
    <s v="B-219"/>
    <s v="B-219-0103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MARIA JULIA PRESTES GARCIA"/>
    <s v="LDP-B-219-8"/>
    <s v="B-219"/>
    <s v="B-219-0104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7"/>
    <s v="LEANDRO HENRIQUE BIGHETTI"/>
    <s v="LDP-A-211-4"/>
    <s v="A-211"/>
    <s v="A-211-0105"/>
    <s v="NAO ASSINADO"/>
    <x v="1"/>
    <d v="2022-11-04T00:00:00"/>
    <n v="13"/>
    <s v="SÂNGELA CRISTINA ARRUDA LIMA MORAIS"/>
    <s v="MARCO ANTÔNIO FÉLIX ZAMBRANA"/>
    <s v="-"/>
    <s v="Interna"/>
    <s v="Longuissima"/>
    <s v="Showroom"/>
    <x v="0"/>
    <m/>
    <s v="-"/>
    <m/>
    <d v="2022-11-01T00:00:00"/>
    <d v="2022-11-01T00:00:00"/>
    <n v="0"/>
    <n v="0"/>
    <n v="0"/>
    <n v="1037000"/>
  </r>
  <r>
    <x v="38"/>
    <s v="GREGORY VILLELA BRANDAO PAOLUCCI"/>
    <s v="LDP-A-205-1"/>
    <s v="A-205"/>
    <s v="A-205-0106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2"/>
    <s v="A-205"/>
    <s v="A-205-0107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3"/>
    <s v="A-205"/>
    <s v="A-205-0108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4"/>
    <s v="A-205"/>
    <s v="A-205-0109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9"/>
    <s v="MARCELLO BORSATO JUNIOR"/>
    <s v="LDP-B-305-2"/>
    <s v="B-305"/>
    <s v="B-305-0110"/>
    <s v="ASSINADO"/>
    <x v="0"/>
    <d v="1899-12-30T00:00:00"/>
    <n v="13"/>
    <s v="MARIA KAROLINE DO NASCIMENTO RODRIGUES"/>
    <s v="MARCO ANTÔNIO FÉLIX ZAMBRANA"/>
    <s v="-"/>
    <s v="Interna"/>
    <s v="Longuissima"/>
    <s v="Showroom"/>
    <x v="0"/>
    <m/>
    <s v="RS"/>
    <m/>
    <d v="2022-11-05T00:00:00"/>
    <d v="2022-11-05T00:00:00"/>
    <n v="0"/>
    <n v="683000"/>
    <n v="683000"/>
    <n v="697000"/>
  </r>
  <r>
    <x v="39"/>
    <s v="DAISI RAQUEL DE PAULA"/>
    <s v="LDP-A-201-1"/>
    <s v="A-201"/>
    <s v="A-201-0111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2"/>
    <s v="A-201"/>
    <s v="A-201-0112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3"/>
    <s v="A-201"/>
    <s v="A-201-0113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4"/>
    <s v="A-201"/>
    <s v="A-201-0114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40"/>
    <s v="PATRICIA DE ARAUJO MELO"/>
    <s v="LDP-B-301-1"/>
    <s v="B-301"/>
    <s v="B-301-0115"/>
    <s v="ASSINADO"/>
    <x v="1"/>
    <d v="2022-11-22T00:00:00"/>
    <n v="6"/>
    <s v="LUIZ HENRIQUE DE LUCCA MUNAIER"/>
    <s v="ARIANE PEREIRA BARBOSA"/>
    <s v="-"/>
    <s v="Interna"/>
    <s v="Longuissima"/>
    <s v="Showroom"/>
    <x v="0"/>
    <m/>
    <s v="-"/>
    <m/>
    <d v="2022-11-06T00:00:00"/>
    <d v="2022-11-06T00:00:00"/>
    <n v="0"/>
    <n v="0"/>
    <n v="0"/>
    <n v="344566.77"/>
  </r>
  <r>
    <x v="40"/>
    <s v="MAIQUEL GRANDO"/>
    <s v="LDP-B-319-3"/>
    <s v="B-319"/>
    <s v="B-319-0116"/>
    <s v="ASSINADO"/>
    <x v="1"/>
    <d v="2022-11-11T00:00:00"/>
    <n v="6"/>
    <s v="TAMIRES SOARES DE CARVALHO"/>
    <s v="FELLIPE BRAZ FERREIRA BILATE"/>
    <s v="-"/>
    <s v="Interna"/>
    <s v="Longa"/>
    <s v="Showroom"/>
    <x v="0"/>
    <m/>
    <s v="-"/>
    <m/>
    <d v="2022-11-06T00:00:00"/>
    <d v="2022-11-06T00:00:00"/>
    <n v="0"/>
    <n v="0"/>
    <n v="0"/>
    <n v="330000"/>
  </r>
  <r>
    <x v="41"/>
    <s v="TB2 NEGOCIOS IMOBILIARIOS LTDA"/>
    <s v="LDP-B-319-6"/>
    <s v="B-319"/>
    <s v="B-319-0117"/>
    <s v="ASSINADO"/>
    <x v="0"/>
    <d v="1899-12-30T00:00:00"/>
    <n v="6"/>
    <s v="CLEUZIANE SANTOS DE CARVALHO"/>
    <s v="MARCO ANTÔNIO FÉLIX ZAMBRANA"/>
    <s v="-"/>
    <s v="Interna"/>
    <s v="Longuissima"/>
    <s v="Showroom"/>
    <x v="0"/>
    <m/>
    <s v="SP"/>
    <m/>
    <d v="2022-11-08T00:00:00"/>
    <d v="2022-11-08T00:00:00"/>
    <n v="0"/>
    <n v="327000"/>
    <n v="327000"/>
    <n v="340000"/>
  </r>
  <r>
    <x v="42"/>
    <s v="ANA CLAUDIA PINTO FINKLER"/>
    <s v="LDP-B-319-2"/>
    <s v="B-319"/>
    <s v="B-319-0118"/>
    <s v="ASSINADO"/>
    <x v="0"/>
    <d v="1899-12-30T00:00:00"/>
    <n v="6"/>
    <s v="CLEUZIANE SANTOS DE CARVALHO"/>
    <s v="ARIANE PEREIRA BARBOSA"/>
    <s v="-"/>
    <s v="Interna"/>
    <s v="Longuissima"/>
    <s v="Showroom"/>
    <x v="0"/>
    <m/>
    <s v="RS"/>
    <m/>
    <d v="2022-03-09T00:00:00"/>
    <d v="2022-11-11T00:00:00"/>
    <n v="247"/>
    <n v="327000"/>
    <n v="327000"/>
    <n v="330000"/>
  </r>
  <r>
    <x v="42"/>
    <s v="DANIEL GLAT"/>
    <s v="LDP-B-319-9"/>
    <s v="B-319"/>
    <s v="B-319-0119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x v="42"/>
    <s v="DANIEL GLAT"/>
    <s v="LDP-B-319-10"/>
    <s v="B-319"/>
    <s v="B-319-0120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x v="43"/>
    <s v="GRAZIELE KARSBURG PADILHA"/>
    <s v="LDP-B-319-3"/>
    <s v="B-319"/>
    <s v="B-319-0122"/>
    <s v="NAO ASSINADO"/>
    <x v="1"/>
    <d v="2022-11-17T00:00:00"/>
    <n v="6"/>
    <s v="LILIAN STEFANI FRITSCH ZIMMER"/>
    <s v="LILIAN STEFANI FRITSCH ZIMMER"/>
    <s v="-"/>
    <s v="Interna"/>
    <s v="Longuissima"/>
    <s v="Showroom"/>
    <x v="0"/>
    <m/>
    <s v="-"/>
    <m/>
    <d v="2022-11-13T00:00:00"/>
    <d v="2022-11-13T00:00:00"/>
    <n v="0"/>
    <n v="0"/>
    <n v="0"/>
    <n v="330000"/>
  </r>
  <r>
    <x v="43"/>
    <s v="GUSTAVO ZIPPERER"/>
    <s v="LDP-B-308-1"/>
    <s v="B-308"/>
    <s v="B-308-0123"/>
    <s v="ASSINADO"/>
    <x v="0"/>
    <d v="1899-12-30T00:00:00"/>
    <n v="13"/>
    <s v="MATHEUS FELIPE DA FONSECA SCHUTZ"/>
    <s v="MARCO ANTÔNIO FÉLIX ZAMBRANA"/>
    <s v="-"/>
    <s v="Interna"/>
    <s v="Longuissima"/>
    <s v="Showroom"/>
    <x v="0"/>
    <m/>
    <s v="RS"/>
    <m/>
    <d v="2022-11-13T00:00:00"/>
    <d v="2022-11-13T00:00:00"/>
    <n v="0"/>
    <n v="768000"/>
    <n v="768000"/>
    <n v="782000"/>
  </r>
  <r>
    <x v="44"/>
    <s v="ADRIANO GOBBI FARINA"/>
    <s v="LDP-B-301-2"/>
    <s v="B-301"/>
    <s v="B-301-0124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5T00:00:00"/>
    <n v="0"/>
    <n v="333000"/>
    <n v="333000"/>
    <n v="334566"/>
  </r>
  <r>
    <x v="45"/>
    <s v="GILBERTO ZICA FIALHO"/>
    <s v="LDP-B-110-1"/>
    <s v="B-110"/>
    <s v="B-110-0125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27000"/>
    <n v="327000"/>
    <n v="392000"/>
  </r>
  <r>
    <x v="45"/>
    <s v="GILBERTO ZICA FIALHO"/>
    <s v="LDP-B-210-1"/>
    <s v="B-210"/>
    <s v="B-210-0126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33000"/>
    <n v="333000"/>
    <n v="348000"/>
  </r>
  <r>
    <x v="46"/>
    <s v="ANTONIO CARLOS DE GODOY BRASIL"/>
    <s v="LDP-B-207-1"/>
    <s v="B-207"/>
    <s v="B-207-0127"/>
    <s v="ASSINADO"/>
    <x v="1"/>
    <d v="2023-01-20T00:00:00"/>
    <n v="13"/>
    <s v="GUSTAVO RIBEIRO GOMES"/>
    <s v="MARCO ANTÔNIO FÉLIX ZAMBRANA"/>
    <s v="-"/>
    <s v="Interna"/>
    <s v="Longuissima"/>
    <s v="Showroom"/>
    <x v="0"/>
    <m/>
    <s v="-"/>
    <m/>
    <d v="2022-10-08T00:00:00"/>
    <d v="2022-11-17T00:00:00"/>
    <n v="40"/>
    <n v="0"/>
    <n v="0"/>
    <n v="710000"/>
  </r>
  <r>
    <x v="47"/>
    <s v="VIVIANE KOCH"/>
    <s v="LDP-B-207-2"/>
    <s v="B-207"/>
    <s v="B-207-0128"/>
    <s v="ASSINADO"/>
    <x v="0"/>
    <d v="1899-12-30T00:00:00"/>
    <n v="13"/>
    <s v="MARCO ANTÔNIO FÉLIX ZAMBRANA"/>
    <s v="MARCO ANTÔNIO FÉLIX ZAMBRANA"/>
    <s v="-"/>
    <s v="Interna"/>
    <s v="Longuissima"/>
    <s v="Showroom"/>
    <x v="0"/>
    <m/>
    <s v="RS"/>
    <m/>
    <d v="2022-11-18T00:00:00"/>
    <d v="2022-11-18T00:00:00"/>
    <n v="0"/>
    <n v="696000"/>
    <n v="696000"/>
    <n v="709000"/>
  </r>
  <r>
    <x v="47"/>
    <s v="LURDES BELLEBONE FARINA"/>
    <s v="LDP-B-319-3"/>
    <s v="B-319"/>
    <s v="B-319-0129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8T00:00:00"/>
    <n v="3"/>
    <n v="327000"/>
    <n v="327000"/>
    <n v="330000"/>
  </r>
  <r>
    <x v="47"/>
    <s v="ANTONIO CESAR VEBBER"/>
    <s v="LDP-B-305-3"/>
    <s v="B-305"/>
    <s v="B-305-0130"/>
    <s v="ASSINADO"/>
    <x v="2"/>
    <d v="2023-10-26T00:00:00"/>
    <n v="13"/>
    <s v="LILIAN STEFANI FRITSCH ZIMMER"/>
    <s v="MARCO ANTÔNIO FÉLIX ZAMBRANA"/>
    <s v="-"/>
    <s v="Interna"/>
    <s v="Longuissima"/>
    <s v="Showroom"/>
    <x v="0"/>
    <m/>
    <s v="RS"/>
    <m/>
    <d v="2022-11-18T00:00:00"/>
    <d v="2022-11-18T00:00:00"/>
    <n v="0"/>
    <n v="683000"/>
    <n v="683000"/>
    <n v="696000"/>
  </r>
  <r>
    <x v="48"/>
    <s v="ALEXANDRE DA SILVA"/>
    <s v="LDP-B-219-7"/>
    <s v="B-219"/>
    <s v="B-219-0131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x v="48"/>
    <s v="ALEXANDRE DA SILVA"/>
    <s v="LDP-B-219-8"/>
    <s v="B-219"/>
    <s v="B-219-0132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x v="48"/>
    <s v="BRUNO GIACOMET BORGES"/>
    <s v="LDP-B-219-9"/>
    <s v="B-219"/>
    <s v="B-219-0133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x v="48"/>
    <s v="BRUNO GIACOMET BORGES"/>
    <s v="LDP-B-219-10"/>
    <s v="B-219"/>
    <s v="B-219-0134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x v="49"/>
    <s v="FLORENCIO GALAFASSI NETO"/>
    <s v="LDP-B-201-1"/>
    <s v="B-201"/>
    <s v="B-201-0135"/>
    <s v="ASSINADO"/>
    <x v="1"/>
    <d v="2023-08-24T00:00:00"/>
    <n v="6"/>
    <s v="CLEUZIANE SANTOS DE CARVALHO"/>
    <s v="ARIANE PEREIRA BARBOSA"/>
    <s v="-"/>
    <s v="Interna"/>
    <s v="Longuissima"/>
    <s v="Parceria"/>
    <x v="0"/>
    <m/>
    <s v="RS"/>
    <m/>
    <d v="2022-11-24T00:00:00"/>
    <d v="2022-11-24T00:00:00"/>
    <n v="0"/>
    <n v="333000"/>
    <n v="333000"/>
    <n v="361800"/>
  </r>
  <r>
    <x v="50"/>
    <s v="SILVIA HELENA DE SEABRA TREVISAN"/>
    <s v="LDP-B-201-2"/>
    <s v="B-201"/>
    <s v="B-201-0136"/>
    <s v="ASSINADO"/>
    <x v="1"/>
    <d v="2022-11-30T00:00:00"/>
    <n v="6"/>
    <s v="GUSTAVO RIBEIRO GOMES"/>
    <s v="GUSTAVO RIBEIRO GOMES"/>
    <s v="-"/>
    <s v="Interna"/>
    <s v="Longuissima"/>
    <s v="Showroom"/>
    <x v="0"/>
    <m/>
    <s v="-"/>
    <m/>
    <d v="2022-11-26T00:00:00"/>
    <d v="2022-11-26T00:00:00"/>
    <n v="0"/>
    <n v="0"/>
    <n v="0"/>
    <n v="335000"/>
  </r>
  <r>
    <x v="50"/>
    <s v="ANDRE PREZOTTO"/>
    <s v="LDP-B-308-2"/>
    <s v="B-308"/>
    <s v="B-308-0137"/>
    <s v="ASSINADO"/>
    <x v="1"/>
    <d v="2022-12-01T00:00:00"/>
    <n v="13"/>
    <s v="MATHEUS FELIPE DA FONSECA SCHUTZ"/>
    <s v="LEONARDO RIBEIRO"/>
    <s v="-"/>
    <s v="Interna"/>
    <s v="Longuissima"/>
    <s v="Showroom"/>
    <x v="0"/>
    <m/>
    <s v="-"/>
    <m/>
    <d v="2022-11-26T00:00:00"/>
    <d v="2022-11-26T00:00:00"/>
    <n v="0"/>
    <n v="0"/>
    <n v="0"/>
    <n v="772000"/>
  </r>
  <r>
    <x v="51"/>
    <s v="FELIPE CARNEIRO BECK"/>
    <s v="LDP-B-301-1"/>
    <s v="B-301"/>
    <s v="B-301-0138"/>
    <s v="NAO ASSINADO"/>
    <x v="1"/>
    <d v="2022-11-29T00:00:00"/>
    <n v="6"/>
    <s v="MARIA KAROLINE DO NASCIMENTO RODRIGUES"/>
    <s v="MARCO ANTÔNIO FÉLIX ZAMBRANA"/>
    <s v="-"/>
    <s v="Interna"/>
    <s v="Longuissima"/>
    <s v="Showroom"/>
    <x v="0"/>
    <m/>
    <s v="-"/>
    <m/>
    <d v="2022-11-27T00:00:00"/>
    <d v="2022-11-27T00:00:00"/>
    <n v="0"/>
    <n v="0"/>
    <n v="0"/>
    <n v="338480"/>
  </r>
  <r>
    <x v="51"/>
    <s v="EDUARDO ANTONIO MASCARELLO"/>
    <s v="LDP-B-201-9"/>
    <s v="B-201"/>
    <s v="B-201-0139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x v="51"/>
    <s v="EDUARDO ANTONIO MASCARELLO"/>
    <s v="LDP-B-201-10"/>
    <s v="B-201"/>
    <s v="B-201-0140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x v="51"/>
    <s v="IGOR BENEVIDES MUNIZ"/>
    <s v="LDP-B-101-1"/>
    <s v="B-101"/>
    <s v="B-101-0141"/>
    <s v="ASSINADO"/>
    <x v="1"/>
    <d v="2022-12-01T00:00:00"/>
    <n v="6"/>
    <s v="ELIS MAYARA BESERRA DE CARVALHO"/>
    <s v="ELIS MAYARA BESERRA DE CARVALHO"/>
    <s v="-"/>
    <s v="Interna"/>
    <s v="Longuissima"/>
    <s v="Showroom"/>
    <x v="0"/>
    <m/>
    <s v="-"/>
    <m/>
    <d v="2022-11-27T00:00:00"/>
    <d v="2022-11-27T00:00:00"/>
    <n v="0"/>
    <n v="0"/>
    <n v="0"/>
    <n v="347000"/>
  </r>
  <r>
    <x v="7"/>
    <s v="KLATER PARTRICIPAÇOES EIRELI"/>
    <s v="LDP-C-253-1"/>
    <s v="C-253"/>
    <s v="C-253-0142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52"/>
    <s v="ESTEVAN PAVARIN"/>
    <s v="LDP-B-301-3"/>
    <s v="B-301"/>
    <s v="B-301-0143"/>
    <s v="ASSINADO"/>
    <x v="0"/>
    <d v="1899-12-30T00:00:00"/>
    <n v="6"/>
    <s v="LUIZ HENRIQUE DE LUCCA MUNAIER"/>
    <s v="LEONARDO RIBEIRO"/>
    <s v="-"/>
    <s v="Interna"/>
    <s v="Longuissima"/>
    <s v="Showroom"/>
    <x v="0"/>
    <m/>
    <s v="PR"/>
    <m/>
    <d v="2022-11-25T00:00:00"/>
    <d v="2022-11-28T00:00:00"/>
    <n v="3"/>
    <n v="333000"/>
    <n v="333000"/>
    <n v="335000"/>
  </r>
  <r>
    <x v="53"/>
    <s v="GLOBAL AMERICA SYSTEM IMPORTACAO E EXPORTACAO DE EQUIPAMENTOS PARA SEGURANCA LTDA"/>
    <s v="LDP-B-113-1"/>
    <s v="B-113"/>
    <s v="B-113-014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1"/>
    <s v="B-115"/>
    <s v="B-115-014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2"/>
    <s v="B-115"/>
    <s v="B-115-014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2"/>
    <s v="B-113"/>
    <s v="B-113-014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3"/>
    <s v="B-115"/>
    <s v="B-115-0148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3"/>
    <s v="B-113"/>
    <s v="B-113-0149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4"/>
    <s v="B-115"/>
    <s v="B-115-015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4"/>
    <s v="B-113"/>
    <s v="B-113-015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10"/>
    <s v="B-115"/>
    <s v="B-115-0152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5"/>
    <s v="B-115"/>
    <s v="B-115-0153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9"/>
    <s v="B-115"/>
    <s v="B-115-015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8"/>
    <s v="B-115"/>
    <s v="B-115-015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7"/>
    <s v="B-115"/>
    <s v="B-115-015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6"/>
    <s v="B-115"/>
    <s v="B-115-015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4"/>
    <s v="CLEVERSON VEIGA OLIVEIRA SOUZA"/>
    <s v="LDP-B-301-1"/>
    <s v="B-301"/>
    <s v="B-301-0158"/>
    <s v="ASSINADO"/>
    <x v="0"/>
    <d v="1899-12-30T00:00:00"/>
    <n v="6"/>
    <s v="FELLIPE BRAZ FERREIRA BILATE"/>
    <s v="FELLIPE BRAZ FERREIRA BILATE"/>
    <s v="-"/>
    <s v="Interna"/>
    <s v="Longuissima"/>
    <s v="Showroom"/>
    <x v="0"/>
    <m/>
    <s v="SP"/>
    <m/>
    <d v="2022-11-12T00:00:00"/>
    <d v="2022-12-02T00:00:00"/>
    <n v="20"/>
    <n v="333000"/>
    <n v="333000"/>
    <n v="335000"/>
  </r>
  <r>
    <x v="55"/>
    <s v="ADRIANA DE CARLI SONDA"/>
    <s v="LDP-B-205-1"/>
    <s v="B-205"/>
    <s v="B-205-0159"/>
    <s v="ASSINADO"/>
    <x v="0"/>
    <d v="1899-12-30T00:00:00"/>
    <n v="13"/>
    <s v="CLEUZIANE SANTOS DE CARVALHO"/>
    <s v="MARCO ANTÔNIO FÉLIX ZAMBRANA"/>
    <s v="-"/>
    <s v="Interna"/>
    <s v="Longuissima"/>
    <s v="Showroom"/>
    <x v="0"/>
    <m/>
    <s v="RS"/>
    <m/>
    <d v="2022-12-03T00:00:00"/>
    <d v="2022-12-03T00:00:00"/>
    <n v="0"/>
    <n v="683000"/>
    <n v="683000"/>
    <n v="770000"/>
  </r>
  <r>
    <x v="55"/>
    <s v="CARLOS MARCELO THIEME"/>
    <s v="LDP-B-305-4"/>
    <s v="B-305"/>
    <s v="B-305-0160"/>
    <s v="ASSINADO"/>
    <x v="0"/>
    <d v="1899-12-30T00:00:00"/>
    <n v="13"/>
    <s v="CLEUZIANE SANTOS DE CARVALHO"/>
    <s v="LEONARDO RIBEIRO"/>
    <s v="-"/>
    <s v="Interna"/>
    <s v="Longuissima"/>
    <s v="Showroom"/>
    <x v="0"/>
    <m/>
    <s v="SP"/>
    <m/>
    <d v="2022-12-03T00:00:00"/>
    <d v="2022-12-03T00:00:00"/>
    <n v="0"/>
    <n v="683000"/>
    <n v="683000"/>
    <n v="700000"/>
  </r>
  <r>
    <x v="55"/>
    <s v="JULIANO RAUBER"/>
    <s v="LDP-B-301-7"/>
    <s v="B-301"/>
    <s v="B-301-0161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x v="55"/>
    <s v="JULIANO RAUBER"/>
    <s v="LDP-B-301-8"/>
    <s v="B-301"/>
    <s v="B-301-0162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x v="56"/>
    <s v="MARIA LIVIA GONÇALVES PEREIRA"/>
    <s v="LDP-B-301-4"/>
    <s v="B-301"/>
    <s v="B-301-0163"/>
    <s v="ASSINADO"/>
    <x v="1"/>
    <d v="2023-03-07T00:00:00"/>
    <n v="6"/>
    <s v="GÉSSICA GOZZI"/>
    <s v="ARIANE PEREIRA BARBOSA"/>
    <s v="-"/>
    <s v="Interna"/>
    <s v="Curta"/>
    <s v="Showroom"/>
    <x v="0"/>
    <m/>
    <s v="-"/>
    <m/>
    <d v="2022-12-04T00:00:00"/>
    <d v="2022-12-04T00:00:00"/>
    <n v="0"/>
    <n v="0"/>
    <n v="0"/>
    <n v="334000"/>
  </r>
  <r>
    <x v="7"/>
    <s v="ANJOBC NEGOCIOS E PARTICIPACOES LTDA"/>
    <s v="LDP-B-201-7"/>
    <s v="B-201"/>
    <s v="B-201-0164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x v="7"/>
    <s v="HUGO GUIMARAES RODRIGUES"/>
    <s v="LDP-B-301-9"/>
    <s v="B-301"/>
    <s v="B-301-0165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x v="7"/>
    <s v="KLATER PARTRICIPAÇOES EIRELI"/>
    <s v="LDP-C-253-2"/>
    <s v="C-253"/>
    <s v="C-253-0166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KLATER PARTRICIPAÇOES EIRELI"/>
    <s v="LDP-C-253-3"/>
    <s v="C-253"/>
    <s v="C-253-0167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KLATER PARTRICIPAÇOES EIRELI"/>
    <s v="LDP-C-253-4"/>
    <s v="C-253"/>
    <s v="C-253-0168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ANJOBC NEGOCIOS E PARTICIPACOES LTDA"/>
    <s v="LDP-B-201-8"/>
    <s v="B-201"/>
    <s v="B-201-0169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x v="7"/>
    <s v="HUGO GUIMARAES RODRIGUES"/>
    <s v="LDP-B-301-10"/>
    <s v="B-301"/>
    <s v="B-301-0170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x v="57"/>
    <s v="GETULIO VELASCO MOREIRA FILHO"/>
    <s v="LDP-B-105-1"/>
    <s v="B-105"/>
    <s v="B-105-0171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2"/>
    <s v="B-105"/>
    <s v="B-105-0172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3"/>
    <s v="B-105"/>
    <s v="B-105-0173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4"/>
    <s v="B-105"/>
    <s v="B-105-0174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8"/>
    <s v="ZAIRA POSTAL TIRELLI"/>
    <s v="LDP-B-201-3"/>
    <s v="B-201"/>
    <s v="B-201-0175"/>
    <s v="ASSINADO"/>
    <x v="1"/>
    <d v="2024-07-31T00:00:00"/>
    <n v="6"/>
    <s v="GUSTAVO RIBEIRO GOMES"/>
    <s v="GUSTAVO RIBEIRO GOMES"/>
    <s v="-"/>
    <s v="Interna"/>
    <s v="Longuissima"/>
    <s v="Showroom"/>
    <x v="0"/>
    <m/>
    <s v="RS"/>
    <m/>
    <d v="2022-12-10T00:00:00"/>
    <d v="2022-12-10T00:00:00"/>
    <n v="0"/>
    <n v="333000"/>
    <n v="333000"/>
    <n v="358000"/>
  </r>
  <r>
    <x v="58"/>
    <s v="MARCELO MEDEIROS VIEIRA"/>
    <s v="LDP-B-301-5"/>
    <s v="B-301"/>
    <s v="B-301-0176"/>
    <s v="ASSINADO"/>
    <x v="1"/>
    <d v="2022-12-14T00:00:00"/>
    <n v="6"/>
    <s v="TAMIRES SOARES DE CARVALHO"/>
    <s v="FELLIPE BRAZ FERREIRA BILATE"/>
    <s v="-"/>
    <s v="Interna"/>
    <s v="Longa"/>
    <s v="Showroom"/>
    <x v="0"/>
    <m/>
    <s v="-"/>
    <m/>
    <d v="2022-12-10T00:00:00"/>
    <d v="2022-12-10T00:00:00"/>
    <n v="0"/>
    <n v="0"/>
    <n v="0"/>
    <n v="355000"/>
  </r>
  <r>
    <x v="58"/>
    <s v="HEDLEY PORT"/>
    <s v="LDP-B-317-7"/>
    <s v="B-317"/>
    <s v="B-317-0177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x v="58"/>
    <s v="HEDLEY PORT"/>
    <s v="LDP-B-317-8"/>
    <s v="B-317"/>
    <s v="B-317-0178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x v="59"/>
    <s v="CESAR LUIS RODRIGUES"/>
    <s v="LDP-B-301-7"/>
    <s v="B-301"/>
    <s v="B-301-0179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x v="59"/>
    <s v="CESAR LUIS RODRIGUES"/>
    <s v="LDP-B-301-8"/>
    <s v="B-301"/>
    <s v="B-301-0180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x v="59"/>
    <s v="NATHAN PEREIRA DE BARROS"/>
    <s v="LDP-B-319-7"/>
    <s v="B-319"/>
    <s v="B-319-0181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x v="59"/>
    <s v="ANA CAROLINE MAZZARDO"/>
    <s v="LDP-B-319-8"/>
    <s v="B-319"/>
    <s v="B-319-0182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x v="7"/>
    <s v="KLATER PARTRICIPAÇOES EIRELI"/>
    <s v="LDP-Vaga-001"/>
    <s v="Vaga-001"/>
    <s v="Vaga-001-0183"/>
    <s v="ASSINADO"/>
    <x v="0"/>
    <d v="1899-12-30T00:00:00"/>
    <n v="52"/>
    <s v="PAULO HENRIQUE CARNEIRO DO PRADO MIALICHI"/>
    <s v="PAULO HENRIQUE CARNEIRO DO PRADO MIALICHI"/>
    <s v="-"/>
    <s v="Interna"/>
    <s v="A vista"/>
    <s v="Online"/>
    <x v="0"/>
    <m/>
    <s v="RS"/>
    <m/>
    <s v="-"/>
    <d v="2022-12-07T00:00:00"/>
    <m/>
    <n v="200000"/>
    <n v="200000"/>
    <n v="200000"/>
  </r>
  <r>
    <x v="60"/>
    <s v="MIRIAM GUERRA DAMBORIARENA LOUREGA"/>
    <s v="LDP-B-321-1"/>
    <s v="B-321"/>
    <s v="B-321-0184"/>
    <s v="ASSINADO"/>
    <x v="0"/>
    <d v="1899-12-30T00:00:00"/>
    <n v="6"/>
    <s v="CLEUZIANE SANTOS DE CARVALHO"/>
    <s v="CLEUZIANE SANTOS DE CARVALHO"/>
    <s v="-"/>
    <s v="Interna"/>
    <s v="Longuissima"/>
    <s v="Online"/>
    <x v="0"/>
    <m/>
    <s v="RS"/>
    <m/>
    <d v="2022-12-14T00:00:00"/>
    <d v="2022-12-15T00:00:00"/>
    <n v="1"/>
    <n v="327000"/>
    <n v="327000"/>
    <n v="350000"/>
  </r>
  <r>
    <x v="61"/>
    <s v="BRUNO DE FIGUEIREDO PIMPAO"/>
    <s v="LDP-B-321-4"/>
    <s v="B-321"/>
    <s v="B-321-0185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PR"/>
    <m/>
    <d v="2022-12-14T00:00:00"/>
    <d v="2022-12-16T00:00:00"/>
    <n v="2"/>
    <n v="327000"/>
    <n v="327000"/>
    <n v="350000"/>
  </r>
  <r>
    <x v="62"/>
    <s v="DIONAS DOUGLAS ANVERCA"/>
    <s v="LDP-B-321-2"/>
    <s v="B-321"/>
    <s v="B-321-0186"/>
    <s v="ASSINADO"/>
    <x v="1"/>
    <d v="2023-01-23T00:00:00"/>
    <n v="6"/>
    <s v="GUSTAVO RIBEIRO GOMES"/>
    <s v="GUSTAVO RIBEIRO GOMES"/>
    <s v="-"/>
    <s v="Interna"/>
    <s v="Longuissima"/>
    <s v="Showroom"/>
    <x v="0"/>
    <m/>
    <s v="-"/>
    <m/>
    <d v="2022-12-17T00:00:00"/>
    <d v="2022-12-17T00:00:00"/>
    <n v="0"/>
    <n v="0"/>
    <n v="0"/>
    <n v="348538"/>
  </r>
  <r>
    <x v="63"/>
    <s v="FELIPE DEPPE ALVES"/>
    <s v="LDP-B-321-7"/>
    <s v="B-321"/>
    <s v="B-321-0187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x v="63"/>
    <s v="FELIPE DEPPE ALVES"/>
    <s v="LDP-B-321-8"/>
    <s v="B-321"/>
    <s v="B-321-0188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x v="64"/>
    <s v="DEYSI CRISTINA DA ROLT"/>
    <s v="LDP-B-317-9"/>
    <s v="B-317"/>
    <s v="B-301-0189"/>
    <s v="ASSINADO"/>
    <x v="0"/>
    <d v="1899-12-30T00:00:00"/>
    <n v="4"/>
    <s v="PAULO HENRIQUE CARNEIRO DO PRADO MIALICHI"/>
    <s v="PAULO HENRIQUE CARNEIRO DO PRADO MIALICHI"/>
    <s v="-"/>
    <s v="Interna"/>
    <s v="Longuissima"/>
    <s v="Showroom"/>
    <x v="0"/>
    <m/>
    <s v="RS"/>
    <m/>
    <s v="-"/>
    <d v="2022-12-20T00:00:00"/>
    <m/>
    <n v="234000"/>
    <n v="234000"/>
    <n v="235000"/>
  </r>
  <r>
    <x v="64"/>
    <s v="DEYSI CRISTINA DA ROLT"/>
    <s v="LDP-B-317-10"/>
    <s v="B-317"/>
    <s v="B-317-0190"/>
    <s v="ASSINADO"/>
    <x v="0"/>
    <d v="1899-12-30T00:00:00"/>
    <n v="4"/>
    <s v="PAULO HENRIQUE CARNEIRO DO PRADO MIALICHI"/>
    <s v="PAULO HENRIQUE CARNEIRO DO PRADO MIALICHI"/>
    <s v="-"/>
    <s v="Interna"/>
    <s v="Longuissima"/>
    <s v="Online"/>
    <x v="0"/>
    <m/>
    <s v="RS"/>
    <m/>
    <d v="2022-12-20T00:00:00"/>
    <d v="2022-12-20T00:00:00"/>
    <n v="0"/>
    <n v="234000"/>
    <n v="234000"/>
    <n v="235000"/>
  </r>
  <r>
    <x v="65"/>
    <s v="ANA CAROLINA ALVES DE LIMA SALEM VANOSSI"/>
    <s v="LDP-B-321-9"/>
    <s v="B-321"/>
    <s v="B-321-0191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x v="65"/>
    <s v="ANA CAROLINA ALVES DE LIMA SALEM VANOSSI"/>
    <s v="LDP-B-321-10"/>
    <s v="B-321"/>
    <s v="B-321-0192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x v="66"/>
    <s v="KAIO PINHEIRO"/>
    <s v="LDP-B-321-5"/>
    <s v="B-321"/>
    <s v="B-321-0193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x v="66"/>
    <s v="KAIO PINHEIRO"/>
    <s v="LDP-B-321-6"/>
    <s v="B-321"/>
    <s v="B-321-0194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x v="67"/>
    <s v="DEISI FRANCIELE ROHR"/>
    <s v="LDP-B-321-3"/>
    <s v="B-321"/>
    <s v="B-321-0195"/>
    <s v="NAO ASSINADO"/>
    <x v="1"/>
    <d v="2023-01-20T00:00:00"/>
    <n v="6"/>
    <s v="PAULO HENRIQUE CARNEIRO DO PRADO MIALICHI"/>
    <s v="PAULO HENRIQUE CARNEIRO DO PRADO MIALICHI"/>
    <s v="-"/>
    <s v="Interna"/>
    <s v="Curta"/>
    <n v="0"/>
    <x v="0"/>
    <m/>
    <s v="-"/>
    <m/>
    <d v="2022-12-23T00:00:00"/>
    <d v="2023-01-01T00:00:00"/>
    <n v="9"/>
    <n v="0"/>
    <n v="0"/>
    <n v="330000"/>
  </r>
  <r>
    <x v="68"/>
    <s v="LUCIANA SILVEIRA MANOSSO DA COSTA"/>
    <s v="LDP-B-301-5"/>
    <s v="B-301"/>
    <s v="B-301-0196"/>
    <s v="ASSINADO"/>
    <x v="1"/>
    <d v="2023-01-02T00:00:00"/>
    <n v="6"/>
    <s v="GUSTAVO RIBEIRO GOMES"/>
    <s v="GUSTAVO RIBEIRO GOMES"/>
    <s v="-"/>
    <s v="Interna"/>
    <s v="Longuissima"/>
    <s v="Showroom"/>
    <x v="0"/>
    <m/>
    <s v="-"/>
    <m/>
    <d v="2022-12-24T00:00:00"/>
    <d v="2022-12-24T00:00:00"/>
    <n v="0"/>
    <n v="0"/>
    <n v="0"/>
    <n v="358000"/>
  </r>
  <r>
    <x v="68"/>
    <s v="REBECCA LIZ DALMEIDA PERALTA"/>
    <s v="LDP-A-211-4"/>
    <s v="A-211"/>
    <s v="A-211-0197"/>
    <s v="ASSINADO"/>
    <x v="1"/>
    <d v="2023-08-08T00:00:00"/>
    <n v="13"/>
    <s v="CLEUZIANE SANTOS DE CARVALHO"/>
    <s v="LEONARDO RIBEIRO"/>
    <s v="-"/>
    <s v="Interna"/>
    <s v="Longa"/>
    <s v="Showroom"/>
    <x v="0"/>
    <m/>
    <s v="SP"/>
    <m/>
    <d v="2022-12-24T00:00:00"/>
    <d v="2022-12-24T00:00:00"/>
    <n v="0"/>
    <n v="1022000"/>
    <n v="1022000"/>
    <n v="1200000"/>
  </r>
  <r>
    <x v="69"/>
    <s v="JOAO JACKSON DUARTE"/>
    <s v="LDP-B-316-9"/>
    <s v="B-316"/>
    <s v="B-316-0198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x v="69"/>
    <s v="JOAO JACKSON DUARTE"/>
    <s v="LDP-B-316-10"/>
    <s v="B-316"/>
    <s v="B-316-0199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x v="70"/>
    <s v="MARIA GABRIELA CARVALHO BORGES"/>
    <s v="LDP-A-204-2"/>
    <s v="A-204"/>
    <s v="A-204-0200"/>
    <s v="ASSINADO"/>
    <x v="1"/>
    <d v="2022-12-29T00:00:00"/>
    <n v="13"/>
    <s v="ELIS MAYARA BESERRA DE CARVALHO"/>
    <s v="MATEUS ORLANDO BEGNINI"/>
    <s v="-"/>
    <s v="Interna"/>
    <s v="Longa"/>
    <n v="0"/>
    <x v="0"/>
    <m/>
    <s v="-"/>
    <m/>
    <d v="2022-12-26T00:00:00"/>
    <d v="2022-12-27T00:00:00"/>
    <n v="1"/>
    <n v="0"/>
    <n v="0"/>
    <n v="1200000"/>
  </r>
  <r>
    <x v="67"/>
    <s v="CRISTIANO GIMENEZ FRANCO"/>
    <s v="LDP-A-201-1"/>
    <s v="A-201"/>
    <s v="A-201-0201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LICEIA DE MORAES DOS SANTOS"/>
    <s v="LDP-A-111-4"/>
    <s v="A-111"/>
    <s v="A-111-0202"/>
    <s v="ASSINADO"/>
    <x v="0"/>
    <d v="1899-12-30T00:00:00"/>
    <n v="13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365000"/>
    <n v="1365000"/>
    <n v="999970"/>
  </r>
  <r>
    <x v="67"/>
    <s v="CRISTIANO GIMENEZ FRANCO"/>
    <s v="LDP-A-201-2"/>
    <s v="A-201"/>
    <s v="A-201-0203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CRISTIANO GIMENEZ FRANCO"/>
    <s v="LDP-A-201-4"/>
    <s v="A-201"/>
    <s v="A-201-0204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CRISTIANO GIMENEZ FRANCO"/>
    <s v="LDP-A-201-3"/>
    <s v="A-201"/>
    <s v="A-201-0205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70"/>
    <s v="ICARO MARIO CARON COVATTI"/>
    <s v="LDP-B-301-6"/>
    <s v="B-301"/>
    <s v="B-301-0206"/>
    <s v="ASSINADO"/>
    <x v="0"/>
    <d v="1899-12-30T00:00:00"/>
    <n v="6"/>
    <s v="THIAGO ANDREI DOS SANTOS PEREIRA"/>
    <s v="ARIANE PEREIRA BARBOSA"/>
    <s v="-"/>
    <s v="Interna"/>
    <s v="Longuissima"/>
    <s v="Showroom"/>
    <x v="0"/>
    <m/>
    <s v="RS"/>
    <m/>
    <d v="2022-12-27T00:00:00"/>
    <d v="2022-12-27T00:00:00"/>
    <n v="0"/>
    <n v="333000"/>
    <n v="333000"/>
    <n v="357986"/>
  </r>
  <r>
    <x v="67"/>
    <s v="THIAGO DE PAULA BRONZI"/>
    <s v="LDP-A-101-1"/>
    <s v="A-101"/>
    <s v="A-101-0207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2"/>
    <s v="A-101"/>
    <s v="A-101-0208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3"/>
    <s v="A-101"/>
    <s v="A-101-0209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4"/>
    <s v="A-101"/>
    <s v="A-101-0210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9"/>
    <s v="BRUNA CASSOL DAGA"/>
    <s v="LDP-B-201-2"/>
    <s v="B-201"/>
    <s v="B-201-0211"/>
    <s v="NAO ASSINADO"/>
    <x v="1"/>
    <d v="2023-01-06T00:00:00"/>
    <n v="6"/>
    <s v="DIEGO SAMPAIO FAÇANHA"/>
    <s v="MATEUS ORLANDO BEGNINI"/>
    <s v="-"/>
    <s v="Interna"/>
    <s v="Longa"/>
    <n v="0"/>
    <x v="0"/>
    <m/>
    <s v="-"/>
    <m/>
    <d v="2022-11-03T00:00:00"/>
    <d v="2022-12-26T00:00:00"/>
    <n v="53"/>
    <n v="0"/>
    <n v="0"/>
    <n v="350000"/>
  </r>
  <r>
    <x v="71"/>
    <s v="CHRISTIAN VELLOSO KUHN"/>
    <s v="LDP-B-201-4"/>
    <s v="B-201"/>
    <s v="B-201-0212"/>
    <s v="ASSINADO"/>
    <x v="1"/>
    <d v="2023-08-10T00:00:00"/>
    <n v="6"/>
    <s v="MATHEUS FELIPE DA FONSECA SCHUTZ"/>
    <s v="LEONARDO RIBEIRO"/>
    <s v="-"/>
    <s v="Interna"/>
    <s v="Longa"/>
    <s v="Showroom"/>
    <x v="0"/>
    <m/>
    <s v="RS"/>
    <m/>
    <d v="2022-12-29T00:00:00"/>
    <d v="2022-12-29T00:00:00"/>
    <n v="0"/>
    <n v="333000"/>
    <n v="333000"/>
    <n v="360000"/>
  </r>
  <r>
    <x v="72"/>
    <s v="AUGUSTO CESAR DE VIDAL BASTOS"/>
    <s v="LDP-B-219-7"/>
    <s v="B-219"/>
    <s v="B-219-0213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x v="72"/>
    <s v="AUGUSTO CESAR DE VIDAL BASTOS"/>
    <s v="LDP-B-219-8"/>
    <s v="B-219"/>
    <s v="B-219-0214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x v="73"/>
    <s v="LIM PARTICIPAÇOES LTDA"/>
    <s v="LDP-B-316-7"/>
    <s v="B-316"/>
    <s v="B-316-0215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x v="73"/>
    <s v="LIM PARTICIPAÇOES LTDA"/>
    <s v="LDP-B-316-8"/>
    <s v="B-316"/>
    <s v="B-316-0216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x v="67"/>
    <s v="RENATA PEREIRA DE ALCANTARA"/>
    <s v="LDP-B-317-1"/>
    <s v="B-317"/>
    <s v="B-317-0217"/>
    <s v="ASSINADO"/>
    <x v="0"/>
    <d v="1899-12-30T00:00:00"/>
    <n v="6"/>
    <s v="MATHEUS FELIPE DA FONSECA SCHUTZ"/>
    <s v="MATEUS ORLANDO BEGNINI"/>
    <s v="-"/>
    <s v="Interna"/>
    <s v="Longuissima"/>
    <s v="Showroom"/>
    <x v="0"/>
    <m/>
    <s v="RS"/>
    <m/>
    <d v="2023-01-01T00:00:00"/>
    <d v="2023-01-01T00:00:00"/>
    <n v="0"/>
    <n v="327000"/>
    <n v="327000"/>
    <n v="360000"/>
  </r>
  <r>
    <x v="74"/>
    <s v="RUBENS MARCELO PEREIRA DA SILVA"/>
    <s v="LDP-B-307-1"/>
    <s v="B-307"/>
    <s v="B-307-0218"/>
    <s v="NAO ASSINADO"/>
    <x v="1"/>
    <d v="2023-01-19T00:00:00"/>
    <n v="13"/>
    <s v="GÉSSICA GOZZI"/>
    <s v="MARCO ANTÔNIO FÉLIX ZAMBRANA"/>
    <s v="-"/>
    <s v="Interna"/>
    <s v="Longa"/>
    <n v="0"/>
    <x v="0"/>
    <m/>
    <s v="-"/>
    <m/>
    <d v="2023-01-02T00:00:00"/>
    <d v="2023-01-02T00:00:00"/>
    <n v="0"/>
    <n v="0"/>
    <n v="0"/>
    <n v="673200"/>
  </r>
  <r>
    <x v="74"/>
    <s v="CHRISTIANI COSTA DE ARECIPPO"/>
    <s v="LDP-B-307-2"/>
    <s v="B-307"/>
    <s v="B-307-0219"/>
    <s v="ASSINADO"/>
    <x v="0"/>
    <d v="1899-12-30T00:00:00"/>
    <n v="13"/>
    <s v="GÉSSICA GOZZI"/>
    <s v="MARCO ANTÔNIO FÉLIX ZAMBRANA"/>
    <s v="-"/>
    <s v="Interna"/>
    <s v="Longa"/>
    <s v="Showroom"/>
    <x v="0"/>
    <m/>
    <s v="AL"/>
    <m/>
    <d v="2023-01-02T00:00:00"/>
    <d v="2023-01-02T00:00:00"/>
    <n v="0"/>
    <n v="696000"/>
    <n v="696000"/>
    <n v="673200"/>
  </r>
  <r>
    <x v="35"/>
    <s v="ALINE DEFAVERI DO PRADO"/>
    <s v="LDP-B-203-5"/>
    <s v="B-203"/>
    <s v="B-203-0220"/>
    <s v="ASSINADO"/>
    <x v="1"/>
    <d v="2023-01-06T00:00:00"/>
    <n v="6"/>
    <s v="LUIZ HENRIQUE DE LUCCA MUNAIER"/>
    <s v="MARCO ANTÔNIO FÉLIX ZAMBRANA"/>
    <s v="-"/>
    <s v="Interna"/>
    <s v="Longuissima"/>
    <s v="Showroom"/>
    <x v="0"/>
    <m/>
    <s v="-"/>
    <m/>
    <d v="2023-01-04T00:00:00"/>
    <d v="2023-01-04T00:00:00"/>
    <n v="0"/>
    <n v="0"/>
    <n v="0"/>
    <n v="355000"/>
  </r>
  <r>
    <x v="35"/>
    <s v="LUCIANA SAMPAIO PEIXOTO FERNANDES"/>
    <s v="LDP-A-105-1"/>
    <s v="A-105"/>
    <s v="A-105-0221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2"/>
    <s v="A-105"/>
    <s v="A-105-0222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3"/>
    <s v="A-105"/>
    <s v="A-105-0223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4"/>
    <s v="A-105"/>
    <s v="A-105-0224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75"/>
    <s v="MARIA CLARA MARTINS SOUZA NOSE"/>
    <s v="LDP-B-210-9"/>
    <s v="B-210"/>
    <s v="B-210-0225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x v="75"/>
    <s v="MARIA CLARA MARTINS SOUZA NOSE"/>
    <s v="LDP-B-210-10"/>
    <s v="B-210"/>
    <s v="B-210-0226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x v="76"/>
    <s v="RAFAEL DE PINHO SOUZA"/>
    <s v="LDP-B-321-9"/>
    <s v="B-321"/>
    <s v="B-321-0227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x v="76"/>
    <s v="RAFAEL DE PINHO SOUZA"/>
    <s v="LDP-B-321-10"/>
    <s v="B-321"/>
    <s v="B-321-0228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x v="77"/>
    <s v="SOLID JKLA HOLDING PATRIMONIAL LTDA"/>
    <s v="LDP-A-204-3"/>
    <s v="A-204"/>
    <s v="A-204-0229"/>
    <s v="ASSINADO"/>
    <x v="0"/>
    <d v="1899-12-30T00:00:00"/>
    <n v="13"/>
    <s v="GRAZIELA MAGALHÃES SUBAM"/>
    <s v="PAULO HENRIQUE CARNEIRO DO PRADO MIALICHI"/>
    <s v="-"/>
    <s v="Interna"/>
    <s v="Longuissima"/>
    <s v="Online"/>
    <x v="0"/>
    <m/>
    <s v="SP"/>
    <m/>
    <d v="2023-01-08T00:00:00"/>
    <d v="2023-01-08T00:00:00"/>
    <n v="0"/>
    <n v="1240000"/>
    <n v="1240000"/>
    <n v="1500000"/>
  </r>
  <r>
    <x v="77"/>
    <s v="AUREA SANTOS ALMEIDA"/>
    <s v="LDP-B-301-5"/>
    <s v="B-301"/>
    <s v="B-301-0230"/>
    <s v="ASSINADO"/>
    <x v="1"/>
    <d v="2023-01-12T00:00:00"/>
    <n v="6"/>
    <s v="MATHEUS FELIPE DA FONSECA SCHUTZ"/>
    <s v="MATHEUS FELIPE DA FONSECA SCHUTZ"/>
    <s v="-"/>
    <s v="Interna"/>
    <s v="Longuissima"/>
    <s v="Showroom"/>
    <x v="0"/>
    <m/>
    <s v="-"/>
    <m/>
    <d v="2023-01-08T00:00:00"/>
    <d v="2023-01-08T00:00:00"/>
    <n v="0"/>
    <n v="0"/>
    <n v="0"/>
    <n v="360000"/>
  </r>
  <r>
    <x v="77"/>
    <s v="MARCOS RENATO GELSI DOS SANTOS"/>
    <s v="LDP-A-111-1"/>
    <s v="A-111"/>
    <s v="A-111-0231"/>
    <s v="ASSINADO"/>
    <x v="0"/>
    <d v="1899-12-30T00:00:00"/>
    <n v="13"/>
    <s v="DIEGO SAMPAIO FAÇANHA"/>
    <s v="ARIANE PEREIRA BARBOSA"/>
    <s v="-"/>
    <s v="Interna"/>
    <s v="Longa"/>
    <s v="Showroom"/>
    <x v="0"/>
    <m/>
    <s v="SP"/>
    <m/>
    <d v="2023-01-08T00:00:00"/>
    <d v="2023-01-08T00:00:00"/>
    <n v="0"/>
    <n v="1365000"/>
    <n v="1365000"/>
    <n v="1370000"/>
  </r>
  <r>
    <x v="78"/>
    <s v="GABRIELA NEHME BEMFICA"/>
    <s v="LDP-B-210-2"/>
    <s v="B-210"/>
    <s v="B-210-0232"/>
    <s v="ASSINADO"/>
    <x v="1"/>
    <d v="2023-06-26T00:00:00"/>
    <n v="6"/>
    <s v="CLEUZIANE SANTOS DE CARVALHO"/>
    <s v="LEONARDO RIBEIRO"/>
    <s v="-"/>
    <s v="Interna"/>
    <s v="Longa"/>
    <n v="0"/>
    <x v="0"/>
    <m/>
    <s v="-"/>
    <m/>
    <d v="2023-01-09T00:00:00"/>
    <d v="2023-01-09T00:00:00"/>
    <n v="0"/>
    <n v="333000"/>
    <n v="333000"/>
    <n v="400000"/>
  </r>
  <r>
    <x v="78"/>
    <s v="MAYNI GARRIDO PEREIRA"/>
    <s v="LDP-B-203-1"/>
    <s v="B-203"/>
    <s v="B-203-0233"/>
    <s v="ASSINADO"/>
    <x v="0"/>
    <d v="1899-12-30T00:00:00"/>
    <n v="6"/>
    <s v="ELIS MAYARA BESERRA DE CARVALHO"/>
    <s v="MATEUS ORLANDO BEGNINI"/>
    <s v="-"/>
    <s v="Interna"/>
    <s v="Longuissima"/>
    <s v="Showroom"/>
    <x v="0"/>
    <m/>
    <s v="SP"/>
    <m/>
    <d v="2023-01-09T00:00:00"/>
    <d v="2023-01-09T00:00:00"/>
    <n v="0"/>
    <n v="327000"/>
    <n v="327000"/>
    <n v="366920"/>
  </r>
  <r>
    <x v="79"/>
    <s v="ADEMAR CHAGAS DA CRUZ"/>
    <s v="LDP-B-316-1"/>
    <s v="B-316"/>
    <s v="B-316-0234"/>
    <s v="ASSINADO"/>
    <x v="0"/>
    <d v="1899-12-30T00:00:00"/>
    <n v="6"/>
    <s v="MARIA KAROLINE DO NASCIMENTO RODRIGUES"/>
    <s v="LEONARDO RIBEIRO"/>
    <s v="-"/>
    <s v="Interna"/>
    <s v="Longa"/>
    <s v="Showroom"/>
    <x v="0"/>
    <m/>
    <s v="MS"/>
    <m/>
    <d v="2023-01-13T00:00:00"/>
    <d v="2023-01-13T00:00:00"/>
    <n v="0"/>
    <n v="333000"/>
    <n v="333000"/>
    <n v="410000"/>
  </r>
  <r>
    <x v="80"/>
    <s v="EDSON AVILA"/>
    <s v="LDP-A-211-2"/>
    <s v="A-211"/>
    <s v="A-211-0235"/>
    <s v="ASSINADO"/>
    <x v="0"/>
    <d v="1899-12-30T00:00:00"/>
    <n v="13"/>
    <s v="DIEGO SAMPAIO FAÇANHA"/>
    <s v="ARIANE PEREIRA BARBOSA"/>
    <s v="-"/>
    <s v="Interna"/>
    <s v="Curta"/>
    <s v="Showroom"/>
    <x v="0"/>
    <m/>
    <s v="SC"/>
    <m/>
    <d v="2023-01-13T00:00:00"/>
    <d v="2023-02-01T00:00:00"/>
    <n v="19"/>
    <n v="1022000"/>
    <n v="1022000"/>
    <n v="1056825"/>
  </r>
  <r>
    <x v="81"/>
    <s v="JOAO MARCELO MENDES DE SIQUEIRA"/>
    <s v="LDP-B-316-6"/>
    <s v="B-316"/>
    <s v="B-316-0236"/>
    <s v="ASSINADO"/>
    <x v="1"/>
    <d v="2023-01-31T00:00:00"/>
    <n v="6"/>
    <s v="GRAZIELA MAGALHÃES SUBAM"/>
    <s v="GRAZIELA MAGALHÃES SUBAM"/>
    <s v="-"/>
    <s v="Interna"/>
    <s v="Longa"/>
    <n v="0"/>
    <x v="0"/>
    <m/>
    <s v="-"/>
    <m/>
    <d v="2023-01-14T00:00:00"/>
    <d v="2023-01-14T00:00:00"/>
    <n v="0"/>
    <n v="0"/>
    <n v="0"/>
    <n v="397000"/>
  </r>
  <r>
    <x v="82"/>
    <s v="LEANDRO ROBERTO WINTER"/>
    <s v="LDP-B-210-3"/>
    <s v="B-210"/>
    <s v="B-210-0237"/>
    <s v="ASSINADO"/>
    <x v="1"/>
    <d v="2023-02-02T00:00:00"/>
    <n v="6"/>
    <s v="DEISE ELIANE SILVA DE OLIVEIRA"/>
    <s v="VINICIUS SANDER LIBARDI"/>
    <s v="-"/>
    <s v="Interna"/>
    <s v="Longuissima"/>
    <n v="0"/>
    <x v="0"/>
    <m/>
    <s v="-"/>
    <m/>
    <d v="2023-01-15T00:00:00"/>
    <d v="2023-01-15T00:00:00"/>
    <n v="0"/>
    <n v="0"/>
    <n v="0"/>
    <n v="398000"/>
  </r>
  <r>
    <x v="82"/>
    <s v="L. PHILIPPE CONSTRUÇOES EIRELI"/>
    <s v="LDP-A-111-2"/>
    <s v="A-111"/>
    <s v="A-111-0238"/>
    <s v="ASSINADO"/>
    <x v="0"/>
    <d v="1899-12-30T00:00:00"/>
    <n v="13"/>
    <s v="MATHEUS FELIPE DA FONSECA SCHUTZ"/>
    <s v="LEONARDO RIBEIRO"/>
    <s v="-"/>
    <s v="Interna"/>
    <s v="Longuissima"/>
    <s v="Showroom"/>
    <x v="0"/>
    <m/>
    <s v="RJ"/>
    <m/>
    <d v="2023-01-15T00:00:00"/>
    <d v="2023-01-15T00:00:00"/>
    <n v="0"/>
    <n v="1365000"/>
    <n v="1365000"/>
    <n v="1500000"/>
  </r>
  <r>
    <x v="83"/>
    <s v="MARCIO TEIXEIRA DE FARIAS"/>
    <s v="LDP-B-301-5"/>
    <s v="B-301"/>
    <s v="B-301-0239"/>
    <s v="ASSINADO"/>
    <x v="1"/>
    <d v="2023-11-28T00:00:00"/>
    <n v="6"/>
    <s v="DEISE ELIANE SILVA DE OLIVEIRA"/>
    <s v="LEONARDO RIBEIRO"/>
    <s v="-"/>
    <s v="Interna"/>
    <s v="Longa"/>
    <s v="Showroom"/>
    <x v="0"/>
    <m/>
    <s v="RS"/>
    <m/>
    <d v="2023-01-17T00:00:00"/>
    <d v="2023-01-17T00:00:00"/>
    <n v="0"/>
    <n v="333000"/>
    <n v="333000"/>
    <n v="360000"/>
  </r>
  <r>
    <x v="84"/>
    <s v="JULIA ELIZA RUBIN"/>
    <s v="LDP-B-203-7"/>
    <s v="B-203"/>
    <s v="B-203-0240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x v="84"/>
    <s v="JULIA ELIZA RUBIN"/>
    <s v="LDP-B-203-8"/>
    <s v="B-203"/>
    <s v="B-203-0241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x v="84"/>
    <s v="IGOR VILAS BOAS DE FREITAS"/>
    <s v="LDP-B-210-4"/>
    <s v="B-210"/>
    <s v="B-210-0242"/>
    <s v="ASSINADO"/>
    <x v="1"/>
    <d v="2023-01-31T00:00:00"/>
    <n v="6"/>
    <s v="GUILHERME PESSOA PONTES"/>
    <s v="GUILHERME PESSOA PONTES"/>
    <s v="-"/>
    <s v="Interna"/>
    <s v="Longa"/>
    <s v="Showroom"/>
    <x v="0"/>
    <m/>
    <s v="-"/>
    <m/>
    <d v="2023-01-19T00:00:00"/>
    <d v="2023-01-19T00:00:00"/>
    <n v="0"/>
    <n v="0"/>
    <n v="0"/>
    <n v="390000"/>
  </r>
  <r>
    <x v="85"/>
    <s v="JOAO AUGUSTO KETTERMANN"/>
    <s v="LDP-A-213-1"/>
    <s v="A-213"/>
    <s v="A-213-0243"/>
    <s v="NAO ASSINADO"/>
    <x v="1"/>
    <d v="2023-01-23T00:00:00"/>
    <n v="13"/>
    <s v="MARIA KAROLINE DO NASCIMENTO RODRIGUES"/>
    <s v="FELLIPE BRAZ FERREIRA BILATE"/>
    <s v="-"/>
    <s v="Interna"/>
    <s v="Curta"/>
    <s v="Showroom"/>
    <x v="0"/>
    <m/>
    <s v="-"/>
    <m/>
    <d v="2023-01-22T00:00:00"/>
    <d v="2023-01-22T00:00:00"/>
    <n v="0"/>
    <n v="0"/>
    <n v="0"/>
    <n v="1100000"/>
  </r>
  <r>
    <x v="86"/>
    <s v="ARTHUR LUIZ LIMA CAPELLA"/>
    <s v="LDP-B-316-2"/>
    <s v="B-316"/>
    <s v="B-316-0244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33000"/>
    <n v="333000"/>
    <n v="298000"/>
  </r>
  <r>
    <x v="86"/>
    <s v="ARTHUR LUIZ LIMA CAPELLA"/>
    <s v="LDP-B-119-3"/>
    <s v="B-119"/>
    <s v="B-119-0245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54000"/>
    <n v="354000"/>
    <n v="292000"/>
  </r>
  <r>
    <x v="87"/>
    <s v="CYNTHIA SANTOS MAGALHAES ROCHA"/>
    <s v="LDP-B-321-3"/>
    <s v="B-321"/>
    <s v="B-321-0246"/>
    <s v="ASSINADO"/>
    <x v="0"/>
    <d v="1899-12-30T00:00:00"/>
    <n v="6"/>
    <s v="MARIA KAROLINE DO NASCIMENTO RODRIGUES"/>
    <s v="PAULO HENRIQUE CARNEIRO DO PRADO MIALICHI"/>
    <s v="-"/>
    <s v="Interna"/>
    <s v="Longuissima"/>
    <s v="Showroom"/>
    <x v="0"/>
    <m/>
    <s v="SC"/>
    <m/>
    <d v="2023-01-26T00:00:00"/>
    <d v="2023-01-26T00:00:00"/>
    <n v="0"/>
    <n v="327000"/>
    <n v="327000"/>
    <n v="336875"/>
  </r>
  <r>
    <x v="80"/>
    <s v="ALEXANDRE DE ASSIS"/>
    <s v="LDP-B-101-9"/>
    <s v="B-101"/>
    <s v="B-101-0247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x v="80"/>
    <s v="ALEXANDRE DE ASSIS"/>
    <s v="LDP-B-101-10"/>
    <s v="B-101"/>
    <s v="B-101-0248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x v="88"/>
    <s v="FLAVIO ELIAS RIBAS"/>
    <s v="LDP-B-321-2"/>
    <s v="B-321"/>
    <s v="B-321-0249"/>
    <s v="ASSINADO"/>
    <x v="0"/>
    <d v="1899-12-30T00:00:00"/>
    <n v="6"/>
    <s v="DIEGO SAMPAIO FAÇANHA"/>
    <s v="LEONARDO RIBEIRO"/>
    <s v="-"/>
    <s v="Interna"/>
    <s v="Longuissima"/>
    <s v="Showroom"/>
    <x v="0"/>
    <m/>
    <s v="RS"/>
    <m/>
    <d v="2023-01-27T00:00:00"/>
    <d v="2023-01-27T00:00:00"/>
    <n v="0"/>
    <n v="327000"/>
    <n v="327000"/>
    <n v="340000"/>
  </r>
  <r>
    <x v="89"/>
    <s v="DEMERVAL FERREIRA"/>
    <s v="LDP-B-201-2"/>
    <s v="B-201"/>
    <s v="B-201-0250"/>
    <s v="ASSINADO"/>
    <x v="0"/>
    <d v="1899-12-30T00:00:00"/>
    <n v="6"/>
    <s v="LAISA DANGONI"/>
    <s v="LAÍSA DANGONI"/>
    <s v="-"/>
    <s v="Interna"/>
    <s v="Longuissima"/>
    <s v="Showroom"/>
    <x v="0"/>
    <m/>
    <s v="SP"/>
    <m/>
    <d v="2023-01-28T00:00:00"/>
    <d v="2023-03-01T00:00:00"/>
    <n v="32"/>
    <n v="333000"/>
    <n v="333000"/>
    <n v="368000"/>
  </r>
  <r>
    <x v="89"/>
    <s v="DEMERVAL FERREIRA"/>
    <s v="LDP-B-203-2"/>
    <s v="B-203"/>
    <s v="B-203-0251"/>
    <s v="ASSINADO"/>
    <x v="0"/>
    <d v="1899-12-30T00:00:00"/>
    <n v="6"/>
    <s v="LAISA DANGONI"/>
    <s v="LAÍSA DANGONI"/>
    <s v="-"/>
    <s v="Interna"/>
    <s v="A vista"/>
    <s v="Showroom"/>
    <x v="0"/>
    <m/>
    <s v="SP"/>
    <m/>
    <d v="2023-01-28T00:00:00"/>
    <d v="2023-03-01T00:00:00"/>
    <n v="32"/>
    <n v="327000"/>
    <n v="327000"/>
    <n v="283000"/>
  </r>
  <r>
    <x v="90"/>
    <s v="EDUARDO CAETANO MENDES REIS"/>
    <s v="LDP-B-316-9"/>
    <s v="B-316"/>
    <s v="B-316-0252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x v="90"/>
    <s v="EDUARDO CAETANO MENDES REIS"/>
    <s v="LDP-B-316-10"/>
    <s v="B-316"/>
    <s v="B-316-0253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x v="91"/>
    <s v="JOSIANE CACILDA SEVERO DE ROSA"/>
    <s v="LDP-B-316-5"/>
    <s v="B-316"/>
    <s v="B-316-0254"/>
    <s v="ASSINADO"/>
    <x v="0"/>
    <d v="1899-12-30T00:00:00"/>
    <n v="6"/>
    <s v="GRAZIELA MAGALHÃES SUBAM"/>
    <s v="PAULO HENRIQUE CARNEIRO DO PRADO MIALICHI"/>
    <s v="-"/>
    <s v="Interna"/>
    <s v="A vista"/>
    <s v="Online"/>
    <x v="0"/>
    <m/>
    <s v="RS"/>
    <m/>
    <d v="2023-01-30T00:00:00"/>
    <d v="2023-01-30T00:00:00"/>
    <n v="0"/>
    <n v="333000"/>
    <n v="333000"/>
    <n v="360000"/>
  </r>
  <r>
    <x v="92"/>
    <s v="ROBERTO GREGOLETTO"/>
    <s v="LDP-A-111-3"/>
    <s v="A-111"/>
    <s v="A-111-0255"/>
    <s v="ASSINADO"/>
    <x v="2"/>
    <d v="2023-12-27T00:00:00"/>
    <n v="13"/>
    <s v="LEONARDO RIBEIRO"/>
    <s v="LEONARDO RIBEIRO"/>
    <s v="-"/>
    <s v="Interna"/>
    <s v="Curta"/>
    <s v="Relacionamento Corretor"/>
    <x v="0"/>
    <m/>
    <s v="SC"/>
    <m/>
    <d v="2023-01-31T00:00:00"/>
    <d v="2023-01-31T00:00:00"/>
    <n v="0"/>
    <n v="1365000"/>
    <n v="1365000"/>
    <n v="1300000"/>
  </r>
  <r>
    <x v="80"/>
    <s v="M RODRIGUEZ MENEZES INFORMATICA"/>
    <s v="LDP-B-201-5"/>
    <s v="B-201"/>
    <s v="B-201-0256"/>
    <s v="ASSINADO"/>
    <x v="0"/>
    <d v="1899-12-30T00:00:00"/>
    <n v="6"/>
    <s v="WALMIR APARECIDO AMERICO"/>
    <s v="WALMIR APARECIDO AMERICO"/>
    <s v="-"/>
    <s v="Interna"/>
    <s v="Longa"/>
    <s v="Showroom"/>
    <x v="0"/>
    <m/>
    <s v="RS"/>
    <m/>
    <d v="2023-02-01T00:00:00"/>
    <d v="2023-02-01T00:00:00"/>
    <n v="0"/>
    <n v="333000"/>
    <n v="333000"/>
    <n v="328000"/>
  </r>
  <r>
    <x v="93"/>
    <s v="CORATO INCORPORADORA E CONSTRUTORA DE IMOVEIS LTDA"/>
    <s v="LDP-B-119-9"/>
    <s v="B-119"/>
    <s v="B-119-0257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x v="93"/>
    <s v="CORATO INCORPORADORA E CONSTRUTORA DE IMOVEIS LTDA"/>
    <s v="LDP-B-119-10"/>
    <s v="B-119"/>
    <s v="B-119-0258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x v="94"/>
    <s v="KARINA SULTANI"/>
    <s v="LDP-B-110-9"/>
    <s v="B-110"/>
    <s v="B-110-0259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x v="94"/>
    <s v="KARINA SULTANI"/>
    <s v="LDP-B-110-10"/>
    <s v="B-110"/>
    <s v="B-110-0260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x v="89"/>
    <s v="JULIANA JOHANNPETER FRIEDRICH"/>
    <s v="LDP-C-151-1"/>
    <s v="C-151"/>
    <s v="C-151-0261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C-151-2"/>
    <s v="C-151"/>
    <s v="C-151-0262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C-151-3"/>
    <s v="C-151"/>
    <s v="C-151-0263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Vaga-003"/>
    <s v="Vaga-003"/>
    <s v="Vaga-003-0264"/>
    <s v="ASSINADO"/>
    <x v="0"/>
    <d v="1899-12-30T00:00:00"/>
    <n v="52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00000"/>
    <n v="200000"/>
    <n v="200000"/>
  </r>
  <r>
    <x v="89"/>
    <s v="JULIANA JOHANNPETER FRIEDRICH"/>
    <s v="LDP-C-151-4"/>
    <s v="C-151"/>
    <s v="C-151-0265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95"/>
    <s v="LUIZ EDUARDO FERREIRA"/>
    <s v="LDP-B-203-3"/>
    <s v="B-203"/>
    <s v="B-203-0266"/>
    <s v="ASSINADO"/>
    <x v="0"/>
    <d v="1899-12-30T00:00:00"/>
    <n v="6"/>
    <s v="CLEUZIANE SANTOS DE CARVALHO"/>
    <s v="MARCO ANTÔNIO FÉLIX ZAMBRANA"/>
    <s v="-"/>
    <s v="Interna"/>
    <s v="Longa"/>
    <s v="Showroom"/>
    <x v="0"/>
    <m/>
    <s v="RS"/>
    <m/>
    <d v="2023-02-19T00:00:00"/>
    <d v="2023-02-19T00:00:00"/>
    <n v="0"/>
    <n v="392210"/>
    <n v="431000"/>
    <n v="431000"/>
  </r>
  <r>
    <x v="95"/>
    <s v="ALEXANDRE DEBASTIANI"/>
    <s v="LDP-B-201-6"/>
    <s v="B-201"/>
    <s v="B-201-0267"/>
    <s v="ASSINADO"/>
    <x v="0"/>
    <d v="1899-12-30T00:00:00"/>
    <n v="6"/>
    <s v="GUSTAVO RIBEIRO GOMES"/>
    <s v="GUSTAVO RIBEIRO GOMES"/>
    <s v="-"/>
    <s v="Interna"/>
    <s v="Longa"/>
    <s v="Showroom"/>
    <x v="0"/>
    <m/>
    <s v="RS"/>
    <m/>
    <d v="2023-02-19T00:00:00"/>
    <d v="2023-02-19T00:00:00"/>
    <n v="0"/>
    <n v="399490"/>
    <n v="439000"/>
    <n v="439000"/>
  </r>
  <r>
    <x v="96"/>
    <s v="IVANIA ZANIN MARIN MORO"/>
    <s v="LDP-B-210-5"/>
    <s v="B-210"/>
    <s v="B-210-0268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x v="96"/>
    <s v="IVANIA ZANIN MARIN MORO"/>
    <s v="LDP-B-317-4"/>
    <s v="B-317"/>
    <s v="B-317-0269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x v="97"/>
    <s v="DIOGO SCUTA FAGLIARI"/>
    <s v="LDP-B-317-6"/>
    <s v="B-317"/>
    <s v="B-317-0270"/>
    <s v="ASSINADO"/>
    <x v="2"/>
    <d v="2023-09-03T00:00:00"/>
    <n v="6"/>
    <s v="PAULO HENRIQUE CARNEIRO DO PRADO MIALICHI"/>
    <s v="PAULO HENRIQUE CARNEIRO DO PRADO MIALICHI"/>
    <s v="-"/>
    <s v="Interna"/>
    <s v="Longa"/>
    <s v="Online"/>
    <x v="0"/>
    <m/>
    <s v="SP"/>
    <m/>
    <d v="2023-03-05T00:00:00"/>
    <d v="2023-03-05T00:00:00"/>
    <n v="0"/>
    <n v="393120"/>
    <n v="432000"/>
    <n v="400000"/>
  </r>
  <r>
    <x v="98"/>
    <s v="BRUNO MAZZOCHI BINOTTO"/>
    <s v="LDP-A-109-1"/>
    <s v="A-109"/>
    <s v="A-109-0271"/>
    <s v="ASSINADO"/>
    <x v="0"/>
    <d v="1899-12-30T00:00:00"/>
    <n v="13"/>
    <s v="MARIA KAROLINE DO NASCIMENTO RODRIGUES"/>
    <s v="FELLIPE BRAZ FERREIRA BILATE"/>
    <s v="-"/>
    <s v="Interna"/>
    <s v="Curta"/>
    <s v="Showroom"/>
    <x v="0"/>
    <m/>
    <s v="SC"/>
    <m/>
    <d v="2023-03-04T00:00:00"/>
    <d v="2023-03-08T00:00:00"/>
    <n v="4"/>
    <n v="1506050"/>
    <n v="1655000"/>
    <n v="1289000"/>
  </r>
  <r>
    <x v="99"/>
    <s v="T &amp; T ADMINISTRADORA DE IMOVEIS LTDA"/>
    <s v="LDP-B-320-7"/>
    <s v="B-320"/>
    <s v="B-320-0272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x v="99"/>
    <s v="T &amp; T ADMINISTRADORA DE IMOVEIS LTDA"/>
    <s v="LDP-B-320-8"/>
    <s v="B-320"/>
    <s v="B-320-0273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x v="99"/>
    <s v="MARILIA GARCIA BRANDAO KOELLE"/>
    <s v="LDP-B-320-1"/>
    <s v="B-320"/>
    <s v="B-320-0274"/>
    <s v="ASSINADO"/>
    <x v="0"/>
    <d v="1899-12-30T00:00:00"/>
    <n v="6"/>
    <s v="LAISA DANGONI"/>
    <s v="LAÍSA DANGONI"/>
    <s v="-"/>
    <s v="Interna"/>
    <s v="Curta"/>
    <s v="Showroom"/>
    <x v="0"/>
    <m/>
    <s v="SP"/>
    <m/>
    <d v="2023-03-12T00:00:00"/>
    <d v="2023-03-14T00:00:00"/>
    <n v="2"/>
    <n v="433160"/>
    <n v="476000"/>
    <n v="361000"/>
  </r>
  <r>
    <x v="100"/>
    <s v="MADSON DA SILVA SOUSA"/>
    <s v="LDP-B-205-4"/>
    <s v="B-205"/>
    <s v="B-205-0275"/>
    <s v="ASSINADO"/>
    <x v="0"/>
    <d v="1899-12-30T00:00:00"/>
    <n v="13"/>
    <s v="MARCO ANTÔNIO FÉLIX ZAMBRANA"/>
    <s v="MARCO ANTÔNIO FÉLIX ZAMBRANA"/>
    <s v="-"/>
    <s v="Interna"/>
    <s v="Longa"/>
    <s v="Showroom"/>
    <x v="0"/>
    <m/>
    <s v="PA"/>
    <m/>
    <d v="2023-03-16T00:00:00"/>
    <d v="2023-03-16T00:00:00"/>
    <n v="0"/>
    <n v="770770"/>
    <n v="847000"/>
    <n v="847000"/>
  </r>
  <r>
    <x v="101"/>
    <s v="DANIEL FERREIRA BRANCHER"/>
    <s v="LDP-B-327-9"/>
    <s v="B-327"/>
    <s v="B-327-0276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x v="101"/>
    <s v="DANIEL FERREIRA BRANCHER"/>
    <s v="LDP-B-327-10"/>
    <s v="B-327"/>
    <s v="B-327-0277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x v="102"/>
    <s v="LAE HOLFING LTDA"/>
    <s v="LDP-B-320-6"/>
    <s v="B-320"/>
    <s v="B-320-0278"/>
    <s v="ASSINADO"/>
    <x v="0"/>
    <d v="1899-12-30T00:00:00"/>
    <n v="6"/>
    <s v="MATEUS ORLANDO BEGNINI"/>
    <s v="MATEUS ORLANDO BEGNINI"/>
    <s v="-"/>
    <s v="Interna"/>
    <s v="Longa"/>
    <s v="Showroom"/>
    <x v="0"/>
    <m/>
    <s v="RS"/>
    <m/>
    <d v="2023-03-25T00:00:00"/>
    <d v="2023-03-25T00:00:00"/>
    <n v="0"/>
    <n v="433160"/>
    <n v="476000"/>
    <n v="476000"/>
  </r>
  <r>
    <x v="103"/>
    <s v="RODRIGO HENRIQUE SENNA DE SOUZA"/>
    <s v="LDP-B-205-2"/>
    <s v="B-205"/>
    <s v="B-306-0279"/>
    <s v="ASSINADO"/>
    <x v="1"/>
    <d v="2023-04-27T00:00:00"/>
    <n v="13"/>
    <s v="MARCO ANTÔNIO FÉLIX ZAMBRANA"/>
    <s v="MARCO ANTÔNIO FÉLIX ZAMBRANA"/>
    <s v="-"/>
    <s v="Interna"/>
    <s v="Longa"/>
    <s v="Showroom"/>
    <x v="0"/>
    <m/>
    <s v="-"/>
    <m/>
    <d v="2023-03-28T00:00:00"/>
    <d v="2023-03-28T00:00:00"/>
    <n v="0"/>
    <n v="770770"/>
    <n v="847000"/>
    <n v="847000"/>
  </r>
  <r>
    <x v="104"/>
    <s v="RODRIGO ALBEJANTE HOFFMANN"/>
    <s v="LDP-B-327-6"/>
    <s v="B-327"/>
    <s v="B-327-0280"/>
    <s v="ASSINADO"/>
    <x v="0"/>
    <d v="1899-12-30T00:00:00"/>
    <n v="6"/>
    <s v="CLEUZIANE SANTOS DE CARVALHO"/>
    <s v="MATEUS ORLANDO BEGNINI"/>
    <s v="-"/>
    <s v="Interna"/>
    <s v="A vista"/>
    <s v="Showroom"/>
    <x v="0"/>
    <m/>
    <s v="SP"/>
    <m/>
    <d v="2023-02-17T00:00:00"/>
    <d v="2023-03-31T00:00:00"/>
    <n v="42"/>
    <n v="393120"/>
    <n v="432000"/>
    <n v="308500"/>
  </r>
  <r>
    <x v="104"/>
    <s v="RAFAEL TAGLIARI MORES"/>
    <s v="LDP-A-209-1"/>
    <s v="A-209"/>
    <s v="A-209-0281"/>
    <s v="ASSINADO"/>
    <x v="1"/>
    <d v="2023-09-26T00:00:00"/>
    <n v="13"/>
    <s v="GÉSSICA GOZZI"/>
    <s v="LEONARDO RIBEIRO"/>
    <s v="-"/>
    <s v="Interna"/>
    <s v="Longa"/>
    <s v="Showroom"/>
    <x v="0"/>
    <m/>
    <s v="RS"/>
    <m/>
    <d v="2023-03-03T00:00:00"/>
    <d v="2023-03-31T00:00:00"/>
    <n v="28"/>
    <n v="1126580"/>
    <n v="1238000"/>
    <n v="1246720"/>
  </r>
  <r>
    <x v="105"/>
    <s v="ANA PAULA VINCENZI"/>
    <s v="LDP-B-202-6"/>
    <s v="B-202"/>
    <s v="B-202-0282"/>
    <s v="NAO ASSINADO"/>
    <x v="1"/>
    <d v="2023-05-08T00:00:00"/>
    <n v="6"/>
    <s v="KATIA RAMOS DA SILVA"/>
    <s v="SÂNGELA CRISTINA ARRUDA LIMA MORAIS"/>
    <s v="-"/>
    <s v="Interna"/>
    <s v="Longa"/>
    <s v="Showroom"/>
    <x v="0"/>
    <m/>
    <s v="-"/>
    <m/>
    <d v="2023-04-05T00:00:00"/>
    <d v="2023-05-01T00:00:00"/>
    <n v="26"/>
    <n v="441350"/>
    <n v="485000"/>
    <n v="483150"/>
  </r>
  <r>
    <x v="106"/>
    <s v="FLORIVAL ANDRIOLLI JUNIOR"/>
    <s v="LDP-B-202-5"/>
    <s v="B-202"/>
    <s v="B-202-0283"/>
    <s v="ASSINADO"/>
    <x v="2"/>
    <d v="2024-06-29T00:00:00"/>
    <n v="6"/>
    <s v="EDUARDO TADEU MALUTA FILHO"/>
    <s v="EDUARDO TADEU MALUTA FILHO"/>
    <s v="-"/>
    <s v="Interna"/>
    <s v="Curta"/>
    <s v="Relacionamento Corretor"/>
    <x v="0"/>
    <m/>
    <s v="SP"/>
    <m/>
    <d v="2023-04-07T00:00:00"/>
    <d v="2023-04-07T00:00:00"/>
    <n v="0"/>
    <n v="441350"/>
    <n v="485000"/>
    <n v="390000"/>
  </r>
  <r>
    <x v="107"/>
    <s v="ERICH GOMES MARQUES"/>
    <s v="LDP-B-315-3"/>
    <s v="B-315"/>
    <s v="B-315-0284"/>
    <s v="ASSINADO"/>
    <x v="0"/>
    <d v="1899-12-30T00:00:00"/>
    <n v="6"/>
    <s v="EDUARDO TADEU MALUTA FILHO"/>
    <s v="EDUARDO TADEU MALUTA FILHO"/>
    <s v="-"/>
    <s v="Interna"/>
    <s v="A vista"/>
    <s v="Showroom"/>
    <x v="0"/>
    <m/>
    <s v="DF"/>
    <m/>
    <d v="2023-04-09T00:00:00"/>
    <d v="2023-04-09T00:00:00"/>
    <n v="0"/>
    <n v="343980"/>
    <n v="378000"/>
    <n v="298000"/>
  </r>
  <r>
    <x v="108"/>
    <s v="B SMART PARTICIPACOES LTDA"/>
    <s v="LDP-B-208-1"/>
    <s v="B-208"/>
    <s v="B-208-0285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2"/>
    <s v="B-208"/>
    <s v="B-208-0286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3"/>
    <s v="B-208"/>
    <s v="B-208-0287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4"/>
    <s v="B-208"/>
    <s v="B-208-0288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9"/>
    <s v="JADER DE SOUZA SILVA"/>
    <s v="LDP-B-327-5"/>
    <s v="B-327"/>
    <s v="B-327-0293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3-04-21T00:00:00"/>
    <d v="2023-04-21T00:00:00"/>
    <n v="0"/>
    <n v="394030"/>
    <n v="433000"/>
    <n v="405279.76"/>
  </r>
  <r>
    <x v="110"/>
    <s v="RODRIGO ROZAURO DONADUSSI"/>
    <s v="LDP-B-315-5"/>
    <s v="B-315"/>
    <s v="B-315-0294"/>
    <s v="ASSINADO"/>
    <x v="0"/>
    <d v="1899-12-30T00:00:00"/>
    <n v="6"/>
    <s v="EDUARDO TADEU MALUTA FILHO"/>
    <s v="EDUARDO TADEU MALUTA FILHO"/>
    <s v="-"/>
    <s v="Interna"/>
    <s v="Curta"/>
    <s v="Showroom"/>
    <x v="0"/>
    <m/>
    <s v="RS"/>
    <m/>
    <d v="2023-04-22T00:00:00"/>
    <d v="2023-04-22T00:00:00"/>
    <n v="0"/>
    <n v="401310"/>
    <n v="441000"/>
    <n v="391500"/>
  </r>
  <r>
    <x v="111"/>
    <s v="JUANRIBE PAGLIARIN"/>
    <s v="LDP-A-207-1"/>
    <s v="A-207"/>
    <s v="A-207-0295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2"/>
    <s v="A-207"/>
    <s v="A-207-0296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3"/>
    <s v="A-207"/>
    <s v="A-207-0297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4"/>
    <s v="A-207"/>
    <s v="A-207-0298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2"/>
    <s v="FORTE MARMORES E GRANITOS LTDA"/>
    <s v="LDP-A-101-1"/>
    <s v="A-101"/>
    <s v="A-101-0299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Vaga-024"/>
    <s v="Vaga-024"/>
    <s v="Vaga-024-0300"/>
    <s v="ASSINADO"/>
    <x v="0"/>
    <d v="1899-12-30T00:00:00"/>
    <n v="52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0"/>
    <n v="0"/>
    <n v="0"/>
  </r>
  <r>
    <x v="112"/>
    <s v="FORTE MARMORES E GRANITOS LTDA"/>
    <s v="LDP-A-101-2"/>
    <s v="A-101"/>
    <s v="A-101-0301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A-101-3"/>
    <s v="A-101"/>
    <s v="A-101-0302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A-101-4"/>
    <s v="A-101"/>
    <s v="A-101-0303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3"/>
    <s v="GABRIEL POZZOBON KNOP"/>
    <s v="LDP-B-317-5"/>
    <s v="B-317"/>
    <s v="B-317-0304"/>
    <s v="ASSINADO"/>
    <x v="0"/>
    <d v="1899-12-30T00:00:00"/>
    <n v="6"/>
    <s v="JOAO BATALHA DA SILVA NETO"/>
    <s v="JOAO BATALHA DA SILVA NETO"/>
    <s v="-"/>
    <s v="Interna"/>
    <s v="Curta"/>
    <s v="Showroom"/>
    <x v="0"/>
    <m/>
    <s v="RS"/>
    <m/>
    <d v="2023-04-29T00:00:00"/>
    <d v="2023-04-29T00:00:00"/>
    <n v="0"/>
    <n v="394030"/>
    <n v="433000"/>
    <n v="369825"/>
  </r>
  <r>
    <x v="105"/>
    <s v="DIAMONDS PARTICIPAÇÕES LTDA"/>
    <s v="LDP-C-252-2"/>
    <s v="C-252"/>
    <s v="C-252-0305"/>
    <s v="ASSINADO"/>
    <x v="0"/>
    <d v="1899-12-30T00:00:00"/>
    <n v="13"/>
    <s v="GÉSSICA GOZZI"/>
    <s v="GÉSSICA GOZZI"/>
    <s v="-"/>
    <s v="Interna"/>
    <s v="Curta"/>
    <s v="Showroom"/>
    <x v="0"/>
    <m/>
    <s v="SC"/>
    <m/>
    <d v="2023-04-30T00:00:00"/>
    <d v="2023-05-01T00:00:00"/>
    <n v="1"/>
    <n v="1792700"/>
    <n v="1970000"/>
    <n v="1699500"/>
  </r>
  <r>
    <x v="105"/>
    <s v="WILLIAN CEZAR DA SILVA"/>
    <s v="LDP-A-203-1"/>
    <s v="A-203"/>
    <s v="A-203-0306"/>
    <s v="ASSINADO"/>
    <x v="0"/>
    <d v="1899-12-30T00:00:00"/>
    <n v="13"/>
    <s v="EDUARDO TADEU MALUTA FILHO"/>
    <s v="KATIA RAMOS DA SILVA"/>
    <s v="-"/>
    <s v="Interna"/>
    <s v="Longa"/>
    <s v="Clube G4"/>
    <x v="2"/>
    <m/>
    <s v="RS"/>
    <m/>
    <d v="2023-04-30T00:00:00"/>
    <d v="2023-05-01T00:00:00"/>
    <n v="1"/>
    <n v="941167.5"/>
    <n v="1034250"/>
    <n v="860000"/>
  </r>
  <r>
    <x v="105"/>
    <s v="ANTONIO CARLOS PINTO CELESTINO"/>
    <s v="LDP-A-203-2"/>
    <s v="A-203"/>
    <s v="A-203-0307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x v="105"/>
    <s v="EXPLORATION HOLDING PARTICIPACOES LTDA"/>
    <s v="LDP-A-203-3"/>
    <s v="A-203"/>
    <s v="A-203-0308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x v="114"/>
    <s v="JUNIOR CARLOS DANIEL"/>
    <s v="LDP-B-307-1"/>
    <s v="B-307"/>
    <s v="B-307-0310"/>
    <s v="ASSINADO"/>
    <x v="0"/>
    <d v="1899-12-30T00:00:00"/>
    <n v="13"/>
    <s v="DIEGO SAMPAIO FAÇANHA"/>
    <s v="SÂNGELA CRISTINA ARRUDA LIMA MORAIS"/>
    <s v="-"/>
    <s v="Interna"/>
    <s v="Curta"/>
    <s v="Parceria"/>
    <x v="0"/>
    <m/>
    <s v="SP"/>
    <m/>
    <d v="2023-05-03T00:00:00"/>
    <d v="2023-05-03T00:00:00"/>
    <n v="0"/>
    <n v="785330"/>
    <n v="863000"/>
    <n v="755000"/>
  </r>
  <r>
    <x v="114"/>
    <s v="MARCELO VIEIRA"/>
    <s v="LDP-B-225-6"/>
    <s v="B-225"/>
    <s v="B-225-0311"/>
    <s v="ASSINADO"/>
    <x v="0"/>
    <d v="1899-12-30T00:00:00"/>
    <n v="6"/>
    <s v="KATIA RAMOS DA SILVA"/>
    <s v="KATIA RAMOS DA SILVA"/>
    <s v="-"/>
    <s v="Interna"/>
    <s v="Longa"/>
    <s v="Online"/>
    <x v="0"/>
    <m/>
    <s v="SC"/>
    <m/>
    <d v="2023-05-03T00:00:00"/>
    <d v="2023-05-03T00:00:00"/>
    <n v="0"/>
    <n v="394030"/>
    <n v="433000"/>
    <n v="432984"/>
  </r>
  <r>
    <x v="115"/>
    <s v="MARISTELA ROHRIG"/>
    <s v="LDP-B-202-4"/>
    <s v="B-202"/>
    <s v="B-202-0313"/>
    <s v="ASSINADO"/>
    <x v="0"/>
    <d v="1899-12-30T00:00:00"/>
    <n v="6"/>
    <s v="EDUARDO TADEU MALUTA FILHO"/>
    <s v="EDUARDO TADEU MALUTA FILHO"/>
    <s v="-"/>
    <s v="Interna"/>
    <s v="Curta"/>
    <s v="Online"/>
    <x v="0"/>
    <m/>
    <s v="RS"/>
    <m/>
    <d v="2023-03-04T00:00:00"/>
    <d v="2023-05-08T00:00:00"/>
    <n v="65"/>
    <n v="435890"/>
    <n v="479000"/>
    <n v="410000"/>
  </r>
  <r>
    <x v="116"/>
    <s v="VERA CRISTINA GUIMARAES GRASSMANN"/>
    <s v="LDP-B-110-5"/>
    <s v="B-110"/>
    <s v="B-110-0313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SC"/>
    <m/>
    <d v="2023-05-03T00:00:00"/>
    <d v="2023-05-15T00:00:00"/>
    <n v="12"/>
    <n v="462280"/>
    <n v="508000"/>
    <n v="399000"/>
  </r>
  <r>
    <x v="117"/>
    <s v="THIAGO MARCEL SEGER"/>
    <s v="LDP-B-225-5"/>
    <s v="B-225"/>
    <s v="B-225-0320"/>
    <s v="NAO ASSINADO"/>
    <x v="1"/>
    <d v="2023-05-25T00:00:00"/>
    <n v="6"/>
    <s v="LETICIA FURLAN DOS REIS"/>
    <s v="MATEUS ORLANDO BEGNINI"/>
    <s v="-"/>
    <s v="Interna"/>
    <s v="Longa"/>
    <s v="Clube G4"/>
    <x v="0"/>
    <m/>
    <s v="-"/>
    <m/>
    <d v="2023-05-18T00:00:00"/>
    <d v="2023-05-19T00:00:00"/>
    <n v="1"/>
    <n v="336700"/>
    <n v="370000"/>
    <n v="317200"/>
  </r>
  <r>
    <x v="118"/>
    <s v="VITORIO PARTICIPACOES LTDA"/>
    <s v="LDP-A-209-2"/>
    <s v="A-209"/>
    <s v="A-209-0321"/>
    <s v="ASSINADO"/>
    <x v="2"/>
    <d v="2023-08-05T00:00:00"/>
    <n v="13"/>
    <s v="CLEUZIANE SANTOS DE CARVALHO"/>
    <s v="CLEUZIANE SANTOS DE CARVALHO"/>
    <s v="-"/>
    <s v="Interna"/>
    <s v="Longa"/>
    <s v="Showroom"/>
    <x v="0"/>
    <m/>
    <s v="RS"/>
    <m/>
    <d v="2023-05-22T00:00:00"/>
    <d v="2023-05-23T00:00:00"/>
    <n v="1"/>
    <n v="1147510"/>
    <n v="1261000"/>
    <n v="1183000"/>
  </r>
  <r>
    <x v="119"/>
    <s v="DANIEL SOBREIRA DA SILVA"/>
    <s v="LDP-B-225-1"/>
    <s v="B-225"/>
    <s v="B-225-0322"/>
    <s v="ASSINADO"/>
    <x v="0"/>
    <m/>
    <n v="6"/>
    <s v="KATIA RAMOS DA SILVA"/>
    <s v="KATIA RAMOS DA SILVA"/>
    <s v="-"/>
    <s v="Interna"/>
    <s v="Curta"/>
    <s v="Parceria"/>
    <x v="0"/>
    <m/>
    <s v="SP"/>
    <m/>
    <d v="2023-05-09T00:00:00"/>
    <d v="2023-05-24T00:00:00"/>
    <n v="15"/>
    <n v="336700"/>
    <n v="370000"/>
    <n v="328000"/>
  </r>
  <r>
    <x v="120"/>
    <s v="MULAN HOLDING LTDA"/>
    <s v="LDP-B-225-4"/>
    <s v="B-225"/>
    <s v="B-225-0323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5-14T00:00:00"/>
    <d v="2023-05-25T00:00:00"/>
    <n v="11"/>
    <n v="336700"/>
    <n v="370000"/>
    <n v="299976"/>
  </r>
  <r>
    <x v="121"/>
    <s v="FABIO DE FREITAS WOINARSKI"/>
    <s v="LDP-B-226-5"/>
    <s v="B-226"/>
    <s v="B-226-0324"/>
    <s v="ASSINADO"/>
    <x v="0"/>
    <m/>
    <n v="6"/>
    <s v="ELIS MAYARA BESERRA DE CARVALHO"/>
    <s v="ELIS MAYARA BESERRA DE CARVALHO"/>
    <s v="-"/>
    <s v="Interna"/>
    <s v="Curta"/>
    <s v="Online"/>
    <x v="0"/>
    <m/>
    <s v="SC"/>
    <m/>
    <d v="2023-05-25T00:00:00"/>
    <d v="2023-05-26T00:00:00"/>
    <n v="1"/>
    <n v="370370"/>
    <n v="407000"/>
    <n v="380840"/>
  </r>
  <r>
    <x v="121"/>
    <s v="GABRIEL NUNES DE ABREU"/>
    <s v="LDP-B-226-1"/>
    <s v="B-226"/>
    <s v="B-226-0325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x v="121"/>
    <s v="GABRIEL NUNES DE ABREU"/>
    <s v="LDP-B-226-2"/>
    <s v="B-226"/>
    <s v="B-226-0326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x v="122"/>
    <s v="WILSON VOLPATO"/>
    <s v="LDP-B-110-2"/>
    <s v="B-110"/>
    <s v="B-110-0327"/>
    <s v="ASSINADO"/>
    <x v="0"/>
    <m/>
    <n v="6"/>
    <s v="FERNANDA SILVA OLIVEIRA"/>
    <s v="FERNANDA SILVA OLIVEIRA"/>
    <s v="-"/>
    <s v="Interna"/>
    <s v="A vista"/>
    <s v="Online"/>
    <x v="0"/>
    <m/>
    <s v="SC"/>
    <m/>
    <d v="2023-05-10T00:00:00"/>
    <d v="2023-05-28T00:00:00"/>
    <n v="18"/>
    <n v="399490"/>
    <n v="439000"/>
    <n v="335000"/>
  </r>
  <r>
    <x v="123"/>
    <s v="IURI MARQUES PATUZZI"/>
    <s v="LDP-B-225-5"/>
    <s v="B-225"/>
    <s v="B-225-0328"/>
    <s v="ASSINADO"/>
    <x v="0"/>
    <m/>
    <n v="6"/>
    <s v="CLAUDIO DIEGO CAMPOS DA SILVA"/>
    <s v="CLAUDIO DIEGO CAMPOS DA SILVA"/>
    <s v="-"/>
    <s v="Interna"/>
    <s v="Longa"/>
    <s v="Showroom"/>
    <x v="0"/>
    <m/>
    <s v="SC"/>
    <m/>
    <d v="2023-05-27T00:00:00"/>
    <d v="2023-05-30T00:00:00"/>
    <n v="3"/>
    <n v="336700"/>
    <n v="370000"/>
    <n v="370010"/>
  </r>
  <r>
    <x v="123"/>
    <s v="HENRIQUE LOPES FERRAZ AIDAR"/>
    <s v="LDP-B-110-4"/>
    <s v="B-110"/>
    <s v="B-110-0329"/>
    <s v="ASSINADO"/>
    <x v="0"/>
    <m/>
    <n v="6"/>
    <s v="KATIA RAMOS DA SILVA"/>
    <s v="KATIA RAMOS DA SILVA"/>
    <s v="-"/>
    <s v="Interna"/>
    <s v="Curta"/>
    <s v="Showroom"/>
    <x v="0"/>
    <m/>
    <s v="SP"/>
    <m/>
    <d v="2023-04-28T00:00:00"/>
    <d v="2023-05-30T00:00:00"/>
    <n v="32"/>
    <n v="399490"/>
    <n v="439000"/>
    <n v="393000"/>
  </r>
  <r>
    <x v="124"/>
    <s v="FERNANDO SIMIOLI CORREA"/>
    <s v="LDP-B-110-6"/>
    <s v="B-110"/>
    <s v="B-110-0330"/>
    <s v="ASSINADO"/>
    <x v="0"/>
    <m/>
    <n v="6"/>
    <s v="KATIA RAMOS DA SILVA"/>
    <s v="KATIA RAMOS DA SILVA"/>
    <s v="-"/>
    <s v="Interna"/>
    <s v="Curta"/>
    <s v="Showroom"/>
    <x v="0"/>
    <m/>
    <s v="SP"/>
    <m/>
    <d v="2023-05-31T00:00:00"/>
    <d v="2023-05-31T00:00:00"/>
    <n v="0"/>
    <n v="399490"/>
    <n v="439000"/>
    <n v="370000"/>
  </r>
  <r>
    <x v="124"/>
    <s v="MORGANA LOUISE BUSARDO"/>
    <s v="LDP-B-225-3"/>
    <s v="B-225"/>
    <s v="B-225-0331"/>
    <s v="ASSINADO"/>
    <x v="0"/>
    <m/>
    <n v="6"/>
    <s v="FERNANDA SILVA OLIVEIRA"/>
    <s v="FERNANDA SILVA OLIVEIRA"/>
    <s v="-"/>
    <s v="Interna"/>
    <s v="Longa"/>
    <s v="Showroom"/>
    <x v="0"/>
    <m/>
    <s v="SC"/>
    <m/>
    <d v="2023-05-26T00:00:00"/>
    <d v="2023-05-31T00:00:00"/>
    <n v="5"/>
    <n v="336700"/>
    <n v="370000"/>
    <n v="370000.2"/>
  </r>
  <r>
    <x v="125"/>
    <s v="CARINE SANTOS MARTINI"/>
    <s v="LDP-B-225-2"/>
    <s v="B-225"/>
    <s v="B-225-0332"/>
    <s v="ASSINADO"/>
    <x v="0"/>
    <m/>
    <n v="6"/>
    <s v="JUSCINEIA FRANCISCA RODRIGUES"/>
    <s v="JUSCINEIA FRANCISCA RODRIGUES"/>
    <s v="-"/>
    <s v="Sócios"/>
    <s v="Curta"/>
    <s v="Sócios"/>
    <x v="0"/>
    <m/>
    <s v="SP"/>
    <m/>
    <s v="-"/>
    <d v="2023-06-01T00:00:00"/>
    <m/>
    <n v="336700"/>
    <n v="370000"/>
    <n v="286200"/>
  </r>
  <r>
    <x v="126"/>
    <s v="VILSON JAIR DA SILVA"/>
    <s v="LDP-B-315-1"/>
    <s v="B-315"/>
    <s v="B-315-0334"/>
    <s v="ASSINADO"/>
    <x v="1"/>
    <d v="2023-11-23T00:00:00"/>
    <n v="6"/>
    <s v="PAMELA CHRISTINA SOUZA MACEDO"/>
    <s v="PAMELA CHRISTINA SOUZA MACEDO"/>
    <s v="-"/>
    <s v="Interna"/>
    <s v="Longa"/>
    <s v="Showroom"/>
    <x v="0"/>
    <m/>
    <s v="RS"/>
    <m/>
    <d v="2023-06-04T00:00:00"/>
    <d v="2023-06-04T00:00:00"/>
    <n v="0"/>
    <n v="343980"/>
    <n v="378000"/>
    <n v="379000"/>
  </r>
  <r>
    <x v="126"/>
    <s v="MURILO DE BRITO ANDRADE CAMARGO"/>
    <s v="LDP-B-315-4"/>
    <s v="B-315"/>
    <s v="B-315-0335"/>
    <s v="NAO ASSINADO"/>
    <x v="1"/>
    <d v="2023-06-13T00:00:00"/>
    <n v="6"/>
    <s v="GÉSSICA GOZZI"/>
    <s v="GÉSSICA GOZZI"/>
    <s v="-"/>
    <s v="Interna"/>
    <s v="Curta"/>
    <s v="Showroom"/>
    <x v="0"/>
    <m/>
    <s v="-"/>
    <m/>
    <d v="2023-06-04T00:00:00"/>
    <d v="2023-06-04T00:00:00"/>
    <n v="0"/>
    <n v="343980"/>
    <n v="378000"/>
    <n v="316360"/>
  </r>
  <r>
    <x v="127"/>
    <s v="LAURA WIESEL DE OLIVEIRA CANASSA"/>
    <s v="LDP-B-315-6"/>
    <s v="B-315"/>
    <s v="B-315-0336"/>
    <s v="ASSINADO"/>
    <x v="0"/>
    <m/>
    <n v="6"/>
    <s v="ALLAN DE SOUZA MORAES"/>
    <s v="ALLAN DE SOUZA MORAES"/>
    <s v="-"/>
    <s v="Interna"/>
    <s v="A vista"/>
    <s v="Showroom"/>
    <x v="0"/>
    <m/>
    <s v="SC"/>
    <m/>
    <d v="2023-06-04T00:00:00"/>
    <d v="2023-06-07T00:00:00"/>
    <n v="3"/>
    <n v="343980"/>
    <n v="378000"/>
    <n v="269000"/>
  </r>
  <r>
    <x v="128"/>
    <s v="FOR PARTICIPACOES SOCIAIS LTDA"/>
    <s v="LDP-A-109-2"/>
    <s v="A-109"/>
    <s v="A-109-0337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x v="128"/>
    <s v="FOR PARTICIPACOES SOCIAIS LTDA"/>
    <s v="LDP-A-109-3"/>
    <s v="A-109"/>
    <s v="A-109-0338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x v="128"/>
    <s v="MARCOS VINICIUS FELIZ E SILVA"/>
    <s v="LDP-B-315-2"/>
    <s v="B-315"/>
    <s v="B-315-0339"/>
    <s v="ASSINADO"/>
    <x v="0"/>
    <m/>
    <n v="6"/>
    <s v="FELLIPE BRAZ FERREIRA BILATE"/>
    <s v="FELLIPE BRAZ FERREIRA BILATE"/>
    <s v="-"/>
    <s v="Interna"/>
    <s v="Curta"/>
    <s v="Showroom"/>
    <x v="0"/>
    <m/>
    <s v="GO"/>
    <m/>
    <d v="2023-06-10T00:00:00"/>
    <d v="2023-06-10T00:00:00"/>
    <n v="0"/>
    <n v="343980"/>
    <n v="378000"/>
    <n v="336800"/>
  </r>
  <r>
    <x v="128"/>
    <s v="RAFAEL NELSON SEGAT WOLF"/>
    <s v="LDP-B-226-4"/>
    <s v="B-226"/>
    <s v="B-226-0340"/>
    <s v="ASSINADO"/>
    <x v="1"/>
    <d v="2023-08-10T00:00:00"/>
    <n v="6"/>
    <s v="FELLIPE BRAZ FERREIRA BILATE"/>
    <s v="FELLIPE BRAZ FERREIRA BILATE"/>
    <s v="-"/>
    <s v="Interna"/>
    <s v="Longa"/>
    <s v="Showroom"/>
    <x v="0"/>
    <m/>
    <s v="RS"/>
    <m/>
    <d v="2023-06-10T00:00:00"/>
    <d v="2023-06-10T00:00:00"/>
    <n v="0"/>
    <n v="371280"/>
    <n v="408000"/>
    <n v="386080"/>
  </r>
  <r>
    <x v="129"/>
    <s v="REGIS FERREIRA PACHECO"/>
    <s v="LDP-B-110-3"/>
    <s v="B-110"/>
    <s v="B-110-0341"/>
    <s v="ASSINADO"/>
    <x v="0"/>
    <m/>
    <n v="6"/>
    <s v="KATIA RAMOS DA SILVA"/>
    <s v="EDUARDO TADEU MALUTA FILHO"/>
    <s v="-"/>
    <s v="Interna"/>
    <s v="A vista"/>
    <s v="Online"/>
    <x v="0"/>
    <m/>
    <s v="RS"/>
    <m/>
    <d v="2023-06-13T00:00:00"/>
    <d v="2023-06-13T00:00:00"/>
    <n v="0"/>
    <n v="401310"/>
    <n v="441000"/>
    <n v="360000"/>
  </r>
  <r>
    <x v="130"/>
    <s v="GUSTAVO CAMARGO SILVERIO"/>
    <s v="LDP-B-209-1"/>
    <s v="B-209"/>
    <s v="B-209-0342"/>
    <s v="ASSINADO"/>
    <x v="0"/>
    <m/>
    <n v="6"/>
    <s v="SÂNGELA CRISTINA ARRUDA LIMA MORAIS"/>
    <s v="SÂNGELA CRISTINA ARRUDA LIMA MORAIS"/>
    <s v="-"/>
    <s v="Interna"/>
    <s v="Longa"/>
    <s v="Showroom"/>
    <x v="0"/>
    <m/>
    <s v="MG"/>
    <m/>
    <d v="2023-06-15T00:00:00"/>
    <d v="2023-06-15T00:00:00"/>
    <n v="0"/>
    <n v="343980"/>
    <n v="378000"/>
    <n v="360792"/>
  </r>
  <r>
    <x v="130"/>
    <s v="INVENTAEVENTO -  PRODUCAO DE EVENTOS LTDA"/>
    <s v="LDP-B-203-10"/>
    <s v="B-203"/>
    <s v="B-203-0343"/>
    <s v="ASSINADO"/>
    <x v="0"/>
    <m/>
    <n v="4"/>
    <s v="JUSCINEIA FRANCISCA RODRIGUES"/>
    <s v="JUSCINEIA FRANCISCA RODRIGUES"/>
    <s v="-"/>
    <s v="Sócios"/>
    <s v="A vista"/>
    <s v="Sócios"/>
    <x v="1"/>
    <m/>
    <s v="RS"/>
    <m/>
    <s v="-"/>
    <d v="2023-06-15T00:00:00"/>
    <m/>
    <n v="209300"/>
    <n v="230000"/>
    <n v="230000"/>
  </r>
  <r>
    <x v="131"/>
    <s v="JACQUELINE PEREIRA PINAS"/>
    <s v="LDP-A-203-4"/>
    <s v="A-203"/>
    <s v="A-203-0345"/>
    <s v="ASSINADO"/>
    <x v="0"/>
    <m/>
    <n v="13"/>
    <s v="EDUARDO TADEU MALUTA FILHO"/>
    <s v="EDUARDO TADEU MALUTA FILHO"/>
    <s v="-"/>
    <s v="Interna"/>
    <s v="Curta"/>
    <s v="Clube G4"/>
    <x v="2"/>
    <m/>
    <s v="SP"/>
    <m/>
    <d v="2023-06-05T00:00:00"/>
    <d v="2023-06-17T00:00:00"/>
    <n v="12"/>
    <n v="941167.5"/>
    <n v="1034250"/>
    <n v="996000"/>
  </r>
  <r>
    <x v="132"/>
    <s v="PHILIP PORR"/>
    <s v="LDP-A-204-4"/>
    <s v="A-204"/>
    <s v="A-204-0346"/>
    <s v="ASSINADO"/>
    <x v="0"/>
    <m/>
    <n v="13"/>
    <s v="GÉSSICA GOZZI"/>
    <s v="GÉSSICA GOZZI"/>
    <s v="-"/>
    <s v="Interna"/>
    <s v="Longa"/>
    <s v="Parceria"/>
    <x v="0"/>
    <m/>
    <s v="SP"/>
    <m/>
    <d v="2023-06-11T00:00:00"/>
    <d v="2023-06-19T00:00:00"/>
    <n v="8"/>
    <n v="1397760"/>
    <n v="1536000"/>
    <n v="1441000"/>
  </r>
  <r>
    <x v="132"/>
    <s v="RAFAEL VITOLA PITOLI"/>
    <s v="LDP-B-109-4"/>
    <s v="B-109"/>
    <s v="B-109-0347"/>
    <s v="ASSINADO"/>
    <x v="0"/>
    <m/>
    <n v="6"/>
    <s v="EDUARDO TADEU MALUTA FILHO"/>
    <s v="EDUARDO TADEU MALUTA FILHO"/>
    <s v="-"/>
    <s v="Interna"/>
    <s v="Longa"/>
    <s v="Relacionamento Corretor"/>
    <x v="2"/>
    <m/>
    <s v="SP"/>
    <m/>
    <d v="2023-06-08T00:00:00"/>
    <d v="2023-06-19T00:00:00"/>
    <n v="11"/>
    <n v="365820"/>
    <n v="402000"/>
    <n v="366700"/>
  </r>
  <r>
    <x v="133"/>
    <s v="AFPR PARTICIPACOES SOCIETARIAS LTDA"/>
    <s v="LDP-A-209-4"/>
    <s v="A-209"/>
    <s v="A-209-0348"/>
    <s v="ASSINADO"/>
    <x v="0"/>
    <m/>
    <n v="13"/>
    <s v="EDUARDO TADEU MALUTA FILHO"/>
    <s v="EDUARDO TADEU MALUTA FILHO"/>
    <s v="-"/>
    <s v="Interna"/>
    <s v="Longa"/>
    <s v="Parceria"/>
    <x v="0"/>
    <m/>
    <s v="SP"/>
    <m/>
    <d v="2023-06-08T00:00:00"/>
    <d v="2023-06-20T00:00:00"/>
    <n v="12"/>
    <n v="1152060"/>
    <n v="1266000"/>
    <n v="1184000"/>
  </r>
  <r>
    <x v="134"/>
    <s v="AVANCAR PARTICIPACOES LTDA"/>
    <s v="LDP-B-209-4"/>
    <s v="B-209"/>
    <s v="B-209-0349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x v="134"/>
    <s v="AVANCAR PARTICIPACOES LTDA"/>
    <s v="LDP-B-209-5"/>
    <s v="B-209"/>
    <s v="B-209-0350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x v="135"/>
    <s v="ALESSANDRA DA COSTA KILER CHIQUITO"/>
    <s v="LDP-B-209-3"/>
    <s v="B-209"/>
    <s v="B-209-0351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SP"/>
    <m/>
    <d v="2023-06-11T00:00:00"/>
    <d v="2023-06-23T00:00:00"/>
    <n v="12"/>
    <n v="343980"/>
    <n v="378000"/>
    <n v="378000"/>
  </r>
  <r>
    <x v="136"/>
    <s v="ALEXANDRE MOREIRA DA SILVA JUNIOR"/>
    <s v="LDP-B-112-6"/>
    <s v="B-112"/>
    <s v="B-112-0352"/>
    <s v="ASSINADO"/>
    <x v="1"/>
    <d v="2023-11-28T00:00:00"/>
    <n v="6"/>
    <s v="TAMIRES SOARES DE CARVALHO"/>
    <s v="TAMIRES SOARES DE CARVALHO"/>
    <s v="-"/>
    <s v="Interna"/>
    <s v="Longa"/>
    <s v="Online"/>
    <x v="0"/>
    <m/>
    <s v="AM"/>
    <m/>
    <d v="2023-06-23T00:00:00"/>
    <d v="2023-06-24T00:00:00"/>
    <n v="1"/>
    <n v="401310"/>
    <n v="441000"/>
    <n v="441000"/>
  </r>
  <r>
    <x v="137"/>
    <s v="SAMANTA NUNES DA SILVA SILVEIRA"/>
    <s v="LDP-B-112-5"/>
    <s v="B-112"/>
    <s v="B-112-0353"/>
    <s v="ASSINADO"/>
    <x v="1"/>
    <d v="2023-07-20T00:00:00"/>
    <n v="6"/>
    <s v="KAIQUE GONCALVES DA PAZ_x000a_"/>
    <s v="KAIQUE GONCALVES DA PAZ_x000a_"/>
    <s v="-"/>
    <s v="Interna"/>
    <s v="Curta"/>
    <s v="Showroom"/>
    <x v="0"/>
    <m/>
    <s v="-"/>
    <m/>
    <d v="2023-06-25T00:00:00"/>
    <d v="2023-06-25T00:00:00"/>
    <n v="0"/>
    <n v="401310"/>
    <n v="441000"/>
    <n v="400000"/>
  </r>
  <r>
    <x v="137"/>
    <s v="EDUARDO MURATORE THADDEU"/>
    <s v="LDP-B-209-2"/>
    <s v="B-209"/>
    <s v="B-209-0354"/>
    <s v="ASSINADO"/>
    <x v="0"/>
    <m/>
    <n v="6"/>
    <s v="ANA CLAUDIA ALTEMARI LUIZ"/>
    <s v="FELLIPE BRAZ FERREIRA BILATE"/>
    <s v="-"/>
    <s v="Interna"/>
    <s v="Longa"/>
    <s v="Showroom"/>
    <x v="0"/>
    <m/>
    <s v="SC"/>
    <m/>
    <d v="2023-06-25T00:00:00"/>
    <d v="2023-06-25T00:00:00"/>
    <n v="0"/>
    <n v="343980"/>
    <n v="378000"/>
    <n v="357400"/>
  </r>
  <r>
    <x v="138"/>
    <s v="ANDRE SANTANA MELO"/>
    <s v="LDP-B-226-6"/>
    <s v="B-226"/>
    <s v="B-226-0355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PA"/>
    <m/>
    <d v="2023-06-06T00:00:00"/>
    <d v="2023-06-26T00:00:00"/>
    <n v="20"/>
    <n v="371280"/>
    <n v="408000"/>
    <n v="408000.3"/>
  </r>
  <r>
    <x v="139"/>
    <s v="FABIO LUCAS OLIVEIRA DA CUNHA"/>
    <s v="LDP-B-109-6"/>
    <s v="B-109"/>
    <s v="B-109-0356"/>
    <s v="NAO ASSINADO"/>
    <x v="1"/>
    <d v="2023-07-01T00:00:00"/>
    <n v="6"/>
    <s v="LUIZ HENRIQUE DE LUCCA MUNAIER"/>
    <s v="LUIZ HENRIQUE DE LUCCA MUNAIER"/>
    <s v="-"/>
    <s v="Interna"/>
    <s v="Longa"/>
    <s v="Online"/>
    <x v="0"/>
    <m/>
    <s v="-"/>
    <m/>
    <d v="2023-06-27T00:00:00"/>
    <d v="2023-07-01T00:00:00"/>
    <n v="4"/>
    <n v="365820"/>
    <n v="402000"/>
    <n v="402000.1"/>
  </r>
  <r>
    <x v="140"/>
    <s v="STEFANO GARCIA SIMONCELLI"/>
    <s v="LDP-B-215-1"/>
    <s v="B-215"/>
    <s v="B-215-0357"/>
    <s v="ASSINADO"/>
    <x v="0"/>
    <m/>
    <n v="6"/>
    <s v="VIVIANE DA SILVA BASTOS"/>
    <s v="VIVIANE DA SILVA BASTOS"/>
    <s v="-"/>
    <s v="Interna"/>
    <s v="Longa"/>
    <s v="Showroom"/>
    <x v="0"/>
    <m/>
    <s v="SP"/>
    <m/>
    <d v="2023-06-28T00:00:00"/>
    <d v="2023-06-28T00:00:00"/>
    <n v="0"/>
    <n v="343980"/>
    <n v="378000"/>
    <n v="371065"/>
  </r>
  <r>
    <x v="141"/>
    <s v="JOSILAINE DA SILVA ANDRADE"/>
    <s v="LDP-A-113-1"/>
    <s v="A-113"/>
    <s v="A-113-0358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2"/>
    <s v="A-113"/>
    <s v="A-113-0359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3"/>
    <s v="A-113"/>
    <s v="A-113-0360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4"/>
    <s v="A-113"/>
    <s v="A-113-0361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DANIEL FERREIRA DA SILVA"/>
    <s v="LDP-B-109-5"/>
    <s v="B-109"/>
    <s v="B-109-0362"/>
    <s v="ASSINADO"/>
    <x v="0"/>
    <m/>
    <n v="6"/>
    <s v="PAMELA CHRISTINA SOUZA MACEDO"/>
    <s v="CLEUZIANE SANTOS DE CARVALHO"/>
    <s v="-"/>
    <s v="Interna"/>
    <s v="A vista"/>
    <s v="Showroom"/>
    <x v="0"/>
    <m/>
    <s v="MG"/>
    <m/>
    <d v="2023-06-26T00:00:00"/>
    <d v="2023-06-30T00:00:00"/>
    <n v="4"/>
    <n v="365820"/>
    <n v="402000"/>
    <n v="310000"/>
  </r>
  <r>
    <x v="141"/>
    <s v="RAPHAEL PEGLOW SCHAFIROWITZ"/>
    <s v="LDP-B-215-6"/>
    <s v="B-215"/>
    <s v="B-215-0363"/>
    <s v="ASSINADO"/>
    <x v="1"/>
    <d v="2023-07-01T00:00:00"/>
    <n v="6"/>
    <s v="CLEUZIANE SANTOS DE CARVALHO"/>
    <s v="CLEUZIANE SANTOS DE CARVALHO"/>
    <s v="-"/>
    <s v="Interna"/>
    <s v="Longa"/>
    <s v="Showroom"/>
    <x v="0"/>
    <m/>
    <s v="-"/>
    <m/>
    <d v="2023-06-30T00:00:00"/>
    <d v="2023-06-30T00:00:00"/>
    <n v="0"/>
    <n v="343980"/>
    <n v="378000"/>
    <n v="378000"/>
  </r>
  <r>
    <x v="142"/>
    <s v="LUIZ ANTONIO RODRIGUES"/>
    <s v="LDP-B-215-2"/>
    <s v="B-215"/>
    <s v="B-215-0365"/>
    <s v="ASSINADO"/>
    <x v="0"/>
    <m/>
    <n v="6"/>
    <s v="EDUARDO TADEU MALUTA FILHO"/>
    <s v="KATIA RAMOS DA SILVA"/>
    <s v="-"/>
    <s v="Interna"/>
    <s v="A vista"/>
    <s v="Online"/>
    <x v="0"/>
    <m/>
    <s v="BA"/>
    <m/>
    <d v="2023-07-02T00:00:00"/>
    <d v="2023-07-04T00:00:00"/>
    <n v="2"/>
    <n v="346710"/>
    <n v="381000"/>
    <n v="298000"/>
  </r>
  <r>
    <x v="143"/>
    <s v="VANESSA FERNANDES LOPES MILLER"/>
    <s v="LDP-B-109-3"/>
    <s v="B-109"/>
    <s v="B-109-0366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68550"/>
    <n v="405000"/>
    <n v="300000"/>
  </r>
  <r>
    <x v="143"/>
    <s v="CRISTIANO DORNELES MILLER"/>
    <s v="LDP-B-226-3"/>
    <s v="B-226"/>
    <s v="B-226-0367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74920"/>
    <n v="412000"/>
    <n v="305000"/>
  </r>
  <r>
    <x v="144"/>
    <s v="LUCIANA DUTRA DRAETA"/>
    <s v="LDP-B-215-4"/>
    <s v="B-215"/>
    <s v="B-215-0368"/>
    <s v="ASSINADO"/>
    <x v="0"/>
    <m/>
    <n v="6"/>
    <s v="KAIQUE GONCALVES DA PAZ_x000a_"/>
    <s v="GÉSSICA GOZZI"/>
    <s v="-"/>
    <s v="Interna"/>
    <s v="Longa"/>
    <s v="Showroom"/>
    <x v="0"/>
    <m/>
    <s v="SP"/>
    <m/>
    <d v="2023-07-09T00:00:00"/>
    <d v="2023-07-09T00:00:00"/>
    <n v="0"/>
    <n v="346710"/>
    <n v="381000"/>
    <n v="372500"/>
  </r>
  <r>
    <x v="144"/>
    <s v="DANIEL BATISTA GOMES"/>
    <s v="LDP-B-109-2"/>
    <s v="B-109"/>
    <s v="B-109-0369"/>
    <s v="ASSINADO"/>
    <x v="0"/>
    <m/>
    <n v="6"/>
    <s v="LUIZ HENRIQUE DE LUCCA MUNAIER"/>
    <s v="LUIZ HENRIQUE DE LUCCA MUNAIER"/>
    <s v="-"/>
    <s v="Interna"/>
    <s v="Longa"/>
    <s v="Online"/>
    <x v="0"/>
    <m/>
    <s v="SP"/>
    <m/>
    <d v="2023-04-29T00:00:00"/>
    <d v="2023-07-09T00:00:00"/>
    <n v="71"/>
    <n v="368550"/>
    <n v="405000"/>
    <n v="385366.63"/>
  </r>
  <r>
    <x v="145"/>
    <s v="BRUNO COSTA BEHRNDT"/>
    <s v="LDP-B-215-5"/>
    <s v="B-215"/>
    <s v="B-215-0371"/>
    <s v="ASSINADO"/>
    <x v="0"/>
    <m/>
    <n v="6"/>
    <s v="FERNANDA SILVA OLIVEIRA"/>
    <s v="MATEUS ORLANDO BEGNINI"/>
    <s v="-"/>
    <s v="Interna"/>
    <s v="Curta"/>
    <s v="Showroom"/>
    <x v="0"/>
    <m/>
    <s v="SP"/>
    <m/>
    <d v="2023-07-05T00:00:00"/>
    <d v="2023-07-12T00:00:00"/>
    <n v="7"/>
    <n v="346710"/>
    <n v="381000"/>
    <n v="290000"/>
  </r>
  <r>
    <x v="146"/>
    <s v="ROSA MARIA PEDROSSIAN"/>
    <s v="LDP-B-112-2"/>
    <s v="B-112"/>
    <s v="B-112-0372"/>
    <s v="ASSINADO"/>
    <x v="0"/>
    <m/>
    <n v="6"/>
    <s v="VIVIANE DA SILVA BASTOS"/>
    <s v="VIVIANE DA SILVA BASTOS"/>
    <s v="-"/>
    <s v="Interna"/>
    <s v="Longa"/>
    <s v="Online"/>
    <x v="0"/>
    <m/>
    <s v="MS"/>
    <m/>
    <d v="2023-07-05T00:00:00"/>
    <d v="2023-07-14T00:00:00"/>
    <n v="9"/>
    <n v="404950"/>
    <n v="445000"/>
    <n v="428000"/>
  </r>
  <r>
    <x v="147"/>
    <s v="JANSEN MARGARIDO PEREIRA"/>
    <s v="LDP-B-112-3"/>
    <s v="B-112"/>
    <s v="B-112-0373"/>
    <s v="ASSINADO"/>
    <x v="0"/>
    <m/>
    <n v="6"/>
    <s v="GÉSSICA GOZZI"/>
    <s v="GÉSSICA GOZZI"/>
    <s v="-"/>
    <s v="Interna"/>
    <s v="Longa"/>
    <s v="Showroom"/>
    <x v="0"/>
    <m/>
    <s v="SP"/>
    <m/>
    <d v="2023-07-15T00:00:00"/>
    <d v="2023-07-15T00:00:00"/>
    <n v="0"/>
    <n v="404950"/>
    <n v="445000"/>
    <n v="444600"/>
  </r>
  <r>
    <x v="148"/>
    <s v="APENAS SERVO TUR COMUNICACAO E MARKETING LTDA"/>
    <s v="LDP-B-223-6"/>
    <s v="B-223"/>
    <s v="B-223-0374"/>
    <s v="ASSINADO"/>
    <x v="0"/>
    <m/>
    <n v="6"/>
    <s v="KAIQUE GONCALVES DA PAZ_x000a_"/>
    <s v="KAIQUE GONCALVES DA PAZ_x000a_"/>
    <s v="-"/>
    <s v="Interna"/>
    <s v="Curta"/>
    <s v="Showroom"/>
    <x v="0"/>
    <m/>
    <s v="BA"/>
    <m/>
    <d v="2023-07-03T00:00:00"/>
    <d v="2023-07-17T00:00:00"/>
    <n v="14"/>
    <n v="346710"/>
    <n v="381000"/>
    <n v="336392"/>
  </r>
  <r>
    <x v="148"/>
    <s v="RICARDO DA SILVA VIANA"/>
    <s v="LDP-B-223-5"/>
    <s v="B-223"/>
    <s v="B-223-0375"/>
    <s v="ASSINADO"/>
    <x v="0"/>
    <m/>
    <n v="6"/>
    <s v="PAULO HENRIQUE CARNEIRO DO PRADO MIALICHI"/>
    <s v="PAULO HENRIQUE CARNEIRO DO PRADO MIALICHI"/>
    <s v="-"/>
    <s v="Interna"/>
    <s v="A vista"/>
    <s v="Online"/>
    <x v="0"/>
    <m/>
    <s v="SP"/>
    <m/>
    <d v="2023-07-01T00:00:00"/>
    <d v="2023-07-17T00:00:00"/>
    <n v="16"/>
    <n v="346710"/>
    <n v="381000"/>
    <n v="281500"/>
  </r>
  <r>
    <x v="149"/>
    <s v="4FAMILY EMPREENDIMENTOS LTDA"/>
    <s v="LDP-B-223-2"/>
    <s v="B-223"/>
    <s v="B-223-0376"/>
    <s v="ASSINADO"/>
    <x v="0"/>
    <m/>
    <n v="6"/>
    <s v="JOAO BATALHA DA SILVA NETO"/>
    <s v="GÉSSICA GOZZI"/>
    <s v="-"/>
    <s v="Interna"/>
    <s v="Curta"/>
    <s v="Showroom"/>
    <x v="0"/>
    <m/>
    <s v="RS"/>
    <m/>
    <d v="2023-07-15T00:00:00"/>
    <d v="2023-07-18T00:00:00"/>
    <n v="3"/>
    <n v="346710"/>
    <n v="381000"/>
    <n v="263000"/>
  </r>
  <r>
    <x v="150"/>
    <s v="FERNANDA TAQUES THOMAZELLI DE OLIVEIRA"/>
    <s v="LDP-A-200-1"/>
    <s v="A-200"/>
    <s v="A-200-0377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2"/>
    <s v="A-200"/>
    <s v="A-200-0378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3"/>
    <s v="A-200"/>
    <s v="A-200-0379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4"/>
    <s v="A-200"/>
    <s v="A-200-0380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1"/>
    <s v="PEDRO HENRIQUE SOUZA MACHADO"/>
    <s v="LDP-A-105-4"/>
    <s v="A-105"/>
    <s v="A-105-0381"/>
    <s v="NAO ASSINADO"/>
    <x v="1"/>
    <d v="2023-08-18T00:00:00"/>
    <n v="13"/>
    <s v="KATIA RAMOS DA SILVA"/>
    <s v="EDUARDO TADEU MALUTA FILHO"/>
    <s v="-"/>
    <s v="Interna"/>
    <s v="Curta"/>
    <s v="Online"/>
    <x v="0"/>
    <m/>
    <s v="DF"/>
    <m/>
    <d v="2023-06-28T00:00:00"/>
    <d v="2023-08-01T00:00:00"/>
    <n v="34"/>
    <n v="1620710"/>
    <n v="1781000"/>
    <n v="1590000"/>
  </r>
  <r>
    <x v="152"/>
    <s v="VANIA FRACALOSSI"/>
    <s v="LDP-B-112-1"/>
    <s v="B-112"/>
    <s v="B-112-0382"/>
    <s v="ASSINADO"/>
    <x v="0"/>
    <m/>
    <n v="6"/>
    <s v="ALLAN DE SOUZA MORAES"/>
    <s v="ALLAN DE SOUZA MORAES"/>
    <s v="-"/>
    <s v="Interna"/>
    <s v="A vista"/>
    <s v="Showroom"/>
    <x v="0"/>
    <m/>
    <s v="RS"/>
    <m/>
    <d v="2023-07-24T00:00:00"/>
    <d v="2023-07-24T00:00:00"/>
    <n v="0"/>
    <n v="404950"/>
    <n v="445000"/>
    <n v="325000"/>
  </r>
  <r>
    <x v="152"/>
    <s v="M.MENCHAN PARTICIPACOES LTDA"/>
    <s v="LDP-B-223-4"/>
    <s v="B-223"/>
    <s v="B-223-0383"/>
    <s v="NAO ASSINADO"/>
    <x v="1"/>
    <d v="2023-07-27T00:00:00"/>
    <n v="6"/>
    <s v="FERNANDA SILVA OLIVEIRA"/>
    <s v="SÂNGELA CRISTINA ARRUDA LIMA MORAIS"/>
    <s v="-"/>
    <s v="Interna"/>
    <s v="Longa"/>
    <s v="Showroom"/>
    <x v="0"/>
    <m/>
    <s v="RS"/>
    <m/>
    <d v="2023-07-24T00:00:00"/>
    <d v="2023-07-24T00:00:00"/>
    <n v="0"/>
    <n v="346710"/>
    <n v="381000"/>
    <n v="380991"/>
  </r>
  <r>
    <x v="153"/>
    <s v="JEPI PARTICIPACOES LTDA"/>
    <s v="LDP-B-216-5"/>
    <s v="B-216"/>
    <s v="B-216-0384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6-23T00:00:00"/>
    <d v="2023-07-25T00:00:00"/>
    <n v="32"/>
    <n v="374920"/>
    <n v="412000"/>
    <n v="353400"/>
  </r>
  <r>
    <x v="153"/>
    <s v="FERNANDA TAQUES THOMAZELLI DE OLIVEIRA"/>
    <s v="LDP-VAGA-004"/>
    <s v="Vaga-004"/>
    <s v="Vaga-004-0385"/>
    <s v="ASSINADO"/>
    <x v="0"/>
    <m/>
    <n v="52"/>
    <s v="ANA CLAUDIA ALTEMARI LUIZ"/>
    <s v="ANA CLAUDIA ALTEMARI LUIZ"/>
    <s v="-"/>
    <s v="Interna"/>
    <s v="Longa"/>
    <s v="Showroom"/>
    <x v="0"/>
    <m/>
    <s v="MS"/>
    <m/>
    <d v="2023-07-22T00:00:00"/>
    <d v="2023-07-25T00:00:00"/>
    <n v="3"/>
    <n v="273000"/>
    <n v="300000"/>
    <n v="300000"/>
  </r>
  <r>
    <x v="154"/>
    <s v="EDUARDO LUIZ VANIN"/>
    <s v="LDP-A-213-4"/>
    <s v="A-213"/>
    <s v="A-213-0386"/>
    <s v="ASSINADO"/>
    <x v="0"/>
    <m/>
    <n v="13"/>
    <s v="KAIQUE GONCALVES DA PAZ_x000a_"/>
    <s v="KAIQUE GONCALVES DA PAZ_x000a_"/>
    <s v="-"/>
    <s v="Interna"/>
    <s v="A vista"/>
    <s v="Showroom"/>
    <x v="0"/>
    <m/>
    <s v="PR"/>
    <m/>
    <d v="2023-07-13T00:00:00"/>
    <d v="2023-07-26T00:00:00"/>
    <n v="13"/>
    <n v="1161160"/>
    <n v="1276000"/>
    <n v="910000"/>
  </r>
  <r>
    <x v="154"/>
    <s v="RONALDO MORSELLI"/>
    <s v="LDP-B-216-4"/>
    <s v="B-216"/>
    <s v="B-216-0387"/>
    <s v="ASSINADO"/>
    <x v="0"/>
    <m/>
    <n v="6"/>
    <s v="ALLAN DE SOUZA MORAES"/>
    <s v="ALLAN DE SOUZA MORAES"/>
    <s v="-"/>
    <s v="Interna"/>
    <s v="Curta"/>
    <s v="Showroom"/>
    <x v="0"/>
    <m/>
    <s v="SP"/>
    <m/>
    <d v="2023-07-26T00:00:00"/>
    <d v="2023-07-26T00:00:00"/>
    <n v="0"/>
    <n v="374920"/>
    <n v="412000"/>
    <n v="350000"/>
  </r>
  <r>
    <x v="155"/>
    <s v="TATIANE ROQUE VAZ"/>
    <s v="LDP-B-223-4"/>
    <s v="B-223"/>
    <s v="B-223-0388"/>
    <s v="ASSINADO"/>
    <x v="0"/>
    <m/>
    <n v="6"/>
    <s v="CLEUZIANE SANTOS DE CARVALHO"/>
    <s v="CLEUZIANE SANTOS DE CARVALHO"/>
    <s v="-"/>
    <s v="Interna"/>
    <s v="Longa"/>
    <s v="Showroom"/>
    <x v="0"/>
    <m/>
    <s v="SP"/>
    <m/>
    <d v="2023-07-29T00:00:00"/>
    <d v="2023-07-29T00:00:00"/>
    <n v="0"/>
    <n v="346710"/>
    <n v="381000"/>
    <n v="360000"/>
  </r>
  <r>
    <x v="151"/>
    <s v="FABIO MACHADO BALDISSERA"/>
    <s v="LDP-B-216-3"/>
    <s v="B-216"/>
    <s v="B-216-0389"/>
    <s v="ASSINADO"/>
    <x v="0"/>
    <m/>
    <n v="6"/>
    <s v="FELLIPE BRAZ FERREIRA BILATE"/>
    <s v="FELLIPE BRAZ FERREIRA BILATE"/>
    <s v="ARIANE PEREIRA BARBOSA"/>
    <s v="Interna"/>
    <s v="Curta"/>
    <s v="Showroom"/>
    <x v="0"/>
    <m/>
    <s v="RS"/>
    <m/>
    <d v="2023-07-03T00:00:00"/>
    <d v="2023-08-01T00:00:00"/>
    <n v="29"/>
    <n v="374920"/>
    <n v="412000"/>
    <n v="326000"/>
  </r>
  <r>
    <x v="156"/>
    <s v="GIOVANNI LUIZ NARDELLO ROTTA"/>
    <s v="LDP-B-223-1"/>
    <s v="B-223"/>
    <s v="B-223-0390"/>
    <s v="ASSINADO"/>
    <x v="0"/>
    <m/>
    <n v="6"/>
    <s v="VIVIANE DA SILVA BASTOS"/>
    <s v="VIVIANE DA SILVA BASTOS"/>
    <s v="PEDRO MONFORTE"/>
    <s v="Interna"/>
    <s v="Longa"/>
    <s v="Online"/>
    <x v="0"/>
    <m/>
    <s v="PR"/>
    <m/>
    <d v="2023-07-30T00:00:00"/>
    <d v="2023-08-03T00:00:00"/>
    <n v="4"/>
    <n v="346710"/>
    <n v="381000"/>
    <n v="339045"/>
  </r>
  <r>
    <x v="156"/>
    <s v="NEXO IMPRTACAO E EXPORTACAO LTDA"/>
    <s v="LDP-B-112-4"/>
    <s v="B-112"/>
    <s v="B-112-0391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03T00:00:00"/>
    <d v="2023-08-03T00:00:00"/>
    <n v="0"/>
    <n v="404950"/>
    <n v="445000"/>
    <n v="410000"/>
  </r>
  <r>
    <x v="157"/>
    <s v="RENATO SCHUCK SARAIVA"/>
    <s v="LDP-B-112-5"/>
    <s v="B-112"/>
    <s v="B-112-0392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8T00:00:00"/>
    <d v="2023-08-04T00:00:00"/>
    <n v="57"/>
    <n v="404950"/>
    <n v="445000"/>
    <n v="329000"/>
  </r>
  <r>
    <x v="158"/>
    <s v="VITORIO PARTICIPACOES LTDA"/>
    <s v="LDP-A-105-2"/>
    <s v="A-105"/>
    <s v="A-105-0393"/>
    <s v="ASSINADO"/>
    <x v="0"/>
    <m/>
    <n v="13"/>
    <s v="CLEUZIANE SANTOS DE CARVALHO"/>
    <s v="CLEUZIANE SANTOS DE CARVALHO"/>
    <s v="ARIANE PEREIRA BARBOSA"/>
    <s v="Interna"/>
    <s v="Curta"/>
    <s v="Showroom"/>
    <x v="0"/>
    <m/>
    <s v="RS"/>
    <m/>
    <d v="2023-05-22T00:00:00"/>
    <d v="2023-08-05T00:00:00"/>
    <n v="75"/>
    <n v="1620710"/>
    <n v="1781000"/>
    <n v="1404490"/>
  </r>
  <r>
    <x v="159"/>
    <s v="ROBERTO JUN TERAHATA"/>
    <s v="LDP-B-114-5"/>
    <s v="B-114"/>
    <s v="B-114-0394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6-12T00:00:00"/>
    <d v="2023-08-06T00:00:00"/>
    <n v="55"/>
    <n v="409500"/>
    <n v="450000"/>
    <n v="442999"/>
  </r>
  <r>
    <x v="160"/>
    <s v="AIRTON APARECIDO FERREIRA DE BRITO"/>
    <s v="LDP-B-216-1"/>
    <s v="B-216"/>
    <s v="B-216-0395"/>
    <s v="ASSINADO"/>
    <x v="0"/>
    <m/>
    <n v="6"/>
    <s v="ALLAN DE SOUZA MORAES"/>
    <s v="ALLAN DE SOUZA MORAES"/>
    <s v="PEDRO MONFORTE"/>
    <s v="Interna"/>
    <s v="Longa"/>
    <s v="Showroom"/>
    <x v="0"/>
    <m/>
    <s v="SP"/>
    <m/>
    <d v="2023-08-04T00:00:00"/>
    <d v="2023-08-10T00:00:00"/>
    <n v="6"/>
    <n v="374920"/>
    <n v="412000"/>
    <n v="412000"/>
  </r>
  <r>
    <x v="161"/>
    <s v="EDILSON JOSE DA ROCHA"/>
    <s v="LDP-B-223-3"/>
    <s v="B-223"/>
    <s v="B-223-0396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PR"/>
    <m/>
    <d v="2023-08-11T00:00:00"/>
    <d v="2023-08-11T00:00:00"/>
    <n v="0"/>
    <n v="346710"/>
    <n v="381000"/>
    <n v="381650"/>
  </r>
  <r>
    <x v="162"/>
    <s v="OLIVIA CAMPOS MELO FONTOURA"/>
    <s v="LDP-B-229-4"/>
    <s v="B-229"/>
    <s v="B-229-0397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3-08-12T00:00:00"/>
    <d v="2023-08-12T00:00:00"/>
    <n v="0"/>
    <n v="353080"/>
    <n v="388000"/>
    <n v="381000.1"/>
  </r>
  <r>
    <x v="163"/>
    <s v="DEODORO ANTONIO OLIVEIRA VAZ"/>
    <s v="LDP-B-216-2"/>
    <s v="B-216"/>
    <s v="B-216-0398"/>
    <s v="ASSINADO"/>
    <x v="0"/>
    <m/>
    <n v="6"/>
    <s v="TAMIRES SOARES DE CARVALHO"/>
    <s v="TAMIRES SOARES DE CARVALHO"/>
    <s v="ARIANE PEREIRA BARBOSA"/>
    <s v="Interna"/>
    <s v="Longa"/>
    <s v="Online"/>
    <x v="0"/>
    <m/>
    <s v="SP"/>
    <m/>
    <d v="2023-06-30T00:00:00"/>
    <d v="2023-08-18T00:00:00"/>
    <n v="49"/>
    <n v="374920"/>
    <n v="412000"/>
    <n v="390100"/>
  </r>
  <r>
    <x v="164"/>
    <s v="ELINTON BOBRIK"/>
    <s v="LDP-B-114-4"/>
    <s v="B-114"/>
    <s v="B-114-0399"/>
    <s v="ASSINADO"/>
    <x v="0"/>
    <m/>
    <n v="6"/>
    <s v="KATIA RAMOS DA SILVA"/>
    <s v="KATIA RAMOS DA SILVA"/>
    <s v="PEDRO MONFORTE"/>
    <s v="Interna"/>
    <s v="Longa"/>
    <s v="Online"/>
    <x v="0"/>
    <m/>
    <s v="SP"/>
    <m/>
    <d v="2023-08-16T00:00:00"/>
    <d v="2023-08-16T00:00:00"/>
    <n v="0"/>
    <n v="409500"/>
    <n v="450000"/>
    <n v="420000"/>
  </r>
  <r>
    <x v="165"/>
    <s v="MARCOS FREDERICO NEVES PESSANHA"/>
    <s v="LDP-B-109-1"/>
    <s v="B-109"/>
    <s v="B-109-0400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14T00:00:00"/>
    <d v="2023-08-17T00:00:00"/>
    <n v="3"/>
    <n v="368550"/>
    <n v="405000"/>
    <n v="375000"/>
  </r>
  <r>
    <x v="165"/>
    <s v="AAM12 ADMINISTRAÇÃO DE BENS PROPRIOS EIRELI"/>
    <s v="LDP-B-109-6"/>
    <s v="B-109"/>
    <s v="B-109-0401"/>
    <s v="ASSINADO"/>
    <x v="0"/>
    <m/>
    <n v="6"/>
    <s v="KATIA RAMOS DA SILVA"/>
    <s v="KATIA RAMOS DA SILVA"/>
    <s v="PEDRO MONFORTE"/>
    <s v="Interna"/>
    <s v="Longa"/>
    <s v="Online"/>
    <x v="0"/>
    <m/>
    <s v="RJ"/>
    <m/>
    <d v="2023-08-14T00:00:00"/>
    <d v="2023-08-17T00:00:00"/>
    <n v="3"/>
    <n v="368550"/>
    <n v="405000"/>
    <n v="364500.16"/>
  </r>
  <r>
    <x v="163"/>
    <s v="EDUARDO BARRETTO MARTINS"/>
    <s v="LDP-A-209-2"/>
    <s v="A-209"/>
    <s v="A-209-0402"/>
    <s v="ASSINADO"/>
    <x v="2"/>
    <d v="2023-10-24T00:00:00"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08-18T00:00:00"/>
    <n v="68"/>
    <n v="1162070"/>
    <n v="1277000"/>
    <n v="1190000"/>
  </r>
  <r>
    <x v="166"/>
    <s v="CIAPLAN PLANEJAMENTO E CONSTRUÇOES LTDA"/>
    <s v="LDP-B-204-1"/>
    <s v="B-204"/>
    <s v="B-204-0403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2"/>
    <s v="B-204"/>
    <s v="B-204-0404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3"/>
    <s v="B-204"/>
    <s v="B-204-0405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4"/>
    <s v="B-204"/>
    <s v="B-204-0406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5"/>
    <s v="B-204"/>
    <s v="B-204-0407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6"/>
    <s v="B-204"/>
    <s v="B-204-0408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7"/>
    <s v="B-204"/>
    <s v="B-204-0409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8"/>
    <s v="B-204"/>
    <s v="B-204-0410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9"/>
    <s v="B-204"/>
    <s v="B-204-0411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10"/>
    <s v="B-204"/>
    <s v="B-204-0412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7"/>
    <s v="RICARDO COUTO DE PRADA"/>
    <s v="LDP-B-229-1"/>
    <s v="B-229"/>
    <s v="B-229-0413"/>
    <s v="ASSINADO"/>
    <x v="0"/>
    <m/>
    <n v="6"/>
    <s v="MAURO CABERLON VOLK"/>
    <s v="MAURO CABERLON VOLK"/>
    <s v="PEDRO MONFORTE"/>
    <s v="Interna"/>
    <s v="A vista"/>
    <s v="Showroom"/>
    <x v="0"/>
    <m/>
    <s v="RS"/>
    <m/>
    <d v="2023-08-19T00:00:00"/>
    <d v="2023-08-24T00:00:00"/>
    <n v="5"/>
    <n v="353080"/>
    <n v="388000"/>
    <n v="286600"/>
  </r>
  <r>
    <x v="167"/>
    <s v="MCARVALHO ZICA EIRELI ME "/>
    <s v="LDP-B-229-2"/>
    <s v="B-229"/>
    <s v="B-229-0414"/>
    <s v="ASSINADO"/>
    <x v="0"/>
    <m/>
    <n v="6"/>
    <s v="KATIA RAMOS DA SILVA"/>
    <s v="KATIA RAMOS DA SILVA"/>
    <s v="PEDRO MONFORTE"/>
    <s v="Interna"/>
    <s v="Longa"/>
    <s v="Online"/>
    <x v="0"/>
    <m/>
    <s v="GO"/>
    <m/>
    <d v="2023-08-22T00:00:00"/>
    <d v="2023-08-24T00:00:00"/>
    <n v="2"/>
    <n v="353080"/>
    <n v="388000"/>
    <n v="367810"/>
  </r>
  <r>
    <x v="167"/>
    <s v="DTRF PARTICIPACOES LTDA"/>
    <s v="LDP-B-229-3"/>
    <s v="B-229"/>
    <s v="B-229-0415"/>
    <s v="ASSINADO"/>
    <x v="2"/>
    <d v="2024-09-30T00:00:00"/>
    <n v="6"/>
    <s v="ANA CLAUDIA ALTEMARI LUIZ"/>
    <s v="ANA CLAUDIA ALTEMARI LUIZ"/>
    <s v="ARIANE PEREIRA BARBOSA"/>
    <s v="Interna"/>
    <s v="Longa"/>
    <s v="Showroom"/>
    <x v="0"/>
    <m/>
    <s v="SC"/>
    <m/>
    <d v="2023-08-21T00:00:00"/>
    <d v="2023-08-24T00:00:00"/>
    <n v="3"/>
    <n v="353080"/>
    <n v="388000"/>
    <n v="371600"/>
  </r>
  <r>
    <x v="168"/>
    <s v="HERCIO AGRANIONIK"/>
    <s v="LDP-B-111-5"/>
    <s v="B-111"/>
    <s v="B-111-0416"/>
    <s v="ASSINADO"/>
    <x v="0"/>
    <m/>
    <n v="6"/>
    <s v="VIVIANE DA SILVA BASTOS"/>
    <s v="VIVIANE DA SILVA BASTOS"/>
    <s v="PEDRO MONFORTE"/>
    <s v="Interna"/>
    <s v="Curta"/>
    <s v="Online"/>
    <x v="0"/>
    <m/>
    <s v="RS"/>
    <m/>
    <d v="2023-07-25T00:00:00"/>
    <d v="2023-08-29T00:00:00"/>
    <n v="35"/>
    <n v="368550"/>
    <n v="405000"/>
    <n v="350400"/>
  </r>
  <r>
    <x v="168"/>
    <s v="LUANNA GOMES BUENO"/>
    <s v="LDP-B-216-6"/>
    <s v="B-216"/>
    <s v="B-216-0417"/>
    <s v="ASSINADO"/>
    <x v="0"/>
    <m/>
    <n v="6"/>
    <s v="MATEUS ORLANDO BEGNINI"/>
    <s v="MATEUS ORLANDO BEGNINI"/>
    <s v="ARIANE PEREIRA BARBOSA"/>
    <s v="Interna"/>
    <s v="A vista"/>
    <s v="Showroom"/>
    <x v="0"/>
    <m/>
    <s v="SP"/>
    <m/>
    <d v="2023-08-11T00:00:00"/>
    <d v="2023-08-29T00:00:00"/>
    <n v="18"/>
    <n v="374920"/>
    <n v="412000"/>
    <n v="304435"/>
  </r>
  <r>
    <x v="168"/>
    <s v="FCX INVESTIMENTOS E PARTICIPACOES LTDA"/>
    <s v="LDP-B-203-4"/>
    <s v="B-203"/>
    <s v="B-203-0418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x v="168"/>
    <s v="FCX INVESTIMENTOS E PARTICIPACOES LTDA"/>
    <s v="LDP-B-203-5"/>
    <s v="B-203"/>
    <s v="B-203-0419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x v="168"/>
    <s v="STARX IMPORTACAO E EXPORTACAO LTDA"/>
    <s v="LDP-B-211-1"/>
    <s v="B-211"/>
    <s v="B-211-0420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x v="168"/>
    <s v="STARX IMPORTACAO E EXPORTACAO LTDA"/>
    <s v="LDP-B-211-4"/>
    <s v="B-211"/>
    <s v="B-211-0421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x v="168"/>
    <s v="ANTONIO CARLOS PINTO CELESTINO"/>
    <s v="LDP-B-211-3"/>
    <s v="B-211"/>
    <s v="B-211-0422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199.92"/>
  </r>
  <r>
    <x v="169"/>
    <s v="ALEXANDRE OLIVEIRA ROCHA"/>
    <s v="LDP-B-229-5"/>
    <s v="B-229"/>
    <s v="B-229-0423"/>
    <s v="ASSINADO"/>
    <x v="1"/>
    <d v="2024-09-10T00:00:00"/>
    <n v="6"/>
    <s v="KAIQUE GONCALVES DA PAZ_x000a_"/>
    <s v="KAIQUE GONCALVES DA PAZ_x000a_"/>
    <s v="PEDRO MONFORTE"/>
    <s v="Interna"/>
    <s v="Curta"/>
    <s v="Online"/>
    <x v="0"/>
    <m/>
    <s v="MS"/>
    <m/>
    <d v="2023-08-27T00:00:00"/>
    <d v="2023-08-31T00:00:00"/>
    <n v="4"/>
    <n v="353080"/>
    <n v="388000"/>
    <n v="370000"/>
  </r>
  <r>
    <x v="170"/>
    <s v="DIOGO SCUTA FAGLIARI"/>
    <s v="LDP-A-213-2"/>
    <s v="A-213"/>
    <s v="A-213-0424"/>
    <s v="ASSINADO"/>
    <x v="0"/>
    <m/>
    <n v="13"/>
    <s v="JUSCINEIA FRANCISCA RODRIGUES"/>
    <s v="JUSCINEIA FRANCISCA RODRIGUES"/>
    <s v="-"/>
    <s v="Sócios"/>
    <s v="Longa"/>
    <s v="Online"/>
    <x v="0"/>
    <m/>
    <s v="SP"/>
    <m/>
    <d v="2023-03-05T00:00:00"/>
    <d v="2023-09-03T00:00:00"/>
    <n v="182"/>
    <n v="1164800"/>
    <n v="1280000"/>
    <n v="1137202.99"/>
  </r>
  <r>
    <x v="170"/>
    <s v="ALESSANDRO ARDISSON"/>
    <s v="LDP-B-229-6"/>
    <s v="B-229"/>
    <s v="B-229-0425"/>
    <s v="NAO ASSINADO"/>
    <x v="1"/>
    <d v="2023-09-11T00:00:00"/>
    <n v="6"/>
    <s v="KAIQUE GONCALVES DA PAZ_x000a_"/>
    <s v="KAIQUE GONCALVES DA PAZ_x000a_"/>
    <s v="PEDRO MONFORTE"/>
    <s v="Interna"/>
    <s v="Curta"/>
    <s v="Online"/>
    <x v="0"/>
    <m/>
    <s v="SP"/>
    <m/>
    <d v="2023-09-03T00:00:00"/>
    <d v="2023-09-03T00:00:00"/>
    <n v="0"/>
    <n v="353990"/>
    <n v="389000"/>
    <n v="294000"/>
  </r>
  <r>
    <x v="171"/>
    <s v="BENJAMIN ROMANGNOLI PIVETA ASSUNCAO FILHO"/>
    <s v="LDP-B-211-5"/>
    <s v="B-211"/>
    <s v="B-211-0426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x v="171"/>
    <s v="BENJAMIN ROMANGNOLI PIVETA ASSUNCAO FILHO"/>
    <s v="LDP-B-211-6"/>
    <s v="B-211"/>
    <s v="B-211-0427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x v="172"/>
    <s v="GR EMPREENDIMENTOS IMOBILIARIOS LTDA"/>
    <s v="LDP-A-103-1"/>
    <s v="A-103"/>
    <s v="A-103-0428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2"/>
    <s v="A-103"/>
    <s v="A-103-0429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3"/>
    <s v="A-103"/>
    <s v="A-103-0430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4"/>
    <s v="A-103"/>
    <s v="A-103-0431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3"/>
    <s v="ADRIANE BURTET GHISI"/>
    <s v="LDP-B-323-5"/>
    <s v="B-323"/>
    <s v="B-323-0432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x v="173"/>
    <s v="BRUNO GHISI"/>
    <s v="LDP-B-323-6"/>
    <s v="B-323"/>
    <s v="B-323-0433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x v="174"/>
    <s v="XA PROJETO E DESENVOLVIMENTO DE EMBARCACOES LTDA"/>
    <s v="LDP-B-323-4"/>
    <s v="B-323"/>
    <s v="B-323-0434"/>
    <s v="ASSINADO"/>
    <x v="0"/>
    <m/>
    <n v="6"/>
    <s v="JOAO BATALHA DA SILVA NETO"/>
    <s v="JOAO BATALHA DA SILVA NETO"/>
    <s v="PEDRO MONFORTE"/>
    <s v="Interna"/>
    <s v="Longa"/>
    <s v="Showroom"/>
    <x v="0"/>
    <m/>
    <s v="RS"/>
    <m/>
    <d v="2023-07-08T00:00:00"/>
    <d v="2023-09-08T00:00:00"/>
    <n v="62"/>
    <n v="341250"/>
    <n v="375000"/>
    <n v="374000"/>
  </r>
  <r>
    <x v="175"/>
    <s v="ALCIONE ANTONIO SANTIN"/>
    <s v="LDP-B-323-3"/>
    <s v="B-323"/>
    <s v="B-323-0435"/>
    <s v="ASSINADO"/>
    <x v="0"/>
    <m/>
    <n v="6"/>
    <s v="KATIA RAMOS DA SILVA"/>
    <s v="KATIA RAMOS DA SILVA"/>
    <s v="PEDRO MONFORTE"/>
    <s v="Interna"/>
    <s v="Curta"/>
    <s v="Online"/>
    <x v="0"/>
    <m/>
    <s v="SP"/>
    <m/>
    <d v="2023-08-29T00:00:00"/>
    <d v="2023-09-09T00:00:00"/>
    <n v="11"/>
    <n v="341250"/>
    <n v="375000"/>
    <n v="332220"/>
  </r>
  <r>
    <x v="176"/>
    <s v="ISIS GOMEZ MARTINS"/>
    <s v="LDP-B-323-2"/>
    <s v="B-323"/>
    <s v="B-323-0436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7-15T00:00:00"/>
    <d v="2023-09-11T00:00:00"/>
    <n v="58"/>
    <n v="341250"/>
    <n v="375000"/>
    <n v="350000"/>
  </r>
  <r>
    <x v="176"/>
    <s v="GR EMPREENDIMENTOS IMOBILIARIOS LTDA"/>
    <s v="LDP-Vaga-008"/>
    <s v="Vaga-008"/>
    <s v="Vaga-008-0437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11T00:00:00"/>
    <n v="18"/>
    <n v="182000"/>
    <n v="200000"/>
    <n v="200000"/>
  </r>
  <r>
    <x v="177"/>
    <s v="JULIO CESAR GHISI"/>
    <s v="LDP-B-323-1"/>
    <s v="B-323"/>
    <s v="B-323-0438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12T00:00:00"/>
    <n v="6"/>
    <n v="341250"/>
    <n v="375000"/>
    <n v="300000"/>
  </r>
  <r>
    <x v="178"/>
    <s v="MARCIO SOUZA CARNEIRO"/>
    <s v="LDP-B-325-5"/>
    <s v="B-325"/>
    <s v="B-325-0439"/>
    <s v="ASSINADO"/>
    <x v="0"/>
    <m/>
    <n v="6"/>
    <s v="VIVIANE DA SILVA BASTOS"/>
    <s v="VIVIANE DA SILVA BASTOS"/>
    <s v="PEDRO MONFORTE"/>
    <s v="Interna"/>
    <s v="Curta"/>
    <s v="Showroom"/>
    <x v="0"/>
    <m/>
    <s v="SP"/>
    <m/>
    <d v="2023-09-01T00:00:00"/>
    <d v="2023-09-14T00:00:00"/>
    <n v="13"/>
    <n v="341250"/>
    <n v="375000"/>
    <n v="302000"/>
  </r>
  <r>
    <x v="178"/>
    <s v="MARCELO HOFFMANN"/>
    <s v="LDP-B-325-6"/>
    <s v="B-325"/>
    <s v="B-325-044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07T00:00:00"/>
    <d v="2023-09-14T00:00:00"/>
    <n v="7"/>
    <n v="341250"/>
    <n v="375000"/>
    <n v="314226"/>
  </r>
  <r>
    <x v="179"/>
    <s v="CEDRIA INVESTIMENTOS LTDA"/>
    <s v="LDP-B-325-1"/>
    <s v="B-325"/>
    <s v="B-325-0441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x v="179"/>
    <s v="CEDRIA INVESTIMENTOS LTDA"/>
    <s v="LDP-B-325-2"/>
    <s v="B-325"/>
    <s v="B-325-0442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x v="180"/>
    <s v="JULIA HELENA DA CRUZ LUIZ"/>
    <s v="LDP-B-325-3"/>
    <s v="B-325"/>
    <s v="B-325-0443"/>
    <s v="ASSINADO"/>
    <x v="0"/>
    <m/>
    <n v="6"/>
    <s v="LEANDRO DESTRI GRENHANIN"/>
    <s v="LEANDRO DESTRI GRENHANIN"/>
    <s v="PEDRO MONFORTE"/>
    <s v="Interna"/>
    <s v="Longa"/>
    <s v="Showroom"/>
    <x v="0"/>
    <m/>
    <s v="PR"/>
    <m/>
    <d v="2023-09-11T00:00:00"/>
    <d v="2023-09-16T00:00:00"/>
    <n v="5"/>
    <n v="341250"/>
    <n v="375000"/>
    <n v="366000"/>
  </r>
  <r>
    <x v="180"/>
    <s v="NATAN DOS SANTOS BILHAR"/>
    <s v="LDP-B-114-3"/>
    <s v="B-114"/>
    <s v="B-114-0444"/>
    <s v="ASSINADO"/>
    <x v="0"/>
    <m/>
    <n v="6"/>
    <s v="JOAO BATALHA DA SILVA NETO"/>
    <s v="JOAO BATALHA DA SILVA NETO"/>
    <s v="PEDRO MONFORTE"/>
    <s v="Interna"/>
    <s v="Curta"/>
    <s v="Online"/>
    <x v="0"/>
    <m/>
    <s v="MT"/>
    <m/>
    <d v="2023-08-23T00:00:00"/>
    <d v="2023-09-16T00:00:00"/>
    <n v="24"/>
    <n v="410410"/>
    <n v="451000"/>
    <n v="400000"/>
  </r>
  <r>
    <x v="181"/>
    <s v="ACW4X HOLDING PATRIMONIAL S.A."/>
    <s v="LDP-B-227-4"/>
    <s v="B-227"/>
    <s v="B-227-0445"/>
    <s v="ASSINADO"/>
    <x v="0"/>
    <m/>
    <n v="6"/>
    <s v="LEANDRO DESTRI GRENHANIN"/>
    <s v="LEANDRO DESTRI GRENHANIN"/>
    <s v="PEDRO MONFORTE"/>
    <s v="Interna"/>
    <s v="Longa"/>
    <s v="Showroom"/>
    <x v="0"/>
    <m/>
    <s v="RS"/>
    <m/>
    <d v="2023-09-16T00:00:00"/>
    <d v="2023-09-17T00:00:00"/>
    <n v="1"/>
    <n v="341250"/>
    <n v="375000"/>
    <n v="358900"/>
  </r>
  <r>
    <x v="181"/>
    <s v="THIAGO ALEXANDRE DEPPE MACHADO"/>
    <s v="LDP-B-227-5"/>
    <s v="B-227"/>
    <s v="B-227-0446"/>
    <s v="ASSINADO"/>
    <x v="1"/>
    <d v="2023-09-23T00:00:00"/>
    <n v="6"/>
    <s v="SÂNGELA CRISTINA ARRUDA LIMA MORAIS"/>
    <s v="GÉSSICA GOZZI"/>
    <s v="ARIANE PEREIRA BARBOSA"/>
    <s v="Interna"/>
    <s v="Longa"/>
    <s v="Showroom"/>
    <x v="0"/>
    <m/>
    <s v="RS"/>
    <m/>
    <d v="2023-09-17T00:00:00"/>
    <d v="2023-09-17T00:00:00"/>
    <n v="0"/>
    <n v="341250"/>
    <n v="375000"/>
    <n v="375000"/>
  </r>
  <r>
    <x v="181"/>
    <s v="FOCOLARE EMPREENDIMENTOS E PARTICIPACOES LTDA"/>
    <s v="LDP-B-227-6"/>
    <s v="B-227"/>
    <s v="B-227-0447"/>
    <s v="ASSINADO"/>
    <x v="2"/>
    <d v="2024-08-31T00:00:00"/>
    <n v="6"/>
    <s v="LAISA DANGONI"/>
    <s v="LAÍSA DANGONI"/>
    <s v="ARIANE PEREIRA BARBOSA"/>
    <s v="Interna"/>
    <s v="Curta"/>
    <s v="Showroom"/>
    <x v="0"/>
    <m/>
    <s v="RS"/>
    <m/>
    <d v="2023-09-10T00:00:00"/>
    <d v="2023-09-17T00:00:00"/>
    <n v="7"/>
    <n v="341250"/>
    <n v="375000"/>
    <n v="318800"/>
  </r>
  <r>
    <x v="181"/>
    <s v="ALEXANDRE MOISES EGER SCHARF"/>
    <s v="LDP-A-213-1"/>
    <s v="A-213"/>
    <s v="A-213-0449"/>
    <s v="NAO ASSINADO"/>
    <x v="1"/>
    <d v="2023-10-25T00:00:00"/>
    <n v="13"/>
    <s v="CLEUZIANE SANTOS DE CARVALHO"/>
    <s v="CLEUZIANE SANTOS DE CARVALHO"/>
    <s v="ARIANE PEREIRA BARBOSA"/>
    <s v="Interna"/>
    <s v="Curta"/>
    <s v="Showroom"/>
    <x v="0"/>
    <m/>
    <s v="SC"/>
    <m/>
    <d v="2023-09-17T00:00:00"/>
    <d v="2023-09-17T00:00:00"/>
    <n v="0"/>
    <n v="1164800"/>
    <n v="1280000"/>
    <n v="1152000"/>
  </r>
  <r>
    <x v="182"/>
    <s v="ISMAEL ROGGIA SILVA"/>
    <s v="LDP-B-227-3"/>
    <s v="B-227"/>
    <s v="B-227-0450"/>
    <s v="ASSINADO"/>
    <x v="2"/>
    <d v="2024-08-09T00:00:00"/>
    <n v="6"/>
    <s v="VIVIANE DA SILVA BASTOS"/>
    <s v="VIVIANE DA SILVA BASTOS"/>
    <s v="PEDRO MONFORTE"/>
    <s v="Interna"/>
    <s v="Longa"/>
    <s v="Online"/>
    <x v="0"/>
    <m/>
    <s v="RS"/>
    <m/>
    <d v="2023-09-13T00:00:00"/>
    <d v="2023-09-25T00:00:00"/>
    <n v="12"/>
    <n v="341250"/>
    <n v="375000"/>
    <n v="363500"/>
  </r>
  <r>
    <x v="183"/>
    <s v="RAFAEL BONANATA DA ROCHA"/>
    <s v="LDP-B-227-1"/>
    <s v="B-227"/>
    <s v="B-227-0451"/>
    <s v="ASSINADO"/>
    <x v="0"/>
    <m/>
    <n v="6"/>
    <s v="SÂNGELA CRISTINA ARRUDA LIMA MORAIS"/>
    <s v="SÂNGELA CRISTINA ARRUDA LIMA MORAIS"/>
    <s v="ARIANE PEREIRA BARBOSA"/>
    <s v="Interna"/>
    <s v="Curta"/>
    <s v="Online"/>
    <x v="0"/>
    <m/>
    <s v="SC"/>
    <m/>
    <d v="2023-09-20T00:00:00"/>
    <d v="2023-09-26T00:00:00"/>
    <n v="6"/>
    <n v="341250"/>
    <n v="375000"/>
    <n v="298004"/>
  </r>
  <r>
    <x v="183"/>
    <s v="GR EMPREENDIMENTOS IMOBILIARIOS LTDA"/>
    <s v="LDP-Vaga-009"/>
    <s v="Vaga-009"/>
    <s v="Vaga-009-0452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82000"/>
    <n v="200000"/>
    <n v="200000"/>
  </r>
  <r>
    <x v="183"/>
    <s v="GR EMPREENDIMENTOS IMOBILIARIOS LTDA"/>
    <s v="LDP-A-104-1"/>
    <s v="A-104"/>
    <s v="A-104-0453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2"/>
    <s v="A-104"/>
    <s v="A-104-0454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3"/>
    <s v="A-104"/>
    <s v="A-104-0455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4"/>
    <s v="A-104"/>
    <s v="A-104-0456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4"/>
    <s v="VGLLP ADMINISTRADORA DE BENS LTDA"/>
    <s v="LDP-B-325-4"/>
    <s v="B-325"/>
    <s v="B-325-0457"/>
    <s v="ASSINADO"/>
    <x v="0"/>
    <m/>
    <n v="6"/>
    <s v="VIVIANE DA SILVA BASTOS"/>
    <s v="KATIA RAMOS DA SILVA"/>
    <s v="PEDRO MONFORTE"/>
    <s v="Interna"/>
    <s v="Longa"/>
    <s v="Online"/>
    <x v="0"/>
    <m/>
    <s v="SC"/>
    <m/>
    <d v="2023-08-17T00:00:00"/>
    <d v="2023-09-27T00:00:00"/>
    <n v="41"/>
    <n v="341250"/>
    <n v="375000"/>
    <n v="374000"/>
  </r>
  <r>
    <x v="184"/>
    <s v="ROKA PATRIMONIAL LTDA"/>
    <s v="LDP-B-221-1"/>
    <s v="B-221"/>
    <s v="B-221-0458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x v="184"/>
    <s v="ROKA PATRIMONIAL LTDA"/>
    <s v="LDP-B-221-2"/>
    <s v="B-221"/>
    <s v="B-221-0459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x v="185"/>
    <s v="FERNANDO AMENT"/>
    <s v="LDP-B-227-2"/>
    <s v="B-227"/>
    <s v="B-227-046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13T00:00:00"/>
    <d v="2023-09-28T00:00:00"/>
    <n v="15"/>
    <n v="341250"/>
    <n v="375000"/>
    <n v="325450"/>
  </r>
  <r>
    <x v="185"/>
    <s v="LARSON EMPREENDIMENTOS IMOBILIARIOS LTDA"/>
    <s v="LDP-A-213-3"/>
    <s v="A-213"/>
    <s v="A-213-0461"/>
    <s v="ASSINADO"/>
    <x v="0"/>
    <m/>
    <n v="13"/>
    <s v="CLEUZIANE SANTOS DE CARVALHO"/>
    <s v="CLEUZIANE SANTOS DE CARVALHO"/>
    <s v="ARIANE PEREIRA BARBOSA"/>
    <s v="Interna"/>
    <s v="Curta"/>
    <s v="Showroom"/>
    <x v="2"/>
    <m/>
    <s v="MS"/>
    <m/>
    <d v="2023-09-27T00:00:00"/>
    <d v="2023-09-28T00:00:00"/>
    <n v="1"/>
    <n v="1164800"/>
    <n v="1280000"/>
    <n v="1019000"/>
  </r>
  <r>
    <x v="186"/>
    <s v="BOEIRA EMPREENDIMENTOS IMOBILIARIOS LTDA"/>
    <s v="LDP-B-217-1"/>
    <s v="B-217"/>
    <s v="B-217-0462"/>
    <s v="ASSINADO"/>
    <x v="0"/>
    <m/>
    <n v="6"/>
    <s v="KATIA RAMOS DA SILVA"/>
    <s v="KATIA RAMOS DA SILVA"/>
    <s v="PEDRO MONFORTE"/>
    <s v="Interna"/>
    <s v="Longa"/>
    <s v="Online"/>
    <x v="0"/>
    <m/>
    <s v="RS"/>
    <m/>
    <d v="2023-09-30T00:00:00"/>
    <d v="2023-10-01T00:00:00"/>
    <n v="1"/>
    <n v="341250"/>
    <n v="375000"/>
    <n v="360000"/>
  </r>
  <r>
    <x v="187"/>
    <s v="BENJAMIN ROMANGNOLI PIVETA ASSUNCAO FILHO"/>
    <s v="LDP-A-105-1"/>
    <s v="A-105"/>
    <s v="A-105-0463"/>
    <s v="ASSINADO"/>
    <x v="0"/>
    <m/>
    <n v="13"/>
    <s v="JUSCINEIA FRANCISCA RODRIGUES"/>
    <s v="JUSCINEIA FRANCISCA RODRIGUES"/>
    <s v="-"/>
    <s v="Sócios"/>
    <s v="Longa"/>
    <s v="Clube G4"/>
    <x v="2"/>
    <m/>
    <s v="PR"/>
    <m/>
    <d v="2023-09-01T00:00:00"/>
    <d v="2023-10-05T00:00:00"/>
    <n v="34"/>
    <n v="1558830"/>
    <n v="1713000"/>
    <n v="1400000"/>
  </r>
  <r>
    <x v="188"/>
    <s v="LUCIANA DORA COSTA"/>
    <s v="LDP-B-217-5"/>
    <s v="B-217"/>
    <s v="B-217-0464"/>
    <s v="ASSINADO"/>
    <x v="0"/>
    <m/>
    <n v="6"/>
    <s v="ANDRE LUIZ GORNERO"/>
    <s v="ANDRE LUIZ GORNERO"/>
    <s v="PEDRO MONFORTE"/>
    <s v="Interna"/>
    <s v="Longa"/>
    <s v="Showroom"/>
    <x v="0"/>
    <m/>
    <s v="SP"/>
    <m/>
    <d v="2023-09-23T00:00:00"/>
    <d v="2023-10-06T00:00:00"/>
    <n v="13"/>
    <n v="342160"/>
    <n v="376000"/>
    <n v="374000"/>
  </r>
  <r>
    <x v="188"/>
    <s v="CARLOS MARCELO THIEME"/>
    <s v="LDP-B-217-6"/>
    <s v="B-217"/>
    <s v="B-217-0465"/>
    <s v="ASSINADO"/>
    <x v="0"/>
    <m/>
    <n v="6"/>
    <s v="VIVIANE DA SILVA BASTOS"/>
    <s v="VIVIANE DA SILVA BASTOS"/>
    <s v="PEDRO MONFORTE"/>
    <s v="Interna"/>
    <s v="Longa"/>
    <s v="Showroom"/>
    <x v="0"/>
    <m/>
    <s v="SP"/>
    <m/>
    <d v="2023-06-04T00:00:00"/>
    <d v="2023-10-06T00:00:00"/>
    <n v="124"/>
    <n v="342160"/>
    <n v="376000"/>
    <n v="375050"/>
  </r>
  <r>
    <x v="189"/>
    <s v="PIKIRI PARTICIPACOES LTDA"/>
    <s v="LDP-B-303-1"/>
    <s v="B-303"/>
    <s v="B-303-0466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2"/>
    <s v="B-303"/>
    <s v="B-303-0467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3"/>
    <s v="B-303"/>
    <s v="B-303-0468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5"/>
    <s v="B-303"/>
    <s v="B-303-0469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4"/>
    <s v="B-303"/>
    <s v="B-303-0470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7"/>
    <s v="B-303"/>
    <s v="B-303-0471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6"/>
    <s v="B-303"/>
    <s v="B-303-0472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8"/>
    <s v="B-303"/>
    <s v="B-303-0473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10"/>
    <s v="B-303"/>
    <s v="B-303-0474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9"/>
    <s v="B-303"/>
    <s v="B-303-0475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90"/>
    <s v="PERICLES ASSAD HASSUN FILHO"/>
    <s v="LDP-B-210-2"/>
    <s v="B-210"/>
    <s v="B-210-0476"/>
    <s v="ASSINADO"/>
    <x v="2"/>
    <d v="2024-03-27T00:00:00"/>
    <n v="6"/>
    <s v="ANA CLAUDIA ALTEMARI LUIZ"/>
    <s v="KAIQUE GONCALVES DA PAZ_x000a_"/>
    <s v="PEDRO MONFORTE/ARIANE PEREIRA BARBOSA"/>
    <s v="Interna"/>
    <s v="A vista"/>
    <s v="Showroom"/>
    <x v="0"/>
    <m/>
    <s v="SP"/>
    <m/>
    <d v="2023-02-23T00:00:00"/>
    <d v="2023-10-11T00:00:00"/>
    <n v="230"/>
    <n v="376740"/>
    <n v="414000"/>
    <n v="340000"/>
  </r>
  <r>
    <x v="191"/>
    <s v="ELIZANDRO ROSERGIO HOFFMANN"/>
    <s v="LDP-B-217-2"/>
    <s v="B-217"/>
    <s v="B-217-0477"/>
    <s v="ASSINADO"/>
    <x v="0"/>
    <m/>
    <n v="6"/>
    <s v="KAIQUE GONCALVES DA PAZ_x000a_"/>
    <s v="KAIQUE GONCALVES DA PAZ_x000a_"/>
    <s v="PEDRO MONFORTE"/>
    <s v="Interna"/>
    <s v="Longa"/>
    <s v="Online"/>
    <x v="0"/>
    <m/>
    <s v="DF"/>
    <m/>
    <d v="2023-10-09T00:00:00"/>
    <d v="2023-10-12T00:00:00"/>
    <n v="3"/>
    <n v="342160"/>
    <n v="376000"/>
    <n v="365400"/>
  </r>
  <r>
    <x v="192"/>
    <s v="DEBORA CRISTIAM CARVALHO GALVAO"/>
    <s v="LDP-B-217-4"/>
    <s v="B-217"/>
    <s v="B-217-0478"/>
    <s v="ASSINADO"/>
    <x v="0"/>
    <m/>
    <n v="6"/>
    <s v="VIVIANE DA SILVA BASTOS"/>
    <s v="VIVIANE DA SILVA BASTOS"/>
    <s v="PEDRO MONFORTE"/>
    <s v="Interna"/>
    <s v="Longa"/>
    <s v="Online"/>
    <x v="0"/>
    <m/>
    <s v="SP"/>
    <m/>
    <d v="2023-08-11T00:00:00"/>
    <d v="2023-10-13T00:00:00"/>
    <n v="63"/>
    <n v="342160"/>
    <n v="376000"/>
    <n v="355000"/>
  </r>
  <r>
    <x v="192"/>
    <s v="MARTIN ERNY FALLER"/>
    <s v="LDP-B-217-3"/>
    <s v="B-217"/>
    <s v="B-217-0479"/>
    <s v="ASSINADO"/>
    <x v="2"/>
    <d v="2024-07-25T00:00:00"/>
    <n v="6"/>
    <s v="KAIQUE GONCALVES DA PAZ_x000a_"/>
    <s v="KAIQUE GONCALVES DA PAZ_x000a_"/>
    <s v="PEDRO MONFORTE"/>
    <s v="Interna"/>
    <s v="Curta"/>
    <s v="Online"/>
    <x v="0"/>
    <m/>
    <s v="SP"/>
    <m/>
    <d v="2023-05-05T00:00:00"/>
    <d v="2023-10-13T00:00:00"/>
    <n v="161"/>
    <n v="342160"/>
    <n v="376000"/>
    <n v="343000"/>
  </r>
  <r>
    <x v="193"/>
    <s v="ALEXANDRE ESTRELLA SALVIA"/>
    <s v="LDP-B-311-5"/>
    <s v="B-311"/>
    <s v="B-311-0480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8-16T00:00:00"/>
    <d v="2023-10-14T00:00:00"/>
    <n v="59"/>
    <n v="342160"/>
    <n v="376000"/>
    <n v="362100"/>
  </r>
  <r>
    <x v="193"/>
    <s v="FLAVIO MALDONADO"/>
    <s v="LDP-B-311-4"/>
    <s v="B-311"/>
    <s v="B-311-048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09-23T00:00:00"/>
    <d v="2023-10-14T00:00:00"/>
    <n v="21"/>
    <n v="342160"/>
    <n v="376000"/>
    <n v="359000"/>
  </r>
  <r>
    <x v="194"/>
    <s v="BRUNA GRILLO MARCELINO FUCHTER"/>
    <s v="LDP-B-210-3"/>
    <s v="B-210"/>
    <s v="B-210-0482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0-15T00:00:00"/>
    <n v="37"/>
    <n v="376740"/>
    <n v="414000"/>
    <n v="414000"/>
  </r>
  <r>
    <x v="195"/>
    <s v="ELIAS DE MATOS BRITO"/>
    <s v="LDP-B-311-1"/>
    <s v="B-311"/>
    <s v="B-311-0483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RJ"/>
    <m/>
    <d v="2023-09-05T00:00:00"/>
    <d v="2023-10-16T00:00:00"/>
    <n v="41"/>
    <n v="342160"/>
    <n v="376000"/>
    <n v="376000"/>
  </r>
  <r>
    <x v="195"/>
    <s v="TIAGO DEBUSSI REIS DE DEUS"/>
    <s v="LDP-B-311-2"/>
    <s v="B-311"/>
    <s v="B-311-0484"/>
    <s v="NAO ASSINADO"/>
    <x v="1"/>
    <d v="2023-10-19T00:00:00"/>
    <n v="6"/>
    <s v="MARIELE KACZANOSKI"/>
    <s v="DAVI DE OLIVEIRA"/>
    <s v="ARIANE PEREIRA BARBOSA"/>
    <s v="Interna"/>
    <s v="Longa"/>
    <s v="Showroom"/>
    <x v="0"/>
    <m/>
    <s v="SP"/>
    <m/>
    <d v="2023-09-05T00:00:00"/>
    <d v="2023-10-16T00:00:00"/>
    <n v="41"/>
    <n v="342160"/>
    <n v="376000"/>
    <n v="383090"/>
  </r>
  <r>
    <x v="196"/>
    <s v="JUNIA ROHENKOHL"/>
    <s v="LDP-B-311-3"/>
    <s v="B-311"/>
    <s v="B-311-0485"/>
    <s v="ASSINADO"/>
    <x v="0"/>
    <m/>
    <n v="6"/>
    <s v="PAMELA CHRISTINA SOUZA MACEDO"/>
    <s v="CLAUDIO CARLUCCI SILVEIRA"/>
    <s v="ARIANE PEREIRA BARBOSA"/>
    <s v="Interna"/>
    <s v="Longa"/>
    <s v="Online"/>
    <x v="0"/>
    <m/>
    <s v="RS"/>
    <m/>
    <d v="2023-10-15T00:00:00"/>
    <d v="2023-10-19T00:00:00"/>
    <n v="4"/>
    <n v="342160"/>
    <n v="376000"/>
    <n v="391000"/>
  </r>
  <r>
    <x v="197"/>
    <s v="DETRINA HOLDING LTDA"/>
    <s v="LDP-B-210-6"/>
    <s v="B-210"/>
    <s v="B-210-0486"/>
    <s v="ASSINADO"/>
    <x v="0"/>
    <m/>
    <n v="6"/>
    <s v="KAIQUE GONCALVES DA PAZ_x000a_"/>
    <s v="ANA CLAUDIA ALTEMARI LUIZ"/>
    <s v="PEDRO MONFORTE/ARIANE PEREIRA BARBOSA"/>
    <s v="Interna"/>
    <s v="A vista"/>
    <s v="Showroom"/>
    <x v="0"/>
    <m/>
    <s v="SP"/>
    <m/>
    <d v="2023-02-23T00:00:00"/>
    <d v="2023-10-20T00:00:00"/>
    <n v="239"/>
    <n v="376740"/>
    <n v="414000"/>
    <n v="330000"/>
  </r>
  <r>
    <x v="197"/>
    <s v="GUSTAVO SOUZA DE FARIA"/>
    <s v="LDP-A-105-4"/>
    <s v="A-105"/>
    <s v="A-105-0487"/>
    <s v="ASSINADO"/>
    <x v="0"/>
    <m/>
    <n v="13"/>
    <s v="CLEUZIANE SANTOS DE CARVALHO"/>
    <s v="KATIA RAMOS DA SILVA"/>
    <s v="PEDRO MONFORTE"/>
    <s v="Interna"/>
    <s v="Longa"/>
    <s v="Showroom"/>
    <x v="2"/>
    <m/>
    <s v="SP"/>
    <m/>
    <d v="2023-09-27T00:00:00"/>
    <d v="2023-10-20T00:00:00"/>
    <n v="23"/>
    <n v="1558830"/>
    <n v="1713000"/>
    <n v="1400000"/>
  </r>
  <r>
    <x v="197"/>
    <s v="CARLOS AUGUSTO ROCHA DOS SANTOS"/>
    <s v="LDP-B-311-6"/>
    <s v="B-311"/>
    <s v="B-311-0488"/>
    <s v="ASSINADO"/>
    <x v="0"/>
    <m/>
    <n v="6"/>
    <s v="JOAO BATALHA DA SILVA NETO"/>
    <s v="LEANDRO DESTRI GRENHANIN"/>
    <s v="PEDRO MONFORTE"/>
    <s v="Interna"/>
    <s v="Longa"/>
    <s v="Showroom"/>
    <x v="0"/>
    <m/>
    <s v="RS"/>
    <m/>
    <d v="2023-04-21T00:00:00"/>
    <d v="2023-10-20T00:00:00"/>
    <n v="182"/>
    <n v="342160"/>
    <n v="376000"/>
    <n v="369200"/>
  </r>
  <r>
    <x v="198"/>
    <s v="GUIMARAES - INCORPORADORA E ADMINISTRADORA DE IMOVEIS LTDA"/>
    <s v="LDP-A-211-4"/>
    <s v="A-211"/>
    <s v="A-211-0489"/>
    <s v="ASSINADO"/>
    <x v="0"/>
    <m/>
    <n v="13"/>
    <s v="CLEUZIANE SANTOS DE CARVALHO"/>
    <s v="CLEUZIANE SANTOS DE CARVALHO"/>
    <s v="ARIANE PEREIRA BARBOSA"/>
    <s v="Interna"/>
    <s v="Longa"/>
    <s v="Showroom"/>
    <x v="0"/>
    <m/>
    <s v="RS"/>
    <m/>
    <d v="2023-10-21T00:00:00"/>
    <d v="2023-10-23T00:00:00"/>
    <n v="2"/>
    <n v="1167530"/>
    <n v="1283000"/>
    <n v="1242800"/>
  </r>
  <r>
    <x v="199"/>
    <s v="EAP EMPREENDIMENTOS IMOBILIARIOS"/>
    <s v="LDP-A-209-2"/>
    <s v="A-209"/>
    <s v="A-209-0490"/>
    <s v="ASSINADO"/>
    <x v="0"/>
    <m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10-24T00:00:00"/>
    <n v="135"/>
    <n v="1167530"/>
    <n v="1283000"/>
    <n v="1180000"/>
  </r>
  <r>
    <x v="199"/>
    <s v="MEIRE MIECO MARUYAMA"/>
    <s v="LDP-B-317-6"/>
    <s v="B-317"/>
    <s v="B-317-049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10-24T00:00:00"/>
    <d v="2023-10-24T00:00:00"/>
    <n v="0"/>
    <n v="342160"/>
    <n v="376000"/>
    <n v="376000"/>
  </r>
  <r>
    <x v="200"/>
    <s v="ANDREIA TERNOSKI ANTONIO"/>
    <s v="LDP-B-317-2"/>
    <s v="B-317"/>
    <s v="B-317-0492"/>
    <s v="ASSINADO"/>
    <x v="0"/>
    <m/>
    <n v="6"/>
    <s v="ANDRE LUIZ GORNERO"/>
    <s v="ANDRE LUIZ GORNERO"/>
    <s v="PEDRO MONFORTE"/>
    <s v="Interna"/>
    <s v="Longa"/>
    <s v="Showroom"/>
    <x v="0"/>
    <m/>
    <s v="PR"/>
    <m/>
    <d v="2023-10-22T00:00:00"/>
    <d v="2023-10-25T00:00:00"/>
    <n v="3"/>
    <n v="342160"/>
    <n v="376000"/>
    <n v="376000"/>
  </r>
  <r>
    <x v="200"/>
    <s v="MASTER GESTAO EMPRESARIAL LTDA"/>
    <s v="LDP-B-309-1"/>
    <s v="B-309"/>
    <s v="B-309-049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29-1"/>
    <s v="B-329"/>
    <s v="B-329-049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09-2"/>
    <s v="B-309"/>
    <s v="B-309-049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3"/>
    <s v="B-309"/>
    <s v="B-309-049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4"/>
    <s v="B-309"/>
    <s v="B-309-049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5"/>
    <s v="B-309"/>
    <s v="B-309-049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6"/>
    <s v="B-309"/>
    <s v="B-309-049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7"/>
    <s v="B-309"/>
    <s v="B-309-050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8"/>
    <s v="B-309"/>
    <s v="B-309-050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9"/>
    <s v="B-309"/>
    <s v="B-309-050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10"/>
    <s v="B-309"/>
    <s v="B-309-050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29-2"/>
    <s v="B-329"/>
    <s v="B-329-050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3"/>
    <s v="B-329"/>
    <s v="B-329-050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4"/>
    <s v="B-329"/>
    <s v="B-329-050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5"/>
    <s v="B-329"/>
    <s v="B-329-050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6"/>
    <s v="B-329"/>
    <s v="B-329-050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7"/>
    <s v="B-329"/>
    <s v="B-329-050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8"/>
    <s v="B-329"/>
    <s v="B-329-051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9"/>
    <s v="B-329"/>
    <s v="B-329-051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10"/>
    <s v="B-329"/>
    <s v="B-329-051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1"/>
    <s v="MARA DENISE DIAS MACIEL"/>
    <s v="LDP-B-317-3"/>
    <s v="B-317"/>
    <s v="B-317-0513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RS"/>
    <m/>
    <d v="2023-10-26T00:00:00"/>
    <d v="2023-10-26T00:00:00"/>
    <n v="0"/>
    <n v="342160"/>
    <n v="376000"/>
    <n v="378000"/>
  </r>
  <r>
    <x v="201"/>
    <s v="ANTONIO CESAR VEBBER"/>
    <s v="LDP-A-209-1"/>
    <s v="A-209"/>
    <s v="A-209-0514"/>
    <s v="ASSINADO"/>
    <x v="0"/>
    <m/>
    <n v="13"/>
    <s v="CLAUDIO CARLUCCI SILVEIRA"/>
    <s v="CLAUDIO CARLUCCI SILVEIRA"/>
    <s v="ARIANE PEREIRA BARBOSA"/>
    <s v="Interna"/>
    <s v="Longa"/>
    <s v="Showroom"/>
    <x v="3"/>
    <m/>
    <s v="RS"/>
    <m/>
    <d v="2022-11-18T00:00:00"/>
    <d v="2023-10-26T00:00:00"/>
    <n v="342"/>
    <n v="1167530"/>
    <n v="1283000"/>
    <n v="942531.49"/>
  </r>
  <r>
    <x v="202"/>
    <s v="HENRIQUE LAWISCH CARGNELUTTI"/>
    <s v="LDP-B-327-4"/>
    <s v="B-327"/>
    <s v="B-327-0515"/>
    <s v="ASSINADO"/>
    <x v="0"/>
    <m/>
    <n v="6"/>
    <s v="VIVIANE DA SILVA BASTOS"/>
    <s v="VIVIANE DA SILVA BASTOS"/>
    <s v="PEDRO MONFORTE"/>
    <s v="Interna"/>
    <s v="Longa"/>
    <s v="Online"/>
    <x v="0"/>
    <m/>
    <s v="MT"/>
    <m/>
    <d v="2023-08-25T00:00:00"/>
    <d v="2023-10-27T00:00:00"/>
    <n v="63"/>
    <n v="342160"/>
    <n v="376000"/>
    <n v="374000"/>
  </r>
  <r>
    <x v="202"/>
    <s v="WILSON VOLPATO"/>
    <s v="LDP-B-227-5"/>
    <s v="B-227"/>
    <s v="B-227-0516"/>
    <s v="ASSINADO"/>
    <x v="0"/>
    <m/>
    <n v="6"/>
    <s v="FERNANDA SILVA OLIVEIRA"/>
    <s v="FERNANDA SILVA OLIVEIRA"/>
    <s v="ARIANE PEREIRA BARBOSA"/>
    <s v="Interna"/>
    <s v="A vista"/>
    <s v="Online"/>
    <x v="0"/>
    <m/>
    <s v="SC"/>
    <m/>
    <d v="2023-05-10T00:00:00"/>
    <d v="2023-10-27T00:00:00"/>
    <n v="170"/>
    <n v="342160"/>
    <n v="376000"/>
    <n v="303700"/>
  </r>
  <r>
    <x v="203"/>
    <s v="RODRIGO PORTELA DE SANTANA"/>
    <s v="LDP-B-124-2"/>
    <s v="B-124"/>
    <s v="B-124-0517"/>
    <s v="ASSINADO"/>
    <x v="1"/>
    <d v="2024-05-07T00:00:00"/>
    <n v="6"/>
    <s v="ALLAN DE SOUZA MORAES"/>
    <s v="ALLAN DE SOUZA MORAES"/>
    <s v="PEDRO MONFORTE"/>
    <s v="Interna"/>
    <s v="Longa"/>
    <s v="Showroom"/>
    <x v="0"/>
    <m/>
    <s v="SP"/>
    <m/>
    <d v="2023-09-28T00:00:00"/>
    <d v="2023-10-28T00:00:00"/>
    <n v="30"/>
    <n v="418600"/>
    <n v="460000"/>
    <n v="428000"/>
  </r>
  <r>
    <x v="203"/>
    <s v="C&amp;M ADMINISTRADORA DE IMOVEIS LTDA"/>
    <s v="LDP-B-327-1"/>
    <s v="B-327"/>
    <s v="B-327-0518"/>
    <s v="ASSINADO"/>
    <x v="0"/>
    <m/>
    <n v="6"/>
    <s v="WALMIR APARECIDO AMERICO"/>
    <s v="WALMIR APARECIDO AMERICO"/>
    <s v="ARIANE PEREIRA BARBOSA"/>
    <s v="Interna"/>
    <s v="A vista"/>
    <s v="Online"/>
    <x v="0"/>
    <m/>
    <s v="PR"/>
    <m/>
    <d v="2023-10-19T00:00:00"/>
    <d v="2023-10-28T00:00:00"/>
    <n v="9"/>
    <n v="342160"/>
    <n v="376000"/>
    <n v="303634"/>
  </r>
  <r>
    <x v="204"/>
    <s v="CAMILA OLIVEIRA DA SILVA"/>
    <s v="LDP-B-327-3"/>
    <s v="B-327"/>
    <s v="B-327-0519"/>
    <s v="ASSINADO"/>
    <x v="0"/>
    <m/>
    <n v="6"/>
    <s v="LUIZ HENRIQUE DE LUCCA MUNAIER"/>
    <s v="LUIZ HENRIQUE DE LUCCA MUNAIER"/>
    <s v="PEDRO MONFORTE"/>
    <s v="Interna"/>
    <s v="Longa"/>
    <s v="Online"/>
    <x v="0"/>
    <m/>
    <s v="RS"/>
    <m/>
    <d v="2023-09-07T00:00:00"/>
    <d v="2023-10-29T00:00:00"/>
    <n v="52"/>
    <n v="342160"/>
    <n v="376000"/>
    <n v="367120"/>
  </r>
  <r>
    <x v="205"/>
    <s v="STEFAN VARGAS"/>
    <s v="LDP-B-327-2"/>
    <s v="B-327"/>
    <s v="B-327-0520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0-13T00:00:00"/>
    <d v="2023-11-01T00:00:00"/>
    <n v="19"/>
    <n v="342160"/>
    <n v="376000"/>
    <n v="404000"/>
  </r>
  <r>
    <x v="206"/>
    <s v="ANTONIO MARCOS RESENDE TEIXEIRA"/>
    <s v="LDP-B-221-6"/>
    <s v="B-221"/>
    <s v="B-221-0521"/>
    <s v="ASSINADO"/>
    <x v="1"/>
    <d v="2023-11-09T00:00:00"/>
    <n v="6"/>
    <s v="DAVI DE OLIVEIRA REIS"/>
    <s v="ELY KLEIM JUNIOR"/>
    <s v="ARIANE PEREIRA BARBOSA"/>
    <s v="Interna"/>
    <s v="Longa"/>
    <s v="Showroom"/>
    <x v="0"/>
    <m/>
    <s v="MG"/>
    <m/>
    <d v="2023-10-31T00:00:00"/>
    <d v="2023-10-31T00:00:00"/>
    <n v="0"/>
    <n v="342160"/>
    <n v="376000"/>
    <n v="370000"/>
  </r>
  <r>
    <x v="206"/>
    <s v="DULCEMAR BAUMGARTEN"/>
    <s v="LDP-B-221-3"/>
    <s v="B-221"/>
    <s v="B-211-0522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x v="206"/>
    <s v="DULCEMAR BAUMGARTEN"/>
    <s v="LDP-B-221-4"/>
    <s v="B-221"/>
    <s v="B-211-0523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x v="206"/>
    <s v="HOTTSILVA ASSETS LTDA"/>
    <s v="LDP-B-304-1"/>
    <s v="B-304"/>
    <s v="B-304-052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2"/>
    <s v="B-304"/>
    <s v="B-304-052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3"/>
    <s v="B-304"/>
    <s v="B-304-052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4"/>
    <s v="B-304"/>
    <s v="B-304-052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5"/>
    <s v="B-304"/>
    <s v="B-304-052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6"/>
    <s v="B-304"/>
    <s v="B-304-052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7"/>
    <s v="B-304"/>
    <s v="B-304-053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8"/>
    <s v="B-304"/>
    <s v="B-304-053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9"/>
    <s v="B-304"/>
    <s v="B-304-053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10"/>
    <s v="B-304"/>
    <s v="B-304-053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7"/>
    <s v="VERTIC MASTER EMPILHADEIRAS LTDA"/>
    <s v="LDP-A-204-2"/>
    <s v="A-204"/>
    <s v="A-204-0534"/>
    <s v="ASSINADO"/>
    <x v="0"/>
    <m/>
    <n v="13"/>
    <s v="SÂNGELA CRISTINA ARRUDA LIMA MORAIS"/>
    <s v="SÂNGELA CRISTINA ARRUDA LIMA MORAIS"/>
    <s v="ARIANE PEREIRA BARBOSA"/>
    <s v="Interna"/>
    <s v="Longa"/>
    <s v="Online"/>
    <x v="0"/>
    <m/>
    <s v="SP"/>
    <m/>
    <d v="2023-04-29T00:00:00"/>
    <d v="2023-11-04T00:00:00"/>
    <n v="189"/>
    <n v="1487850"/>
    <n v="1635000"/>
    <n v="1589000"/>
  </r>
  <r>
    <x v="207"/>
    <s v="FLAVIA AMATO REAME"/>
    <s v="LDP-B-221-5"/>
    <s v="B-221"/>
    <s v="B-221-0535"/>
    <s v="NAO ASSINADO"/>
    <x v="1"/>
    <d v="2023-11-28T00:00:00"/>
    <n v="6"/>
    <s v="FERNANDA SILVA OLIVEIRA"/>
    <s v="FERNANDA SILVA OLIVEIRA"/>
    <s v="ARIANE PEREIRA BARBOSA"/>
    <s v="Interna"/>
    <s v="A vista"/>
    <s v="Online"/>
    <x v="0"/>
    <m/>
    <s v="SP"/>
    <m/>
    <d v="2023-11-01T00:00:00"/>
    <d v="2023-11-04T00:00:00"/>
    <n v="3"/>
    <n v="359450"/>
    <n v="395000"/>
    <n v="320000"/>
  </r>
  <r>
    <x v="208"/>
    <s v="DERMOT RODNEY DE FREITAS BARBOSA"/>
    <s v="LDP-A-109-4"/>
    <s v="A-109"/>
    <s v="A-109-0536"/>
    <s v="ASSINADO"/>
    <x v="0"/>
    <m/>
    <n v="13"/>
    <s v="FELLIPE BRAZ FERREIRA BILATE"/>
    <s v="FELLIPE BRAZ FERREIRA BILATE"/>
    <s v="ARIANE PEREIRA BARBOSA"/>
    <s v="Interna"/>
    <s v="Curta"/>
    <s v="Online"/>
    <x v="0"/>
    <m/>
    <s v="SC"/>
    <m/>
    <d v="2023-10-19T00:00:00"/>
    <d v="2023-11-09T00:00:00"/>
    <n v="21"/>
    <n v="1638000"/>
    <n v="1800000"/>
    <n v="1549000"/>
  </r>
  <r>
    <x v="209"/>
    <s v="LUIZ PEDRO DE SOUZA"/>
    <s v="LDP-B-220-6"/>
    <s v="B-220"/>
    <s v="B-220-0537"/>
    <s v="ASSINADO"/>
    <x v="0"/>
    <m/>
    <n v="6"/>
    <s v="LEONARDO CRISTHIAN ALVES DE MOURA"/>
    <s v="THIAGO PETRUCELLI"/>
    <s v="PEDRO MONFORTE/ARIANE PEREIRA BARBOSA"/>
    <s v="Interna"/>
    <s v="Longa"/>
    <s v="Showroom"/>
    <x v="0"/>
    <m/>
    <s v="BA"/>
    <m/>
    <d v="2023-11-12T00:00:00"/>
    <d v="2023-11-12T00:00:00"/>
    <n v="0"/>
    <n v="394940"/>
    <n v="434000"/>
    <n v="433960.02"/>
  </r>
  <r>
    <x v="210"/>
    <s v="LUCIANO CHEDE"/>
    <s v="LDP-B-211-2"/>
    <s v="B-211"/>
    <s v="B-211-0538"/>
    <s v="ASSINADO"/>
    <x v="0"/>
    <m/>
    <n v="6"/>
    <s v="KAIQUE GONCALVES DA PAZ_x000a_"/>
    <s v="KAIQUE GONCALVES DA PAZ_x000a_"/>
    <s v="PEDRO MONFORTE"/>
    <s v="Interna"/>
    <s v="Curta"/>
    <s v="Online"/>
    <x v="0"/>
    <m/>
    <s v="RS"/>
    <m/>
    <d v="2023-11-04T00:00:00"/>
    <d v="2023-11-13T00:00:00"/>
    <n v="9"/>
    <n v="359450"/>
    <n v="395000"/>
    <n v="348032"/>
  </r>
  <r>
    <x v="211"/>
    <s v="ANA PAULA CALIL JANICKE"/>
    <s v="LDP-B-209-6"/>
    <s v="B-209"/>
    <s v="B-209-0539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8T00:00:00"/>
    <d v="2023-11-14T00:00:00"/>
    <n v="6"/>
    <n v="359450"/>
    <n v="395000"/>
    <n v="394992"/>
  </r>
  <r>
    <x v="211"/>
    <s v="ANA PAULA CALIL JANICKE"/>
    <s v="LDP-B-311-2"/>
    <s v="B-311"/>
    <s v="B-311-054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9T00:00:00"/>
    <d v="2023-11-14T00:00:00"/>
    <n v="5"/>
    <n v="359450"/>
    <n v="395000"/>
    <n v="394992"/>
  </r>
  <r>
    <x v="212"/>
    <s v="BETHANIA BREDA GASPARETTO"/>
    <s v="LDP-B-220-5"/>
    <s v="B-220"/>
    <s v="B-220-0541"/>
    <s v="ASSINADO"/>
    <x v="0"/>
    <m/>
    <n v="6"/>
    <s v="KAIQUE GONCALVES DA PAZ_x000a_"/>
    <s v="KAIQUE GONCALVES DA PAZ_x000a_"/>
    <s v="PEDRO MONFORTE"/>
    <s v="Interna"/>
    <s v="A vista"/>
    <s v="Online"/>
    <x v="0"/>
    <m/>
    <s v="MS"/>
    <m/>
    <d v="2023-08-19T00:00:00"/>
    <d v="2023-11-15T00:00:00"/>
    <n v="88"/>
    <n v="394940"/>
    <n v="434000"/>
    <n v="360000"/>
  </r>
  <r>
    <x v="212"/>
    <s v="RAFAEL MADRID SILVEIRA"/>
    <s v="LDP-B-220-3"/>
    <s v="B-220"/>
    <s v="B-220-0542"/>
    <s v="ASSINADO"/>
    <x v="0"/>
    <m/>
    <n v="6"/>
    <s v="JOAO BATALHA DA SILVA NETO"/>
    <s v="JOAO BATALHA DA SILVA NETO"/>
    <s v="PEDRO MONFORTE"/>
    <s v="Interna"/>
    <s v="Longa"/>
    <s v="Showroom"/>
    <x v="0"/>
    <m/>
    <s v="SC"/>
    <m/>
    <d v="2023-04-27T00:00:00"/>
    <d v="2023-11-15T00:00:00"/>
    <n v="202"/>
    <n v="394940"/>
    <n v="434000"/>
    <n v="425800"/>
  </r>
  <r>
    <x v="212"/>
    <s v="JOAO CARLOS MEDEIROS"/>
    <s v="LDP-B-220-1"/>
    <s v="B-220"/>
    <s v="B-220-0543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x v="212"/>
    <s v="JOAO CARLOS MEDEIROS"/>
    <s v="LDP-B-220-2"/>
    <s v="B-220"/>
    <s v="B-220-0544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x v="212"/>
    <s v="FABIO CHAGAS DA SILVA"/>
    <s v="LDP-B-203-6"/>
    <s v="B-203"/>
    <s v="B-203-0545"/>
    <s v="ASSINADO"/>
    <x v="0"/>
    <m/>
    <n v="6"/>
    <s v="MARIELE KACZANOSKI"/>
    <s v="MARIELE KACZANOSKI"/>
    <s v="PEDRO MONFORTE"/>
    <s v="Interna"/>
    <s v="Longa"/>
    <s v="Showroom"/>
    <x v="0"/>
    <m/>
    <s v="MS"/>
    <m/>
    <d v="2023-09-21T00:00:00"/>
    <d v="2023-11-15T00:00:00"/>
    <n v="55"/>
    <n v="359450"/>
    <n v="395000"/>
    <n v="344000"/>
  </r>
  <r>
    <x v="213"/>
    <s v="EDSON FELIPE MUCHOLOWSKI"/>
    <s v="LDP-B-222-4"/>
    <s v="B-222"/>
    <s v="B-222-054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x v="213"/>
    <s v="EDSON FELIPE MUCHOLOWSKI"/>
    <s v="LDP-B-222-5"/>
    <s v="B-222"/>
    <s v="B-222-054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x v="214"/>
    <s v="SOL INCORPORADORA E ADMINISTRADORA DE BENS LTDA"/>
    <s v="LDP-B-222-6"/>
    <s v="B-222"/>
    <s v="B-222-0548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1-16T00:00:00"/>
    <d v="2023-11-17T00:00:00"/>
    <n v="1"/>
    <n v="394940"/>
    <n v="434000"/>
    <n v="428796"/>
  </r>
  <r>
    <x v="213"/>
    <s v="MONTIANO EMPREENDIMENTOS S A "/>
    <s v="LDP-B-220-4"/>
    <s v="B-220"/>
    <s v="B-220-0549"/>
    <s v="ASSINADO"/>
    <x v="0"/>
    <m/>
    <n v="6"/>
    <s v="ANDRE LUIZ GORNERO"/>
    <s v="LEANDRO DESTRI GRENHANIN"/>
    <s v="PEDRO MONFORTE"/>
    <s v="Interna"/>
    <s v="Longa"/>
    <s v="Showroom"/>
    <x v="0"/>
    <m/>
    <s v="SC"/>
    <m/>
    <d v="2023-11-15T00:00:00"/>
    <d v="2023-11-16T00:00:00"/>
    <n v="1"/>
    <n v="394940"/>
    <n v="434000"/>
    <n v="434000"/>
  </r>
  <r>
    <x v="215"/>
    <s v="JULIO CARLOS BENJAMIN BAUMGARTEN"/>
    <s v="LDP-B-219-2"/>
    <s v="B-219"/>
    <s v="B-219-0550"/>
    <s v="ASSINADO"/>
    <x v="1"/>
    <d v="2023-11-28T00:00:00"/>
    <n v="6"/>
    <s v="JOAO BATALHA DA SILVA NETO"/>
    <s v="JOAO BATALHA DA SILVA NETO"/>
    <s v="PEDRO MONFORTE"/>
    <s v="Interna"/>
    <s v="A vista"/>
    <s v="Online"/>
    <x v="0"/>
    <m/>
    <s v="RS"/>
    <m/>
    <d v="2023-08-09T00:00:00"/>
    <d v="2023-11-18T00:00:00"/>
    <n v="101"/>
    <n v="359450"/>
    <n v="395000"/>
    <n v="325000"/>
  </r>
  <r>
    <x v="216"/>
    <s v="JAIRO BIRAMAR DE OLIVEIRA"/>
    <s v="LDP-B-228-2"/>
    <s v="B-228"/>
    <s v="B-228-0551"/>
    <s v="ASSINADO"/>
    <x v="0"/>
    <m/>
    <n v="6"/>
    <s v="IAN RODRIGUES BIRBAUM"/>
    <s v="SÂNGELA CRISTINA ARRUDA LIMA MORAIS"/>
    <s v="ARIANE PEREIRA BARBOSA"/>
    <s v="Interna"/>
    <s v="Longa"/>
    <s v="Online"/>
    <x v="0"/>
    <m/>
    <s v="SC"/>
    <m/>
    <d v="2023-10-23T00:00:00"/>
    <d v="2023-11-19T00:00:00"/>
    <n v="27"/>
    <n v="394940"/>
    <n v="434000"/>
    <n v="434000"/>
  </r>
  <r>
    <x v="217"/>
    <s v="VANESSA SILVA CARDOSO"/>
    <s v="LDP-B-221-6"/>
    <s v="B-221"/>
    <s v="B-221-0552"/>
    <s v="ASSINADO"/>
    <x v="1"/>
    <d v="2023-11-30T00:00:00"/>
    <n v="6"/>
    <s v="VIVIANE DA SILVA BASTOS"/>
    <s v="VIVIANE DA SILVA BASTOS"/>
    <s v="PEDRO MONFORTE"/>
    <s v="Interna"/>
    <s v="Curta"/>
    <s v="Online"/>
    <x v="0"/>
    <m/>
    <s v="SC"/>
    <m/>
    <d v="2023-11-20T00:00:00"/>
    <d v="2023-11-21T00:00:00"/>
    <n v="1"/>
    <n v="359450"/>
    <n v="395000"/>
    <n v="365600"/>
  </r>
  <r>
    <x v="218"/>
    <s v="NIVALDO DE OLIVEIRA JUNIOR"/>
    <s v="LDP-B-228-5"/>
    <s v="B-228"/>
    <s v="B-228-0553"/>
    <s v="ASSINADO"/>
    <x v="0"/>
    <m/>
    <n v="6"/>
    <s v="EDUARDO TADEU MALUTA FILHO"/>
    <s v="EDUARDO TADEU MALUTA FILHO"/>
    <s v="PEDRO MONFORTE"/>
    <s v="Interna"/>
    <s v="A vista"/>
    <s v="Relacionamento Corretor"/>
    <x v="2"/>
    <m/>
    <s v="SP"/>
    <m/>
    <d v="2023-09-20T00:00:00"/>
    <d v="2023-11-22T00:00:00"/>
    <n v="63"/>
    <n v="394940"/>
    <n v="434000"/>
    <n v="305000"/>
  </r>
  <r>
    <x v="219"/>
    <s v="SCHIAVINATO INUSTRIAL LTDA"/>
    <s v="LDP-B-222-2"/>
    <s v="B-222"/>
    <s v="B-222-0554"/>
    <s v="ASSINADO"/>
    <x v="0"/>
    <m/>
    <n v="6"/>
    <s v="ANA CLAUDIA ALTEMARI LUIZ"/>
    <s v="EDUARDO TADEU MALUTA FILHO"/>
    <s v="PEDRO MONFORTE"/>
    <s v="Interna"/>
    <s v="A vista"/>
    <s v="Showroom"/>
    <x v="0"/>
    <m/>
    <s v="MG"/>
    <m/>
    <d v="2023-11-25T00:00:00"/>
    <d v="2023-11-25T00:00:00"/>
    <n v="0"/>
    <n v="394940"/>
    <n v="434000"/>
    <n v="342000"/>
  </r>
  <r>
    <x v="220"/>
    <s v="LIANA BARROS BITTENCOURT MONTEIRO FILIPE"/>
    <s v="LDP-B-116-6"/>
    <s v="B-116"/>
    <s v="B-116-0555"/>
    <s v="NAO ASSINADO"/>
    <x v="1"/>
    <d v="2023-12-15T00:00:00"/>
    <n v="6"/>
    <s v="EDUARDO TADEU MALUTA FILHO"/>
    <s v="EDUARDO TADEU MALUTA FILHO"/>
    <s v="PEDRO MONFORTE"/>
    <s v="Interna"/>
    <s v="Curta"/>
    <s v="Online"/>
    <x v="0"/>
    <m/>
    <s v="SP"/>
    <m/>
    <d v="2023-02-23T00:00:00"/>
    <d v="2023-12-01T00:00:00"/>
    <n v="281"/>
    <n v="434070"/>
    <n v="477000"/>
    <n v="409280"/>
  </r>
  <r>
    <x v="221"/>
    <s v="NEUDIMAR DALL ONDER"/>
    <s v="LDP-A-205-1"/>
    <s v="A-205"/>
    <s v="A-205-0556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VAGA-011"/>
    <s v="VAGA-011"/>
    <s v="VAGA-011-0557"/>
    <s v="NAO ASSINADO"/>
    <x v="1"/>
    <d v="2023-12-05T00:00:00"/>
    <n v="52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82000"/>
    <n v="200000"/>
    <n v="200000"/>
  </r>
  <r>
    <x v="221"/>
    <s v="NEUDIMAR DALL ONDER"/>
    <s v="LDP-A-205-4"/>
    <s v="A-205"/>
    <s v="A-205-0558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A-205-3"/>
    <s v="A-205"/>
    <s v="A-205-0559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A-205-2"/>
    <s v="A-205"/>
    <s v="A-205-0560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VICENTE DE CASSIO NOGUEIRA"/>
    <s v="LDP-B-225-7"/>
    <s v="B-225"/>
    <s v="B-225-0561"/>
    <s v="NAO ASSINADO"/>
    <x v="1"/>
    <d v="2023-12-01T00:00:00"/>
    <n v="4"/>
    <s v="SÂNGELA CRISTINA ARRUDA LIMA MORAIS"/>
    <s v="SÂNGELA CRISTINA ARRUDA LIMA MORAIS"/>
    <s v="ARIANE PEREIRA BARBOSA"/>
    <s v="Interna"/>
    <s v="Longa"/>
    <s v="Relacionamento Corretor"/>
    <x v="0"/>
    <m/>
    <s v="MG"/>
    <m/>
    <d v="2023-11-20T00:00:00"/>
    <d v="2023-11-28T00:00:00"/>
    <n v="8"/>
    <n v="298935"/>
    <n v="328500"/>
    <n v="297980"/>
  </r>
  <r>
    <x v="221"/>
    <s v="EDUARDO PERES  SOUZA"/>
    <s v="LDP-B-323-7"/>
    <s v="B-323"/>
    <s v="B-323-0562"/>
    <s v="ASSINADO"/>
    <x v="0"/>
    <m/>
    <n v="4"/>
    <s v="JANAINA GORNERO"/>
    <s v="JANAINA GORNERO"/>
    <s v="JOAO BATALHA DA SILVA NETO"/>
    <s v="Interna"/>
    <s v="Longa"/>
    <s v="Online"/>
    <x v="0"/>
    <m/>
    <s v="SP"/>
    <m/>
    <d v="2023-11-21T00:00:00"/>
    <d v="2023-11-28T00:00:00"/>
    <n v="7"/>
    <n v="298935"/>
    <n v="328500"/>
    <n v="298500"/>
  </r>
  <r>
    <x v="222"/>
    <s v="SCHIAVINATO INUSTRIAL LTDA"/>
    <s v="LDP-B-222-1"/>
    <s v="B-222"/>
    <s v="B-222-0563"/>
    <s v="ASSINADO"/>
    <x v="0"/>
    <m/>
    <n v="6"/>
    <s v="ANA CLAUDIA ALTEMARI LUIZ"/>
    <s v="EDUARDO TADEU MALUTA FILHO"/>
    <s v="JOAO BATALHA DA SILVA NETO/ARIANE PEREIRA BARBOSA"/>
    <s v="Interna"/>
    <s v="A vista"/>
    <s v="Showroom"/>
    <x v="0"/>
    <m/>
    <s v="MG"/>
    <m/>
    <d v="2023-11-25T00:00:00"/>
    <d v="2023-11-29T00:00:00"/>
    <n v="4"/>
    <n v="394940"/>
    <n v="434000"/>
    <n v="342000"/>
  </r>
  <r>
    <x v="222"/>
    <s v="CESAR PIZZATO QUADROS"/>
    <s v="LDP-B-323-8"/>
    <s v="B-323"/>
    <s v="B-323-0564"/>
    <s v="ASSINADO"/>
    <x v="0"/>
    <m/>
    <n v="4"/>
    <s v="CLEUZIANE SANTOS DE CARVALHO"/>
    <s v="CLEUZIANE SANTOS DE CARVALHO"/>
    <s v="ARIANE PEREIRA BARBOSA"/>
    <s v="Interna"/>
    <s v="A vista"/>
    <s v="Relacionamento Corretor"/>
    <x v="4"/>
    <m/>
    <s v="MT"/>
    <m/>
    <d v="2023-11-28T00:00:00"/>
    <d v="2023-11-29T00:00:00"/>
    <n v="1"/>
    <n v="298935"/>
    <n v="328500"/>
    <n v="237475"/>
  </r>
  <r>
    <x v="222"/>
    <s v="LMC EMPREENDIMENTOS E PARTICIPACOES LTDA"/>
    <s v="LDP-B-217-7"/>
    <s v="B-217"/>
    <s v="B-217-0565"/>
    <s v="ASSINADO"/>
    <x v="0"/>
    <m/>
    <n v="4"/>
    <s v="JEAN PAULO DOS SANTOS"/>
    <s v="JEAN PAULO DOS SANTOS"/>
    <s v="ARIANE PEREIRA BARBOSA"/>
    <s v="Interna"/>
    <s v="A vista"/>
    <s v="Online"/>
    <x v="0"/>
    <m/>
    <s v="BA"/>
    <m/>
    <d v="2023-11-25T00:00:00"/>
    <d v="2023-11-29T00:00:00"/>
    <n v="4"/>
    <n v="298935"/>
    <n v="328500"/>
    <n v="239200"/>
  </r>
  <r>
    <x v="222"/>
    <s v="CHALABI SERVICOS DE SAUDE LTDA"/>
    <s v="LDP-B-321-9"/>
    <s v="B-321"/>
    <s v="B-321-0566"/>
    <s v="ASSINADO"/>
    <x v="0"/>
    <m/>
    <n v="4"/>
    <s v="FERNANDA SILVA OLIVEIRA"/>
    <s v="FERNANDA SILVA OLIVEIRA"/>
    <s v="ARIANE PEREIRA BARBOSA"/>
    <s v="Interna"/>
    <s v="Longa"/>
    <s v="Online"/>
    <x v="0"/>
    <m/>
    <s v="SP"/>
    <m/>
    <d v="2023-10-24T00:00:00"/>
    <d v="2023-11-29T00:00:00"/>
    <n v="36"/>
    <n v="298935"/>
    <n v="328500"/>
    <n v="298500"/>
  </r>
  <r>
    <x v="222"/>
    <s v="BRUNA GRILLO MARCELINO FUCHTER"/>
    <s v="LDP-B-124-5"/>
    <s v="B-124"/>
    <s v="B-124-0567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1-29T00:00:00"/>
    <n v="82"/>
    <n v="439530"/>
    <n v="483000"/>
    <n v="454420"/>
  </r>
  <r>
    <x v="223"/>
    <s v="LEONARDO DA FONSECA LIEDKE"/>
    <s v="LDP-B-311-8"/>
    <s v="B-311"/>
    <s v="B-311-0568"/>
    <s v="ASSINADO"/>
    <x v="0"/>
    <m/>
    <n v="4"/>
    <s v="EDUARDO TADEU MALUTA FILHO"/>
    <s v="EDUARDO TADEU MALUTA FILHO"/>
    <s v="JOAO BATALHA DA SILVA NETO"/>
    <s v="Interna"/>
    <s v="Longa"/>
    <s v="Relacionamento Corretor"/>
    <x v="4"/>
    <m/>
    <s v="EUA"/>
    <m/>
    <d v="2023-11-19T00:00:00"/>
    <d v="2023-11-30T00:00:00"/>
    <n v="11"/>
    <n v="298935"/>
    <n v="328500"/>
    <n v="298500.09999999998"/>
  </r>
  <r>
    <x v="223"/>
    <s v="SDG ADMINISTRADORA DE BENS PROPRIOS LTDA"/>
    <s v="LDP-B-211-7"/>
    <s v="B-211"/>
    <s v="B-211-0569"/>
    <s v="NAO ASSINADO"/>
    <x v="1"/>
    <d v="2023-12-03T00:00:00"/>
    <n v="4"/>
    <s v="GUSTAVO LOURENÇO DAROS"/>
    <s v="GUSTAVO LOURENÇO DAROS"/>
    <s v="ARIANE PEREIRA BARBOSA"/>
    <s v="Interna"/>
    <s v="Longa"/>
    <s v="Online"/>
    <x v="0"/>
    <m/>
    <s v="SP"/>
    <m/>
    <d v="2023-11-26T00:00:00"/>
    <d v="2023-11-30T00:00:00"/>
    <n v="4"/>
    <n v="298935"/>
    <n v="328500"/>
    <n v="298395"/>
  </r>
  <r>
    <x v="223"/>
    <s v="ADRIANO MACEDO DA FONSECA"/>
    <s v="LDP-B-209-7"/>
    <s v="B-209"/>
    <s v="B-209-0570"/>
    <s v="ASSINADO"/>
    <x v="0"/>
    <m/>
    <n v="4"/>
    <s v="FERNANDA SILVA OLIVEIRA"/>
    <s v="FERNANDA SILVA OLIVEIRA"/>
    <s v="ARIANE PEREIRA BARBOSA"/>
    <s v="Interna"/>
    <s v="Longa"/>
    <s v="Online"/>
    <x v="0"/>
    <m/>
    <s v="GO"/>
    <m/>
    <d v="2023-08-24T00:00:00"/>
    <d v="2023-11-30T00:00:00"/>
    <n v="98"/>
    <n v="298935"/>
    <n v="328500"/>
    <n v="298500"/>
  </r>
  <r>
    <x v="223"/>
    <s v="SERGIO FONSECA DE CARVALHO FILHO"/>
    <s v="LDP-B-323-9"/>
    <s v="B-323"/>
    <s v="B-323-0571"/>
    <s v="ASSINADO"/>
    <x v="0"/>
    <m/>
    <n v="4"/>
    <s v="EDUARDO TADEU MALUTA FILHO"/>
    <s v="EDUARDO TADEU MALUTA FILHO"/>
    <s v="JOAO BATALHA DA SILVA NETO"/>
    <s v="Interna"/>
    <s v="Curta"/>
    <s v="Relacionamento Corretor"/>
    <x v="4"/>
    <m/>
    <s v="RS"/>
    <m/>
    <d v="2023-11-14T00:00:00"/>
    <d v="2023-11-30T00:00:00"/>
    <n v="16"/>
    <n v="298935"/>
    <n v="328500"/>
    <n v="241670"/>
  </r>
  <r>
    <x v="223"/>
    <s v="MARISA CARVALHO RAPHAEL"/>
    <s v="LDP-B-325-10"/>
    <s v="B-325"/>
    <s v="B-325-0572"/>
    <s v="ASSINADO"/>
    <x v="0"/>
    <m/>
    <n v="4"/>
    <s v="EDUARDO TADEU MALUTA FILHO"/>
    <s v="EDUARDO TADEU MALUTA FILHO"/>
    <s v="JOAO BATALHA DA SILVA NETO"/>
    <s v="Interna"/>
    <s v="A vista"/>
    <s v="Relacionamento Corretor"/>
    <x v="4"/>
    <m/>
    <s v="RS"/>
    <m/>
    <d v="2023-11-14T00:00:00"/>
    <d v="2023-11-30T00:00:00"/>
    <n v="16"/>
    <n v="298935"/>
    <n v="328500"/>
    <n v="239500"/>
  </r>
  <r>
    <x v="223"/>
    <s v="OLIVIA CAMPOS MELO FONTOURA"/>
    <s v="LDP-B-228-4"/>
    <s v="B-228"/>
    <s v="B-228-0573"/>
    <s v="ASSINADO"/>
    <x v="0"/>
    <m/>
    <n v="6"/>
    <s v="ANA CLAUDIA ALTEMARI LUIZ"/>
    <s v="ANA CLAUDIA ALTEMARI LUIZ"/>
    <s v="ARIANE PEREIRA BARBOSA"/>
    <s v="Interna"/>
    <s v="Curta"/>
    <s v="Showroom"/>
    <x v="0"/>
    <m/>
    <s v="MS"/>
    <m/>
    <d v="2023-08-12T00:00:00"/>
    <d v="2023-11-30T00:00:00"/>
    <n v="110"/>
    <n v="394940"/>
    <n v="434000"/>
    <n v="412000"/>
  </r>
  <r>
    <x v="220"/>
    <s v="BRUNO OTAVIO DE CASTRO CARDOSO"/>
    <s v="LDP-B-327-8"/>
    <s v="B-327"/>
    <s v="B-327-0574"/>
    <s v="NAO ASSINADO"/>
    <x v="1"/>
    <d v="2023-12-26T00:00:00"/>
    <n v="4"/>
    <s v="EDUARDO TADEU MALUTA FILHO"/>
    <s v="EDUARDO TADEU MALUTA FILHO"/>
    <s v="JOAO BATALHA DA SILVA NETO"/>
    <s v="Interna"/>
    <s v="Longa"/>
    <s v="Relacionamento Corretor"/>
    <x v="0"/>
    <m/>
    <s v="EUA"/>
    <m/>
    <d v="2023-11-29T00:00:00"/>
    <d v="2023-12-01T00:00:00"/>
    <n v="2"/>
    <n v="298935"/>
    <n v="328500"/>
    <n v="298500"/>
  </r>
  <r>
    <x v="223"/>
    <s v="ADRIANO PEIXOTO DOS SANTOS"/>
    <s v="LDP-B-311-10"/>
    <s v="B-311"/>
    <s v="B-311-0575"/>
    <s v="ASSINADO"/>
    <x v="1"/>
    <d v="2024-04-08T00:00:00"/>
    <n v="4"/>
    <s v="KAIQUE GONCALVES DA PAZ_x000a_"/>
    <s v="KAIQUE GONCALVES DA PAZ_x000a_"/>
    <s v="JOAO BATALHA DA SILVA NETO"/>
    <s v="Interna"/>
    <s v="Longa"/>
    <s v="Online"/>
    <x v="0"/>
    <m/>
    <s v="SP"/>
    <m/>
    <d v="2023-11-30T00:00:00"/>
    <d v="2023-11-30T00:00:00"/>
    <n v="0"/>
    <n v="298935"/>
    <n v="328500"/>
    <n v="304140"/>
  </r>
  <r>
    <x v="223"/>
    <s v="RENAN FERREIRA MASSON"/>
    <s v="LDP-B-311-7"/>
    <s v="B-311"/>
    <s v="B-311-0576"/>
    <s v="ASSINADO"/>
    <x v="0"/>
    <m/>
    <n v="4"/>
    <s v="FABRICIA PEREIRA DE SOUZA"/>
    <s v="FABRICIA PEREIRA DE SOUZA"/>
    <s v="FABRICIA PEREIRA DE SOUZA"/>
    <s v="Externa"/>
    <s v="Curta"/>
    <s v="Parceria"/>
    <x v="0"/>
    <m/>
    <s v="MG"/>
    <m/>
    <d v="2023-11-21T00:00:00"/>
    <d v="2023-11-30T00:00:00"/>
    <n v="9"/>
    <n v="298935"/>
    <n v="328500"/>
    <n v="227239.98"/>
  </r>
  <r>
    <x v="223"/>
    <s v="AGROPECUARIA G3 LTDA"/>
    <s v="LDP-A-213-1"/>
    <s v="A-213"/>
    <s v="A-213-0577"/>
    <s v="ASSINADO"/>
    <x v="0"/>
    <m/>
    <n v="13"/>
    <s v="VIVIANE DA SILVA BASTOS"/>
    <s v="VIVIANE DA SILVA BASTOS"/>
    <s v="JOAO BATALHA DA SILVA NETO"/>
    <s v="Interna"/>
    <s v="Longa"/>
    <s v="Online"/>
    <x v="0"/>
    <m/>
    <s v="PR"/>
    <m/>
    <d v="2023-11-19T00:00:00"/>
    <d v="2023-11-30T00:00:00"/>
    <n v="11"/>
    <n v="1227590"/>
    <n v="1349000"/>
    <n v="1238000"/>
  </r>
  <r>
    <x v="224"/>
    <s v="VILURISO PARTICIPAÇOES SOCIETARIAS LTDA"/>
    <s v="LDP-A-105-3"/>
    <s v="A-105"/>
    <s v="A-105-0578"/>
    <s v="NAO ASSINADO"/>
    <x v="1"/>
    <d v="2023-12-14T00:00:00"/>
    <n v="13"/>
    <s v="EDUARDO TADEU MALUTA FILHO"/>
    <s v="MARIELE KACZANOSKI"/>
    <s v="JOAO BATALHA DA SILVA NETO"/>
    <s v="Interna"/>
    <s v="Curta"/>
    <s v="Showroom"/>
    <x v="0"/>
    <m/>
    <s v="RJ"/>
    <m/>
    <d v="2023-12-02T00:00:00"/>
    <d v="2023-12-06T00:00:00"/>
    <n v="4"/>
    <n v="1638910"/>
    <n v="1801000"/>
    <n v="1500000"/>
  </r>
  <r>
    <x v="225"/>
    <s v="MARIA EDUARDA GARBELOTTO DO CANTO"/>
    <s v="LDP-B-114-6"/>
    <s v="B-114"/>
    <s v="B-114-0579"/>
    <s v="ASSINADO"/>
    <x v="0"/>
    <m/>
    <n v="6"/>
    <s v="EDUARDO TADEU MALUTA FILHO"/>
    <s v="EDUARDO TADEU MALUTA FILHO"/>
    <s v="JOAO BATALHA DA SILVA NETO"/>
    <s v="Interna"/>
    <s v="Curta"/>
    <s v="Relacionamento Corretor"/>
    <x v="4"/>
    <m/>
    <s v="SC"/>
    <m/>
    <d v="2023-11-19T00:00:00"/>
    <d v="2023-12-07T00:00:00"/>
    <n v="18"/>
    <n v="432250"/>
    <n v="475000"/>
    <n v="406600"/>
  </r>
  <r>
    <x v="226"/>
    <s v="STUDIO 219 LAJE DE PEDRA ADMINISTRACAO DE IMOVEIS LTDA"/>
    <s v="LDP-B-219-2"/>
    <s v="B-219"/>
    <s v="B-219-0580"/>
    <s v="ASSINADO"/>
    <x v="2"/>
    <d v="2024-08-31T00:00:00"/>
    <n v="6"/>
    <s v="KAIQUE GONCALVES DA PAZ_x000a_"/>
    <s v="KAIQUE GONCALVES DA PAZ_x000a_"/>
    <s v="JOAO BATALHA DA SILVA NETO"/>
    <s v="Interna"/>
    <s v="Longa"/>
    <s v="Relacionamento Corretor"/>
    <x v="0"/>
    <m/>
    <s v="RS"/>
    <m/>
    <d v="2023-02-23T00:00:00"/>
    <d v="2023-12-12T00:00:00"/>
    <n v="292"/>
    <n v="359450"/>
    <n v="395000"/>
    <n v="398200"/>
  </r>
  <r>
    <x v="227"/>
    <s v="PEDRO KLEINUBING PORTO"/>
    <s v="LDP-B-214-3"/>
    <s v="B-214"/>
    <s v="B-214-0581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x v="227"/>
    <s v="PEDRO KLEINUBING PORTO"/>
    <s v="LDP-B-214-4"/>
    <s v="B-214"/>
    <s v="B-214-0582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x v="227"/>
    <s v="LEANDRO BRAGA BARBOSA"/>
    <s v="LDP-B-214-5"/>
    <s v="B-214"/>
    <s v="B-214-0583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x v="227"/>
    <s v="LEANDRO BRAGA BARBOSA"/>
    <s v="LDP-B-214-6"/>
    <s v="B-214"/>
    <s v="B-214-0584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x v="228"/>
    <s v="CB EMPREENDIMENTOS IMOBILIARIOS LTDA"/>
    <s v="LDP-B-212-1"/>
    <s v="B-212"/>
    <s v="B-212-0585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2"/>
    <s v="B-212"/>
    <s v="B-212-0586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3"/>
    <s v="B-212"/>
    <s v="B-212-0587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4"/>
    <s v="B-212"/>
    <s v="B-212-0588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5"/>
    <s v="B-212"/>
    <s v="B-212-0589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6"/>
    <s v="B-212"/>
    <s v="B-212-0590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7"/>
    <s v="B-212"/>
    <s v="B-212-0591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8"/>
    <s v="B-212"/>
    <s v="B-212-0592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9"/>
    <s v="B-212"/>
    <s v="B-212-0593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10"/>
    <s v="B-212"/>
    <s v="B-212-0594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9"/>
    <s v="RAFAEL LAURIA MARCAL TUCCI"/>
    <s v="LDP-B-323-10"/>
    <s v="B-323"/>
    <s v="B-323-0595"/>
    <s v="ASSINADO"/>
    <x v="0"/>
    <m/>
    <n v="4"/>
    <s v="SERGIO JUNIOR DA SILVA"/>
    <s v="SERGIO JUNIOR DA SILVA"/>
    <s v="JOAO BATALHA DA SILVA NETO"/>
    <s v="Interna"/>
    <s v="Curta"/>
    <s v="Online"/>
    <x v="0"/>
    <m/>
    <s v="SP"/>
    <m/>
    <d v="2023-12-14T00:00:00"/>
    <d v="2023-12-20T00:00:00"/>
    <n v="6"/>
    <n v="298935"/>
    <n v="328500"/>
    <n v="265275"/>
  </r>
  <r>
    <x v="230"/>
    <s v="SOLAR CONSTRUCOES, INCORPORACOES E PARTICIPACOES LTDA"/>
    <s v="LDP-A-205-1"/>
    <s v="A-205"/>
    <s v="A-205-0596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0T00:00:00"/>
    <n v="59"/>
    <n v="1129082.5"/>
    <n v="1240750"/>
    <n v="955000"/>
  </r>
  <r>
    <x v="230"/>
    <s v="SOLAR CONSTRUCOES, INCORPORACOES E PARTICIPACOES LTDA"/>
    <s v="LDP-A-205-2"/>
    <s v="A-205"/>
    <s v="A-205-0597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A-205-3"/>
    <s v="A-205"/>
    <s v="A-205-0598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A-205-4"/>
    <s v="A-205"/>
    <s v="A-205-0599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VAGA-011"/>
    <s v="VAGA-011"/>
    <s v="VAGA-011-0600"/>
    <s v="ASSINADO"/>
    <x v="0"/>
    <m/>
    <n v="52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82000"/>
    <n v="200000"/>
    <n v="200000"/>
  </r>
  <r>
    <x v="230"/>
    <s v="LUIS FERNANDO LOSS MALDANER"/>
    <s v="LDP-B-206-1"/>
    <s v="B-206"/>
    <s v="B-206-0601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2"/>
    <s v="B-206"/>
    <s v="B-206-0602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3"/>
    <s v="B-206"/>
    <s v="B-206-0603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4"/>
    <s v="B-206"/>
    <s v="B-206-0604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AGROPECUARIA INTEGRACAO LTDA"/>
    <s v="LDP-B-218-5"/>
    <s v="B-218"/>
    <s v="B-218-0605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x v="230"/>
    <s v="AGROPECUARIA INTEGRACAO LTDA"/>
    <s v="LDP-B-218-6"/>
    <s v="B-218"/>
    <s v="B-218-0606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x v="230"/>
    <s v="GABRIEL BORGES ALVES"/>
    <s v="LDP-B-211-8"/>
    <s v="B-211"/>
    <s v="B-211-0607"/>
    <s v="ASSINADO"/>
    <x v="0"/>
    <m/>
    <n v="4"/>
    <s v="ANA CLAUDIA ALTEMARI LUIZ"/>
    <s v="ANA CLAUDIA ALTEMARI LUIZ"/>
    <s v="ARIANE PEREIRA BARBOSA"/>
    <s v="Interna"/>
    <s v="Longa"/>
    <s v="Showroom"/>
    <x v="0"/>
    <m/>
    <s v="GO"/>
    <m/>
    <d v="2023-12-19T00:00:00"/>
    <d v="2023-12-22T00:00:00"/>
    <n v="3"/>
    <n v="298935"/>
    <n v="328500"/>
    <n v="328420"/>
  </r>
  <r>
    <x v="231"/>
    <s v="ANDREA L. FEINE LTDA"/>
    <s v="LDP-B-214-1"/>
    <s v="B-214"/>
    <s v="B-214-0608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x v="231"/>
    <s v="ANDREA L. FEINE LTDA"/>
    <s v="LDP-B-214-2"/>
    <s v="B-214"/>
    <s v="B-214-0609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x v="232"/>
    <s v="JFELIX PRODUCOES &amp; MARKETING LTDA"/>
    <s v="LDP-B-221-5"/>
    <s v="B-221"/>
    <s v="B-221-0611"/>
    <s v="ASSINADO"/>
    <x v="1"/>
    <d v="2024-02-26T00:00:00"/>
    <n v="6"/>
    <s v="KAIQUE GONCALVES DA PAZ_x000a_"/>
    <s v="KAIQUE GONCALVES DA PAZ_x000a_"/>
    <s v="JOAO BATALHA DA SILVA NETO"/>
    <s v="Interna"/>
    <s v="Longa"/>
    <s v="Online"/>
    <x v="0"/>
    <m/>
    <s v="SP"/>
    <m/>
    <d v="2023-12-13T00:00:00"/>
    <d v="2023-12-25T00:00:00"/>
    <n v="12"/>
    <n v="359450"/>
    <n v="395000"/>
    <n v="395000"/>
  </r>
  <r>
    <x v="232"/>
    <s v="MARGARETE MEDINA MACIEL"/>
    <s v="LDP-B-211-9"/>
    <s v="B-211"/>
    <s v="B-211-0612"/>
    <s v="ASSINADO"/>
    <x v="0"/>
    <m/>
    <n v="4"/>
    <s v="FELLIPE BRAZ FERREIRA BILATE"/>
    <s v="FELLIPE BRAZ FERREIRA BILATE"/>
    <s v="ARIANE PEREIRA BARBOSA"/>
    <s v="Interna"/>
    <s v="Longa"/>
    <s v="Showroom"/>
    <x v="0"/>
    <m/>
    <s v="MS"/>
    <m/>
    <d v="2023-12-23T00:00:00"/>
    <d v="2023-12-25T00:00:00"/>
    <n v="2"/>
    <n v="298935"/>
    <n v="328500"/>
    <n v="312000"/>
  </r>
  <r>
    <x v="233"/>
    <s v="PEDRO PIRES DE CAMPOS NETO"/>
    <s v="LDP-B-218-1"/>
    <s v="B-218"/>
    <s v="B-218-0613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x v="233"/>
    <s v="PEDRO PIRES DE CAMPOS NETO"/>
    <s v="LDP-B-218-2"/>
    <s v="B-218"/>
    <s v="B-218-0614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x v="234"/>
    <s v="ROBERTO GREGOLETTO"/>
    <s v="LDP-C-251-1"/>
    <s v="C-251"/>
    <s v="C-251-0615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2"/>
    <s v="C-251"/>
    <s v="C-251-0616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3"/>
    <s v="C-251"/>
    <s v="C-251-0617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4"/>
    <s v="C-251"/>
    <s v="C-251-0618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VAGA-012"/>
    <s v="VAGA-012"/>
    <s v="VAGA-012-0619"/>
    <s v="ASSINADO"/>
    <x v="0"/>
    <m/>
    <n v="52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182000"/>
    <n v="200000"/>
    <n v="200000"/>
  </r>
  <r>
    <x v="235"/>
    <s v="FABIO RODRIGO MARQUES"/>
    <s v="LDP-B-311-9"/>
    <s v="B-311"/>
    <s v="B-311-0620"/>
    <s v="ASSINADO"/>
    <x v="0"/>
    <m/>
    <n v="4"/>
    <s v="GÉSSICA GOZZI"/>
    <s v="GÉSSICA GOZZI"/>
    <s v="JOAO BATALHA DA SILVA NETO"/>
    <s v="Interna"/>
    <s v="A vista"/>
    <s v="Showroom"/>
    <x v="0"/>
    <m/>
    <s v="SP"/>
    <m/>
    <d v="2023-09-19T00:00:00"/>
    <d v="2023-12-29T00:00:00"/>
    <n v="101"/>
    <n v="298935"/>
    <n v="328500"/>
    <n v="260000"/>
  </r>
  <r>
    <x v="235"/>
    <s v="JOAO PAULO MELO MARTINI"/>
    <s v="LDP-B-211-10"/>
    <s v="B-211"/>
    <s v="B-211-0621"/>
    <s v="ASSINADO"/>
    <x v="0"/>
    <m/>
    <n v="4"/>
    <s v="VIVIANE DA SILVA BASTOS"/>
    <s v="VIVIANE DA SILVA BASTOS"/>
    <s v="JOAO BATALHA DA SILVA NETO"/>
    <s v="Interna"/>
    <s v="Curta"/>
    <s v="Online"/>
    <x v="0"/>
    <m/>
    <s v="BA"/>
    <m/>
    <d v="2023-12-17T00:00:00"/>
    <d v="2023-12-29T00:00:00"/>
    <n v="12"/>
    <n v="298935"/>
    <n v="328500"/>
    <n v="299950"/>
  </r>
  <r>
    <x v="236"/>
    <s v="FA EMPREENDIMENTOS IMOBILIARIOS LTDA"/>
    <s v="LDP-B-218-3"/>
    <s v="B-218"/>
    <s v="B-218-062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x v="236"/>
    <s v="FA EMPREENDIMENTOS IMOBILIARIOS LTDA"/>
    <s v="LDP-B-218-4"/>
    <s v="B-218"/>
    <s v="B-218-0623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x v="237"/>
    <s v="JOSE LEANDRO DA SILVA"/>
    <s v="LDP-B-327-7"/>
    <s v="B-327"/>
    <s v="B-327-0624"/>
    <s v="ASSINADO"/>
    <x v="0"/>
    <m/>
    <n v="4"/>
    <s v="JANAINA GORNERO"/>
    <s v="JANAINA GORNERO"/>
    <s v="JOAO BATALHA DA SILVA NETO"/>
    <s v="Interna"/>
    <s v="Longa"/>
    <s v="Relacionamento Corretor"/>
    <x v="4"/>
    <m/>
    <s v="SP"/>
    <m/>
    <d v="2023-12-06T00:00:00"/>
    <d v="2023-12-30T00:00:00"/>
    <n v="24"/>
    <n v="298935"/>
    <n v="328500"/>
    <n v="329000"/>
  </r>
  <r>
    <x v="238"/>
    <s v="BRUNO FURTADO BENETTI"/>
    <s v="LDP-B-211-7"/>
    <s v="B-211"/>
    <s v="B-211-0625"/>
    <s v="ASSINADO"/>
    <x v="0"/>
    <m/>
    <n v="4"/>
    <s v="DAVI DE OLIVEIRA REIS"/>
    <s v="DAVI DE OLIVEIRA"/>
    <s v="JOAO BATALHA DA SILVA NETO"/>
    <s v="Interna"/>
    <s v="Longa"/>
    <s v="Online"/>
    <x v="0"/>
    <m/>
    <s v="SP"/>
    <m/>
    <d v="2023-08-13T00:00:00"/>
    <d v="2023-12-31T00:00:00"/>
    <n v="140"/>
    <n v="298935"/>
    <n v="328500"/>
    <n v="341400"/>
  </r>
  <r>
    <x v="238"/>
    <s v="LETICIA BARBOSA DE CASTRO PRIORI"/>
    <s v="LDP-B-322-5"/>
    <s v="B-322"/>
    <s v="B-322-0626"/>
    <s v="ASSINADO"/>
    <x v="0"/>
    <m/>
    <n v="6"/>
    <s v="FERNANDA SILVA OLIVEIRA"/>
    <s v="CLAUDIO CARLUCCI SILVEIRA"/>
    <s v="ARIANE PEREIRA BARBOSA"/>
    <s v="Interna"/>
    <s v="Longa"/>
    <s v="Relacionamento Corretor"/>
    <x v="2"/>
    <m/>
    <s v="SP"/>
    <m/>
    <d v="2023-12-12T00:00:00"/>
    <d v="2023-12-31T00:00:00"/>
    <n v="19"/>
    <n v="418600"/>
    <n v="460000"/>
    <n v="460000"/>
  </r>
  <r>
    <x v="239"/>
    <s v="VINICIUS PEDROSO SEVERO"/>
    <s v="LDP-A-209-3"/>
    <s v="A-209"/>
    <s v="A-209-0627"/>
    <s v="ASSINADO"/>
    <x v="0"/>
    <m/>
    <n v="13"/>
    <s v="GÉSSICA GOZZI"/>
    <s v="GÉSSICA GOZZI"/>
    <s v="JOAO BATALHA DA SILVA NETO"/>
    <s v="Interna"/>
    <s v="Curta"/>
    <s v="Showroom"/>
    <x v="0"/>
    <m/>
    <s v="RS"/>
    <m/>
    <d v="2023-12-08T00:00:00"/>
    <d v="2024-01-04T00:00:00"/>
    <n v="27"/>
    <n v="1297660"/>
    <n v="1426000"/>
    <n v="1000000"/>
  </r>
  <r>
    <x v="240"/>
    <s v="GUILHERME JOAO SOMBRIO"/>
    <s v="LDP-A-105-3"/>
    <s v="A-105"/>
    <s v="A-105-0628"/>
    <s v="NAO ASSINADO"/>
    <x v="1"/>
    <d v="2024-01-15T00:00:00"/>
    <n v="13"/>
    <s v="ANDRE LUIZ GORNERO"/>
    <s v="ANDRE LUIZ GORNERO"/>
    <s v="KAIQUE GONCALVES DA PAZ_x000a_"/>
    <s v="Interna"/>
    <s v="Longa"/>
    <s v="Showroom"/>
    <x v="0"/>
    <m/>
    <s v="SC"/>
    <m/>
    <d v="2024-01-01T00:00:00"/>
    <d v="2024-01-09T00:00:00"/>
    <n v="8"/>
    <n v="1733550"/>
    <n v="1905000"/>
    <n v="1848500"/>
  </r>
  <r>
    <x v="240"/>
    <s v="ELINTON BOBRIK"/>
    <s v="LDP-B-114-1"/>
    <s v="B-114"/>
    <s v="B-114-0629"/>
    <s v="ASSINADO"/>
    <x v="0"/>
    <m/>
    <n v="6"/>
    <s v="VIVIANE DA SILVA BASTOS"/>
    <s v="DAVI DE OLIVEIRA REIS"/>
    <s v="JOAO BATALHA DA SILVA NETO"/>
    <s v="Interna"/>
    <s v="Curta"/>
    <s v="Online"/>
    <x v="5"/>
    <m/>
    <s v="SP"/>
    <m/>
    <d v="2023-08-14T00:00:00"/>
    <d v="2024-01-09T00:00:00"/>
    <n v="148"/>
    <n v="456820"/>
    <n v="502000"/>
    <n v="418890"/>
  </r>
  <r>
    <x v="241"/>
    <s v="CARMEN MARTINS MORGADO DE JESUS"/>
    <s v="LDP-B-322-1"/>
    <s v="B-322"/>
    <s v="B-322-0630"/>
    <s v="ASSINADO"/>
    <x v="0"/>
    <m/>
    <n v="6"/>
    <s v="FERNANDA SILVA OLIVEIRA"/>
    <s v="FERNANDA SILVA OLIVEIRA"/>
    <s v="KAIQUE GONCALVES DA PAZ_x000a_"/>
    <s v="Interna"/>
    <s v="Curta"/>
    <s v="Showroom"/>
    <x v="0"/>
    <m/>
    <s v="SP"/>
    <m/>
    <d v="2024-01-07T00:00:00"/>
    <d v="2024-01-11T00:00:00"/>
    <n v="4"/>
    <n v="418600"/>
    <n v="460000"/>
    <n v="365000"/>
  </r>
  <r>
    <x v="241"/>
    <s v="GUSTAVO KOCH PINHEIRO"/>
    <s v="LDP-B-322-2"/>
    <s v="B-322"/>
    <s v="B-322-0631"/>
    <s v="ASSINADO"/>
    <x v="0"/>
    <m/>
    <n v="6"/>
    <s v="VITOR CANEDO"/>
    <s v="VITOR CANEDO"/>
    <s v="KAIQUE GONCALVES DA PAZ_x000a_"/>
    <s v="Interna"/>
    <s v="Curta"/>
    <s v="Showroom"/>
    <x v="0"/>
    <m/>
    <s v="RS"/>
    <m/>
    <d v="2023-12-05T00:00:00"/>
    <d v="2024-01-11T00:00:00"/>
    <n v="37"/>
    <n v="418600"/>
    <n v="460000"/>
    <n v="422500"/>
  </r>
  <r>
    <x v="242"/>
    <s v="MG PROJETOS LTDA"/>
    <s v="LDP-B-322-3"/>
    <s v="B-322"/>
    <s v="B-322-063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RS"/>
    <m/>
    <d v="2024-01-12T00:00:00"/>
    <d v="2024-01-12T00:00:00"/>
    <n v="0"/>
    <n v="418600"/>
    <n v="460000"/>
    <n v="431250"/>
  </r>
  <r>
    <x v="243"/>
    <s v="ANDREA GIUGLIANI"/>
    <s v="LDP-B-322-6"/>
    <s v="B-322"/>
    <s v="B-322-0633"/>
    <s v="ASSINADO"/>
    <x v="0"/>
    <m/>
    <n v="6"/>
    <s v="EDUARDO TADEU MALUTA FILHO"/>
    <s v="EDUARDO TADEU MALUTA FILHO"/>
    <s v="JOAO BATALHA DA SILVA NETO"/>
    <s v="Interna"/>
    <s v="Curta"/>
    <s v="Online"/>
    <x v="0"/>
    <m/>
    <s v="SP"/>
    <m/>
    <d v="2023-12-22T00:00:00"/>
    <d v="2024-01-14T00:00:00"/>
    <n v="23"/>
    <n v="418600"/>
    <n v="460000"/>
    <n v="415240"/>
  </r>
  <r>
    <x v="244"/>
    <s v="FABIANE ROMAO"/>
    <s v="LDP-B-322-4"/>
    <s v="B-322"/>
    <s v="B-322-0634"/>
    <s v="ASSINADO"/>
    <x v="0"/>
    <m/>
    <n v="6"/>
    <s v="FABRICIA PEREIRA DE SOUZA"/>
    <s v="FABRICIA PEREIRA DE SOUZA"/>
    <s v="FABRICIA PEREIRA DE SOUZA"/>
    <s v="Externa"/>
    <s v="Longa"/>
    <s v="Parceria"/>
    <x v="2"/>
    <m/>
    <s v="SP"/>
    <m/>
    <d v="2024-01-16T00:00:00"/>
    <d v="2024-01-17T00:00:00"/>
    <n v="1"/>
    <n v="418600"/>
    <n v="460000"/>
    <n v="362191.96"/>
  </r>
  <r>
    <x v="245"/>
    <s v="OM25 SPORTS LTDA"/>
    <s v="LDP-VAGA-013"/>
    <s v="VAGA-013"/>
    <s v="VAGA-013-0635"/>
    <s v="ASSINADO"/>
    <x v="0"/>
    <m/>
    <n v="52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182000"/>
    <n v="200000"/>
    <n v="200000"/>
  </r>
  <r>
    <x v="245"/>
    <s v="OM25 SPORTS LTDA"/>
    <s v="LDP-C-351-1"/>
    <s v="C-351"/>
    <s v="C-351-0636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3"/>
    <s v="C-351"/>
    <s v="C-351-0637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2"/>
    <s v="C-351"/>
    <s v="C-351-0638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4"/>
    <s v="C-351"/>
    <s v="C-351-0639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6"/>
    <s v="LYDIANE PEREIRA LEAL"/>
    <s v="LDP-B-328-5"/>
    <s v="B-328"/>
    <s v="B-328-0640"/>
    <s v="ASSINADO"/>
    <x v="0"/>
    <m/>
    <n v="6"/>
    <s v="CLAUDIO CARLUCCI SILVEIRA"/>
    <s v="CLAUDIO CARLUCCI SILVEIRA"/>
    <s v="KAIQUE GONCALVES DA PAZ_x000a_"/>
    <s v="Interna"/>
    <s v="A vista"/>
    <s v="Showroom"/>
    <x v="0"/>
    <m/>
    <s v="RJ"/>
    <m/>
    <d v="2023-12-21T00:00:00"/>
    <d v="2024-01-23T00:00:00"/>
    <n v="33"/>
    <n v="418600"/>
    <n v="460000"/>
    <n v="391000"/>
  </r>
  <r>
    <x v="247"/>
    <s v="GIORGIA AURORA DEVIENNE PASTORI"/>
    <s v="LDP-A-105-3"/>
    <s v="A-105"/>
    <s v="A-105-0641"/>
    <s v="ASSINADO"/>
    <x v="0"/>
    <m/>
    <n v="13"/>
    <s v="LEANDRO DESTRI GRENHANIN"/>
    <s v="LEANDRO DESTRI GRENHANIN"/>
    <s v="JOAO BATALHA DA SILVA NETO"/>
    <s v="Interna"/>
    <s v="Longa"/>
    <s v="Showroom"/>
    <x v="0"/>
    <m/>
    <s v="SP"/>
    <m/>
    <d v="2024-01-27T00:00:00"/>
    <d v="2024-01-27T00:00:00"/>
    <n v="0"/>
    <n v="1733550"/>
    <n v="1905000"/>
    <n v="1905000"/>
  </r>
  <r>
    <x v="248"/>
    <s v="KATI MARI SAYURI KOHATSU"/>
    <s v="LDP-B-128-3"/>
    <s v="B-128"/>
    <s v="B-128-0642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4-01-27T00:00:00"/>
    <d v="2024-01-28T00:00:00"/>
    <n v="1"/>
    <n v="465010"/>
    <n v="511000"/>
    <n v="498000"/>
  </r>
  <r>
    <x v="249"/>
    <s v="LUCIO FLAVIO PRETTO"/>
    <s v="LDP-B-128-5"/>
    <s v="B-128"/>
    <s v="B-128-0643"/>
    <s v="ASSINADO"/>
    <x v="0"/>
    <m/>
    <n v="6"/>
    <s v="CLAUDIO CARLUCCI SILVEIRA"/>
    <s v="CLAUDIO CARLUCCI SILVEIRA"/>
    <s v="KAIQUE GONCALVES DA PAZ_x000a_"/>
    <s v="Interna"/>
    <s v="Longa"/>
    <s v="Showroom"/>
    <x v="0"/>
    <m/>
    <s v="RS"/>
    <m/>
    <d v="2024-01-26T00:00:00"/>
    <d v="2024-01-31T00:00:00"/>
    <n v="5"/>
    <n v="465010"/>
    <n v="511000"/>
    <n v="450000"/>
  </r>
  <r>
    <x v="250"/>
    <s v="RICARDO FORTES CORREA MEYER"/>
    <s v="LDP-B-328-1"/>
    <s v="B-328"/>
    <s v="B-328-0644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4-02-02T00:00:00"/>
    <d v="2024-02-02T00:00:00"/>
    <n v="0"/>
    <n v="418600"/>
    <n v="460000"/>
    <n v="383616"/>
  </r>
  <r>
    <x v="250"/>
    <s v="CARLA DELLA BONA"/>
    <s v="LDP-B-328-4"/>
    <s v="B-328"/>
    <s v="B-328-0645"/>
    <s v="ASSINADO"/>
    <x v="0"/>
    <m/>
    <n v="6"/>
    <s v="VIVIANE DA SILVA BASTOS"/>
    <s v="VIVIANE DA SILVA BASTOS"/>
    <s v="JOAO BATALHA DA SILVA NETO"/>
    <s v="Interna"/>
    <s v="A vista"/>
    <s v="Online"/>
    <x v="0"/>
    <m/>
    <s v="RS"/>
    <m/>
    <d v="2024-01-21T00:00:00"/>
    <d v="2024-02-02T00:00:00"/>
    <n v="12"/>
    <n v="418600"/>
    <n v="460000"/>
    <n v="375000"/>
  </r>
  <r>
    <x v="251"/>
    <s v="NORBERTO LUIZ ZANELATTO"/>
    <s v="LDP-B-328-3"/>
    <s v="B-328"/>
    <s v="B-328-0646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x v="251"/>
    <s v="NORBERTO LUIZ ZANELATTO"/>
    <s v="LDP-B-328-2"/>
    <s v="B-328"/>
    <s v="B-328-0647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x v="251"/>
    <s v="CARLOS ALBERTO FERRARI VIEIRA"/>
    <s v="LDP-B-128-1"/>
    <s v="B-128"/>
    <s v="B-128-0648"/>
    <s v="ASSINADO"/>
    <x v="0"/>
    <m/>
    <n v="6"/>
    <s v="DAVI DE OLIVEIRA REIS"/>
    <s v="DAVI DE OLIVEIRA"/>
    <s v="JOAO BATALHA DA SILVA NETO"/>
    <s v="Interna"/>
    <s v="Longa"/>
    <s v="Showroom"/>
    <x v="0"/>
    <m/>
    <s v="RS"/>
    <m/>
    <d v="2024-02-03T00:00:00"/>
    <d v="2024-02-03T00:00:00"/>
    <n v="0"/>
    <n v="465920"/>
    <n v="512000"/>
    <n v="503400"/>
  </r>
  <r>
    <x v="252"/>
    <s v="ORDIPAR PARTICIPACOES EM SOCIEDADES EMPRESARIAIS LTDA"/>
    <s v="LDP-B-326-4"/>
    <s v="B-326"/>
    <s v="B-326-0650"/>
    <s v="NAO ASSINADO"/>
    <x v="1"/>
    <d v="2024-03-12T00:00:00"/>
    <n v="6"/>
    <s v="SÂNGELA CRISTINA ARRUDA LIMA MORAIS"/>
    <s v="FELLIPE BRAZ FERREIRA BILATE"/>
    <s v="ARIANE PEREIRA BARBOSA"/>
    <s v="Interna"/>
    <s v="Longa"/>
    <s v="Showroom"/>
    <x v="0"/>
    <m/>
    <s v="RS"/>
    <m/>
    <d v="2023-12-09T00:00:00"/>
    <d v="2024-02-07T00:00:00"/>
    <n v="60"/>
    <n v="419000"/>
    <n v="460000"/>
    <n v="459999.99"/>
  </r>
  <r>
    <x v="253"/>
    <s v="MARCIA HELENA SCHNECK"/>
    <s v="LDP-B-326-3"/>
    <s v="B-326"/>
    <s v="B-326-0651"/>
    <s v="ASSINADO"/>
    <x v="0"/>
    <m/>
    <n v="6"/>
    <s v="ANA CLAUDIA ALTEMARI LUIZ"/>
    <s v="ANA CLAUDIA ALTEMARI LUIZ"/>
    <s v="ARIANE PEREIRA BARBOSA"/>
    <s v="Interna"/>
    <s v="Longa"/>
    <s v="Showroom"/>
    <x v="0"/>
    <m/>
    <s v="RS"/>
    <m/>
    <d v="2024-01-05T00:00:00"/>
    <d v="2024-02-10T00:00:00"/>
    <n v="36"/>
    <n v="418600"/>
    <n v="460000"/>
    <n v="422000"/>
  </r>
  <r>
    <x v="254"/>
    <s v="IGOR LOSS DA SILVA"/>
    <s v="LDP-B-215-3"/>
    <s v="B-215"/>
    <s v="B-215-0652"/>
    <s v="ASSINADO"/>
    <x v="0"/>
    <m/>
    <n v="6"/>
    <s v="VIVIANE DA SILVA BASTOS"/>
    <s v="VIVIANE DA SILVA BASTOS"/>
    <s v="JOAO BATALHA DA SILVA NETO"/>
    <s v="Interna"/>
    <s v="Longa"/>
    <s v="Online"/>
    <x v="0"/>
    <m/>
    <s v="RS"/>
    <m/>
    <d v="2023-02-23T00:00:00"/>
    <d v="2024-02-15T00:00:00"/>
    <n v="357"/>
    <n v="387660"/>
    <n v="426000"/>
    <n v="398520"/>
  </r>
  <r>
    <x v="255"/>
    <s v="EVANDRO GERMANO DE SOUZA"/>
    <s v="LDP-B-326-6"/>
    <s v="B-326"/>
    <s v="B-326-0653"/>
    <s v="ASSINADO"/>
    <x v="0"/>
    <m/>
    <n v="6"/>
    <s v="FABRICIA PEREIRA DE SOUZA"/>
    <s v="FABRICIA PEREIRA DE SOUZA"/>
    <s v="FABRICIA PEREIRA DE SOUZA"/>
    <s v="Externa"/>
    <s v="Longa"/>
    <s v="Parceria"/>
    <x v="0"/>
    <m/>
    <s v="SC"/>
    <m/>
    <d v="2024-02-17T00:00:00"/>
    <d v="2024-02-17T00:00:00"/>
    <n v="0"/>
    <n v="418600"/>
    <n v="460000"/>
    <n v="471904.23"/>
  </r>
  <r>
    <x v="256"/>
    <s v="ADILSON VERWIEBE"/>
    <s v="LDP-B-320-5"/>
    <s v="B-320"/>
    <s v="B-320-0654"/>
    <s v="ASSINADO"/>
    <x v="0"/>
    <m/>
    <n v="6"/>
    <s v="ANDRE LUIZ GORNERO"/>
    <s v="ANDRE LUIZ GORNERO"/>
    <s v="KAIQUE GONCALVES DA PAZ_x000a_"/>
    <s v="Interna"/>
    <s v="Curta"/>
    <s v="Showroom"/>
    <x v="0"/>
    <m/>
    <s v="SC"/>
    <m/>
    <d v="2024-02-18T00:00:00"/>
    <d v="2024-02-18T00:00:00"/>
    <n v="0"/>
    <n v="418600"/>
    <n v="460000"/>
    <n v="387800"/>
  </r>
  <r>
    <x v="257"/>
    <s v="JOSE RICARDO PATARO BOTELHO DE QUEIROZ"/>
    <s v="LDP-B-326-1"/>
    <s v="B-326"/>
    <s v="B-326-0655"/>
    <s v="ASSINADO"/>
    <x v="0"/>
    <m/>
    <n v="6"/>
    <s v="ELY KLEIM JUNIOR"/>
    <s v="ELY KLEIM JUNIOR"/>
    <s v="ARIANE PEREIRA BARBOSA"/>
    <s v="Interna"/>
    <s v="Longa"/>
    <s v="Online"/>
    <x v="0"/>
    <m/>
    <s v="DF"/>
    <m/>
    <d v="2024-02-17T00:00:00"/>
    <d v="2024-02-21T00:00:00"/>
    <n v="4"/>
    <n v="418600"/>
    <n v="460000"/>
    <n v="460000"/>
  </r>
  <r>
    <x v="258"/>
    <s v="EDUARDO KNEIP"/>
    <s v="LDP-B-320-4"/>
    <s v="B-320"/>
    <s v="B-320-0656"/>
    <s v="ASSINADO"/>
    <x v="1"/>
    <d v="2025-01-28T00:00:00"/>
    <n v="6"/>
    <s v="TAMIRES SOARES DE CARVALHO"/>
    <s v="TAMIRES SOARES DE CARVALHO"/>
    <s v="ARIANE PEREIRA BARBOSA"/>
    <s v="Interna"/>
    <s v="Longa"/>
    <s v="Showroom"/>
    <x v="0"/>
    <m/>
    <s v="RS"/>
    <m/>
    <d v="2024-02-13T00:00:00"/>
    <d v="2024-02-22T00:00:00"/>
    <n v="9"/>
    <n v="418600"/>
    <n v="460000"/>
    <n v="460000"/>
  </r>
  <r>
    <x v="259"/>
    <s v="PRIME ULTRAFORM LTDA"/>
    <s v="LDP-B-201-1"/>
    <s v="B-201"/>
    <s v="B-201-0657"/>
    <s v="ASSINADO"/>
    <x v="0"/>
    <m/>
    <n v="6"/>
    <s v="CLEUZIANE SANTOS DE CARVALHO"/>
    <s v="CLEUZIANE SANTOS DE CARVALHO"/>
    <s v="ARIANE PEREIRA BARBOSA"/>
    <s v="Interna"/>
    <s v="Longa"/>
    <s v="Relacionamento Corretor"/>
    <x v="4"/>
    <m/>
    <s v="RS"/>
    <m/>
    <d v="2024-02-24T00:00:00"/>
    <d v="2024-02-24T00:00:00"/>
    <n v="0"/>
    <n v="426000"/>
    <n v="426000"/>
    <n v="363944"/>
  </r>
  <r>
    <x v="260"/>
    <s v="FREDERICO STURMER"/>
    <s v="LDP-B-320-2"/>
    <s v="B-320"/>
    <s v="B-320-06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RS"/>
    <m/>
    <d v="2024-02-29T00:00:00"/>
    <d v="2024-02-29T00:00:00"/>
    <n v="0"/>
    <n v="418600"/>
    <n v="460000"/>
    <n v="317400"/>
  </r>
  <r>
    <x v="260"/>
    <s v="DANNY CESAR GABRIEL DE OLIVEIRA JUMES"/>
    <s v="LDP-B-301-4"/>
    <s v="B-301"/>
    <s v="B-301-0659"/>
    <s v="ASSINADO"/>
    <x v="1"/>
    <d v="2024-08-01T00:00:00"/>
    <n v="6"/>
    <s v="SÂNGELA CRISTINA ARRUDA LIMA MORAIS"/>
    <s v="SÂNGELA CRISTINA ARRUDA LIMA MORAIS"/>
    <s v="ARIANE PEREIRA BARBOSA"/>
    <s v="Interna"/>
    <s v="Longa"/>
    <s v="Showroom"/>
    <x v="0"/>
    <m/>
    <s v="SC"/>
    <m/>
    <d v="2023-06-30T00:00:00"/>
    <d v="2024-02-29T00:00:00"/>
    <n v="244"/>
    <n v="387660"/>
    <n v="426000"/>
    <n v="390000"/>
  </r>
  <r>
    <x v="261"/>
    <s v="LCA PARTICIPACOES LTDA"/>
    <s v="LDP-B-301-5"/>
    <s v="B-301"/>
    <s v="B-301-0660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x v="261"/>
    <s v="LCA PARTICIPACOES LTDA"/>
    <s v="LDP-B-315-1"/>
    <s v="B-315"/>
    <s v="B-315-0661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x v="262"/>
    <s v="VALDIR PASA"/>
    <s v="LDP-B-215-6"/>
    <s v="B-215"/>
    <s v="B-215-0662"/>
    <s v="ASSINADO"/>
    <x v="0"/>
    <m/>
    <n v="6"/>
    <s v="ALLAN DE SOUZA MORAES"/>
    <s v="ALLAN DE SOUZA MORAES"/>
    <s v="JOAO BATALHA DA SILVA NETO"/>
    <s v="Interna"/>
    <s v="Longa"/>
    <s v="Online"/>
    <x v="0"/>
    <m/>
    <s v="MS"/>
    <m/>
    <d v="2023-11-19T00:00:00"/>
    <d v="2024-03-02T00:00:00"/>
    <n v="104"/>
    <n v="388000"/>
    <n v="426000"/>
    <n v="363944"/>
  </r>
  <r>
    <x v="263"/>
    <s v="CLESIO BROGNI"/>
    <s v="LDP-A-115-1"/>
    <s v="A-115"/>
    <s v="A-115-0663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VAGA-014"/>
    <s v="VAGA-014"/>
    <s v="VAGA-014-0664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CLESIO BROGNI"/>
    <s v="LDP-A-115-2"/>
    <s v="A-115"/>
    <s v="A-115-0665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115-3"/>
    <s v="A-115"/>
    <s v="A-115-0666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115-4"/>
    <s v="A-115"/>
    <s v="A-115-0667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206-1"/>
    <s v="A-206"/>
    <s v="A-206-0668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VAGA-015"/>
    <s v="VAGA-015"/>
    <s v="VAGA-015-0669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CLESIO BROGNI"/>
    <s v="LDP-A-206-2"/>
    <s v="A-206"/>
    <s v="A-206-0670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A-206-3"/>
    <s v="A-206"/>
    <s v="A-206-0671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A-206-4"/>
    <s v="A-206"/>
    <s v="A-206-0672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4"/>
    <s v="ELAINE APARECIDA FERREIRA DOS SANTOS"/>
    <s v="LDP-B-221-5"/>
    <s v="B-221"/>
    <s v="B-221-0674"/>
    <s v="ASSINADO"/>
    <x v="0"/>
    <m/>
    <n v="6"/>
    <s v="FERNANDA SILVA OLIVEIRA"/>
    <s v="FERNANDA SILVA OLIVEIRA"/>
    <s v="KAIQUE GONCALVES DA PAZ_x000a_"/>
    <s v="Interna"/>
    <s v="Longa"/>
    <s v="Online"/>
    <x v="0"/>
    <m/>
    <s v="SP"/>
    <m/>
    <d v="2024-01-04T00:00:00"/>
    <d v="2024-03-13T00:00:00"/>
    <n v="69"/>
    <n v="383000"/>
    <n v="421000"/>
    <n v="421000"/>
  </r>
  <r>
    <x v="265"/>
    <s v="FREDERICO STURMER"/>
    <s v="LDP-B-221-6"/>
    <s v="B-221"/>
    <s v="B-221-0675"/>
    <s v="ASSINADO"/>
    <x v="0"/>
    <m/>
    <n v="6"/>
    <s v="FABRICIA PEREIRA DE SOUZA"/>
    <s v="DAVI DE OLIVEIRA REIS"/>
    <s v="JOAO BATALHA DA SILVA NETO"/>
    <s v="Externa"/>
    <s v="Curta"/>
    <s v="Parceria"/>
    <x v="5"/>
    <m/>
    <s v="RS"/>
    <m/>
    <d v="2024-02-29T00:00:00"/>
    <d v="2024-03-24T00:00:00"/>
    <n v="24"/>
    <n v="383000"/>
    <n v="421000"/>
    <n v="320000"/>
  </r>
  <r>
    <x v="266"/>
    <s v="PERICLES ASSAD HASSUN FILHO"/>
    <s v="LDP-A-111-3"/>
    <s v="A-111"/>
    <s v="A-111-0676"/>
    <s v="ASSINADO"/>
    <x v="0"/>
    <m/>
    <n v="13"/>
    <s v="ANA CLAUDIA ALTEMARI LUIZ"/>
    <s v="ANA CLAUDIA ALTEMARI LUIZ"/>
    <s v="ARIANE PEREIRA BARBOSA"/>
    <s v="Interna"/>
    <s v="Longa"/>
    <s v="Showroom"/>
    <x v="3"/>
    <m/>
    <s v="SP"/>
    <m/>
    <d v="2023-08-27T00:00:00"/>
    <d v="2024-03-27T00:00:00"/>
    <n v="213"/>
    <n v="1750000"/>
    <n v="1924000"/>
    <n v="1700000"/>
  </r>
  <r>
    <x v="267"/>
    <s v="KLAUBER DE ARAUJO SOUZA AZEVEDO"/>
    <s v="LDP-B-315-4"/>
    <s v="B-315"/>
    <s v="B-315-0677"/>
    <s v="ASSINADO"/>
    <x v="0"/>
    <m/>
    <n v="6"/>
    <s v="FELLIPE BRAZ FERREIRA BILATE"/>
    <s v="RAISSA OKADA"/>
    <s v="ARIANE PEREIRA BARBOSA"/>
    <s v="Interna"/>
    <s v="Longa"/>
    <s v="Showroom"/>
    <x v="0"/>
    <m/>
    <s v="MA"/>
    <m/>
    <d v="2024-03-29T00:00:00"/>
    <d v="2024-03-29T00:00:00"/>
    <n v="0"/>
    <n v="390000"/>
    <n v="429000"/>
    <n v="426840"/>
  </r>
  <r>
    <x v="268"/>
    <s v="FABIANO ALVES DE OLIVEIRA"/>
    <s v="LDP-B-201-4"/>
    <s v="B-201"/>
    <s v="B-201-0678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1000"/>
    <n v="430000"/>
    <n v="325000"/>
  </r>
  <r>
    <x v="268"/>
    <s v="FABIANO ALVES DE OLIVEIRA"/>
    <s v="LDP-B-229-6"/>
    <s v="B-229"/>
    <s v="B-229-0679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9000"/>
    <n v="438000"/>
    <n v="325000"/>
  </r>
  <r>
    <x v="269"/>
    <s v="H R ROLIM ADMINISTRADORA DE BENS LTDA"/>
    <s v="LDP-B-210-2"/>
    <s v="B-210"/>
    <s v="B-210-068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RJ"/>
    <m/>
    <d v="2024-04-02T00:00:00"/>
    <d v="2024-04-03T00:00:00"/>
    <n v="1"/>
    <n v="423000"/>
    <n v="465000"/>
    <n v="398000"/>
  </r>
  <r>
    <x v="269"/>
    <s v="HENRIQUE LIMA DE OLIVEIRA"/>
    <s v="LDP-B-214-6"/>
    <s v="B-214"/>
    <s v="B-214-0681"/>
    <s v="ASSINADO"/>
    <x v="0"/>
    <m/>
    <n v="6"/>
    <s v="DAVI DE OLIVEIRA REIS"/>
    <s v="DAVI DE OLIVEIRA REIS"/>
    <s v="JOAO BATALHA DA SILVA NETO"/>
    <s v="Interna"/>
    <s v="Longa"/>
    <s v="Showroom"/>
    <x v="0"/>
    <m/>
    <s v="PR"/>
    <m/>
    <d v="2024-04-03T00:00:00"/>
    <d v="2024-04-03T00:00:00"/>
    <n v="0"/>
    <n v="423000"/>
    <n v="465000"/>
    <n v="464970"/>
  </r>
  <r>
    <x v="270"/>
    <s v="FLAVIA BRIOSCHI"/>
    <s v="LDP-B-210-4"/>
    <s v="B-210"/>
    <s v="B-210-0682"/>
    <s v="ASSINADO"/>
    <x v="0"/>
    <m/>
    <n v="6"/>
    <s v="RAISSA OKADA"/>
    <s v="FELLIPE BRAZ FERREIRA BILATE"/>
    <s v="ARIANE PEREIRA BARBOSA"/>
    <s v="Interna"/>
    <s v="A vista"/>
    <s v="Showroom"/>
    <x v="0"/>
    <m/>
    <s v="SP"/>
    <m/>
    <d v="2024-03-31T00:00:00"/>
    <d v="2024-04-04T00:00:00"/>
    <n v="4"/>
    <n v="423000"/>
    <n v="465000"/>
    <n v="315000"/>
  </r>
  <r>
    <x v="271"/>
    <s v="THALES ROCHA BORDIGNON"/>
    <s v="LDP-B-111-6"/>
    <s v="B-111"/>
    <s v="B-111-0683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3-04-01T00:00:00"/>
    <d v="2024-04-05T00:00:00"/>
    <n v="370"/>
    <n v="416000"/>
    <n v="457000"/>
    <n v="320000"/>
  </r>
  <r>
    <x v="272"/>
    <s v="ALVARO DELLA BONA"/>
    <s v="LDP-B-214-5"/>
    <s v="B-214"/>
    <s v="B-214-0684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3-07T00:00:00"/>
    <d v="2024-04-08T00:00:00"/>
    <n v="32"/>
    <n v="423000"/>
    <n v="465000"/>
    <n v="375000"/>
  </r>
  <r>
    <x v="273"/>
    <s v="B.M.F GESTAO PATRIMONIAL LTDA"/>
    <s v="LDP-B-111-4"/>
    <s v="B-111"/>
    <s v="B-111-0686"/>
    <s v="ASSINADO"/>
    <x v="0"/>
    <m/>
    <n v="6"/>
    <s v="SÂNGELA CRISTINA ARRUDA LIMA MORAIS"/>
    <s v="SÂNGELA CRISTINA ARRUDA LIMA MORAIS"/>
    <s v="ARIANE PEREIRA BARBOSA"/>
    <s v="Interna"/>
    <s v="Curta"/>
    <s v="Relacionamento Corretor"/>
    <x v="4"/>
    <m/>
    <s v="RS"/>
    <m/>
    <d v="2023-02-23T00:00:00"/>
    <d v="2024-04-16T00:00:00"/>
    <n v="418"/>
    <n v="416000"/>
    <n v="457000"/>
    <n v="310000"/>
  </r>
  <r>
    <x v="274"/>
    <s v="CAIO CESAR ARRUDA REGIS"/>
    <s v="LDP-B-111-2"/>
    <s v="B-111"/>
    <s v="B-111-0687"/>
    <s v="ASSINADO"/>
    <x v="0"/>
    <m/>
    <n v="6"/>
    <s v="RAISSA OKADA"/>
    <s v="RAISSA OKADA"/>
    <s v="ARIANE PEREIRA BARBOSA"/>
    <s v="Interna"/>
    <s v="Longa"/>
    <s v="Showroom"/>
    <x v="0"/>
    <m/>
    <s v="SP"/>
    <m/>
    <d v="2024-04-16T00:00:00"/>
    <d v="2024-04-19T00:00:00"/>
    <n v="3"/>
    <n v="416000"/>
    <n v="457000"/>
    <n v="456880"/>
  </r>
  <r>
    <x v="274"/>
    <s v="LUIZ GUILHERME POERNER"/>
    <s v="LDP-B-111-1"/>
    <s v="B-111"/>
    <s v="B-111-0688"/>
    <s v="ASSINADO"/>
    <x v="0"/>
    <m/>
    <n v="6"/>
    <s v="DAVI DE OLIVEIRA REIS"/>
    <s v="DAVI DE OLIVEIRA REIS"/>
    <s v="JOAO BATALHA DA SILVA NETO"/>
    <s v="Interna"/>
    <s v="Longa"/>
    <s v="Showroom"/>
    <x v="0"/>
    <m/>
    <s v="SC"/>
    <m/>
    <d v="2024-04-19T00:00:00"/>
    <d v="2024-04-19T00:00:00"/>
    <n v="0"/>
    <n v="416000"/>
    <n v="457000"/>
    <n v="380000"/>
  </r>
  <r>
    <x v="275"/>
    <s v="HARMONIA PARTICIPACOES E INVESTIMENTOS LTDA"/>
    <s v="LDP-B-121-1"/>
    <s v="B-121"/>
    <s v="B-121-068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ELIZABETH VIERO ARAUJO"/>
    <s v="LDP-B-117-1"/>
    <s v="B-117"/>
    <s v="B-117-0690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SP"/>
    <m/>
    <d v="2024-04-20T00:00:00"/>
    <d v="2024-04-20T00:00:00"/>
    <n v="0"/>
    <n v="416000"/>
    <n v="457000"/>
    <n v="314670"/>
  </r>
  <r>
    <x v="275"/>
    <s v="HARMONIA PARTICIPACOES E INVESTIMENTOS LTDA"/>
    <s v="LDP-B-121-2"/>
    <s v="B-121"/>
    <s v="B-121-0691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3"/>
    <s v="B-121"/>
    <s v="B-121-0692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4"/>
    <s v="B-121"/>
    <s v="B-121-0693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5"/>
    <s v="B-121"/>
    <s v="B-121-0694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6"/>
    <s v="B-121"/>
    <s v="B-121-0695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7"/>
    <s v="B-121"/>
    <s v="B-121-0696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8"/>
    <s v="B-121"/>
    <s v="B-121-0697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9"/>
    <s v="B-121"/>
    <s v="B-121-0698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10"/>
    <s v="B-121"/>
    <s v="B-121-069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6"/>
    <s v="VALERIA MARIA PILATTI"/>
    <s v="LDP-C-254-1"/>
    <s v="C-254"/>
    <s v="C-254-0700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2"/>
    <s v="C-254"/>
    <s v="C-254-0701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3"/>
    <s v="C-254"/>
    <s v="C-254-0702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4"/>
    <s v="C-254"/>
    <s v="C-254-0703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VAGA-016"/>
    <s v="VAGA-016"/>
    <s v="VAGA-016-0704"/>
    <s v="ASSINADO"/>
    <x v="0"/>
    <m/>
    <n v="52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82000"/>
    <n v="200000"/>
    <n v="200000"/>
  </r>
  <r>
    <x v="277"/>
    <s v="JFZ PARTICIPACOES LTDA"/>
    <s v="LDP-B-218-3"/>
    <s v="B-218"/>
    <s v="B-218-0705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4-22T00:00:00"/>
    <d v="2024-04-25T00:00:00"/>
    <n v="3"/>
    <n v="423000"/>
    <n v="465000"/>
    <n v="381000"/>
  </r>
  <r>
    <x v="278"/>
    <s v="SILVA HOLDING FAMILIAR LTDA"/>
    <s v="LDP-B-117-4"/>
    <s v="B-117"/>
    <s v="B-117-0706"/>
    <s v="NAO ASSINADO"/>
    <x v="1"/>
    <d v="2024-06-27T00:00:00"/>
    <n v="6"/>
    <s v="JANAINA GORNERO"/>
    <s v="JANAINA GORNERO"/>
    <s v="KAIQUE GONCALVES DA PAZ_x000a_"/>
    <s v="Interna"/>
    <s v="A vista"/>
    <s v="Online"/>
    <x v="0"/>
    <m/>
    <s v="RS"/>
    <m/>
    <d v="2024-04-25T00:00:00"/>
    <d v="2024-06-01T00:00:00"/>
    <n v="37"/>
    <n v="416000"/>
    <n v="457000"/>
    <n v="324470"/>
  </r>
  <r>
    <x v="279"/>
    <s v="FIDO PARTICIPACOES S A"/>
    <s v="LDP-B-218-4"/>
    <s v="B-218"/>
    <s v="B-218-0707"/>
    <s v="ASSINADO"/>
    <x v="0"/>
    <m/>
    <n v="6"/>
    <s v="MONICA NADINY RAMOS GADELHA"/>
    <s v="MONICA NADINY RAMOS GADELHA"/>
    <s v="ARIANE PEREIRA BARBOSA"/>
    <s v="Interna"/>
    <s v="A vista"/>
    <s v="Online"/>
    <x v="0"/>
    <m/>
    <s v="SP"/>
    <m/>
    <d v="2024-02-17T00:00:00"/>
    <d v="2024-05-14T00:00:00"/>
    <n v="87"/>
    <n v="425000"/>
    <n v="467000"/>
    <n v="336240"/>
  </r>
  <r>
    <x v="280"/>
    <s v="RAFAEL STEFANON"/>
    <s v="LDP-B-122-7"/>
    <s v="B-122"/>
    <s v="B-122-0708"/>
    <s v="ASSINADO"/>
    <x v="0"/>
    <m/>
    <n v="4"/>
    <s v="CLEUZIANE SANTOS DE CARVALHO"/>
    <s v="FABRICIA PEREIRA DE SOUZA"/>
    <s v="FABRICIA PEREIRA DE SOUZA"/>
    <s v="Externa"/>
    <s v="A vista"/>
    <s v="Parceria"/>
    <x v="0"/>
    <m/>
    <s v="RS"/>
    <m/>
    <d v="2024-05-15T00:00:00"/>
    <d v="2024-05-17T00:00:00"/>
    <n v="2"/>
    <n v="365000"/>
    <n v="420000"/>
    <n v="339166.28"/>
  </r>
  <r>
    <x v="281"/>
    <s v="RVT PARTICIPACOES LTDA"/>
    <s v="LDP-B-218-5"/>
    <s v="B-218"/>
    <s v="B-218-0709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x v="281"/>
    <s v="RVT PARTICIPACOES LTDA"/>
    <s v="LDP-B-218-6"/>
    <s v="B-218"/>
    <s v="B-218-0710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x v="282"/>
    <s v="MARCIO VELLOSO FONTES"/>
    <s v="LDP-B-122-9"/>
    <s v="B-122"/>
    <s v="B-122-0711"/>
    <s v="ASSINADO"/>
    <x v="0"/>
    <m/>
    <n v="4"/>
    <s v="FABRICIA PEREIRA DE SOUZA"/>
    <s v="FABRICIA PEREIRA DE SOUZA"/>
    <s v="FABRICIA PEREIRA DE SOUZA"/>
    <s v="Externa"/>
    <s v="Longa"/>
    <s v="Parceria"/>
    <x v="0"/>
    <m/>
    <s v="DF"/>
    <m/>
    <d v="2024-06-02T00:00:00"/>
    <d v="2024-06-05T00:00:00"/>
    <n v="3"/>
    <n v="367153.5"/>
    <n v="421000"/>
    <n v="421000"/>
  </r>
  <r>
    <x v="283"/>
    <s v="MARISTELA MARIA FIORINI"/>
    <s v="LDP-B-122-8"/>
    <s v="B-122"/>
    <s v="B-122-0712"/>
    <s v="ASSINADO"/>
    <x v="0"/>
    <m/>
    <n v="4"/>
    <s v="FABRICIA PEREIRA DE SOUZA"/>
    <s v="FABRICIA PEREIRA DE SOUZA"/>
    <s v="FABRICIA PEREIRA DE SOUZA"/>
    <s v="Externa"/>
    <s v="A vista"/>
    <s v="Parceria"/>
    <x v="0"/>
    <m/>
    <s v="RS"/>
    <m/>
    <d v="2024-06-10T00:00:00"/>
    <d v="2024-06-10T00:00:00"/>
    <n v="0"/>
    <n v="367153.5"/>
    <n v="421000"/>
    <n v="330000"/>
  </r>
  <r>
    <x v="284"/>
    <s v="EDUARDO RAMOS ZART"/>
    <s v="LDP-B-116-5"/>
    <s v="B-116"/>
    <s v="B-116-0713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11T00:00:00"/>
    <n v="0"/>
    <n v="382242"/>
    <n v="389500"/>
    <n v="300000"/>
  </r>
  <r>
    <x v="285"/>
    <s v="EDUARDO RAMOS ZART"/>
    <s v="LDP-B-116-6"/>
    <s v="B-116"/>
    <s v="B-116-0715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22T00:00:00"/>
    <n v="11"/>
    <n v="382242"/>
    <n v="389500"/>
    <n v="300000"/>
  </r>
  <r>
    <x v="286"/>
    <s v="IGOR VIEIRA XAVIER"/>
    <s v="LDP-B-132-1"/>
    <s v="B-132"/>
    <s v="B-132-0716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x v="286"/>
    <s v="IGOR VIEIRA XAVIER "/>
    <s v="LDP-B-132-4"/>
    <s v="B-132"/>
    <s v="B-132-0717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x v="287"/>
    <s v="VINICIUS ALANO DE ATAIDES"/>
    <s v="LDP-B-132-2"/>
    <s v="B-132"/>
    <s v="B-132-0718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03-12T00:00:00"/>
    <d v="2024-08-01T00:00:00"/>
    <n v="508"/>
    <n v="385796.85"/>
    <n v="391000"/>
    <n v="391000"/>
  </r>
  <r>
    <x v="287"/>
    <s v="VINICIUS ALANO DE ATAIDES"/>
    <s v="LDP-B-132-3"/>
    <s v="B-132"/>
    <s v="B-132-0719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12-03T00:00:00"/>
    <d v="2024-08-01T00:00:00"/>
    <n v="242"/>
    <n v="385796.85"/>
    <n v="391000"/>
    <n v="391000"/>
  </r>
  <r>
    <x v="288"/>
    <s v="DIEGO LUCIANO LOPES DA COSTA"/>
    <s v="LDP-B-321-5"/>
    <s v="B-321"/>
    <s v="B-321-0720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x v="288"/>
    <s v="DIEGO LUCIANO LOPES DA COSTA"/>
    <s v="LDP-B-321-6"/>
    <s v="B-321"/>
    <s v="B-321-0721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x v="288"/>
    <s v="FREDERICO STURMER"/>
    <s v="LDP-B-228-1"/>
    <s v="B-228"/>
    <s v="B-228-0722"/>
    <s v="ASSINADO"/>
    <x v="0"/>
    <m/>
    <n v="6"/>
    <s v="FABRICIA PEREIRA DE SOUZA"/>
    <s v="FABRICIA PEREIRA DE SOUZA"/>
    <s v="FABRICIA PEREIRA DE SOUZA"/>
    <s v="Externa"/>
    <s v="Curta"/>
    <s v="Parceria"/>
    <x v="0"/>
    <m/>
    <s v="RS"/>
    <m/>
    <d v="2024-02-29T00:00:00"/>
    <d v="2024-07-14T00:00:00"/>
    <n v="136"/>
    <n v="385796.85"/>
    <n v="391000"/>
    <n v="305000"/>
  </r>
  <r>
    <x v="288"/>
    <s v="FREDERICO STURMER"/>
    <s v="LDP-B-228-6"/>
    <s v="B-228"/>
    <s v="B-228-0723"/>
    <s v="ASSINADO"/>
    <x v="0"/>
    <m/>
    <n v="6"/>
    <s v="FABRICIA PEREIRA DE SOUZA"/>
    <s v="FABRICIA PEREIRA DE SOUZA"/>
    <s v="FABRICIA PEREIRA DE SOUZA"/>
    <s v="Externa"/>
    <s v="Curta"/>
    <s v="Parceria"/>
    <x v="5"/>
    <m/>
    <s v="RS"/>
    <m/>
    <d v="2024-02-29T00:00:00"/>
    <d v="2024-07-14T00:00:00"/>
    <n v="136"/>
    <n v="385796.85"/>
    <n v="391000"/>
    <n v="305000"/>
  </r>
  <r>
    <x v="289"/>
    <s v="ANDERSON DARONCO"/>
    <s v="LDP-B-326-2"/>
    <s v="B-326"/>
    <s v="B-326-0724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x v="289"/>
    <s v="ANDERSON DARONCO"/>
    <s v="LDP-B-326-5"/>
    <s v="B-326"/>
    <s v="B-326-0725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x v="290"/>
    <s v="PAULO JOSE TONELLO MENDES FERREIRA"/>
    <s v="LDP-B-215-7"/>
    <s v="B-215"/>
    <s v="B-215-0726"/>
    <s v="NAO ASSINADO"/>
    <x v="1"/>
    <d v="2024-07-27T00:00:00"/>
    <n v="4"/>
    <s v="GÉSSICA GOZZI"/>
    <s v="GÉSSICA GOZZI"/>
    <s v="JOAO BATALHA DA SILVA NETO"/>
    <s v="Interna"/>
    <s v="Longa"/>
    <s v="Online"/>
    <x v="0"/>
    <m/>
    <s v="DF"/>
    <m/>
    <d v="2024-05-22T00:00:00"/>
    <d v="2024-07-17T00:00:00"/>
    <n v="56"/>
    <n v="370568.03"/>
    <n v="383000"/>
    <n v="364000"/>
  </r>
  <r>
    <x v="291"/>
    <s v="ANDRE NERY"/>
    <s v="LDP-B-215-8"/>
    <s v="B-215"/>
    <s v="B-215-0727"/>
    <s v="ASSINADO"/>
    <x v="0"/>
    <m/>
    <n v="4"/>
    <s v="SÂNGELA CRISTINA ARRUDA LIMA MORAIS"/>
    <s v="SÂNGELA CRISTINA ARRUDA LIMA MORAIS"/>
    <s v="ARIANE PEREIRA BARBOSA"/>
    <s v="Interna"/>
    <s v="Longa"/>
    <s v="Showroom"/>
    <x v="0"/>
    <m/>
    <s v="RS"/>
    <m/>
    <d v="2024-07-17T00:00:00"/>
    <d v="2024-07-18T00:00:00"/>
    <n v="1"/>
    <n v="370568.03"/>
    <n v="383000"/>
    <n v="382900"/>
  </r>
  <r>
    <x v="292"/>
    <s v="MAGNO ADMINISTRACAO DE BENS E PARTICIPACOES LTDA"/>
    <s v="LDP-B-122-4"/>
    <s v="B-122"/>
    <s v="B-122-0728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x v="292"/>
    <s v="MAGNO ADMINISTRACAO DE BENS E PARTICIPACOES LTDA"/>
    <s v="LDP-B-122-5"/>
    <s v="B-122"/>
    <s v="B-122-0729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x v="293"/>
    <s v="EDUARDO LUIZ VANIN"/>
    <s v="LDP-B-116-1"/>
    <s v="B-116"/>
    <s v="B-116-0730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x v="293"/>
    <s v="EDUARDO LUIZ VANIN"/>
    <s v="LDP-B-116-2"/>
    <s v="B-116"/>
    <s v="B-116-0731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x v="294"/>
    <s v="ACDC ADMINISTRADORA DE BENS E DIREITOS LTDA"/>
    <s v="LDP-B-118-1"/>
    <s v="B-118"/>
    <s v="B-118-0732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x v="294"/>
    <s v="ACDC ADMINISTRADORA DE BENS E DIREITOS LTDA"/>
    <s v="LDP-B-118-4"/>
    <s v="B-118"/>
    <s v="B-118-0733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x v="295"/>
    <s v="JOSE CARLOS FRANCO"/>
    <s v="LDP-B-116-3"/>
    <s v="B-116"/>
    <s v="B-116-0734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x v="295"/>
    <s v="JOSE CARLOS FRANCO"/>
    <s v="LDP-B-116-4"/>
    <s v="B-116"/>
    <s v="B-116-0735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x v="296"/>
    <s v="MARTIN ERNY FALLER"/>
    <s v="LDP-B-118-2"/>
    <s v="B-118"/>
    <s v="B-118-0736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x v="296"/>
    <s v="MARTIN ERNY FALLER"/>
    <s v="LDP-B-114-2"/>
    <s v="B-114"/>
    <s v="B-114-0737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x v="297"/>
    <s v="AUREO RODRIGO LOCATELLI"/>
    <s v="LDP-B-215-9"/>
    <s v="B-215"/>
    <s v="B-215-0738"/>
    <s v="ASSINADO"/>
    <x v="0"/>
    <m/>
    <n v="4"/>
    <s v="GÉSSICA GOZZI"/>
    <s v="SÂNGELA CRISTINA ARRUDA LIMA MORAIS"/>
    <s v="ARIANE PEREIRA BARBOSA"/>
    <s v="Interna"/>
    <s v="Longa"/>
    <s v="Online"/>
    <x v="0"/>
    <m/>
    <s v="SC"/>
    <m/>
    <d v="2024-07-15T00:00:00"/>
    <d v="2024-07-26T00:00:00"/>
    <n v="11"/>
    <n v="370568.03"/>
    <n v="383000"/>
    <n v="385000"/>
  </r>
  <r>
    <x v="297"/>
    <s v="JAMES SIRTOLI"/>
    <s v="LDP-B-215-10"/>
    <s v="B-215"/>
    <s v="B-215-0739"/>
    <s v="NAO ASSINADO"/>
    <x v="1"/>
    <d v="2024-08-06T00:00:00"/>
    <n v="4"/>
    <s v="LEONARDO CRISTIAN ALVES DE MOURA"/>
    <s v="LEONARDO CRISTIAN ALVES DE MOURA"/>
    <s v="ARIANE PEREIRA BARBOSA"/>
    <s v="Interna"/>
    <s v="Longa"/>
    <s v="Showroom"/>
    <x v="0"/>
    <m/>
    <s v="RS"/>
    <m/>
    <d v="2024-07-26T00:00:00"/>
    <d v="2024-07-26T00:00:00"/>
    <n v="0"/>
    <n v="370568.03"/>
    <n v="383000"/>
    <n v="382998"/>
  </r>
  <r>
    <x v="298"/>
    <s v="HELDER BRITO NASCIMENTO"/>
    <s v="LDP-B-221-10"/>
    <s v="B-221"/>
    <s v="B-221-0740"/>
    <s v="ASSINADO"/>
    <x v="0"/>
    <m/>
    <n v="4"/>
    <s v="ALLAN DE SOUZA MORAES"/>
    <s v="ALLAN DE SOUZA MORAES"/>
    <s v="JOAO BATALHA DA SILVA NETO"/>
    <s v="Interna"/>
    <s v="Longa"/>
    <s v="Online"/>
    <x v="0"/>
    <m/>
    <s v="ES"/>
    <m/>
    <d v="2024-05-30T00:00:00"/>
    <d v="2024-07-27T00:00:00"/>
    <n v="58"/>
    <n v="370568.03"/>
    <n v="383000"/>
    <n v="383000"/>
  </r>
  <r>
    <x v="299"/>
    <s v="CCNN IMOVEIS LTDA"/>
    <s v="LDP-B-120-1"/>
    <s v="B-120"/>
    <s v="B-120-0741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2"/>
    <s v="B-120"/>
    <s v="B-120-0742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3"/>
    <s v="B-120"/>
    <s v="B-120-0743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4"/>
    <s v="B-120"/>
    <s v="B-120-0744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5"/>
    <s v="B-120"/>
    <s v="B-120-0745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6"/>
    <s v="B-120"/>
    <s v="B-120-0746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7"/>
    <s v="B-120"/>
    <s v="B-120-0747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8"/>
    <s v="B-120"/>
    <s v="B-120-0748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9"/>
    <s v="B-120"/>
    <s v="B-120-0749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10"/>
    <s v="B-120"/>
    <s v="B-120-0750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4"/>
    <s v="FLORIVAL ANDRIOLLI JUNIOR"/>
    <s v="LDP-B-128-2"/>
    <s v="B-128"/>
    <s v="B-128-0751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9999999998"/>
  </r>
  <r>
    <x v="294"/>
    <s v="FLORIVAL ANDRIOLLI JUNIOR"/>
    <s v="LDP-B-128-4"/>
    <s v="B-128"/>
    <s v="B-128-0752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x v="294"/>
    <s v="FLORIVAL ANDRIOLLI JUNIOR"/>
    <s v="LDP-B-128-6"/>
    <s v="B-128"/>
    <s v="B-128-0753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x v="294"/>
    <s v="GUIDO NEULS JUNIOR"/>
    <s v="LDP-B-221-9"/>
    <s v="B-221"/>
    <s v="B-221-0754"/>
    <s v="ASSINADO"/>
    <x v="0"/>
    <m/>
    <n v="4"/>
    <s v="ALLAN DE SOUZA MORAES"/>
    <s v="ALLAN DE SOUZA MORAES"/>
    <s v="JOAO BATALHA DA SILVA NETO"/>
    <s v="Interna"/>
    <s v="Longa"/>
    <s v="Online"/>
    <x v="0"/>
    <m/>
    <s v="SC"/>
    <m/>
    <d v="2024-07-08T00:00:00"/>
    <d v="2024-07-29T00:00:00"/>
    <n v="21"/>
    <n v="370568.03"/>
    <n v="383000"/>
    <n v="382600"/>
  </r>
  <r>
    <x v="300"/>
    <s v="MARA CRISTINA LAUXEN"/>
    <s v="LDP-B-122-1"/>
    <s v="B-122"/>
    <s v="B-122-0755"/>
    <s v="ASSINADO"/>
    <x v="0"/>
    <m/>
    <n v="6"/>
    <s v="RAISSA OKADA"/>
    <s v="RAISSA OKADA"/>
    <s v="ARIANE PEREIRA BARBOSA"/>
    <s v="Interna"/>
    <s v="Curta"/>
    <s v="Showroom"/>
    <x v="0"/>
    <m/>
    <s v="RS"/>
    <m/>
    <d v="2024-07-26T00:00:00"/>
    <d v="2024-07-30T00:00:00"/>
    <n v="4"/>
    <n v="385796.85"/>
    <n v="391000"/>
    <n v="310000"/>
  </r>
  <r>
    <x v="300"/>
    <s v="MARA CRISTINA LAUXEN"/>
    <s v="LDP-B-122-2"/>
    <s v="B-122"/>
    <s v="B-122-0756"/>
    <s v="ASSINADO"/>
    <x v="0"/>
    <m/>
    <n v="6"/>
    <s v="FABRICIA PEREIRA DE SOUZA"/>
    <s v="FABRICIA PEREIRA DE SOUZA"/>
    <s v="FABRICIA PEREIRA DE SOUZA"/>
    <s v="Externa"/>
    <s v="Curta"/>
    <s v="Showroom"/>
    <x v="0"/>
    <m/>
    <s v="RS"/>
    <m/>
    <d v="2024-07-26T00:00:00"/>
    <d v="2024-07-30T00:00:00"/>
    <n v="4"/>
    <n v="385796.85"/>
    <n v="391000"/>
    <n v="310000"/>
  </r>
  <r>
    <x v="301"/>
    <s v="EWERTON SILVA FAGUNDES"/>
    <s v="LDP-B-118-3"/>
    <s v="B-118"/>
    <s v="B-118-0757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x v="301"/>
    <s v="EWERTON SILVA FAGUNDES"/>
    <s v="LDP-B-118-6"/>
    <s v="B-118"/>
    <s v="B-118-0758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x v="302"/>
    <s v="CARLOS CINI"/>
    <s v="LDP-B-322-3"/>
    <s v="B-322"/>
    <s v="B-322-0759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x v="302"/>
    <s v="CARLOS CINI"/>
    <s v="LDP-B-320-3"/>
    <s v="B-320"/>
    <s v="B-320-0760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x v="303"/>
    <s v="JULIANE CRISTINE RIDDER"/>
    <s v="LDP-B-119-4"/>
    <s v="B-119"/>
    <s v="B-119-0761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x v="303"/>
    <s v="JULIANE CRISTINE RIDDER"/>
    <s v="LDP-B-119-5"/>
    <s v="B-119"/>
    <s v="B-119-0762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x v="303"/>
    <s v="ISMAEL ROGGIA SILVA"/>
    <s v="LDP-B-328-2"/>
    <s v="B-328"/>
    <s v="B-328-0763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2"/>
  </r>
  <r>
    <x v="303"/>
    <s v="ISMAEL ROGGIA SILVA"/>
    <s v="LDP-B-328-6"/>
    <s v="B-328"/>
    <s v="B-328-0764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3"/>
  </r>
  <r>
    <x v="304"/>
    <s v="FERNANDO MARIOTTO"/>
    <s v="LDP-B-122-4"/>
    <s v="B-122"/>
    <s v="B-122-0765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x v="304"/>
    <s v="FERNANDO MARIOTTO"/>
    <s v="LDP-B-122-5"/>
    <s v="B-122"/>
    <s v="B-122-0766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x v="305"/>
    <s v="JOAO ANTONIO DORNELLES D ARRIAGA"/>
    <s v="LDP-B-221-7"/>
    <s v="B-221"/>
    <s v="B-221-0767"/>
    <s v="NAO ASSINADO"/>
    <x v="1"/>
    <d v="2024-08-15T00:00:00"/>
    <n v="4"/>
    <s v="CLEUZIANE SANTOS DE CARVALHO"/>
    <s v="CLEUZIANE SANTOS DE CARVALHO"/>
    <s v="ARIANE PEREIRA BARBOSA"/>
    <s v="Interna"/>
    <s v="Longa"/>
    <s v="Showroom"/>
    <x v="0"/>
    <m/>
    <s v="RS"/>
    <m/>
    <d v="2024-08-04T00:00:00"/>
    <d v="2024-08-11T00:00:00"/>
    <n v="7"/>
    <n v="373124.95"/>
    <n v="393000"/>
    <n v="392998"/>
  </r>
  <r>
    <x v="306"/>
    <s v="ANDERSON SASSI HOLDING LTDA"/>
    <s v="LDP-B-110-7"/>
    <s v="B-110"/>
    <s v="B-110-0768"/>
    <s v="ASSINADO"/>
    <x v="0"/>
    <m/>
    <n v="4"/>
    <s v="VIVIANE DA SILVA BASTOS"/>
    <s v="VIVIANE DA SILVA BASTOS"/>
    <s v="JOAO BATALHA DA SILVA NETO"/>
    <s v="Interna"/>
    <s v="Longa"/>
    <s v="Online"/>
    <x v="0"/>
    <m/>
    <s v="SC"/>
    <m/>
    <d v="2024-07-01T00:00:00"/>
    <d v="2024-08-18T00:00:00"/>
    <n v="48"/>
    <n v="373124.95"/>
    <n v="398000"/>
    <n v="386000"/>
  </r>
  <r>
    <x v="307"/>
    <s v="DANIEL DINIZ MANUCCI"/>
    <s v="LDP-B-110-8"/>
    <s v="B-110"/>
    <s v="B-110-0769"/>
    <s v="NAO ASSINADO"/>
    <x v="1"/>
    <d v="2024-08-31T00:00:00"/>
    <n v="4"/>
    <s v="VITOR CANEDO"/>
    <s v="FABRICIA PEREIRA DE SOUZA"/>
    <s v="FABRICIA PEREIRA DE SOUZA"/>
    <s v="Interna"/>
    <s v="Longa"/>
    <s v="Online"/>
    <x v="0"/>
    <m/>
    <s v="MG"/>
    <m/>
    <d v="2024-07-28T00:00:00"/>
    <d v="2024-08-19T00:00:00"/>
    <n v="22"/>
    <n v="373124.95"/>
    <n v="398000"/>
    <n v="392000"/>
  </r>
  <r>
    <x v="308"/>
    <s v="JULIO CESAR SANTOS CABRERA"/>
    <s v="LDP-B-208-1"/>
    <s v="B-208"/>
    <s v="B-208-0770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2"/>
    <s v="B-208"/>
    <s v="B-208-0771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3"/>
    <s v="B-208"/>
    <s v="B-208-0772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4"/>
    <s v="B-208"/>
    <s v="B-208-0773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9"/>
    <s v="EDSON FELIPE MUCHOLOWSKI"/>
    <s v="LDP-B-124-1"/>
    <s v="B-124"/>
    <s v="B-124-077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8"/>
  </r>
  <r>
    <x v="309"/>
    <s v="EDSON FELIPE MUCHOLOWSKI"/>
    <s v="LDP-B-124-4"/>
    <s v="B-124"/>
    <s v="B-124-077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78999999998"/>
  </r>
  <r>
    <x v="309"/>
    <s v="GABRIEL AMARAL REGIO"/>
    <s v="LDP-B-124-8"/>
    <s v="B-124"/>
    <s v="B-124-0776"/>
    <s v="ASSINADO"/>
    <x v="0"/>
    <m/>
    <n v="4"/>
    <s v="VIVIANE DA SILVA BASTOS"/>
    <s v="VIVIANE DA SILVA BASTOS"/>
    <s v="JOAO BATALHA DA SILVA NETO"/>
    <s v="Interna"/>
    <s v="Longa"/>
    <s v="Online"/>
    <x v="0"/>
    <m/>
    <s v="BA"/>
    <m/>
    <d v="2024-08-10T00:00:00"/>
    <d v="2024-08-22T00:00:00"/>
    <n v="12"/>
    <n v="373124.95"/>
    <n v="398000"/>
    <n v="398000"/>
  </r>
  <r>
    <x v="309"/>
    <s v="WL INCORP INCORPORACOES IMOBILIARIAS LTDA"/>
    <s v="LDP-B-124-2"/>
    <s v="B-124"/>
    <s v="B-124-0777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x v="309"/>
    <s v="WL INCORP INCORPORACOES IMOBILIARIAS LTDA"/>
    <s v="LDP-B-124-6"/>
    <s v="B-124"/>
    <s v="B-124-0778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x v="310"/>
    <s v="CONRADO METIDIERI BATISTA"/>
    <s v="LDP-B-128-9"/>
    <s v="B-128"/>
    <s v="B-128-0838"/>
    <s v="ASSINADO"/>
    <x v="0"/>
    <m/>
    <n v="4"/>
    <s v="VIVIANE DA SILVA BASTOS"/>
    <s v="VIVIANE DA SILVA BASTOS"/>
    <s v="JOAO BATALHA DA SILVA NETO"/>
    <s v="Interna"/>
    <s v="Curta"/>
    <s v="Online"/>
    <x v="8"/>
    <m/>
    <s v="SP"/>
    <m/>
    <d v="2024-09-03T00:00:00"/>
    <d v="2024-09-15T00:00:00"/>
    <n v="12"/>
    <n v="375512.95"/>
    <n v="413000"/>
    <n v="316850"/>
  </r>
  <r>
    <x v="311"/>
    <s v="A TRINCA MIDIA E PARTICIPACOES LTDA"/>
    <s v="LDP-B-108-1"/>
    <s v="B-108"/>
    <s v="B-108-0780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2"/>
    <s v="B-108"/>
    <s v="B-108-0781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3"/>
    <s v="B-108"/>
    <s v="B-108-0782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4"/>
    <s v="B-108"/>
    <s v="B-108-0783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2"/>
    <s v="EDSON DIEGO DA SILVA"/>
    <s v="LDP-C-206-3"/>
    <s v="C-206"/>
    <s v="C-206-0892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x v="313"/>
    <s v="VIVENDI CONSTRUCOES E INCORPORACOES LTDA"/>
    <s v="LDP-B-310-1"/>
    <s v="B-310"/>
    <s v="B-310-078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2"/>
    <s v="B-310"/>
    <s v="B-310-078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3"/>
    <s v="B-310"/>
    <s v="B-310-078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4"/>
    <s v="B-310"/>
    <s v="B-310-078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5"/>
    <s v="B-310"/>
    <s v="B-310-078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6"/>
    <s v="B-310"/>
    <s v="B-310-079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7"/>
    <s v="B-310"/>
    <s v="B-310-079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8"/>
    <s v="B-310"/>
    <s v="B-310-079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9"/>
    <s v="B-310"/>
    <s v="B-310-079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10"/>
    <s v="B-310"/>
    <s v="B-310-079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1"/>
    <s v="B-312"/>
    <s v="B-312-079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2"/>
    <s v="B-312"/>
    <s v="B-312-079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3"/>
    <s v="B-312"/>
    <s v="B-312-079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4"/>
    <s v="B-312"/>
    <s v="B-312-079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5"/>
    <s v="B-312"/>
    <s v="B-312-079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6"/>
    <s v="B-312"/>
    <s v="B-312-080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7"/>
    <s v="B-312"/>
    <s v="B-312-080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8"/>
    <s v="B-312"/>
    <s v="B-312-080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9"/>
    <s v="B-312"/>
    <s v="B-312-080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10"/>
    <s v="B-312"/>
    <s v="B-312-080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1"/>
    <s v="CLOVIS ALBERTO LIMBERGER HAHN"/>
    <s v="LDP-B-221-7"/>
    <s v="B-221"/>
    <s v="B-221-0805"/>
    <s v="NAO ASSINADO"/>
    <x v="1"/>
    <d v="2024-09-10T00:00:00"/>
    <n v="4"/>
    <s v="MARCOS MAGALHAES"/>
    <s v="MARCOS MAGALHAES"/>
    <s v="ARIANE PEREIRA BARBOSA"/>
    <s v="Interna"/>
    <s v="Longa"/>
    <s v="Showroom"/>
    <x v="0"/>
    <m/>
    <s v="RS"/>
    <m/>
    <d v="2024-08-24T00:00:00"/>
    <d v="2024-09-01T00:00:00"/>
    <n v="8"/>
    <n v="373124.95"/>
    <n v="393000"/>
    <n v="393002"/>
  </r>
  <r>
    <x v="312"/>
    <s v="EDSON DIEGO DA SILVA"/>
    <s v="LDP-C-206-6"/>
    <s v="C-206"/>
    <s v="C-206-0893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x v="314"/>
    <s v="GUILHERME MARCIANO PRESTES DA SILVA"/>
    <s v="LDP-C-202-1"/>
    <s v="C-202"/>
    <s v="C-202-0884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x v="315"/>
    <s v="CARMEN LIGIA B DE ANDRADE F NERY"/>
    <s v="LDP-B-128-7"/>
    <s v="B-128"/>
    <s v="B-128-0808"/>
    <s v="ASSINADO"/>
    <x v="0"/>
    <m/>
    <n v="4"/>
    <s v="ALLAN DE SOUZA MORAES"/>
    <s v="ALLAN DE SOUZA MORAES"/>
    <s v="JOAO BATALHA DA SILVA NETO"/>
    <s v="Interna"/>
    <s v="A vista"/>
    <s v="Online"/>
    <x v="0"/>
    <m/>
    <s v="SP"/>
    <m/>
    <d v="2024-08-23T00:00:00"/>
    <d v="2024-08-28T00:00:00"/>
    <n v="5"/>
    <n v="373124.95"/>
    <n v="398000"/>
    <n v="321400"/>
  </r>
  <r>
    <x v="315"/>
    <s v="FABRICIO FELIPPE DA SILVA COSTA"/>
    <s v="LDP-B-117-3"/>
    <s v="B-117"/>
    <s v="B-117-0809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x v="315"/>
    <s v="FABRICIO FELIPPE DA SILVA COSTA"/>
    <s v="LDP-B-117-4"/>
    <s v="B-117"/>
    <s v="B-117-081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x v="311"/>
    <s v="TORRESANI PARTICIPACOES LTDA"/>
    <s v="LDP-B-202-5"/>
    <s v="B-202"/>
    <s v="B-202-0811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x v="311"/>
    <s v="TORRESANI PARTICIPACOES LTDA"/>
    <s v="LDP-B-202-6"/>
    <s v="B-202"/>
    <s v="B-202-0812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x v="314"/>
    <s v="GUILHERME MARCIANO PRESTES DA SILVA"/>
    <s v="LDP-C-202-4"/>
    <s v="C-202"/>
    <s v="C-202-0885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x v="316"/>
    <s v="HORTIFRUTI BRASILANDIA LTDA"/>
    <s v="LDP-B-225-8"/>
    <s v="B-225"/>
    <s v="B-225-0829"/>
    <s v="ASSINADO"/>
    <x v="0"/>
    <m/>
    <n v="4"/>
    <s v="MARIELE KACZANOSKI"/>
    <s v="MARIELE KACZANOSKI"/>
    <s v="JOAO BATALHA DA SILVA NETO"/>
    <s v="Interna"/>
    <s v="Longa"/>
    <s v="Online"/>
    <x v="8"/>
    <m/>
    <s v="SP"/>
    <m/>
    <d v="2024-09-05T00:00:00"/>
    <d v="2024-09-09T00:00:00"/>
    <n v="4"/>
    <n v="375512.95"/>
    <n v="398000"/>
    <n v="398000"/>
  </r>
  <r>
    <x v="317"/>
    <s v="STUDIO 219 LAJE DE PEDRA ADMINISTRACAO DE IMOVEIS LTDA"/>
    <s v="LDP-B-202-7"/>
    <s v="B-202"/>
    <s v="B-202-0815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x v="317"/>
    <s v="STUDIO 219 LAJE DE PEDRA ADMINISTRACAO DE IMOVEIS LTDA"/>
    <s v="LDP-B-202-9"/>
    <s v="B-202"/>
    <s v="B-202-0816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x v="317"/>
    <s v="STUDIO 219 LAJE DE PEDRA ADMINISTRACAO DE IMOVEIS LTDA"/>
    <s v="LDP-B-202-10"/>
    <s v="B-202"/>
    <s v="B-202-0817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8"/>
    <n v="264000"/>
    <n v="245933.34"/>
  </r>
  <r>
    <x v="318"/>
    <s v="73 PR ENGENHARIA LTDA"/>
    <s v="LDP-B-128-10"/>
    <s v="B-128"/>
    <s v="B-128-0818"/>
    <s v="NAO ASSINADO"/>
    <x v="1"/>
    <d v="2024-10-02T00:00:00"/>
    <n v="4"/>
    <s v="TAMIRES SOARES DE CARVALHO"/>
    <s v="TAMIRES SOARES DE CARVALHO"/>
    <s v="ARIANE PEREIRA BARBOSA"/>
    <s v="Interna"/>
    <s v="Longa"/>
    <s v="Showroom"/>
    <x v="0"/>
    <m/>
    <s v="SC"/>
    <m/>
    <d v="2024-09-01T00:00:00"/>
    <d v="2024-09-02T00:00:00"/>
    <n v="1"/>
    <n v="375512.95"/>
    <n v="413000"/>
    <n v="390000"/>
  </r>
  <r>
    <x v="317"/>
    <s v="IGOR VIEIRA XAVIER"/>
    <s v="LDP-B-214-7"/>
    <s v="B-214"/>
    <s v="B-214-0819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x v="317"/>
    <s v="IGOR VIEIRA XAVIER"/>
    <s v="LDP-B-214-8"/>
    <s v="B-214"/>
    <s v="B-214-0820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x v="317"/>
    <s v="IGOR VIEIRA XAVIER"/>
    <s v="LDP-B-214-9"/>
    <s v="B-214"/>
    <s v="B-214-0821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8"/>
    <n v="264000"/>
    <n v="266000"/>
  </r>
  <r>
    <x v="317"/>
    <s v="ROSSEANE REBUIT DOS SANTOS"/>
    <s v="LDP-B-225-7"/>
    <s v="B-225"/>
    <s v="B-225-0822"/>
    <s v="ASSINADO"/>
    <x v="0"/>
    <m/>
    <n v="4"/>
    <s v="ALLAN DE SOUZA MORAES"/>
    <s v="ALLAN DE SOUZA MORAES"/>
    <s v="JOAO BATALHA DA SILVA NETO"/>
    <s v="Interna"/>
    <s v="Longa"/>
    <s v="Online"/>
    <x v="0"/>
    <m/>
    <s v="MG"/>
    <m/>
    <d v="2024-08-15T00:00:00"/>
    <d v="2024-08-31T00:00:00"/>
    <n v="16"/>
    <n v="373124.95"/>
    <n v="393000"/>
    <n v="393000"/>
  </r>
  <r>
    <x v="317"/>
    <s v="ECD CONTABLIDADE LTDA"/>
    <s v="LDP-B-117-5"/>
    <s v="B-117"/>
    <s v="B-117-0823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x v="317"/>
    <s v="ECD CONTABLIDADE LTDA"/>
    <s v="LDP-B-117-6"/>
    <s v="B-117"/>
    <s v="B-117-0824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x v="317"/>
    <s v="FOCOLARE EMPREENDIMENTOS E PARTICIPACOES LTDA"/>
    <s v="LDP-B-202-2"/>
    <s v="B-202"/>
    <s v="B-202-0825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x v="317"/>
    <s v="FOCOLARE EMPREENDIMENTOS E PARTICIPACOES LTDA"/>
    <s v="LDP-B-202-3"/>
    <s v="B-202"/>
    <s v="B-202-0826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x v="317"/>
    <s v="CMLPAR LTDA"/>
    <s v="LDP-B-122-3"/>
    <s v="B-122"/>
    <s v="B-202-0827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x v="317"/>
    <s v="CMLPAR LTDA"/>
    <s v="LDP-B-122-6"/>
    <s v="B-122"/>
    <s v="B-202-0828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x v="319"/>
    <s v="JACKSON LOPES QUATORZE VOLTAS"/>
    <s v="LDP-C-210-3"/>
    <s v="C-210"/>
    <s v="C-210-0895"/>
    <s v="ASSINADO"/>
    <x v="0"/>
    <m/>
    <n v="13"/>
    <s v="VITOR CANEDO"/>
    <s v="VITOR CANEDO"/>
    <s v="JOAO BATALHA DA SILVA NETO"/>
    <s v="Interna"/>
    <s v="Curta"/>
    <s v="Online"/>
    <x v="9"/>
    <m/>
    <s v="SP"/>
    <m/>
    <d v="2024-11-22T00:00:00"/>
    <d v="2024-11-30T00:00:00"/>
    <n v="8"/>
    <n v="1032301.29"/>
    <n v="1087013.26"/>
    <n v="900000.12"/>
  </r>
  <r>
    <x v="320"/>
    <s v="JAYME PAMPONET  DE CERQUEIRA NETO"/>
    <s v="LDP-B-119-2"/>
    <s v="B-119"/>
    <s v="B-119-0806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x v="320"/>
    <s v="JAYME PAMPONET  DE CERQUEIRA NETO"/>
    <s v="LDP-B-119-6"/>
    <s v="B-119"/>
    <s v="B-119-0807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x v="309"/>
    <s v="LEANDRO HENRIQUE MARTINELLI"/>
    <s v="LDP-B-221-8"/>
    <s v="B-221"/>
    <s v="B-221-0779"/>
    <s v="ASSINADO"/>
    <x v="0"/>
    <m/>
    <n v="4"/>
    <s v="ALLAN DE SOUZA MORAES"/>
    <s v="ALLAN DE SOUZA MORAES"/>
    <s v="JOAO BATALHA DA SILVA NETO"/>
    <s v="Interna"/>
    <s v="Longa"/>
    <s v="Online"/>
    <x v="8"/>
    <m/>
    <s v="SP"/>
    <m/>
    <d v="2024-08-19T00:00:00"/>
    <d v="2024-08-22T00:00:00"/>
    <n v="3"/>
    <n v="373124.95"/>
    <n v="393000"/>
    <n v="373000"/>
  </r>
  <r>
    <x v="321"/>
    <s v="CLARA TIEMI HAYASHI"/>
    <s v="LDP-B-128-8"/>
    <s v="B-128"/>
    <s v="B-128-0833"/>
    <s v="ASSINADO"/>
    <x v="0"/>
    <m/>
    <n v="4"/>
    <s v="EDUARDO TADEU MALUTA FILHO"/>
    <s v="EDUARDO TADEU MALUTA FILHO"/>
    <s v="JOAO BATALHA DA SILVA NETO"/>
    <s v="Interna"/>
    <s v="Longa"/>
    <s v="Relacionamento Corretor"/>
    <x v="6"/>
    <m/>
    <s v="PR"/>
    <m/>
    <d v="2024-09-03T00:00:00"/>
    <d v="2024-09-13T00:00:00"/>
    <n v="10"/>
    <n v="375512.95"/>
    <n v="413000"/>
    <n v="423640"/>
  </r>
  <r>
    <x v="322"/>
    <s v="SINARA PEROSA"/>
    <s v="LDP-B-324-1"/>
    <s v="B-324"/>
    <s v="B-324-0834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8"/>
    <n v="399000"/>
    <n v="350000"/>
  </r>
  <r>
    <x v="322"/>
    <s v="SINARA PEROSA"/>
    <s v="LDP-B-324-3"/>
    <s v="B-324"/>
    <s v="B-324-0835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9"/>
    <n v="399000"/>
    <n v="350000"/>
  </r>
  <r>
    <x v="322"/>
    <s v="GUILHERME RONCHI"/>
    <s v="LDP-B-202-5"/>
    <s v="B-202"/>
    <s v="B-202-083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8"/>
    <n v="399000"/>
    <n v="401000"/>
  </r>
  <r>
    <x v="322"/>
    <s v="GUILHERME RONCHI"/>
    <s v="LDP-B-202-6"/>
    <s v="B-202"/>
    <s v="B-202-083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9"/>
    <n v="399000"/>
    <n v="401000"/>
  </r>
  <r>
    <x v="323"/>
    <s v="LUCAS MACHADO DE ARAUJO BEZERRA"/>
    <s v="LDP-C-218-2"/>
    <s v="C-218"/>
    <s v="C-218-0887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x v="324"/>
    <s v="L. G. EMPREENDIMENTOS LTDA"/>
    <s v="LDP-B-117-7"/>
    <s v="B-117"/>
    <s v="B-117-0839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x v="324"/>
    <s v="L. G. EMPREENDIMENTOS LTDA"/>
    <s v="LDP-B-117-8"/>
    <s v="B-117"/>
    <s v="B-117-0840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x v="324"/>
    <s v="L. G. EMPREENDIMENTOS LTDA"/>
    <s v="LDP-B-117-9"/>
    <s v="B-117"/>
    <s v="B-117-0841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4"/>
  </r>
  <r>
    <x v="325"/>
    <s v="AMANDA LOUCATELLI REIS"/>
    <s v="LDP-B-132-2"/>
    <s v="B-132"/>
    <s v="B-132-0842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8"/>
    <n v="406500"/>
    <n v="382500"/>
  </r>
  <r>
    <x v="325"/>
    <s v="AMANDA LOUCATELLI REIS"/>
    <s v="LDP-B-132-3"/>
    <s v="B-132"/>
    <s v="B-132-0843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9"/>
    <n v="406500"/>
    <n v="382500"/>
  </r>
  <r>
    <x v="325"/>
    <s v="FABIO JOAO SEGABINAZZI"/>
    <s v="LDP-B-118-7"/>
    <s v="B-118"/>
    <s v="B-118-0844"/>
    <s v="ASSINADO"/>
    <x v="0"/>
    <m/>
    <n v="4"/>
    <s v="FABRICIA PEREIRA DE SOUZA"/>
    <s v="FABRICIA PEREIRA DE SOUZA"/>
    <s v="FABRICIA PEREIRA DE SOUZA"/>
    <s v="Externa"/>
    <s v="Longa"/>
    <s v="Parceria"/>
    <x v="0"/>
    <m/>
    <s v="MT"/>
    <m/>
    <d v="2024-09-18T00:00:00"/>
    <d v="2024-09-18T00:00:00"/>
    <n v="0"/>
    <n v="375512.95"/>
    <n v="413000"/>
    <n v="396550"/>
  </r>
  <r>
    <x v="326"/>
    <s v="MARCELO BARDEN"/>
    <s v="LDP-B-118-10"/>
    <s v="B-118"/>
    <s v="B-118-0845"/>
    <s v="ASSINADO"/>
    <x v="0"/>
    <m/>
    <n v="4"/>
    <s v="ANA CLAUDIA ALTEMARI LUIZ"/>
    <s v="ANA CLAUDIA ALTEMARI LUIZ"/>
    <s v="ARIANE PEREIRA BARBOSA"/>
    <s v="Interna"/>
    <s v="Longa"/>
    <s v="Showroom"/>
    <x v="0"/>
    <m/>
    <s v="RS"/>
    <m/>
    <d v="2024-07-23T00:00:00"/>
    <d v="2024-09-19T00:00:00"/>
    <n v="58"/>
    <n v="375512.95"/>
    <n v="413000"/>
    <n v="413000"/>
  </r>
  <r>
    <x v="326"/>
    <s v="CRISTIANE MARTINS DA COSTA ORTIZ"/>
    <s v="LDP-B-111-7"/>
    <s v="B-111"/>
    <s v="B-111-0846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6"/>
  </r>
  <r>
    <x v="326"/>
    <s v="CRISTIANE MARTINS DA COSTA ORTIZ"/>
    <s v="LDP-B-111-9"/>
    <s v="B-111"/>
    <s v="B-111-0847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x v="326"/>
    <s v="CRISTIANE MARTINS DA COSTA ORTIZ"/>
    <s v="LDP-B-111-10"/>
    <s v="B-111"/>
    <s v="B-111-0848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x v="263"/>
    <s v="FORTE MARMORES E GRANITOS LTDA"/>
    <s v="LDP-A-206-1"/>
    <s v="A-206"/>
    <s v="A-206-0849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VAGA-015"/>
    <s v="VAGA-015"/>
    <s v="VAGA-015-0850"/>
    <s v="ASSINADO"/>
    <x v="0"/>
    <m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FORTE MARMORES E GRANITOS LTDA"/>
    <s v="LDP-A-206-2"/>
    <s v="A-206"/>
    <s v="A-206-0851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A-206-3"/>
    <s v="A-206"/>
    <s v="A-206-0852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A-206-4"/>
    <s v="A-206"/>
    <s v="A-206-0853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327"/>
    <s v="SAULO ADJUTO LEPESQUEUR"/>
    <s v="LDP-B-126-1"/>
    <s v="B-126"/>
    <s v="B-126-0854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5.01"/>
    <n v="399000"/>
    <n v="297170.31"/>
  </r>
  <r>
    <x v="327"/>
    <s v="SAULO ADJUTO LEPESQUEUR"/>
    <s v="LDP-B-126-2"/>
    <s v="B-126"/>
    <s v="B-126-0855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3"/>
    <s v="B-126"/>
    <s v="B-126-0856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4"/>
    <s v="B-126"/>
    <s v="B-126-0857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5"/>
    <s v="B-126"/>
    <s v="B-126-08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CASSIO FERNANDO LAGO REIS"/>
    <s v="LDP-B-114-7"/>
    <s v="B-114"/>
    <s v="B-114-0859"/>
    <s v="ASSINADO"/>
    <x v="0"/>
    <m/>
    <n v="4"/>
    <s v="VIVIANE DA SILVA BASTOS"/>
    <s v="VIVIANE DA SILVA BASTOS"/>
    <s v="JOAO BATALHA DA SILVA NETO"/>
    <s v="Interna"/>
    <s v="Longa"/>
    <s v="Online"/>
    <x v="7"/>
    <m/>
    <s v="SC"/>
    <m/>
    <d v="2023-08-17T00:00:00"/>
    <d v="2024-09-23T00:00:00"/>
    <n v="403"/>
    <n v="375512.95"/>
    <n v="413000"/>
    <n v="410600"/>
  </r>
  <r>
    <x v="328"/>
    <s v="EDUARDO GONCALVES REIS"/>
    <s v="LDP-C-201-7"/>
    <s v="C-201"/>
    <s v="C-201-0860"/>
    <s v="ASSINADO"/>
    <x v="0"/>
    <m/>
    <n v="4"/>
    <s v="VIVIANE DA SILVA BASTOS"/>
    <s v="VIVIANE DA SILVA BASTOS"/>
    <s v="JOAO BATALHA DA SILVA NETO"/>
    <s v="Interna"/>
    <s v="Longa"/>
    <s v="Online"/>
    <x v="0"/>
    <m/>
    <s v="SP"/>
    <m/>
    <d v="2023-08-30T00:00:00"/>
    <d v="2024-09-24T00:00:00"/>
    <n v="391"/>
    <n v="548700"/>
    <n v="548700"/>
    <n v="520000"/>
  </r>
  <r>
    <x v="329"/>
    <s v="AILTON ANTONIO OLIVEIRA DE MORAES"/>
    <s v="LDP-C-203-7"/>
    <s v="C-203"/>
    <s v="C-203-0861"/>
    <s v="ASSINADO"/>
    <x v="0"/>
    <m/>
    <n v="4"/>
    <s v="ANA CLAUDIA ALTEMARI LUIZ"/>
    <s v="ANA CLAUDIA ALTEMARI LUIZ"/>
    <s v="ARIANE PEREIRA BARBOSA"/>
    <s v="Interna"/>
    <s v="Longa"/>
    <s v="Showroom"/>
    <x v="0"/>
    <m/>
    <s v="CE"/>
    <m/>
    <d v="2024-04-11T00:00:00"/>
    <d v="2024-09-25T00:00:00"/>
    <n v="167"/>
    <n v="548700"/>
    <n v="548700"/>
    <n v="548700"/>
  </r>
  <r>
    <x v="329"/>
    <s v="L. G. EMPREENDIMENTOS LTDA"/>
    <s v="LDP-C-207-1"/>
    <s v="C-207"/>
    <s v="C-207-0862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x v="329"/>
    <s v="L. G. EMPREENDIMENTOS LTDA"/>
    <s v="LDP-C-207-4"/>
    <s v="C-207"/>
    <s v="C-207-0863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x v="330"/>
    <s v="VITORIO PARTICIPACOES LTDA"/>
    <s v="LDP-C-201-2"/>
    <s v="C-201"/>
    <s v="C-201-086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x v="330"/>
    <s v="VITORIO PARTICIPACOES LTDA"/>
    <s v="LDP-C-201-5"/>
    <s v="C-201"/>
    <s v="C-201-086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x v="331"/>
    <s v="NVM ADMINISTRACAO E PARTICIPACAO LTDA"/>
    <s v="LDP-C-201-3"/>
    <s v="C-201"/>
    <s v="C-201-0866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1"/>
  </r>
  <r>
    <x v="331"/>
    <s v="NVM ADMINISTRACAO E PARTICIPACAO LTDA"/>
    <s v="LDP-C-201-6"/>
    <s v="C-201"/>
    <s v="C-201-0867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2"/>
  </r>
  <r>
    <x v="331"/>
    <s v="MARISA CARVALHO RAPHAEL"/>
    <s v="LDP-C-201-1"/>
    <s v="C-201"/>
    <s v="C-201-0868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x v="331"/>
    <s v="MARISA CARVALHO RAPHAEL"/>
    <s v="LDP-C-201-4"/>
    <s v="C-201"/>
    <s v="C-201-0869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x v="332"/>
    <s v="NELSON NERY JUNIOR"/>
    <s v="LDP-C-207-7"/>
    <s v="C-207"/>
    <s v="C-207-0870"/>
    <s v="ASSINADO"/>
    <x v="0"/>
    <m/>
    <n v="4"/>
    <s v="ALLAN DE SOUZA MORAES"/>
    <s v="ALLAN DE SOUZA MORAES"/>
    <s v="JOAO BATALHA DA SILVA NETO"/>
    <s v="Interna"/>
    <s v="Curta"/>
    <s v="Online"/>
    <x v="7"/>
    <m/>
    <s v="SP"/>
    <m/>
    <d v="2024-09-26T00:00:00"/>
    <d v="2024-09-29T00:00:00"/>
    <n v="3"/>
    <n v="548700"/>
    <n v="548700"/>
    <n v="446085"/>
  </r>
  <r>
    <x v="333"/>
    <s v="DTRF PARTICIPACOES LTDA"/>
    <s v="LPD-C-205-2"/>
    <s v="C-205"/>
    <s v="C-205-0871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x v="333"/>
    <s v="DTRF PARTICIPACOES LTDA"/>
    <s v="LPD-C-205-5"/>
    <s v="C-205"/>
    <s v="C-205-0872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x v="334"/>
    <s v="DOCTOR'S ACADEMY CURSOS E TREINAMENTOS LTDA"/>
    <s v="LDP-B-302-1"/>
    <s v="B-302"/>
    <s v="B-302-0873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2"/>
    <s v="B-302"/>
    <s v="B-302-0874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3"/>
    <s v="B-302"/>
    <s v="B-302-0875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4"/>
    <s v="B-302"/>
    <s v="B-302-0876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5"/>
    <s v="B-302"/>
    <s v="B-302-0877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6"/>
    <s v="B-302"/>
    <s v="B-302-0878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7"/>
    <s v="B-302"/>
    <s v="B-302-0879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8"/>
    <s v="B-302"/>
    <s v="B-302-0880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4"/>
    <s v="DOCTOR'S ACADEMY CURSOS E TREINAMENTOS LTDA"/>
    <s v="LDP-B-302-9"/>
    <s v="B-302"/>
    <s v="B-302-0881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4"/>
    <s v="DOCTOR'S ACADEMY CURSOS E TREINAMENTOS LTDA"/>
    <s v="LDP-B-302-10"/>
    <s v="B-302"/>
    <s v="B-302-0882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5"/>
    <s v="EDUARDO LUIS DE LIMA"/>
    <s v="LDP-C-203-9"/>
    <s v="C-203"/>
    <s v="C-203-0883"/>
    <s v="ASSINADO"/>
    <x v="0"/>
    <m/>
    <n v="4"/>
    <s v="CLEUZIANE SANTOS DE CARVALHO"/>
    <s v="CLEUZIANE SANTOS DE CARVALHO"/>
    <s v="ARIANE PEREIRA BARBOSA"/>
    <s v="Interna"/>
    <s v="Longa"/>
    <s v="Showroom"/>
    <x v="0"/>
    <m/>
    <s v="RS"/>
    <m/>
    <d v="2024-10-18T00:00:00"/>
    <d v="2024-10-29T00:00:00"/>
    <n v="11"/>
    <n v="575913"/>
    <n v="606436.39"/>
    <n v="606000"/>
  </r>
  <r>
    <x v="336"/>
    <s v="MERAKI PARTICIPACAO E ADMINISTRACAO DE BENS LTDA"/>
    <s v="LDP-B-316-3"/>
    <s v="B-316"/>
    <s v="B-316-0813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x v="336"/>
    <s v="MERAKI PARTICIPACAO E ADMINISTRACAO DE BENS LTDA"/>
    <s v="LDP-B-316-6"/>
    <s v="B-316"/>
    <s v="B-316-0814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x v="337"/>
    <s v="MERAKI PARTICIPACAO E ADMINISTRACAO DE BENS LTDA"/>
    <s v="LDP-B-216-7"/>
    <s v="B-216"/>
    <s v="B-216-0830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8"/>
  </r>
  <r>
    <x v="337"/>
    <s v="MERAKI PARTICIPACAO E ADMINISTRACAO DE BENS LTDA"/>
    <s v="LDP-B-216-8"/>
    <s v="B-216"/>
    <s v="B-216-0831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x v="337"/>
    <s v="MERAKI PARTICIPACAO E ADMINISTRACAO DE BENS LTDA"/>
    <s v="LDP-B-216-9"/>
    <s v="B-216"/>
    <s v="B-216-0832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x v="338"/>
    <s v="MOISES MEIRELES SALLES BRUNO"/>
    <s v="LDP-C-210-1"/>
    <s v="C-210"/>
    <s v="C-210-0890"/>
    <s v="ASSINADO"/>
    <x v="0"/>
    <m/>
    <n v="13"/>
    <s v="MARCOS MAGALHAES"/>
    <s v="FABRICIA PEREIRA DE SOUZA"/>
    <s v="FABRICIA PEREIRA DE SOUZA"/>
    <s v="Externa"/>
    <s v="Curta"/>
    <s v="Parceria"/>
    <x v="10"/>
    <m/>
    <s v="MG"/>
    <m/>
    <d v="2024-10-25T00:00:00"/>
    <d v="2024-11-12T00:00:00"/>
    <n v="18"/>
    <n v="1032301.29"/>
    <n v="1087013.26"/>
    <n v="837099.92"/>
  </r>
  <r>
    <x v="339"/>
    <s v="PAULO EDUARDO SILVA DUARTE"/>
    <s v="LDP-C-210-4"/>
    <s v="C-210"/>
    <s v="C-210-0894"/>
    <s v="ASSINADO"/>
    <x v="0"/>
    <m/>
    <n v="13"/>
    <s v="EDUARDO TADEU MALUTA FILHO"/>
    <s v="EDUARDO TADEU MALUTA FILHO"/>
    <s v="JOAO BATALHA DA SILVA NETO"/>
    <s v="Interna"/>
    <s v="Longa"/>
    <s v="Online"/>
    <x v="9"/>
    <m/>
    <s v="SC"/>
    <m/>
    <d v="2024-11-10T00:00:00"/>
    <d v="2024-11-22T00:00:00"/>
    <n v="12"/>
    <n v="1032301.29"/>
    <n v="1087013.26"/>
    <n v="1032000"/>
  </r>
  <r>
    <x v="340"/>
    <s v="ROGERIO HERCULES FERREIRA"/>
    <s v="LDP-C-202-9"/>
    <s v="C-202"/>
    <s v="C-202-0891"/>
    <s v="ASSINADO"/>
    <x v="2"/>
    <d v="2024-12-12T00:00:00"/>
    <n v="4"/>
    <s v="VIVIANE DA SILVA BASTOS"/>
    <s v="VIVIANE DA SILVA BASTOS"/>
    <s v="JOAO BATALHA DA SILVA NETO"/>
    <s v="Interna"/>
    <s v="Longa"/>
    <s v="Online"/>
    <x v="0"/>
    <m/>
    <s v="TO"/>
    <m/>
    <d v="2024-05-11T00:00:00"/>
    <d v="2024-11-17T00:00:00"/>
    <n v="190"/>
    <n v="464482.77"/>
    <n v="489100.36"/>
    <n v="489080"/>
  </r>
  <r>
    <x v="323"/>
    <s v="PEDRO ERNESTO FERREIRA MIRANDA"/>
    <s v="LDP-C-218-1"/>
    <s v="C-218"/>
    <s v="C-218-0886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GO"/>
    <m/>
    <d v="2024-11-04T00:00:00"/>
    <d v="2024-11-08T00:00:00"/>
    <n v="4"/>
    <n v="1032301.29"/>
    <n v="1032301.29"/>
    <n v="837099.92"/>
  </r>
  <r>
    <x v="323"/>
    <s v="RAFAEL DE OLIVEIRA GOMES"/>
    <s v="LDP-C-218-3"/>
    <s v="C-218"/>
    <s v="C-218-0888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x v="323"/>
    <s v="RODOLFO DA PAULA FARIA OLIEIRA"/>
    <s v="LDP-C-218-3"/>
    <s v="C-218"/>
    <s v="C-218-0889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RJ"/>
    <m/>
    <d v="2024-11-04T00:00:00"/>
    <d v="2024-11-08T00:00:00"/>
    <n v="4"/>
    <n v="1032301.29"/>
    <n v="1032301.29"/>
    <n v="837099.92"/>
  </r>
  <r>
    <x v="313"/>
    <s v="W2C PARTICIPACOES LTDA"/>
    <s v="LDP-B-124-7"/>
    <s v="B-124"/>
    <s v="B-124-0784"/>
    <s v="ASSINADO"/>
    <x v="0"/>
    <m/>
    <n v="4"/>
    <s v="EDUARDO TADEU MALUTA FILHO"/>
    <s v="EDUARDO TADEU MALUTA FILHO"/>
    <s v="JOAO BATALHA DA SILVA NETO"/>
    <s v="Interna"/>
    <s v="A vista"/>
    <s v="Online"/>
    <x v="8"/>
    <m/>
    <s v="SC"/>
    <m/>
    <d v="2024-08-21T00:00:00"/>
    <d v="2024-08-26T00:00:00"/>
    <n v="5"/>
    <n v="373124.95"/>
    <n v="398000"/>
    <n v="321400.42"/>
  </r>
  <r>
    <x v="341"/>
    <s v="LEANDRO MARTINS CARDOSO"/>
    <s v="LDP-C-217-8"/>
    <s v="C-217"/>
    <s v="C-217-0896"/>
    <s v="ASSINADO"/>
    <x v="0"/>
    <m/>
    <n v="4"/>
    <s v="RAISSA OKADA"/>
    <s v="RAISSA OKADA"/>
    <s v="ARIANE PEREIRA BARBOSA"/>
    <s v="Interna"/>
    <s v="Longa"/>
    <s v="Showroom"/>
    <x v="0"/>
    <m/>
    <s v="BA"/>
    <m/>
    <d v="2024-11-29T00:00:00"/>
    <d v="2024-12-02T00:00:00"/>
    <n v="3"/>
    <n v="582273.19999999995"/>
    <n v="613133.68000000005"/>
    <n v="610413"/>
  </r>
  <r>
    <x v="342"/>
    <s v="CASSIO CASTILHOS CASAGRANDA"/>
    <s v="LDP-C-202-8"/>
    <s v="C-202"/>
    <s v="C-202-0897"/>
    <s v="ASSINADO"/>
    <x v="0"/>
    <m/>
    <n v="4"/>
    <s v="LAURA FONTES"/>
    <s v="FELLIPE BRAZ FERREIRA BILATE"/>
    <s v="ARIANE PEREIRA BARBOSA"/>
    <s v="Interna"/>
    <s v="Longa"/>
    <s v="Showroom"/>
    <x v="0"/>
    <m/>
    <s v="SC"/>
    <m/>
    <d v="2024-12-12T00:00:00"/>
    <d v="2024-12-12T00:00:00"/>
    <n v="0"/>
    <n v="466506.96"/>
    <n v="491231.83"/>
    <n v="491231.85"/>
  </r>
  <r>
    <x v="342"/>
    <s v="LUIZ AMERICO LOCATTO FIGUEIREDO"/>
    <s v="LDP-C-203-6"/>
    <s v="C-203"/>
    <s v="C-203-0898"/>
    <s v="ASSINADO"/>
    <x v="0"/>
    <m/>
    <n v="6"/>
    <s v="FABRICIA PEREIRA DE SOUZA"/>
    <s v="FABRICIA PEREIRA DE SOUZA"/>
    <s v="FABRICIA PEREIRA DE SOUZA"/>
    <s v="Externa"/>
    <s v="Curta"/>
    <s v="Parceria"/>
    <x v="0"/>
    <m/>
    <s v="AC"/>
    <m/>
    <d v="2024-11-28T00:00:00"/>
    <d v="2024-12-12T00:00:00"/>
    <n v="14"/>
    <n v="600735.92000000004"/>
    <n v="632574.92000000004"/>
    <n v="481150"/>
  </r>
  <r>
    <x v="342"/>
    <s v="ROGERIO HERCULES FERREIRA"/>
    <s v="LDP-C-212-1"/>
    <s v="C-212"/>
    <s v="C-212-0899"/>
    <s v="ASSINADO"/>
    <x v="0"/>
    <m/>
    <n v="13"/>
    <s v="VIVIANE DA SILVA BASTOS"/>
    <s v="VIVIANE DA SILVA BASTOS"/>
    <s v="JOAO BATALHA DA SILVA NETO"/>
    <s v="Interna"/>
    <s v="Longa"/>
    <s v="Online"/>
    <x v="3"/>
    <m/>
    <s v="TO"/>
    <m/>
    <d v="2024-05-11T00:00:00"/>
    <d v="2024-12-12T00:00:00"/>
    <n v="215"/>
    <n v="1036804.34"/>
    <n v="1091754.97"/>
    <n v="998000"/>
  </r>
  <r>
    <x v="343"/>
    <s v="LUCAS SCHIRMER MARTINS"/>
    <s v="LDP-C-203-5"/>
    <s v="C-203"/>
    <s v="C-203-090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12-06T00:00:00"/>
    <d v="2024-12-14T00:00:00"/>
    <n v="8"/>
    <n v="600735.92000000004"/>
    <n v="632574.92000000004"/>
    <n v="570000"/>
  </r>
  <r>
    <x v="344"/>
    <s v="RUDA FARIAS FORMOLO PELLINI"/>
    <s v="LDP-C-007-3"/>
    <s v="C-007"/>
    <s v="C-007-0901"/>
    <s v="ASSINADO"/>
    <x v="0"/>
    <m/>
    <n v="13"/>
    <s v="EDUARDO TADEU MALUTA FILHO"/>
    <s v="EDUARDO TADEU MALUTA FILHO"/>
    <s v="JOAO BATALHA DA SILVA NETO"/>
    <s v="Interna"/>
    <s v="Longa"/>
    <s v="Relacionamento Corretor"/>
    <x v="6"/>
    <m/>
    <s v="SC"/>
    <m/>
    <d v="2024-11-05T00:00:00"/>
    <d v="2024-12-15T00:00:00"/>
    <n v="40"/>
    <n v="1296280.3899999999"/>
    <n v="1364983.25"/>
    <n v="1259600"/>
  </r>
  <r>
    <x v="345"/>
    <s v="CCNN IMOVEIS LTDA"/>
    <s v="LDP-C-203-1"/>
    <s v="C-203"/>
    <s v="C-203-0902"/>
    <s v="ASSINADO"/>
    <x v="0"/>
    <m/>
    <n v="6"/>
    <s v="FABRICIA PEREIRA DE SOUZA"/>
    <s v="FABRICIA PEREIRA DE SOUZA"/>
    <s v="FABRICIA PEREIRA DE SOUZA"/>
    <s v="Externa"/>
    <s v="Curta"/>
    <s v="Parceria"/>
    <x v="5"/>
    <m/>
    <s v="DF"/>
    <m/>
    <d v="2024-07-26T00:00:00"/>
    <d v="2024-12-16T00:00:00"/>
    <n v="143"/>
    <n v="600735.92000000004"/>
    <n v="632574.92000000004"/>
    <n v="448000"/>
  </r>
  <r>
    <x v="346"/>
    <s v="PETRA REPRESENTACAO COMERCIAL EIRELI ME"/>
    <s v="LDP-A-202-1"/>
    <s v="A-202"/>
    <s v="A-202-0903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2"/>
    <s v="A-202"/>
    <s v="A-202-0904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3"/>
    <s v="A-202"/>
    <s v="A-202-0905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4"/>
    <s v="A-202"/>
    <s v="A-202-0906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2"/>
    <n v="1873994.32"/>
    <n v="1526250"/>
  </r>
  <r>
    <x v="346"/>
    <s v="PETRA REPRESENTACAO COMERCIAL EIRELI ME"/>
    <s v="LDP-VAGA-017"/>
    <s v="VAGA-017"/>
    <s v="VAGA-017-0907"/>
    <s v="ASSINADO"/>
    <x v="0"/>
    <m/>
    <n v="52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200000"/>
    <n v="200000"/>
    <n v="200000"/>
  </r>
  <r>
    <x v="347"/>
    <s v="RODRIGO MARTINS DE CASTRO GOMES"/>
    <s v="LDP-C-212-3"/>
    <s v="C-212"/>
    <s v="C-212-0908"/>
    <s v="ASSINADO"/>
    <x v="0"/>
    <m/>
    <n v="13"/>
    <s v="EDUARDO TADEU MALUTA FILHO"/>
    <s v="EDUARDO TADEU MALUTA FILHO"/>
    <s v="JOAO BATALHA DA SILVA NETO"/>
    <s v="Interna"/>
    <s v="Longa"/>
    <s v="Online"/>
    <x v="0"/>
    <m/>
    <s v="RS"/>
    <m/>
    <d v="2024-12-22T00:00:00"/>
    <d v="2024-12-27T00:00:00"/>
    <n v="5"/>
    <n v="1036804.34"/>
    <n v="1091754.97"/>
    <n v="973120"/>
  </r>
  <r>
    <x v="348"/>
    <s v="MUNDIAL EXPORT ASSESSORIA COMERCIO EXTERIOR IMPORTACAO E EXPORTACAO LTDA"/>
    <s v="LDP-C-009-1"/>
    <s v="C-009"/>
    <s v="C-009-0910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2"/>
    <s v="C-009"/>
    <s v="C-009-0911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3"/>
    <s v="C-009"/>
    <s v="C-009-0912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4"/>
    <s v="C-009"/>
    <s v="C-009-0913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9"/>
    <s v="ALESSANDRO PEREIRA - SOCIEDADE INDIVIDUAL DE ADVOCACIA "/>
    <s v="LDP-C-214-7"/>
    <s v="C-214"/>
    <s v="C-214-0914"/>
    <s v="ASSINADO"/>
    <x v="0"/>
    <m/>
    <n v="4"/>
    <s v="EDUARDO TADEU MALUTA FILHO"/>
    <s v="EDUARDO TADEU MALUTA FILHO"/>
    <s v="JOAO BATALHA DA SILVA NETO"/>
    <s v="Interna"/>
    <s v="Longa"/>
    <s v="Online"/>
    <x v="0"/>
    <m/>
    <s v="RS"/>
    <n v="3"/>
    <d v="2024-12-27T00:00:00"/>
    <d v="2025-01-07T00:00:00"/>
    <n v="11"/>
    <n v="468863.5"/>
    <n v="493713.27"/>
    <n v="493713.21"/>
  </r>
  <r>
    <x v="349"/>
    <s v="MARCELO LIPERT"/>
    <s v="LDP-C-212-4"/>
    <s v="C-212"/>
    <s v="C-212-0915"/>
    <s v="ASSINADO"/>
    <x v="0"/>
    <m/>
    <n v="13"/>
    <s v="MARCOS MAGALHAES"/>
    <s v="MARCOS MAGALHAES"/>
    <s v="ARIANE PEREIRA BARBOSA"/>
    <s v="Interna"/>
    <s v="Longa"/>
    <s v="Showroom"/>
    <x v="0"/>
    <m/>
    <s v="RS"/>
    <n v="3"/>
    <d v="2025-01-02T00:00:00"/>
    <d v="2025-01-07T00:00:00"/>
    <n v="5"/>
    <n v="1042046.75"/>
    <n v="1097275.23"/>
    <n v="998000.2"/>
  </r>
  <r>
    <x v="349"/>
    <s v="RPF HOLDING SA"/>
    <s v="LDP-C-212-2"/>
    <s v="C-212"/>
    <s v="C-212-0916"/>
    <s v="ASSINADO"/>
    <x v="0"/>
    <m/>
    <n v="13"/>
    <s v="FELLIPE BRAZ FERREIRA BILATE"/>
    <s v="FELLIPE BRAZ FERREIRA BILATE"/>
    <s v="ARIANE PEREIRA BARBOSA"/>
    <s v="Interna"/>
    <s v="Longa"/>
    <s v="Showroom"/>
    <x v="0"/>
    <m/>
    <s v="MG"/>
    <n v="1"/>
    <d v="2025-01-07T00:00:00"/>
    <d v="2025-01-07T00:00:00"/>
    <n v="0"/>
    <n v="1042046.75"/>
    <n v="1097275.23"/>
    <n v="998000.2"/>
  </r>
  <r>
    <x v="350"/>
    <s v="GLAUCO MARCONE VIEIRA SOUZA"/>
    <s v="LDP-B-130-8"/>
    <s v="B-130"/>
    <s v="B-130-0917"/>
    <s v="ASSINADO"/>
    <x v="0"/>
    <m/>
    <n v="4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391589.15"/>
    <n v="391589.15"/>
    <n v="378999.8"/>
  </r>
  <r>
    <x v="350"/>
    <s v="GLAUCO MARCONE VIEIRA SOUZA"/>
    <s v="LDP-B-130-2"/>
    <s v="B-130"/>
    <s v="B-130-0918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5"/>
    <n v="407681.85"/>
    <n v="394999.9"/>
  </r>
  <r>
    <x v="350"/>
    <s v="GLAUCO MARCONE VIEIRA SOUZA"/>
    <s v="LDP-B-130-5"/>
    <s v="B-130"/>
    <s v="B-130-0919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6"/>
    <n v="407681.86"/>
    <n v="394999.9"/>
  </r>
  <r>
    <x v="350"/>
    <s v="PEDRO LUIZ POZZA"/>
    <s v="LDP-C-203-2"/>
    <s v="C-203"/>
    <s v="C-203-0920"/>
    <s v="ASSINADO"/>
    <x v="0"/>
    <m/>
    <n v="6"/>
    <s v="FELLIPE BRAZ FERREIRA BILATE"/>
    <s v="FELLIPE BRAZ FERREIRA BILATE"/>
    <s v="ARIANE PEREIRA BARBOSA"/>
    <s v="Interna"/>
    <s v="A vista"/>
    <s v="Relacionamento Corretor"/>
    <x v="4"/>
    <m/>
    <s v="RS"/>
    <n v="3"/>
    <d v="2025-01-02T00:00:00"/>
    <d v="2025-01-10T00:00:00"/>
    <n v="8"/>
    <n v="603777.03"/>
    <n v="635777.21"/>
    <n v="450000"/>
  </r>
  <r>
    <x v="350"/>
    <s v="LUIZ FELIPE MENDES PINHEIRO DA SILVA"/>
    <s v="LDP-B-102-1"/>
    <s v="B-102"/>
    <s v="B-102-0921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5"/>
    <n v="407681.85"/>
    <n v="394990"/>
  </r>
  <r>
    <x v="350"/>
    <s v="LUIZ FELIPE MENDES PINHEIRO DA SILVA"/>
    <s v="LDP-B-102-4"/>
    <s v="B-102"/>
    <s v="B-102-0922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6"/>
    <n v="407681.86"/>
    <n v="394990"/>
  </r>
  <r>
    <x v="350"/>
    <s v="SCUSSEL EMPREENDIMENTOS IMOBILIARIOS LTDA"/>
    <s v="LDP-B-130-1"/>
    <s v="B-130"/>
    <s v="B-130-0923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5"/>
    <n v="407681.85"/>
    <n v="319000"/>
  </r>
  <r>
    <x v="350"/>
    <s v="SCUSSEL EMPREENDIMENTOS IMOBILIARIOS LTDA"/>
    <s v="LDP-B-130-4"/>
    <s v="B-130"/>
    <s v="B-130-0924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6"/>
    <n v="407681.86"/>
    <n v="319000"/>
  </r>
  <r>
    <x v="351"/>
    <s v="NILTON BANDEIRA DA SILVA JUNIOR"/>
    <s v="LDP-C-203-4"/>
    <s v="C-203"/>
    <s v="C-203-0925"/>
    <s v="ASSINADO"/>
    <x v="0"/>
    <m/>
    <n v="6"/>
    <s v="VIVIANE DA SILVA BASTOS"/>
    <s v="VIVIANE DA SILVA BASTOS"/>
    <s v="EDUARDO TADEU MALUTA FILHO"/>
    <s v="Interna"/>
    <s v="Longa"/>
    <s v="Relacionamento Corretor"/>
    <x v="6"/>
    <m/>
    <s v="SP"/>
    <n v="0"/>
    <d v="2025-01-13T00:00:00"/>
    <d v="2025-01-13T00:00:00"/>
    <n v="0"/>
    <n v="603777.03"/>
    <n v="635777.21"/>
    <n v="613000"/>
  </r>
  <r>
    <x v="352"/>
    <s v="AUDREY REZECK OPPENHEIMER"/>
    <s v="LDP-B-130-9"/>
    <s v="B-130"/>
    <s v="B-130-0926"/>
    <s v="ASSINADO"/>
    <x v="0"/>
    <m/>
    <n v="4"/>
    <s v="LEONARDO NUNES"/>
    <s v="LEONARDO NUNES"/>
    <s v="EDUARDO TADEU MALUTA FILHO"/>
    <s v="Interna"/>
    <s v="Longa"/>
    <s v="Online"/>
    <x v="0"/>
    <m/>
    <s v="SP"/>
    <n v="1"/>
    <d v="2025-01-04T00:00:00"/>
    <d v="2025-01-15T00:00:00"/>
    <n v="11"/>
    <n v="391589.15"/>
    <n v="391589.15"/>
    <n v="378898.8"/>
  </r>
  <r>
    <x v="353"/>
    <s v="FLAVIA ANICETO ELIAS KURY"/>
    <s v="LDP-B-130-10"/>
    <s v="B-130"/>
    <s v="B-130-0927"/>
    <s v="NAO ASSINADO"/>
    <x v="1"/>
    <d v="2025-01-30T00:00:00"/>
    <n v="4"/>
    <s v="MARIELE KACZANOSKI"/>
    <s v="MARIELE KACZANOSKI"/>
    <s v="EDUARDO TADEU MALUTA FILHO"/>
    <s v="Interna"/>
    <s v="Longa"/>
    <s v="Showroom"/>
    <x v="0"/>
    <m/>
    <s v="SP"/>
    <n v="3"/>
    <d v="2025-01-05T00:00:00"/>
    <d v="2025-01-17T00:00:00"/>
    <n v="12"/>
    <n v="391589.15"/>
    <n v="391589.15"/>
    <n v="373599.8"/>
  </r>
  <r>
    <x v="354"/>
    <s v="GRENTESKI SOUSA EMPREENDIMENTOS LTDA"/>
    <s v="LDP-B-130-7"/>
    <s v="B-130"/>
    <s v="B-130-0928"/>
    <s v="ASSINADO"/>
    <x v="0"/>
    <m/>
    <n v="4"/>
    <s v="MARIELE KACZANOSKI"/>
    <s v="MARIELE KACZANOSKI"/>
    <s v="EDUARDO TADEU MALUTA FILHO"/>
    <s v="Interna"/>
    <s v="Longa"/>
    <s v="Online"/>
    <x v="0"/>
    <m/>
    <s v="PR"/>
    <n v="2"/>
    <d v="2024-12-25T00:00:00"/>
    <d v="2025-01-23T00:00:00"/>
    <n v="29"/>
    <n v="391589.15"/>
    <n v="391589.15"/>
    <n v="378999.8"/>
  </r>
  <r>
    <x v="355"/>
    <s v="MARCIO ANDRE PAVANI MACHADO"/>
    <s v="LDP-B-126-7"/>
    <s v="B-126"/>
    <s v="B-126-0930"/>
    <s v="ASSINADO"/>
    <x v="0"/>
    <m/>
    <n v="4"/>
    <s v="VIVIANE DA SILVA BASTOS"/>
    <s v="VIVIANE DA SILVA BASTOS"/>
    <s v="EDUARDO TADEU MALUTA FILHO"/>
    <s v="Interna"/>
    <s v="Longa"/>
    <s v="Relacionamento Corretor"/>
    <x v="4"/>
    <m/>
    <s v="SP"/>
    <n v="6"/>
    <d v="2024-11-16T00:00:00"/>
    <d v="2025-01-26T00:00:00"/>
    <n v="71"/>
    <n v="391589.15"/>
    <n v="391589.15"/>
    <n v="378840"/>
  </r>
  <r>
    <x v="356"/>
    <s v="DIOGO SCUTA FAGLIARI"/>
    <s v="LDP-B-123-1"/>
    <s v="B-123"/>
    <s v="B-123-0931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5"/>
    <n v="407681.85"/>
    <n v="395000"/>
  </r>
  <r>
    <x v="356"/>
    <s v="DIOGO SCUTA FAGLIARI"/>
    <s v="LDP-B-123-4"/>
    <s v="B-123"/>
    <s v="B-123-0932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6"/>
    <n v="407681.86"/>
    <n v="395000"/>
  </r>
  <r>
    <x v="357"/>
    <s v="RODOLFO PARDO ALBAGLI FILHO"/>
    <s v="LDP-B-130-3"/>
    <s v="B-130"/>
    <s v="B-130-0933"/>
    <s v="ASSINADO"/>
    <x v="0"/>
    <m/>
    <n v="6"/>
    <s v="ANA CLAUDIA ALTEMARI LUIZ"/>
    <s v="ANA CLAUDIA ALTEMARI LUIZ"/>
    <s v="ARIANE PEREIRA BARBOSA"/>
    <s v="Interna"/>
    <s v="Longa"/>
    <s v="Online"/>
    <x v="9"/>
    <m/>
    <s v="SP"/>
    <n v="1"/>
    <d v="2025-01-28T00:00:00"/>
    <d v="2025-01-28T00:00:00"/>
    <n v="0"/>
    <n v="407681.85"/>
    <n v="407681.85"/>
    <n v="379000"/>
  </r>
  <r>
    <x v="357"/>
    <s v="RODOLFO PARDO ALBAGLI FILHO"/>
    <s v="LDP-B-130-6"/>
    <s v="B-130"/>
    <s v="B-130-0934"/>
    <s v="ASSINADO"/>
    <x v="0"/>
    <m/>
    <n v="6"/>
    <s v="JEAN PAULO DOS SANTOS"/>
    <s v="JEAN PAULO DOS SANTOS"/>
    <s v="EDUARDO TADEU MALUTA FILHO"/>
    <s v="Interna"/>
    <s v="Longa"/>
    <s v="Online"/>
    <x v="9"/>
    <m/>
    <s v="SP"/>
    <n v="1"/>
    <d v="2025-01-28T00:00:00"/>
    <d v="2025-01-28T00:00:00"/>
    <n v="0"/>
    <n v="407681.86"/>
    <n v="407681.86"/>
    <n v="379000"/>
  </r>
  <r>
    <x v="358"/>
    <s v="MARCELO MARTINS GENTIL"/>
    <s v="LDP-B-126-9"/>
    <s v="B-126"/>
    <s v="B-126-0935"/>
    <s v="ASSINADO"/>
    <x v="0"/>
    <m/>
    <n v="4"/>
    <s v="JEAN PAULO DOS SANTOS"/>
    <s v="JEAN PAULO DOS SANTOS"/>
    <s v="EDUARDO TADEU MALUTA FILHO"/>
    <s v="Interna"/>
    <s v="A vista"/>
    <s v="Online"/>
    <x v="0"/>
    <m/>
    <s v="CE"/>
    <n v="1"/>
    <d v="2025-01-19T00:00:00"/>
    <d v="2025-01-31T00:00:00"/>
    <n v="12"/>
    <n v="391589.15"/>
    <n v="391589.15"/>
    <n v="306000"/>
  </r>
  <r>
    <x v="358"/>
    <s v="BRUNO GARCIA DE LIMA"/>
    <s v="LDP-C-210-2"/>
    <s v="C-210"/>
    <s v="C-210-0936"/>
    <s v="ASSINADO"/>
    <x v="0"/>
    <m/>
    <n v="13"/>
    <s v="MARIELE KACZANOSKI"/>
    <s v="MARIELE KACZANOSKI"/>
    <s v="EDUARDO TADEU MALUTA FILHO"/>
    <s v="Interna"/>
    <s v="Longa"/>
    <s v="Online"/>
    <x v="0"/>
    <m/>
    <s v="SP"/>
    <n v="1"/>
    <d v="2025-01-12T00:00:00"/>
    <d v="2025-01-31T00:00:00"/>
    <n v="19"/>
    <n v="1042046.75"/>
    <n v="1097275.23"/>
    <n v="998000"/>
  </r>
  <r>
    <x v="359"/>
    <s v="MGF INVESTIMENTOS LTDA"/>
    <s v="LDP-B-132-5"/>
    <s v="B-132"/>
    <s v="B-132-0937"/>
    <s v="ASSINADO"/>
    <x v="0"/>
    <m/>
    <n v="6"/>
    <s v="VITOR CANEDO"/>
    <s v="VITOR CANEDO"/>
    <s v="EDUARDO TADEU MALUTA FILHO"/>
    <s v="Interna"/>
    <s v="Longa"/>
    <s v="Online"/>
    <x v="0"/>
    <s v="Não"/>
    <s v="SP"/>
    <n v="17"/>
    <d v="2024-09-16T00:00:00"/>
    <d v="2025-02-05T00:00:00"/>
    <n v="142"/>
    <n v="410576.39"/>
    <n v="410576.39"/>
    <n v="410576.54"/>
  </r>
  <r>
    <x v="360"/>
    <s v="SONIA REGINA SCHENA BERTOL"/>
    <s v="LDP-B-105-1"/>
    <s v="B-105"/>
    <s v="B-105-0938"/>
    <s v="ASSINADO"/>
    <x v="0"/>
    <m/>
    <n v="13"/>
    <s v="MARCOS MAGALHAES"/>
    <s v="MARCOS MAGALHAES"/>
    <s v="ARIANE PEREIRA BARBOSA"/>
    <s v="Interna"/>
    <s v="Curta"/>
    <s v="Relacionamento Corretor"/>
    <x v="4"/>
    <s v="Sim"/>
    <s v="RS"/>
    <n v="4"/>
    <d v="2025-01-23T00:00:00"/>
    <d v="2025-02-08T00:00:00"/>
    <n v="16"/>
    <n v="837359.75"/>
    <n v="837359.75"/>
    <n v="735000"/>
  </r>
  <r>
    <x v="361"/>
    <s v="FLAVIA CANHO GALLEAZZI"/>
    <s v="LDP-B-106-2"/>
    <s v="B-106"/>
    <s v="B-106-0939"/>
    <s v="ASSINADO"/>
    <x v="0"/>
    <m/>
    <n v="13"/>
    <s v="KAIQUE GONCALVES DA PAZ_x000a_"/>
    <s v="KAIQUE GONCALVES DA PAZ_x000a_"/>
    <s v="EDUARDO TADEU MALUTA FILHO"/>
    <s v="Interna"/>
    <s v="Curta"/>
    <s v="Online"/>
    <x v="0"/>
    <s v="Não"/>
    <s v="SP"/>
    <n v="2"/>
    <d v="2025-01-24T00:00:00"/>
    <d v="2025-02-09T00:00:00"/>
    <n v="16"/>
    <n v="837359.75"/>
    <n v="837359.75"/>
    <n v="711000"/>
  </r>
  <r>
    <x v="362"/>
    <s v="MARCOS ALEXANDRE PASSARELLES DE SOUZA FILHO"/>
    <s v="LDP-B-118-5"/>
    <s v="B-118"/>
    <s v="B-118-0940"/>
    <s v="ASSINADO"/>
    <x v="0"/>
    <m/>
    <n v="6"/>
    <s v="GÉSSICA GOZZI"/>
    <s v="GÉSSICA GOZZI"/>
    <s v="ARIANE PEREIRA BARBOSA"/>
    <s v="Interna"/>
    <s v="Longa"/>
    <s v="Showroom"/>
    <x v="0"/>
    <s v="Sim"/>
    <s v="SP"/>
    <n v="3"/>
    <d v="2025-01-03T00:00:00"/>
    <d v="2025-02-11T00:00:00"/>
    <n v="39"/>
    <n v="410576.39"/>
    <n v="410576.39"/>
    <n v="410576.52"/>
  </r>
  <r>
    <x v="362"/>
    <s v="ELINTON BOBRIK"/>
    <s v="LDP-C-312-1"/>
    <s v="C-312"/>
    <s v="C-312-0941"/>
    <s v="ASSINADO"/>
    <x v="0"/>
    <m/>
    <n v="13"/>
    <s v="VIVIANE DA SILVA BASTOS"/>
    <s v="VIVIANE DA SILVA BASTOS"/>
    <s v="EDUARDO TADEU MALUTA FILHO"/>
    <s v="Interna"/>
    <s v="Curta"/>
    <s v="Online"/>
    <x v="5"/>
    <s v="Sim"/>
    <s v="SP"/>
    <n v="2"/>
    <d v="2023-08-16T00:00:00"/>
    <d v="2025-02-11T00:00:00"/>
    <n v="545"/>
    <n v="1049382.24"/>
    <n v="1104999.5"/>
    <n v="1060000"/>
  </r>
  <r>
    <x v="363"/>
    <s v="DIARIO DE BORDO LTDA"/>
    <s v="LDP-B-126-6"/>
    <s v="B-126"/>
    <s v="B-126-0942"/>
    <s v="ASSINADO"/>
    <x v="0"/>
    <m/>
    <n v="6"/>
    <s v="FABRICIA PEREIRA DE SOUZA"/>
    <s v="FABRICIA PEREIRA DE SOUZA"/>
    <s v="FABRICIA PEREIRA DE SOUZA"/>
    <s v="Externa"/>
    <s v="Longa"/>
    <s v="Parceria"/>
    <x v="5"/>
    <s v="Sim"/>
    <s v="RS"/>
    <n v="1"/>
    <d v="2024-07-17T00:00:00"/>
    <d v="2025-02-12T00:00:00"/>
    <n v="210"/>
    <n v="410576.39"/>
    <n v="410576.39"/>
    <n v="410576.48"/>
  </r>
  <r>
    <x v="364"/>
    <s v="REAL VILLE COMPANY LTDA"/>
    <s v="LDP-B-106-1"/>
    <s v="B-106"/>
    <s v="B-106-0943"/>
    <s v="NAO ASSINADO "/>
    <x v="0"/>
    <m/>
    <n v="13"/>
    <s v="JULIA PASSOS FERREIRA NETTO"/>
    <s v="JULIA PASSOS FERREIRA NETTO"/>
    <s v="ARIANE PEREIRA BARBOSA"/>
    <s v="Interna"/>
    <s v="A vista"/>
    <s v="Showroom"/>
    <x v="0"/>
    <s v="Sim"/>
    <s v="RS"/>
    <n v="2"/>
    <d v="2025-02-11T00:00:00"/>
    <s v="Pendente"/>
    <e v="#VALUE!"/>
    <n v="837359.75"/>
    <n v="837359.75"/>
    <n v="676219.68"/>
  </r>
  <r>
    <x v="365"/>
    <s v="ELSO POLIZEL JUNIOR"/>
    <s v="LDP-B-124-3"/>
    <s v="B-124"/>
    <s v="B-124-0944"/>
    <s v="ASSINADO"/>
    <x v="0"/>
    <m/>
    <n v="6"/>
    <s v="VIVIANE DA SILVA BASTOS"/>
    <s v="VIVIANE DA SILVA BASTOS"/>
    <s v="EDUARDO TADEU MALUTA FILHO"/>
    <s v="Interna"/>
    <s v="Longa"/>
    <s v="Online"/>
    <x v="0"/>
    <s v="Não"/>
    <s v="TO"/>
    <n v="1"/>
    <d v="2025-02-02T00:00:00"/>
    <d v="2025-02-14T00:00:00"/>
    <n v="12"/>
    <n v="410576.39"/>
    <n v="410576.39"/>
    <n v="421000"/>
  </r>
  <r>
    <x v="366"/>
    <s v="NILTON BANDEIRA DA SILVA JUNIOR"/>
    <s v="LDP-C-206-1"/>
    <s v="C-206"/>
    <s v="C-206-0945"/>
    <s v="ASSINADO"/>
    <x v="0"/>
    <m/>
    <n v="6"/>
    <s v="VIVIANE DA SILVA BASTOS"/>
    <s v="VIVIANE DA SILVA BASTOS"/>
    <s v="EDUARDO TADEU MALUTA FILHO"/>
    <s v="Interna"/>
    <s v="Longa"/>
    <s v="Relacionamento Corretor"/>
    <x v="5"/>
    <s v="Sim"/>
    <s v="SP"/>
    <n v="1"/>
    <d v="2025-01-13T00:00:00"/>
    <d v="2025-02-20T00:00:00"/>
    <n v="38"/>
    <n v="484283.26"/>
    <n v="509950.28"/>
    <n v="499000"/>
  </r>
  <r>
    <x v="367"/>
    <s v="SIMONE BOING GUIMARAES"/>
    <s v="LDP-B-129-2"/>
    <s v="B-129"/>
    <s v="B-129-0946"/>
    <s v="ASSINADO"/>
    <x v="0"/>
    <m/>
    <n v="6"/>
    <s v="KAIQUE GONCALVES DA PAZ_x000a_"/>
    <s v="KAIQUE GONCALVES DA PAZ_x000a_"/>
    <s v="EDUARDO TADEU MALUTA FILHO"/>
    <s v="Interna"/>
    <s v="Longa"/>
    <s v="Online"/>
    <x v="0"/>
    <s v="Não"/>
    <s v="SC"/>
    <n v="2"/>
    <d v="2025-02-12T00:00:00"/>
    <d v="2025-02-21T00:00:00"/>
    <n v="9"/>
    <n v="410576.39"/>
    <n v="410576.39"/>
    <n v="410000"/>
  </r>
  <r>
    <x v="367"/>
    <s v="LUCIANA TELES FILOGONIO ABREU"/>
    <s v="LDP-B-111-3"/>
    <s v="B-111"/>
    <s v="B-111-0947"/>
    <s v="ASSINADO"/>
    <x v="0"/>
    <m/>
    <n v="6"/>
    <s v="VITOR CANEDO"/>
    <s v="VITOR CANEDO"/>
    <s v="EDUARDO TADEU MALUTA FILHO"/>
    <s v="Interna"/>
    <s v="Curta"/>
    <s v="Online"/>
    <x v="0"/>
    <s v="Não"/>
    <s v="MG"/>
    <n v="7"/>
    <d v="2024-06-25T00:00:00"/>
    <d v="2025-02-21T00:00:00"/>
    <n v="241"/>
    <n v="410576.39"/>
    <n v="410576.39"/>
    <n v="360000"/>
  </r>
  <r>
    <x v="368"/>
    <s v="ANDREIA CAPELLATO PETT ME"/>
    <s v="LDP-B-112-6"/>
    <s v="B-112"/>
    <s v="B-112-0948"/>
    <s v="ASSINADO"/>
    <x v="0"/>
    <m/>
    <n v="6"/>
    <s v="FABRICIA PEREIRA DE SOUZA"/>
    <s v="FABRICIA PEREIRA DE SOUZA"/>
    <s v="FABRICIA PEREIRA DE SOUZA"/>
    <s v="Externa"/>
    <s v="Curta"/>
    <s v="Parceria"/>
    <x v="0"/>
    <s v="Não"/>
    <s v="RJ"/>
    <n v="3"/>
    <d v="2025-02-17T00:00:00"/>
    <d v="2025-02-24T00:00:00"/>
    <n v="7"/>
    <n v="410576.39"/>
    <n v="410576.39"/>
    <n v="377000"/>
  </r>
  <r>
    <x v="369"/>
    <s v="ANDRE LUIS MARTEL"/>
    <s v="LDP-B-129-1"/>
    <s v="B-129"/>
    <s v="B-129-0949"/>
    <s v="ASSINADO"/>
    <x v="0"/>
    <m/>
    <n v="6"/>
    <s v="KAIQUE GONCALVES DA PAZ_x000a_"/>
    <s v="KAIQUE GONCALVES DA PAZ_x000a_"/>
    <s v="EDUARDO TADEU MALUTA FILHO"/>
    <s v="Interna"/>
    <s v="Curta"/>
    <s v="Online"/>
    <x v="0"/>
    <s v="Não"/>
    <s v="SP"/>
    <n v="2"/>
    <d v="2025-01-05T00:00:00"/>
    <d v="2025-02-28T00:00:00"/>
    <n v="54"/>
    <n v="410576.39"/>
    <n v="410576.39"/>
    <n v="348000"/>
  </r>
  <r>
    <x v="364"/>
    <s v="NGL IMOB LTDA"/>
    <s v="LDP-B-132-6"/>
    <s v="B-132"/>
    <s v="B-132-0950"/>
    <s v="NAO ASSINADO"/>
    <x v="0"/>
    <m/>
    <n v="6"/>
    <s v="VIVIANE DA SILVA BASTOS"/>
    <s v="VIVIANE DA SILVA BASTOS"/>
    <s v="EDUARDO TADEU MALUTA FILHO"/>
    <s v="Interna"/>
    <s v="Longa"/>
    <s v="Online"/>
    <x v="0"/>
    <s v="Não"/>
    <s v="GO"/>
    <n v="1"/>
    <d v="2025-02-15T00:00:00"/>
    <s v="Pendente"/>
    <e v="#VALUE!"/>
    <n v="410576.39"/>
    <n v="410576.39"/>
    <n v="410000"/>
  </r>
  <r>
    <x v="369"/>
    <s v="INTER BRASIL SUL ADMINISTRADORA DE BENS LTDA"/>
    <s v="LDP-B-129-3"/>
    <s v="B-129"/>
    <s v="B-129-0951"/>
    <s v="ASSINADO"/>
    <x v="0"/>
    <m/>
    <n v="6"/>
    <s v="GÉSSICA GOZZI"/>
    <s v="GÉSSICA GOZZI"/>
    <s v="ARIANE PEREIRA BARBOSA"/>
    <s v="Interna"/>
    <s v="A vista"/>
    <s v="Showroom"/>
    <x v="0"/>
    <s v="Sim"/>
    <s v="SC"/>
    <n v="30"/>
    <d v="2023-03-01T00:00:00"/>
    <d v="2025-02-28T00:00:00"/>
    <n v="730"/>
    <n v="410576.39"/>
    <n v="410576.39"/>
    <n v="331565.77"/>
  </r>
  <r>
    <x v="364"/>
    <s v="LUCIANE WEIRICH SAUTHIER"/>
    <s v="LDP-B-129-6"/>
    <s v="B-129"/>
    <s v="B-129-0952"/>
    <s v="NAO ASSINADO"/>
    <x v="0"/>
    <m/>
    <n v="6"/>
    <s v="GÉSSICA GOZZI"/>
    <s v="MARIELE KACZANOSKI"/>
    <s v="EDUARDO TADEU MALUTA FILHO / ARIANE PEREIRA BARBOSA"/>
    <s v="Interna"/>
    <s v="A vista"/>
    <s v="Showroom"/>
    <x v="0"/>
    <s v="Sim"/>
    <s v="RS"/>
    <n v="1"/>
    <d v="2025-03-02T00:00:00"/>
    <s v="Pendente"/>
    <e v="#VALUE!"/>
    <n v="412670.33"/>
    <n v="412670.33"/>
    <n v="328000"/>
  </r>
  <r>
    <x v="370"/>
    <m/>
    <m/>
    <m/>
    <m/>
    <m/>
    <x v="3"/>
    <m/>
    <m/>
    <m/>
    <m/>
    <m/>
    <m/>
    <m/>
    <m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3E189-254B-4972-97F5-982BCED20A60}" name="Tabela Dinâmica1" cacheId="1208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B49:C61" firstHeaderRow="1" firstDataRow="1" firstDataCol="1" rowPageCount="2" colPageCount="1"/>
  <pivotFields count="25">
    <pivotField axis="axisPage" compact="0" outline="0" multipleItemSelectionAllowed="1" showAll="0">
      <items count="372">
        <item x="364"/>
        <item x="0"/>
        <item x="1"/>
        <item x="2"/>
        <item x="3"/>
        <item x="4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5"/>
        <item x="33"/>
        <item x="34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45"/>
        <item x="54"/>
        <item x="55"/>
        <item x="56"/>
        <item x="7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35"/>
        <item x="75"/>
        <item x="76"/>
        <item x="77"/>
        <item x="78"/>
        <item x="79"/>
        <item x="81"/>
        <item x="82"/>
        <item x="83"/>
        <item x="84"/>
        <item x="85"/>
        <item x="86"/>
        <item x="87"/>
        <item x="88"/>
        <item x="90"/>
        <item x="91"/>
        <item x="92"/>
        <item x="80"/>
        <item x="93"/>
        <item x="94"/>
        <item x="95"/>
        <item x="96"/>
        <item x="89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05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40"/>
        <item x="141"/>
        <item x="139"/>
        <item x="142"/>
        <item x="143"/>
        <item x="144"/>
        <item x="145"/>
        <item x="146"/>
        <item x="147"/>
        <item x="148"/>
        <item x="149"/>
        <item x="150"/>
        <item x="152"/>
        <item x="153"/>
        <item x="154"/>
        <item x="155"/>
        <item x="151"/>
        <item x="156"/>
        <item x="157"/>
        <item x="158"/>
        <item x="159"/>
        <item x="160"/>
        <item x="161"/>
        <item x="162"/>
        <item x="164"/>
        <item x="165"/>
        <item x="163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1"/>
        <item x="222"/>
        <item x="223"/>
        <item x="220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7"/>
        <item x="238"/>
        <item x="236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4"/>
        <item x="265"/>
        <item x="263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78"/>
        <item x="282"/>
        <item x="283"/>
        <item x="284"/>
        <item x="285"/>
        <item x="286"/>
        <item x="288"/>
        <item x="289"/>
        <item x="290"/>
        <item x="291"/>
        <item x="293"/>
        <item x="292"/>
        <item x="295"/>
        <item x="296"/>
        <item x="297"/>
        <item x="298"/>
        <item x="299"/>
        <item x="294"/>
        <item x="300"/>
        <item x="301"/>
        <item x="287"/>
        <item x="302"/>
        <item x="303"/>
        <item x="304"/>
        <item x="305"/>
        <item x="306"/>
        <item x="307"/>
        <item x="308"/>
        <item x="309"/>
        <item x="313"/>
        <item x="320"/>
        <item x="315"/>
        <item x="336"/>
        <item x="317"/>
        <item x="311"/>
        <item x="318"/>
        <item x="316"/>
        <item x="337"/>
        <item x="321"/>
        <item x="322"/>
        <item x="310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14"/>
        <item x="323"/>
        <item x="338"/>
        <item x="340"/>
        <item x="312"/>
        <item x="339"/>
        <item x="31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5"/>
        <item x="366"/>
        <item x="367"/>
        <item x="368"/>
        <item x="369"/>
        <item x="37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Status Contrato" axis="axisPage" compact="0" outline="0" showAll="0">
      <items count="5">
        <item x="0"/>
        <item h="1"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8">
        <item m="1" x="13"/>
        <item m="1" x="14"/>
        <item m="1" x="20"/>
        <item m="1" x="24"/>
        <item m="1" x="26"/>
        <item m="1" x="21"/>
        <item m="1" x="15"/>
        <item m="1" x="12"/>
        <item m="1" x="18"/>
        <item x="7"/>
        <item m="1" x="23"/>
        <item x="6"/>
        <item m="1" x="22"/>
        <item m="1" x="25"/>
        <item x="1"/>
        <item m="1" x="11"/>
        <item m="1" x="17"/>
        <item x="2"/>
        <item m="1" x="16"/>
        <item x="9"/>
        <item x="3"/>
        <item m="1" x="19"/>
        <item x="0"/>
        <item x="5"/>
        <item x="8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5"/>
  </rowFields>
  <rowItems count="12">
    <i>
      <x v="22"/>
    </i>
    <i>
      <x v="14"/>
    </i>
    <i>
      <x v="20"/>
    </i>
    <i>
      <x v="17"/>
    </i>
    <i>
      <x v="11"/>
    </i>
    <i>
      <x v="23"/>
    </i>
    <i>
      <x v="26"/>
    </i>
    <i>
      <x v="25"/>
    </i>
    <i>
      <x v="9"/>
    </i>
    <i>
      <x v="19"/>
    </i>
    <i>
      <x v="24"/>
    </i>
    <i t="grand">
      <x/>
    </i>
  </rowItems>
  <colItems count="1">
    <i/>
  </colItems>
  <pageFields count="2">
    <pageField fld="6" item="0" hier="-1"/>
    <pageField fld="0" hier="-1"/>
  </pageFields>
  <dataFields count="1">
    <dataField name="VGV $" fld="24" baseField="0" baseItem="0" numFmtId="177"/>
  </dataFields>
  <formats count="7">
    <format dxfId="20">
      <pivotArea outline="0" collapsedLevelsAreSubtotals="1" fieldPosition="0"/>
    </format>
    <format dxfId="21">
      <pivotArea type="all" dataOnly="0" outline="0" fieldPosition="0"/>
    </format>
    <format dxfId="22">
      <pivotArea outline="0" collapsedLevelsAreSubtotals="1" fieldPosition="0"/>
    </format>
    <format dxfId="23">
      <pivotArea field="15" type="button" dataOnly="0" labelOnly="1" outline="0" axis="axisRow" fieldPosition="0"/>
    </format>
    <format dxfId="24">
      <pivotArea dataOnly="0" labelOnly="1" outline="0" fieldPosition="0">
        <references count="1">
          <reference field="15" count="0"/>
        </references>
      </pivotArea>
    </format>
    <format dxfId="25">
      <pivotArea dataOnly="0" labelOnly="1" grandRow="1" outline="0" fieldPosition="0"/>
    </format>
    <format dxfId="2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A26C-225A-4433-BE3B-DAAB68CAA125}">
  <dimension ref="D5:AG123"/>
  <sheetViews>
    <sheetView zoomScale="85" zoomScaleNormal="85" workbookViewId="0">
      <selection activeCell="O98" sqref="O98"/>
    </sheetView>
  </sheetViews>
  <sheetFormatPr defaultRowHeight="15"/>
  <cols>
    <col min="2" max="3" width="1.28515625" customWidth="1"/>
    <col min="4" max="4" width="20.28515625" bestFit="1" customWidth="1"/>
    <col min="5" max="5" width="15.5703125" bestFit="1" customWidth="1"/>
    <col min="6" max="6" width="14.7109375" bestFit="1" customWidth="1"/>
    <col min="7" max="8" width="15.7109375" bestFit="1" customWidth="1"/>
    <col min="9" max="10" width="15.5703125" bestFit="1" customWidth="1"/>
    <col min="11" max="11" width="14.7109375" bestFit="1" customWidth="1"/>
    <col min="12" max="12" width="15.5703125" bestFit="1" customWidth="1"/>
    <col min="13" max="13" width="15.7109375" bestFit="1" customWidth="1"/>
    <col min="14" max="15" width="15.5703125" bestFit="1" customWidth="1"/>
    <col min="16" max="16" width="15.7109375" bestFit="1" customWidth="1"/>
    <col min="17" max="17" width="15.5703125" bestFit="1" customWidth="1"/>
    <col min="18" max="19" width="15.7109375" bestFit="1" customWidth="1"/>
    <col min="20" max="22" width="15.5703125" bestFit="1" customWidth="1"/>
    <col min="23" max="23" width="14.7109375" bestFit="1" customWidth="1"/>
    <col min="24" max="24" width="7.7109375" bestFit="1" customWidth="1"/>
    <col min="25" max="25" width="7.5703125" bestFit="1" customWidth="1"/>
    <col min="26" max="26" width="7.7109375" bestFit="1" customWidth="1"/>
    <col min="27" max="33" width="7.5703125" bestFit="1" customWidth="1"/>
  </cols>
  <sheetData>
    <row r="5" spans="4:33">
      <c r="D5" t="s">
        <v>0</v>
      </c>
      <c r="E5" s="244">
        <v>44774</v>
      </c>
      <c r="F5" s="244">
        <v>44805</v>
      </c>
      <c r="G5" s="244">
        <v>44835</v>
      </c>
      <c r="H5" s="244">
        <v>44866</v>
      </c>
      <c r="I5" s="244">
        <v>44896</v>
      </c>
      <c r="J5" s="244">
        <v>44927</v>
      </c>
      <c r="K5" s="244">
        <v>44958</v>
      </c>
      <c r="L5" s="244">
        <v>44986</v>
      </c>
      <c r="M5" s="244">
        <v>45017</v>
      </c>
      <c r="N5" s="244">
        <v>45047</v>
      </c>
      <c r="O5" s="244">
        <v>45078</v>
      </c>
      <c r="P5" s="244">
        <v>45108</v>
      </c>
      <c r="Q5" s="244">
        <v>45139</v>
      </c>
      <c r="R5" s="244">
        <v>45170</v>
      </c>
      <c r="S5" s="244">
        <v>45200</v>
      </c>
      <c r="T5" s="244">
        <v>45231</v>
      </c>
      <c r="U5" s="244">
        <v>45261</v>
      </c>
      <c r="V5" s="244">
        <v>45292</v>
      </c>
      <c r="W5" s="244">
        <v>45323</v>
      </c>
      <c r="X5" s="244">
        <v>45352</v>
      </c>
      <c r="Y5" s="244">
        <v>45383</v>
      </c>
      <c r="Z5" s="244">
        <v>45413</v>
      </c>
      <c r="AA5" s="244">
        <v>45444</v>
      </c>
      <c r="AB5" s="244">
        <v>45474</v>
      </c>
      <c r="AC5" s="244">
        <v>45505</v>
      </c>
      <c r="AD5" s="244">
        <v>45536</v>
      </c>
      <c r="AE5" s="244">
        <v>45566</v>
      </c>
      <c r="AF5" s="244">
        <v>45597</v>
      </c>
      <c r="AG5" s="244">
        <v>45627</v>
      </c>
    </row>
    <row r="6" spans="4:33">
      <c r="D6" t="s">
        <v>1</v>
      </c>
      <c r="E6">
        <f>'Performance Vendas'!E27</f>
        <v>3</v>
      </c>
      <c r="F6">
        <f>'Performance Vendas'!F27</f>
        <v>11</v>
      </c>
      <c r="G6">
        <f>'Performance Vendas'!G27</f>
        <v>8</v>
      </c>
      <c r="H6">
        <f>'Performance Vendas'!H27</f>
        <v>10</v>
      </c>
      <c r="I6">
        <f>'Performance Vendas'!I27</f>
        <v>12</v>
      </c>
      <c r="J6">
        <f>'Performance Vendas'!K27</f>
        <v>10</v>
      </c>
      <c r="K6">
        <f>'Performance Vendas'!L27</f>
        <v>8</v>
      </c>
      <c r="L6">
        <f>'Performance Vendas'!M27</f>
        <v>7</v>
      </c>
      <c r="M6">
        <f>'Performance Vendas'!N27</f>
        <v>6</v>
      </c>
      <c r="N6">
        <f>'Performance Vendas'!O27</f>
        <v>6</v>
      </c>
      <c r="O6">
        <f>'Performance Vendas'!P27</f>
        <v>9</v>
      </c>
      <c r="P6">
        <f>'Performance Vendas'!Q27</f>
        <v>11</v>
      </c>
      <c r="Q6">
        <f>'Performance Vendas'!R27</f>
        <v>7</v>
      </c>
      <c r="R6">
        <f>'Performance Vendas'!S27</f>
        <v>6</v>
      </c>
      <c r="S6">
        <f>'Performance Vendas'!T27</f>
        <v>10</v>
      </c>
      <c r="T6">
        <f>'Performance Vendas'!U27</f>
        <v>7</v>
      </c>
      <c r="U6">
        <f>'Performance Vendas'!V27</f>
        <v>4</v>
      </c>
      <c r="V6">
        <f>'Performance Vendas'!X27</f>
        <v>7</v>
      </c>
      <c r="W6">
        <f>'Performance Vendas'!Y27</f>
        <v>3</v>
      </c>
      <c r="X6">
        <f>'Performance Vendas'!Z27</f>
        <v>3</v>
      </c>
      <c r="Y6">
        <f>'Performance Vendas'!AA27</f>
        <v>5</v>
      </c>
      <c r="Z6">
        <f>'Performance Vendas'!AB27</f>
        <v>0</v>
      </c>
      <c r="AA6">
        <f>'Performance Vendas'!AC27</f>
        <v>0</v>
      </c>
      <c r="AB6">
        <f>'Performance Vendas'!AD27</f>
        <v>6</v>
      </c>
      <c r="AC6">
        <f>'Performance Vendas'!AE27</f>
        <v>5</v>
      </c>
      <c r="AD6">
        <f>'Performance Vendas'!AF27</f>
        <v>7</v>
      </c>
      <c r="AE6">
        <f>'Performance Vendas'!AG27</f>
        <v>1</v>
      </c>
      <c r="AF6">
        <f>'Performance Vendas'!AH27</f>
        <v>4</v>
      </c>
      <c r="AG6">
        <f>'Performance Vendas'!AI27</f>
        <v>3</v>
      </c>
    </row>
    <row r="7" spans="4:33">
      <c r="D7" t="s">
        <v>2</v>
      </c>
      <c r="E7">
        <f>'Performance Vendas'!E29</f>
        <v>0</v>
      </c>
      <c r="F7">
        <f>'Performance Vendas'!F29</f>
        <v>0</v>
      </c>
      <c r="G7">
        <f>'Performance Vendas'!G29</f>
        <v>1</v>
      </c>
      <c r="H7">
        <f>'Performance Vendas'!H29</f>
        <v>1</v>
      </c>
      <c r="I7">
        <f>'Performance Vendas'!I29</f>
        <v>5</v>
      </c>
      <c r="J7">
        <f>'Performance Vendas'!K29</f>
        <v>5</v>
      </c>
      <c r="K7">
        <f>'Performance Vendas'!L29</f>
        <v>0</v>
      </c>
      <c r="L7">
        <f>'Performance Vendas'!M29</f>
        <v>1</v>
      </c>
      <c r="M7">
        <f>'Performance Vendas'!N29</f>
        <v>0</v>
      </c>
      <c r="N7">
        <f>'Performance Vendas'!O29</f>
        <v>5</v>
      </c>
      <c r="O7">
        <f>'Performance Vendas'!P29</f>
        <v>3</v>
      </c>
      <c r="P7">
        <f>'Performance Vendas'!Q29</f>
        <v>5</v>
      </c>
      <c r="Q7">
        <f>'Performance Vendas'!R29</f>
        <v>10</v>
      </c>
      <c r="R7">
        <f>'Performance Vendas'!S29</f>
        <v>13</v>
      </c>
      <c r="S7">
        <f>'Performance Vendas'!T29</f>
        <v>15</v>
      </c>
      <c r="T7">
        <f>'Performance Vendas'!U29</f>
        <v>15</v>
      </c>
      <c r="U7">
        <f>'Performance Vendas'!V29</f>
        <v>5</v>
      </c>
      <c r="V7">
        <f>'Performance Vendas'!X29</f>
        <v>1</v>
      </c>
      <c r="W7">
        <f>'Performance Vendas'!Y29</f>
        <v>3</v>
      </c>
      <c r="X7">
        <f>'Performance Vendas'!Z29</f>
        <v>2</v>
      </c>
      <c r="Y7">
        <f>'Performance Vendas'!AA29</f>
        <v>3</v>
      </c>
      <c r="Z7">
        <f>'Performance Vendas'!AB29</f>
        <v>1</v>
      </c>
      <c r="AA7">
        <f>'Performance Vendas'!AC29</f>
        <v>2</v>
      </c>
      <c r="AB7">
        <f>'Performance Vendas'!AD29</f>
        <v>6</v>
      </c>
      <c r="AC7">
        <f>'Performance Vendas'!AE29</f>
        <v>13</v>
      </c>
      <c r="AD7">
        <f>'Performance Vendas'!AF29</f>
        <v>8</v>
      </c>
      <c r="AE7">
        <f>'Performance Vendas'!AG29</f>
        <v>0</v>
      </c>
      <c r="AF7">
        <f>'Performance Vendas'!AH29</f>
        <v>4</v>
      </c>
      <c r="AG7">
        <f>'Performance Vendas'!AI29</f>
        <v>3</v>
      </c>
    </row>
    <row r="10" spans="4:33">
      <c r="D10" t="s">
        <v>0</v>
      </c>
      <c r="E10" s="244">
        <v>44774</v>
      </c>
      <c r="F10" s="244">
        <v>44805</v>
      </c>
      <c r="G10" s="244">
        <v>44835</v>
      </c>
      <c r="H10" s="244">
        <v>44866</v>
      </c>
      <c r="I10" s="244">
        <v>44896</v>
      </c>
      <c r="J10" s="244">
        <v>44927</v>
      </c>
      <c r="K10" s="244">
        <v>44958</v>
      </c>
      <c r="L10" s="244">
        <v>44986</v>
      </c>
      <c r="M10" s="244">
        <v>45017</v>
      </c>
      <c r="N10" s="244">
        <v>45047</v>
      </c>
      <c r="O10" s="244">
        <v>45078</v>
      </c>
      <c r="P10" s="244">
        <v>45108</v>
      </c>
      <c r="Q10" s="244">
        <v>45139</v>
      </c>
      <c r="R10" s="244">
        <v>45170</v>
      </c>
      <c r="S10" s="244">
        <v>45200</v>
      </c>
      <c r="T10" s="244">
        <v>45231</v>
      </c>
      <c r="U10" s="244">
        <v>45261</v>
      </c>
      <c r="V10" s="244">
        <v>45292</v>
      </c>
      <c r="W10" s="244">
        <v>45323</v>
      </c>
      <c r="X10" s="244">
        <v>45352</v>
      </c>
      <c r="Y10" s="244">
        <v>45383</v>
      </c>
      <c r="Z10" s="244">
        <v>45413</v>
      </c>
      <c r="AA10" s="244">
        <v>45444</v>
      </c>
      <c r="AB10" s="244">
        <v>45474</v>
      </c>
      <c r="AC10" s="244">
        <v>45505</v>
      </c>
      <c r="AD10" s="244">
        <v>45536</v>
      </c>
      <c r="AE10" s="244">
        <v>45566</v>
      </c>
      <c r="AF10" s="244">
        <v>45597</v>
      </c>
      <c r="AG10" s="244">
        <v>45627</v>
      </c>
    </row>
    <row r="11" spans="4:33">
      <c r="D11" t="s">
        <v>1</v>
      </c>
      <c r="E11" s="245">
        <f>'Performance Vendas'!E26</f>
        <v>9332001</v>
      </c>
      <c r="F11" s="245">
        <f>'Performance Vendas'!F26</f>
        <v>6029248.2999999998</v>
      </c>
      <c r="G11" s="245">
        <f>'Performance Vendas'!G26</f>
        <v>10266880.18</v>
      </c>
      <c r="H11" s="245">
        <f>'Performance Vendas'!H26</f>
        <v>10541566</v>
      </c>
      <c r="I11" s="245">
        <f>'Performance Vendas'!I26</f>
        <v>6282740</v>
      </c>
      <c r="J11" s="245">
        <f>'Performance Vendas'!K26</f>
        <v>6317835</v>
      </c>
      <c r="K11" s="245">
        <f>'Performance Vendas'!L26</f>
        <v>4347825</v>
      </c>
      <c r="L11" s="245">
        <f>'Performance Vendas'!M26</f>
        <v>4491340</v>
      </c>
      <c r="M11" s="245">
        <f>'Performance Vendas'!N26</f>
        <v>13804596.76</v>
      </c>
      <c r="N11" s="245">
        <f>'Performance Vendas'!O26</f>
        <v>4016511.2</v>
      </c>
      <c r="O11" s="245">
        <f>'Performance Vendas'!P26</f>
        <v>9430833</v>
      </c>
      <c r="P11" s="245">
        <f>'Performance Vendas'!Q26</f>
        <v>11856492</v>
      </c>
      <c r="Q11" s="245">
        <f>'Performance Vendas'!R26</f>
        <v>6666175.0999999996</v>
      </c>
      <c r="R11" s="245">
        <f>'Performance Vendas'!S26</f>
        <v>2916300.02</v>
      </c>
      <c r="S11" s="245">
        <f>'Performance Vendas'!T26</f>
        <v>6163581.4900000002</v>
      </c>
      <c r="T11" s="245">
        <f>'Performance Vendas'!U26</f>
        <v>3303760.02</v>
      </c>
      <c r="U11" s="245">
        <f>'Performance Vendas'!V26</f>
        <v>4000420</v>
      </c>
      <c r="V11" s="245">
        <f>'Performance Vendas'!X26</f>
        <v>5031500</v>
      </c>
      <c r="W11" s="245">
        <f>'Performance Vendas'!Y26</f>
        <v>1313200</v>
      </c>
      <c r="X11" s="245">
        <f>'Performance Vendas'!Z26</f>
        <v>2626840</v>
      </c>
      <c r="Y11" s="245">
        <f>'Performance Vendas'!AA26</f>
        <v>4429850</v>
      </c>
      <c r="Z11" s="245">
        <f>'Performance Vendas'!AB26</f>
        <v>0</v>
      </c>
      <c r="AA11" s="245">
        <f>'Performance Vendas'!AC26</f>
        <v>0</v>
      </c>
      <c r="AB11" s="245">
        <f>'Performance Vendas'!AD26</f>
        <v>3927122.4000000004</v>
      </c>
      <c r="AC11" s="245">
        <f>'Performance Vendas'!AE26</f>
        <v>8919385.5899999999</v>
      </c>
      <c r="AD11" s="245">
        <f>'Performance Vendas'!AF26</f>
        <v>5425889.8299999991</v>
      </c>
      <c r="AE11" s="245">
        <f>'Performance Vendas'!AG26</f>
        <v>606000</v>
      </c>
      <c r="AF11" s="245">
        <f>'Performance Vendas'!AH26</f>
        <v>3348399.68</v>
      </c>
      <c r="AG11" s="245">
        <f>'Performance Vendas'!AI26</f>
        <v>1671644.85</v>
      </c>
    </row>
    <row r="12" spans="4:33">
      <c r="D12" t="s">
        <v>2</v>
      </c>
      <c r="E12" s="245">
        <f>'Performance Vendas'!E28</f>
        <v>0</v>
      </c>
      <c r="F12" s="245">
        <f>'Performance Vendas'!F28</f>
        <v>0</v>
      </c>
      <c r="G12" s="245">
        <f>'Performance Vendas'!G28</f>
        <v>495000</v>
      </c>
      <c r="H12" s="245">
        <f>'Performance Vendas'!H28</f>
        <v>451000</v>
      </c>
      <c r="I12" s="245">
        <f>'Performance Vendas'!I28</f>
        <v>6615000</v>
      </c>
      <c r="J12" s="245">
        <f>'Performance Vendas'!K28</f>
        <v>8350000</v>
      </c>
      <c r="K12" s="245">
        <f>'Performance Vendas'!L28</f>
        <v>0</v>
      </c>
      <c r="L12" s="245">
        <f>'Performance Vendas'!M28</f>
        <v>8000000</v>
      </c>
      <c r="M12" s="245">
        <f>'Performance Vendas'!N28</f>
        <v>0</v>
      </c>
      <c r="N12" s="245">
        <f>'Performance Vendas'!O28</f>
        <v>2257800</v>
      </c>
      <c r="O12" s="245">
        <f>'Performance Vendas'!P28</f>
        <v>1146000.3</v>
      </c>
      <c r="P12" s="245">
        <f>'Performance Vendas'!Q28</f>
        <v>1746266.63</v>
      </c>
      <c r="Q12" s="245">
        <f>'Performance Vendas'!R28</f>
        <v>3788854.16</v>
      </c>
      <c r="R12" s="245">
        <f>'Performance Vendas'!S28</f>
        <v>17291102.789999999</v>
      </c>
      <c r="S12" s="245">
        <f>'Performance Vendas'!T28</f>
        <v>16290910</v>
      </c>
      <c r="T12" s="245">
        <f>'Performance Vendas'!U28</f>
        <v>9409072</v>
      </c>
      <c r="U12" s="245">
        <f>'Performance Vendas'!V28</f>
        <v>5796625</v>
      </c>
      <c r="V12" s="245">
        <f>'Performance Vendas'!X28</f>
        <v>834130</v>
      </c>
      <c r="W12" s="245">
        <f>'Performance Vendas'!Y28</f>
        <v>1233520</v>
      </c>
      <c r="X12" s="245">
        <f>'Performance Vendas'!Z28</f>
        <v>784944</v>
      </c>
      <c r="Y12" s="245">
        <f>'Performance Vendas'!AA28</f>
        <v>1154000</v>
      </c>
      <c r="Z12" s="245">
        <f>'Performance Vendas'!AB28</f>
        <v>336240</v>
      </c>
      <c r="AA12" s="245">
        <f>'Performance Vendas'!AC28</f>
        <v>1379000</v>
      </c>
      <c r="AB12" s="245">
        <f>'Performance Vendas'!AD28</f>
        <v>3350850</v>
      </c>
      <c r="AC12" s="245">
        <f>'Performance Vendas'!AE28</f>
        <v>10555355.869999999</v>
      </c>
      <c r="AD12" s="245">
        <f>'Performance Vendas'!AF28</f>
        <v>4497093</v>
      </c>
      <c r="AE12" s="245">
        <f>'Performance Vendas'!AG28</f>
        <v>0</v>
      </c>
      <c r="AF12" s="245">
        <f>'Performance Vendas'!AH28</f>
        <v>3871200.12</v>
      </c>
      <c r="AG12" s="245">
        <f>'Performance Vendas'!AI28</f>
        <v>8276120</v>
      </c>
    </row>
    <row r="33" spans="4:33">
      <c r="D33" t="s">
        <v>3</v>
      </c>
      <c r="E33" s="244">
        <v>44774</v>
      </c>
      <c r="F33" s="244">
        <v>44805</v>
      </c>
      <c r="G33" s="244">
        <v>44835</v>
      </c>
      <c r="H33" s="244">
        <v>44866</v>
      </c>
      <c r="I33" s="244">
        <v>44896</v>
      </c>
      <c r="J33" s="244">
        <v>44927</v>
      </c>
      <c r="K33" s="244">
        <v>44958</v>
      </c>
      <c r="L33" s="244">
        <v>44986</v>
      </c>
      <c r="M33" s="244">
        <v>45017</v>
      </c>
      <c r="N33" s="244">
        <v>45047</v>
      </c>
      <c r="O33" s="244">
        <v>45078</v>
      </c>
      <c r="P33" s="244">
        <v>45108</v>
      </c>
      <c r="Q33" s="244">
        <v>45139</v>
      </c>
      <c r="R33" s="244">
        <v>45170</v>
      </c>
      <c r="S33" s="244">
        <v>45200</v>
      </c>
      <c r="T33" s="244">
        <v>45231</v>
      </c>
      <c r="U33" s="244">
        <v>45261</v>
      </c>
      <c r="V33" s="244">
        <v>45292</v>
      </c>
      <c r="W33" s="244">
        <v>45323</v>
      </c>
      <c r="X33" s="244">
        <v>45352</v>
      </c>
      <c r="Y33" s="244">
        <v>45383</v>
      </c>
      <c r="Z33" s="244">
        <v>45413</v>
      </c>
      <c r="AA33" s="244">
        <v>45444</v>
      </c>
      <c r="AB33" s="244">
        <v>45474</v>
      </c>
      <c r="AC33" s="244">
        <v>45505</v>
      </c>
      <c r="AD33" s="244">
        <v>45536</v>
      </c>
      <c r="AE33" s="244">
        <v>45566</v>
      </c>
      <c r="AF33" s="244">
        <v>45597</v>
      </c>
      <c r="AG33" s="244">
        <v>45627</v>
      </c>
    </row>
    <row r="34" spans="4:33">
      <c r="D34" t="s">
        <v>4</v>
      </c>
      <c r="E34" s="246">
        <f>'Performance Vendas'!E75</f>
        <v>-2.2845772307507388E-2</v>
      </c>
      <c r="F34" s="246">
        <f>'Performance Vendas'!F75</f>
        <v>-5.0664990668775348E-2</v>
      </c>
      <c r="G34" s="246">
        <f>'Performance Vendas'!G75</f>
        <v>-0.3425122759295291</v>
      </c>
      <c r="H34" s="246">
        <f>'Performance Vendas'!H75</f>
        <v>-0.49614521363352948</v>
      </c>
      <c r="I34" s="246">
        <f>'Performance Vendas'!I75</f>
        <v>-0.28888500436341535</v>
      </c>
      <c r="J34" s="246">
        <f>'Performance Vendas'!K75</f>
        <v>-0.35372453676930637</v>
      </c>
      <c r="K34" s="246">
        <f>'Performance Vendas'!L75</f>
        <v>0</v>
      </c>
      <c r="L34" s="246">
        <f>'Performance Vendas'!M75</f>
        <v>-0.14355237482739186</v>
      </c>
      <c r="M34" s="246">
        <f>'Performance Vendas'!N75</f>
        <v>-0.17764172468273434</v>
      </c>
      <c r="N34" s="246">
        <f>'Performance Vendas'!O75</f>
        <v>0</v>
      </c>
      <c r="O34" s="246">
        <f>'Performance Vendas'!P75</f>
        <v>-0.11626731363067418</v>
      </c>
      <c r="P34" s="246">
        <f>'Performance Vendas'!Q75</f>
        <v>0</v>
      </c>
      <c r="Q34" s="246">
        <f>'Performance Vendas'!R75</f>
        <v>-3.0664603346617789E-2</v>
      </c>
      <c r="R34" s="246">
        <f>'Performance Vendas'!S75</f>
        <v>-1.7790384161015461E-2</v>
      </c>
      <c r="S34" s="246">
        <f>'Performance Vendas'!T75</f>
        <v>-3.0891329251338893E-2</v>
      </c>
      <c r="T34" s="246">
        <f>'Performance Vendas'!U75</f>
        <v>-6.519910841199128E-2</v>
      </c>
      <c r="U34" s="246">
        <f>'Performance Vendas'!V75</f>
        <v>-1.6100994568625005E-2</v>
      </c>
      <c r="V34" s="246">
        <f>'Performance Vendas'!X75</f>
        <v>0</v>
      </c>
      <c r="W34" s="246">
        <f>'Performance Vendas'!Y75</f>
        <v>-0.17228853514476228</v>
      </c>
      <c r="X34" s="246">
        <f>'Performance Vendas'!Z75</f>
        <v>0</v>
      </c>
      <c r="Y34" s="246">
        <f>'Performance Vendas'!AA75</f>
        <v>0</v>
      </c>
      <c r="Z34" s="246">
        <f>'Performance Vendas'!AB75</f>
        <v>0</v>
      </c>
      <c r="AA34" s="246">
        <f>'Performance Vendas'!AC75</f>
        <v>0</v>
      </c>
      <c r="AB34" s="246">
        <f>'Performance Vendas'!AD75</f>
        <v>0</v>
      </c>
      <c r="AC34" s="246">
        <f>'Performance Vendas'!AE75</f>
        <v>0</v>
      </c>
      <c r="AD34" s="246">
        <f>'Performance Vendas'!AF75</f>
        <v>0</v>
      </c>
      <c r="AE34" s="246">
        <f>'Performance Vendas'!AG75</f>
        <v>0</v>
      </c>
      <c r="AF34" s="246">
        <f>'Performance Vendas'!AH75</f>
        <v>0</v>
      </c>
      <c r="AG34" s="246">
        <f>'Performance Vendas'!AI75</f>
        <v>0</v>
      </c>
    </row>
    <row r="52" spans="4:33">
      <c r="D52" t="s">
        <v>5</v>
      </c>
      <c r="E52" s="244">
        <v>44774</v>
      </c>
      <c r="F52" s="244">
        <v>44805</v>
      </c>
      <c r="G52" s="244">
        <v>44835</v>
      </c>
      <c r="H52" s="244">
        <v>44866</v>
      </c>
      <c r="I52" s="244">
        <v>44896</v>
      </c>
      <c r="J52" s="244">
        <v>44927</v>
      </c>
      <c r="K52" s="244">
        <v>44958</v>
      </c>
      <c r="L52" s="244">
        <v>44986</v>
      </c>
      <c r="M52" s="244">
        <v>45017</v>
      </c>
      <c r="N52" s="244">
        <v>45047</v>
      </c>
      <c r="O52" s="244">
        <v>45078</v>
      </c>
      <c r="P52" s="244">
        <v>45108</v>
      </c>
      <c r="Q52" s="244">
        <v>45139</v>
      </c>
      <c r="R52" s="244">
        <v>45170</v>
      </c>
      <c r="S52" s="244">
        <v>45200</v>
      </c>
      <c r="T52" s="244">
        <v>45231</v>
      </c>
      <c r="U52" s="244">
        <v>45261</v>
      </c>
      <c r="V52" s="244">
        <v>45292</v>
      </c>
      <c r="W52" s="244">
        <v>45323</v>
      </c>
      <c r="X52" s="244">
        <v>45352</v>
      </c>
      <c r="Y52" s="244">
        <v>45383</v>
      </c>
      <c r="Z52" s="244">
        <v>45413</v>
      </c>
      <c r="AA52" s="244">
        <v>45444</v>
      </c>
      <c r="AB52" s="244">
        <v>45474</v>
      </c>
      <c r="AC52" s="244">
        <v>45505</v>
      </c>
      <c r="AD52" s="244">
        <v>45536</v>
      </c>
      <c r="AE52" s="244">
        <v>45566</v>
      </c>
      <c r="AF52" s="244">
        <v>45597</v>
      </c>
      <c r="AG52" s="244">
        <v>45627</v>
      </c>
    </row>
    <row r="53" spans="4:33">
      <c r="D53" t="s">
        <v>6</v>
      </c>
      <c r="E53">
        <f>'Performance Vendas'!E90</f>
        <v>3</v>
      </c>
      <c r="F53">
        <f>'Performance Vendas'!F90</f>
        <v>0.99999999999999989</v>
      </c>
      <c r="G53">
        <f>'Performance Vendas'!G90</f>
        <v>2</v>
      </c>
      <c r="H53">
        <f>'Performance Vendas'!H90</f>
        <v>2.0000000000000004</v>
      </c>
      <c r="I53">
        <f>'Performance Vendas'!I90</f>
        <v>1</v>
      </c>
      <c r="J53">
        <f>'Performance Vendas'!K90</f>
        <v>1</v>
      </c>
      <c r="K53">
        <f>'Performance Vendas'!L90</f>
        <v>0</v>
      </c>
      <c r="L53">
        <f>'Performance Vendas'!M90</f>
        <v>1</v>
      </c>
      <c r="M53">
        <f>'Performance Vendas'!N90</f>
        <v>2</v>
      </c>
      <c r="N53">
        <f>'Performance Vendas'!O90</f>
        <v>0</v>
      </c>
      <c r="O53">
        <f>'Performance Vendas'!P90</f>
        <v>1</v>
      </c>
      <c r="P53">
        <f>'Performance Vendas'!Q90</f>
        <v>1</v>
      </c>
      <c r="Q53">
        <f>'Performance Vendas'!R90</f>
        <v>0.99999999999999989</v>
      </c>
      <c r="R53">
        <f>'Performance Vendas'!S90</f>
        <v>2</v>
      </c>
      <c r="S53">
        <f>'Performance Vendas'!T90</f>
        <v>4.0000000000000018</v>
      </c>
      <c r="T53">
        <f>'Performance Vendas'!U90</f>
        <v>0</v>
      </c>
      <c r="U53">
        <f>'Performance Vendas'!V90</f>
        <v>4</v>
      </c>
      <c r="V53">
        <f>'Performance Vendas'!X90</f>
        <v>1</v>
      </c>
      <c r="W53">
        <f>'Performance Vendas'!Y90</f>
        <v>0</v>
      </c>
      <c r="X53">
        <f>'Performance Vendas'!Z90</f>
        <v>1</v>
      </c>
      <c r="Y53">
        <f>'Performance Vendas'!AA90</f>
        <v>2</v>
      </c>
      <c r="Z53">
        <f>'Performance Vendas'!AB90</f>
        <v>0</v>
      </c>
      <c r="AA53">
        <f>'Performance Vendas'!AC90</f>
        <v>0</v>
      </c>
      <c r="AB53">
        <f>'Performance Vendas'!AD90</f>
        <v>0.99999999999999989</v>
      </c>
      <c r="AC53">
        <f>'Performance Vendas'!AE90</f>
        <v>3.0000000000000018</v>
      </c>
      <c r="AD53">
        <f>'Performance Vendas'!AF90</f>
        <v>1</v>
      </c>
      <c r="AE53">
        <f>'Performance Vendas'!AG90</f>
        <v>0.99999999999999989</v>
      </c>
      <c r="AF53">
        <f>'Performance Vendas'!AH90</f>
        <v>0</v>
      </c>
      <c r="AG53">
        <f>'Performance Vendas'!AI90</f>
        <v>1</v>
      </c>
    </row>
    <row r="54" spans="4:33">
      <c r="D54" t="s">
        <v>7</v>
      </c>
      <c r="E54">
        <f>SUM('Performance Vendas'!E93,'Performance Vendas'!E96,'Performance Vendas'!E99)</f>
        <v>2</v>
      </c>
      <c r="F54">
        <f>SUM('Performance Vendas'!F93,'Performance Vendas'!F96,'Performance Vendas'!F99)</f>
        <v>10</v>
      </c>
      <c r="G54">
        <f>SUM('Performance Vendas'!G93,'Performance Vendas'!G96,'Performance Vendas'!G99)</f>
        <v>7</v>
      </c>
      <c r="H54">
        <f>SUM('Performance Vendas'!H93,'Performance Vendas'!H96,'Performance Vendas'!H99)</f>
        <v>10</v>
      </c>
      <c r="I54">
        <f>SUM('Performance Vendas'!I93,'Performance Vendas'!I96,'Performance Vendas'!I99)</f>
        <v>18</v>
      </c>
      <c r="J54">
        <f>SUM('Performance Vendas'!K93,'Performance Vendas'!K96,'Performance Vendas'!K99)</f>
        <v>16</v>
      </c>
      <c r="K54">
        <f>SUM('Performance Vendas'!L93,'Performance Vendas'!L96,'Performance Vendas'!L99)</f>
        <v>9</v>
      </c>
      <c r="L54">
        <f>SUM('Performance Vendas'!M93,'Performance Vendas'!M96,'Performance Vendas'!M99)</f>
        <v>8</v>
      </c>
      <c r="M54">
        <f>SUM('Performance Vendas'!N93,'Performance Vendas'!N96,'Performance Vendas'!N99)</f>
        <v>4</v>
      </c>
      <c r="N54">
        <f>SUM('Performance Vendas'!O93,'Performance Vendas'!O96,'Performance Vendas'!O99)</f>
        <v>18</v>
      </c>
      <c r="O54">
        <f>SUM('Performance Vendas'!P93,'Performance Vendas'!P96,'Performance Vendas'!P99)</f>
        <v>18.5</v>
      </c>
      <c r="P54">
        <f>SUM('Performance Vendas'!Q93,'Performance Vendas'!Q96,'Performance Vendas'!Q99)</f>
        <v>16</v>
      </c>
      <c r="Q54">
        <f>SUM('Performance Vendas'!R93,'Performance Vendas'!R96,'Performance Vendas'!R99)</f>
        <v>22</v>
      </c>
      <c r="R54">
        <f>SUM('Performance Vendas'!S93,'Performance Vendas'!S96,'Performance Vendas'!S99)</f>
        <v>22</v>
      </c>
      <c r="S54">
        <f>SUM('Performance Vendas'!T93,'Performance Vendas'!T96,'Performance Vendas'!T99)</f>
        <v>26</v>
      </c>
      <c r="T54">
        <f>SUM('Performance Vendas'!U93,'Performance Vendas'!U96,'Performance Vendas'!U99)</f>
        <v>27.5</v>
      </c>
      <c r="U54">
        <f>SUM('Performance Vendas'!V93,'Performance Vendas'!V96,'Performance Vendas'!V99)</f>
        <v>11.5</v>
      </c>
      <c r="V54">
        <f>SUM('Performance Vendas'!X93,'Performance Vendas'!X96,'Performance Vendas'!X99)</f>
        <v>10</v>
      </c>
      <c r="W54">
        <f>SUM('Performance Vendas'!Y93,'Performance Vendas'!Y96,'Performance Vendas'!Y99)</f>
        <v>10</v>
      </c>
      <c r="X54">
        <f>SUM('Performance Vendas'!Z93,'Performance Vendas'!Z96,'Performance Vendas'!Z99)</f>
        <v>7</v>
      </c>
      <c r="Y54">
        <f>SUM('Performance Vendas'!AA93,'Performance Vendas'!AA96,'Performance Vendas'!AA99)</f>
        <v>12</v>
      </c>
      <c r="Z54">
        <f>SUM('Performance Vendas'!AB93,'Performance Vendas'!AB96,'Performance Vendas'!AB99)</f>
        <v>3.5</v>
      </c>
      <c r="AA54">
        <f>SUM('Performance Vendas'!AC93,'Performance Vendas'!AC96,'Performance Vendas'!AC99)</f>
        <v>5</v>
      </c>
      <c r="AB54">
        <f>SUM('Performance Vendas'!AD93,'Performance Vendas'!AD96,'Performance Vendas'!AD99)</f>
        <v>23</v>
      </c>
      <c r="AC54">
        <f>SUM('Performance Vendas'!AE93,'Performance Vendas'!AE96,'Performance Vendas'!AE99)</f>
        <v>28</v>
      </c>
      <c r="AD54">
        <f>SUM('Performance Vendas'!AF93,'Performance Vendas'!AF96,'Performance Vendas'!AF99)</f>
        <v>28.5</v>
      </c>
      <c r="AE54">
        <f>SUM('Performance Vendas'!AG93,'Performance Vendas'!AG96,'Performance Vendas'!AG99)</f>
        <v>0.5</v>
      </c>
      <c r="AF54">
        <f>SUM('Performance Vendas'!AH93,'Performance Vendas'!AH96,'Performance Vendas'!AH99)</f>
        <v>11</v>
      </c>
      <c r="AG54">
        <f>SUM('Performance Vendas'!AI93,'Performance Vendas'!AI96,'Performance Vendas'!AI99)</f>
        <v>11</v>
      </c>
    </row>
    <row r="74" spans="4:12">
      <c r="D74" t="s">
        <v>8</v>
      </c>
      <c r="E74">
        <v>2022</v>
      </c>
      <c r="F74">
        <v>2023</v>
      </c>
      <c r="G74">
        <v>2024</v>
      </c>
      <c r="H74" s="244" t="s">
        <v>9</v>
      </c>
      <c r="I74" s="244" t="s">
        <v>10</v>
      </c>
      <c r="J74" s="244" t="s">
        <v>11</v>
      </c>
      <c r="K74" s="244" t="s">
        <v>12</v>
      </c>
      <c r="L74" s="244" t="s">
        <v>13</v>
      </c>
    </row>
    <row r="75" spans="4:12" s="246" customFormat="1">
      <c r="D75" t="s">
        <v>10</v>
      </c>
      <c r="E75" s="246">
        <f>'Performance Vendas'!J111</f>
        <v>0.11018484287831086</v>
      </c>
      <c r="F75" s="246">
        <f>'Performance Vendas'!W111</f>
        <v>0.16557945984594671</v>
      </c>
      <c r="G75" s="246">
        <f>'Performance Vendas'!AJ111</f>
        <v>0.13878624470440898</v>
      </c>
      <c r="H75">
        <v>2022</v>
      </c>
      <c r="I75" s="246">
        <f>E75</f>
        <v>0.11018484287831086</v>
      </c>
      <c r="J75" s="246">
        <f>E76</f>
        <v>0.29768208674472657</v>
      </c>
      <c r="K75" s="246">
        <f>E77</f>
        <v>0.33391767336965011</v>
      </c>
      <c r="L75" s="246">
        <f>E78</f>
        <v>0.25821539700731244</v>
      </c>
    </row>
    <row r="76" spans="4:12" s="246" customFormat="1">
      <c r="D76" t="s">
        <v>11</v>
      </c>
      <c r="E76" s="246">
        <f>'Performance Vendas'!J113</f>
        <v>0.29768208674472657</v>
      </c>
      <c r="F76" s="246">
        <f>'Performance Vendas'!W113</f>
        <v>0.2978739538032168</v>
      </c>
      <c r="G76" s="246">
        <f>'Performance Vendas'!AJ113</f>
        <v>0.46198767538198632</v>
      </c>
      <c r="H76">
        <v>2023</v>
      </c>
      <c r="I76" s="246">
        <f>F75</f>
        <v>0.16557945984594671</v>
      </c>
      <c r="J76" s="246">
        <f>F76</f>
        <v>0.2978739538032168</v>
      </c>
      <c r="K76" s="246">
        <f>F77</f>
        <v>0.51339694413118053</v>
      </c>
      <c r="L76" s="246">
        <f>F78</f>
        <v>2.3149642219655948E-2</v>
      </c>
    </row>
    <row r="77" spans="4:12" s="246" customFormat="1">
      <c r="D77" t="s">
        <v>12</v>
      </c>
      <c r="E77" s="246">
        <f>'Performance Vendas'!J115</f>
        <v>0.33391767336965011</v>
      </c>
      <c r="F77" s="246">
        <f>'Performance Vendas'!W115</f>
        <v>0.51339694413118053</v>
      </c>
      <c r="G77" s="246">
        <f>'Performance Vendas'!AJ115</f>
        <v>0.39922607991360476</v>
      </c>
      <c r="H77">
        <v>2024</v>
      </c>
      <c r="I77" s="246">
        <f>G75</f>
        <v>0.13878624470440898</v>
      </c>
      <c r="J77" s="246">
        <f>G76</f>
        <v>0.46198767538198632</v>
      </c>
      <c r="K77" s="246">
        <f>G77</f>
        <v>0.39922607991360476</v>
      </c>
      <c r="L77" s="246">
        <f>G78</f>
        <v>0</v>
      </c>
    </row>
    <row r="78" spans="4:12" s="246" customFormat="1">
      <c r="D78" t="s">
        <v>13</v>
      </c>
      <c r="E78" s="246">
        <f>'Performance Vendas'!J117</f>
        <v>0.25821539700731244</v>
      </c>
      <c r="F78" s="246">
        <f>'Performance Vendas'!W117</f>
        <v>2.3149642219655948E-2</v>
      </c>
      <c r="G78" s="246">
        <f>'Performance Vendas'!AJ117</f>
        <v>0</v>
      </c>
    </row>
    <row r="100" spans="4:5">
      <c r="D100" t="s">
        <v>14</v>
      </c>
      <c r="E100" t="s">
        <v>15</v>
      </c>
    </row>
    <row r="101" spans="4:5">
      <c r="D101" t="str">
        <f>'Performance Vendas'!B142</f>
        <v>Sul</v>
      </c>
      <c r="E101" s="246">
        <f>'Performance Vendas'!AY142</f>
        <v>0.57882004051337843</v>
      </c>
    </row>
    <row r="102" spans="4:5">
      <c r="D102" t="str">
        <f>'Performance Vendas'!B146</f>
        <v>Sudeste</v>
      </c>
      <c r="E102" s="246">
        <f>'Performance Vendas'!AY146</f>
        <v>0.29250366331311417</v>
      </c>
    </row>
    <row r="103" spans="4:5">
      <c r="D103" t="str">
        <f>'Performance Vendas'!B151</f>
        <v>Nordeste</v>
      </c>
      <c r="E103" s="246">
        <f>'Performance Vendas'!AY151</f>
        <v>3.2247013882777301E-2</v>
      </c>
    </row>
    <row r="104" spans="4:5">
      <c r="D104" t="str">
        <f>'Performance Vendas'!B159</f>
        <v>Centro-Oeste</v>
      </c>
      <c r="E104" s="246">
        <f>'Performance Vendas'!AY159</f>
        <v>8.6117044341747565E-2</v>
      </c>
    </row>
    <row r="105" spans="4:5">
      <c r="D105" t="str">
        <f>'Performance Vendas'!B164</f>
        <v>Norte</v>
      </c>
      <c r="E105" s="246">
        <f>'Performance Vendas'!AY164</f>
        <v>1.0312237948982643E-2</v>
      </c>
    </row>
    <row r="106" spans="4:5">
      <c r="D106" t="str">
        <f>'Performance Vendas'!B169</f>
        <v>EUA</v>
      </c>
      <c r="E106" s="246">
        <f>'Performance Vendas'!AY169</f>
        <v>7.7928221964192385E-4</v>
      </c>
    </row>
    <row r="120" spans="4:5">
      <c r="D120" t="s">
        <v>16</v>
      </c>
      <c r="E120" t="s">
        <v>17</v>
      </c>
    </row>
    <row r="121" spans="4:5">
      <c r="D121" t="s">
        <v>18</v>
      </c>
      <c r="E121" s="246">
        <f>'Performance Vendas'!AY123</f>
        <v>0.27836060550159103</v>
      </c>
    </row>
    <row r="122" spans="4:5">
      <c r="D122" t="s">
        <v>19</v>
      </c>
      <c r="E122" s="246">
        <f>'Performance Vendas'!AY126</f>
        <v>0.50225696776479789</v>
      </c>
    </row>
    <row r="123" spans="4:5">
      <c r="D123" t="s">
        <v>20</v>
      </c>
      <c r="E123" s="246">
        <f>'Performance Vendas'!AY131</f>
        <v>0.21337790651918356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CB14-6109-4720-87DD-C43978E1C5AD}">
  <sheetPr>
    <tabColor rgb="FFA5A5A5"/>
  </sheetPr>
  <dimension ref="A1:L146"/>
  <sheetViews>
    <sheetView showGridLines="0" zoomScaleNormal="100" workbookViewId="0">
      <selection activeCell="O11" sqref="O11"/>
    </sheetView>
  </sheetViews>
  <sheetFormatPr defaultColWidth="14.42578125" defaultRowHeight="15" customHeight="1"/>
  <cols>
    <col min="1" max="1" width="2.28515625" style="8" customWidth="1"/>
    <col min="2" max="2" width="7.85546875" bestFit="1" customWidth="1"/>
    <col min="3" max="3" width="17.7109375" bestFit="1" customWidth="1"/>
    <col min="4" max="4" width="16.42578125" bestFit="1" customWidth="1"/>
    <col min="5" max="5" width="6.42578125" bestFit="1" customWidth="1"/>
    <col min="6" max="6" width="2.85546875" customWidth="1"/>
    <col min="7" max="7" width="10.28515625" bestFit="1" customWidth="1"/>
    <col min="8" max="8" width="17.7109375" bestFit="1" customWidth="1"/>
    <col min="9" max="9" width="16.42578125" bestFit="1" customWidth="1"/>
    <col min="10" max="10" width="8.140625" bestFit="1" customWidth="1"/>
    <col min="11" max="11" width="16.42578125" bestFit="1" customWidth="1"/>
    <col min="12" max="12" width="7" bestFit="1" customWidth="1"/>
  </cols>
  <sheetData>
    <row r="1" spans="1:12"/>
    <row r="2" spans="1:12"/>
    <row r="3" spans="1:12" ht="3.75" customHeight="1">
      <c r="B3" s="87"/>
      <c r="C3" s="87"/>
      <c r="D3" s="87"/>
      <c r="E3" s="87"/>
      <c r="G3" s="87"/>
      <c r="H3" s="87"/>
      <c r="I3" s="87"/>
      <c r="J3" s="87"/>
      <c r="K3" s="87"/>
    </row>
    <row r="4" spans="1:12">
      <c r="A4" s="177"/>
      <c r="B4" s="455" t="s">
        <v>21</v>
      </c>
      <c r="C4" s="455"/>
      <c r="D4" s="455"/>
      <c r="E4" s="455"/>
      <c r="F4" s="87"/>
      <c r="G4" s="447" t="s">
        <v>22</v>
      </c>
      <c r="H4" s="274">
        <v>2023</v>
      </c>
      <c r="I4" s="274">
        <v>2024</v>
      </c>
      <c r="J4" s="274" t="s">
        <v>15</v>
      </c>
      <c r="K4" s="274">
        <v>2025</v>
      </c>
      <c r="L4" s="274" t="s">
        <v>15</v>
      </c>
    </row>
    <row r="5" spans="1:12">
      <c r="B5" s="285" t="s">
        <v>23</v>
      </c>
      <c r="C5" s="285" t="s">
        <v>24</v>
      </c>
      <c r="D5" s="285" t="s">
        <v>25</v>
      </c>
      <c r="E5" s="285" t="s">
        <v>15</v>
      </c>
      <c r="F5" s="280"/>
      <c r="G5" s="274" t="s">
        <v>26</v>
      </c>
      <c r="H5" s="273">
        <f>'Performance Vendas'!$K$15</f>
        <v>16572999.59</v>
      </c>
      <c r="I5" s="278">
        <f>'Performance Vendas'!$X$15</f>
        <v>19193891.564000003</v>
      </c>
      <c r="J5" s="275">
        <f>I5/H5-1</f>
        <v>0.15814228195488678</v>
      </c>
      <c r="K5" s="278">
        <f>'Performance Vendas'!$AK$15</f>
        <v>9980222.2199999988</v>
      </c>
      <c r="L5" s="293">
        <f>K5/I5-1</f>
        <v>-0.48003133253504104</v>
      </c>
    </row>
    <row r="6" spans="1:12" s="87" customFormat="1">
      <c r="A6" s="177"/>
      <c r="B6" s="281">
        <v>45322</v>
      </c>
      <c r="C6" s="277">
        <v>30000000</v>
      </c>
      <c r="D6" s="278">
        <f>'Performance Vendas'!$X$15</f>
        <v>19193891.564000003</v>
      </c>
      <c r="E6" s="279">
        <f>D6/C6</f>
        <v>0.63979638546666673</v>
      </c>
      <c r="F6" s="282"/>
      <c r="G6" s="274" t="s">
        <v>27</v>
      </c>
      <c r="H6" s="273">
        <f>'Performance Vendas'!$L$15</f>
        <v>4633154.25</v>
      </c>
      <c r="I6" s="278">
        <f>'Performance Vendas'!$Y$15</f>
        <v>4530065.71</v>
      </c>
      <c r="J6" s="275">
        <f>I6/H6-1</f>
        <v>-2.2250185173524062E-2</v>
      </c>
      <c r="K6" s="278">
        <f>'Performance Vendas'!$AL$15</f>
        <v>6937098.2100000009</v>
      </c>
      <c r="L6" s="275">
        <f>K6/I6-1</f>
        <v>0.5313460453093517</v>
      </c>
    </row>
    <row r="7" spans="1:12" s="272" customFormat="1" ht="12.75">
      <c r="A7" s="271"/>
      <c r="B7" s="281">
        <f>EOMONTH(B6,1)</f>
        <v>45351</v>
      </c>
      <c r="C7" s="277">
        <v>30000000</v>
      </c>
      <c r="D7" s="278">
        <f>'Performance Vendas'!$Y$15</f>
        <v>4530065.71</v>
      </c>
      <c r="E7" s="279">
        <f t="shared" ref="E7:E13" si="0">D7/C7</f>
        <v>0.15100219033333334</v>
      </c>
      <c r="F7" s="283"/>
      <c r="G7" s="274" t="s">
        <v>28</v>
      </c>
      <c r="H7" s="273">
        <f>'Performance Vendas'!$M$15</f>
        <v>16442595.493000001</v>
      </c>
      <c r="I7" s="278">
        <f>'Performance Vendas'!$Z$15</f>
        <v>12437879.16</v>
      </c>
      <c r="J7" s="293">
        <f>I7/H7-1</f>
        <v>-0.24355743195804469</v>
      </c>
      <c r="K7" s="278">
        <f>'Performance Vendas'!$AM$15</f>
        <v>402817.88</v>
      </c>
      <c r="L7" s="279"/>
    </row>
    <row r="8" spans="1:12" s="87" customFormat="1">
      <c r="A8" s="177"/>
      <c r="B8" s="281">
        <f t="shared" ref="B8:B17" si="1">EOMONTH(B7,1)</f>
        <v>45382</v>
      </c>
      <c r="C8" s="277">
        <v>30000000</v>
      </c>
      <c r="D8" s="278">
        <f>'Performance Vendas'!$Z$15</f>
        <v>12437879.16</v>
      </c>
      <c r="E8" s="279">
        <f t="shared" si="0"/>
        <v>0.41459597199999998</v>
      </c>
      <c r="F8" s="282"/>
      <c r="G8" s="274" t="s">
        <v>29</v>
      </c>
      <c r="H8" s="273">
        <f>'Performance Vendas'!$N$15</f>
        <v>15566000</v>
      </c>
      <c r="I8" s="278">
        <f>'Performance Vendas'!$AA$15</f>
        <v>13834404.690000001</v>
      </c>
      <c r="J8" s="376">
        <f>I8/H8-1</f>
        <v>-0.11124215019915196</v>
      </c>
      <c r="K8" s="278">
        <f>'Performance Vendas'!$AN$15</f>
        <v>0</v>
      </c>
      <c r="L8" s="279"/>
    </row>
    <row r="9" spans="1:12" s="88" customFormat="1" ht="12.75">
      <c r="A9" s="177"/>
      <c r="B9" s="281">
        <f t="shared" si="1"/>
        <v>45412</v>
      </c>
      <c r="C9" s="277">
        <v>30000000</v>
      </c>
      <c r="D9" s="278">
        <f>'Performance Vendas'!$AA$15</f>
        <v>13834404.690000001</v>
      </c>
      <c r="E9" s="279">
        <f t="shared" si="0"/>
        <v>0.46114682300000004</v>
      </c>
      <c r="F9" s="282"/>
      <c r="G9" s="274" t="s">
        <v>30</v>
      </c>
      <c r="H9" s="273">
        <f>'Performance Vendas'!$O$15</f>
        <v>11101293.208749998</v>
      </c>
      <c r="I9" s="278">
        <f>'Performance Vendas'!$AB$15</f>
        <v>1657455.77</v>
      </c>
      <c r="J9" s="293">
        <f>I9/H9-1</f>
        <v>-0.85069705494368897</v>
      </c>
      <c r="K9" s="278">
        <f>'Performance Vendas'!$AO$15</f>
        <v>0</v>
      </c>
      <c r="L9" s="279"/>
    </row>
    <row r="10" spans="1:12" s="87" customFormat="1">
      <c r="A10" s="177"/>
      <c r="B10" s="281">
        <f t="shared" si="1"/>
        <v>45443</v>
      </c>
      <c r="C10" s="277">
        <v>30000000</v>
      </c>
      <c r="D10" s="278">
        <f>'Performance Vendas'!$AB$15</f>
        <v>1657455.77</v>
      </c>
      <c r="E10" s="279">
        <f t="shared" si="0"/>
        <v>5.5248525666666666E-2</v>
      </c>
      <c r="F10" s="282"/>
      <c r="G10" s="274" t="s">
        <v>31</v>
      </c>
      <c r="H10" s="273">
        <f>'Performance Vendas'!$P15</f>
        <v>17029199.466000002</v>
      </c>
      <c r="I10" s="278">
        <f>'Performance Vendas'!$AC$15</f>
        <v>2352582.48</v>
      </c>
      <c r="J10" s="293">
        <f>I10/H10-1</f>
        <v>-0.86185008375190519</v>
      </c>
      <c r="K10" s="278">
        <f>'Performance Vendas'!$AP$15</f>
        <v>0</v>
      </c>
      <c r="L10" s="279"/>
    </row>
    <row r="11" spans="1:12" s="88" customFormat="1" ht="12.75">
      <c r="A11" s="177"/>
      <c r="B11" s="281">
        <f t="shared" si="1"/>
        <v>45473</v>
      </c>
      <c r="C11" s="277">
        <v>30000000</v>
      </c>
      <c r="D11" s="278">
        <f>'Performance Vendas'!$AC$15</f>
        <v>2352582.48</v>
      </c>
      <c r="E11" s="279">
        <f t="shared" si="0"/>
        <v>7.8419416000000006E-2</v>
      </c>
      <c r="F11" s="282"/>
      <c r="G11" s="274" t="s">
        <v>32</v>
      </c>
      <c r="H11" s="273">
        <f>'Performance Vendas'!$Q$15</f>
        <v>15362969.162999999</v>
      </c>
      <c r="I11" s="278">
        <f>'Performance Vendas'!$AD$15</f>
        <v>12688096.710000001</v>
      </c>
      <c r="J11" s="376">
        <f>I11/H11-1</f>
        <v>-0.17411168535325383</v>
      </c>
      <c r="K11" s="278">
        <f>'Performance Vendas'!$AQ$15</f>
        <v>0</v>
      </c>
      <c r="L11" s="279"/>
    </row>
    <row r="12" spans="1:12">
      <c r="B12" s="281">
        <f t="shared" si="1"/>
        <v>45504</v>
      </c>
      <c r="C12" s="277">
        <v>6000000</v>
      </c>
      <c r="D12" s="278">
        <f>'Performance Vendas'!$AD$15</f>
        <v>12688096.710000001</v>
      </c>
      <c r="E12" s="279">
        <f t="shared" si="0"/>
        <v>2.1146827850000003</v>
      </c>
      <c r="F12" s="282"/>
      <c r="G12" s="274" t="s">
        <v>33</v>
      </c>
      <c r="H12" s="273">
        <f>'Performance Vendas'!$R$15</f>
        <v>13685813.389999999</v>
      </c>
      <c r="I12" s="278">
        <f>'Performance Vendas'!$AE$15</f>
        <v>23001650.100000001</v>
      </c>
      <c r="J12" s="275">
        <f>I12/H12-1</f>
        <v>0.68069295149142794</v>
      </c>
      <c r="K12" s="278">
        <f>'Performance Vendas'!$AR$15</f>
        <v>0</v>
      </c>
      <c r="L12" s="279"/>
    </row>
    <row r="13" spans="1:12" s="84" customFormat="1" ht="12.75">
      <c r="A13" s="8"/>
      <c r="B13" s="281">
        <f t="shared" si="1"/>
        <v>45535</v>
      </c>
      <c r="C13" s="277">
        <v>6000000</v>
      </c>
      <c r="D13" s="278">
        <f>'Performance Vendas'!$AE$15</f>
        <v>23001650.100000001</v>
      </c>
      <c r="E13" s="279">
        <f t="shared" si="0"/>
        <v>3.8336083500000004</v>
      </c>
      <c r="F13" s="282"/>
      <c r="G13" s="274" t="s">
        <v>34</v>
      </c>
      <c r="H13" s="273">
        <f>'Performance Vendas'!$S$15</f>
        <v>23955691.252000004</v>
      </c>
      <c r="I13" s="278">
        <f>'Performance Vendas'!$AF$15</f>
        <v>20367434.07</v>
      </c>
      <c r="J13" s="376">
        <f>I13/H13-1</f>
        <v>-0.14978725281828087</v>
      </c>
      <c r="K13" s="278">
        <f>'Performance Vendas'!$AS$15</f>
        <v>0</v>
      </c>
      <c r="L13" s="279"/>
    </row>
    <row r="14" spans="1:12">
      <c r="B14" s="281">
        <f t="shared" si="1"/>
        <v>45565</v>
      </c>
      <c r="C14" s="277">
        <v>6000000</v>
      </c>
      <c r="D14" s="278">
        <f>'Performance Vendas'!$AF$15</f>
        <v>20367434.07</v>
      </c>
      <c r="E14" s="279">
        <f>D14/C14</f>
        <v>3.3945723450000003</v>
      </c>
      <c r="F14" s="282"/>
      <c r="G14" s="274" t="s">
        <v>35</v>
      </c>
      <c r="H14" s="273">
        <f>'Performance Vendas'!$T$15</f>
        <v>27811289.905999999</v>
      </c>
      <c r="I14" s="278">
        <f>'Performance Vendas'!$AG$15</f>
        <v>3664333.7600000002</v>
      </c>
      <c r="J14" s="293">
        <f>I14/H14-1</f>
        <v>-0.86824294118017664</v>
      </c>
      <c r="K14" s="278">
        <f>'Performance Vendas'!$AT$15</f>
        <v>0</v>
      </c>
      <c r="L14" s="279"/>
    </row>
    <row r="15" spans="1:12">
      <c r="B15" s="281">
        <f t="shared" si="1"/>
        <v>45596</v>
      </c>
      <c r="C15" s="277">
        <v>15000000</v>
      </c>
      <c r="D15" s="278">
        <f>'Performance Vendas'!$AG$15</f>
        <v>3664333.7600000002</v>
      </c>
      <c r="E15" s="279">
        <f>D15/C15</f>
        <v>0.24428891733333336</v>
      </c>
      <c r="F15" s="282"/>
      <c r="G15" s="274" t="s">
        <v>36</v>
      </c>
      <c r="H15" s="273">
        <f>'Performance Vendas'!$U$15</f>
        <v>16138002.375</v>
      </c>
      <c r="I15" s="278">
        <f>'Performance Vendas'!$AH$15</f>
        <v>8998563.5999999996</v>
      </c>
      <c r="J15" s="293">
        <f>I15/H15-1</f>
        <v>-0.44239916497099907</v>
      </c>
      <c r="K15" s="278">
        <f>'Performance Vendas'!$AU$15</f>
        <v>0</v>
      </c>
      <c r="L15" s="279"/>
    </row>
    <row r="16" spans="1:12">
      <c r="B16" s="281">
        <f t="shared" si="1"/>
        <v>45626</v>
      </c>
      <c r="C16" s="277">
        <v>15000000</v>
      </c>
      <c r="D16" s="278">
        <f>'Performance Vendas'!$AH$15</f>
        <v>8998563.5999999996</v>
      </c>
      <c r="E16" s="279">
        <f>D16/C16</f>
        <v>0.59990423999999998</v>
      </c>
      <c r="F16" s="284"/>
      <c r="G16" s="274" t="s">
        <v>37</v>
      </c>
      <c r="H16" s="273">
        <f>'Performance Vendas'!$V$15</f>
        <v>27829231.588</v>
      </c>
      <c r="I16" s="278">
        <f>'Performance Vendas'!$AI$15</f>
        <v>18751525.600000001</v>
      </c>
      <c r="J16" s="293">
        <f>I16/H16-1</f>
        <v>-0.32619319578749406</v>
      </c>
      <c r="K16" s="278">
        <f>'Performance Vendas'!$AV$15</f>
        <v>0</v>
      </c>
      <c r="L16" s="279"/>
    </row>
    <row r="17" spans="2:12">
      <c r="B17" s="281">
        <f t="shared" si="1"/>
        <v>45657</v>
      </c>
      <c r="C17" s="277">
        <v>15000000</v>
      </c>
      <c r="D17" s="278">
        <f>'Performance Vendas'!$AI$15</f>
        <v>18751525.600000001</v>
      </c>
      <c r="E17" s="279">
        <f>D17/C17</f>
        <v>1.2501017066666669</v>
      </c>
      <c r="F17" s="284"/>
      <c r="G17" s="391"/>
      <c r="H17" s="276">
        <f>SUM(H4:H16)</f>
        <v>206130262.68175</v>
      </c>
      <c r="I17" s="276">
        <f>SUM(I4:I16)</f>
        <v>141479907.21400002</v>
      </c>
      <c r="J17" s="293">
        <f>I17/H17-1</f>
        <v>-0.31363834997661355</v>
      </c>
      <c r="K17" s="276">
        <f>SUM(K4:K16)</f>
        <v>17322163.309999999</v>
      </c>
      <c r="L17" s="398">
        <f>K17/I17-1</f>
        <v>-0.87756449907901901</v>
      </c>
    </row>
    <row r="18" spans="2:12">
      <c r="B18" s="286"/>
      <c r="C18" s="287">
        <f>SUM(C5:C17)</f>
        <v>243000000</v>
      </c>
      <c r="D18" s="287">
        <f>SUM(D5:D17)</f>
        <v>141477883.21400002</v>
      </c>
      <c r="E18" s="288">
        <f>D18/C18</f>
        <v>0.58221351116872433</v>
      </c>
      <c r="F18" s="284"/>
      <c r="G18" s="391"/>
    </row>
    <row r="19" spans="2:12" s="87" customFormat="1" ht="15.75" customHeight="1"/>
    <row r="20" spans="2:12" s="88" customFormat="1" ht="12.6" customHeight="1"/>
    <row r="21" spans="2:12">
      <c r="B21" s="455" t="s">
        <v>38</v>
      </c>
      <c r="C21" s="455"/>
      <c r="D21" s="455"/>
      <c r="E21" s="455"/>
    </row>
    <row r="22" spans="2:12">
      <c r="B22" s="285" t="s">
        <v>23</v>
      </c>
      <c r="C22" s="285" t="s">
        <v>24</v>
      </c>
      <c r="D22" s="285" t="s">
        <v>25</v>
      </c>
      <c r="E22" s="285" t="s">
        <v>15</v>
      </c>
    </row>
    <row r="23" spans="2:12">
      <c r="B23" s="281">
        <v>45322</v>
      </c>
      <c r="C23" s="277">
        <v>24000000</v>
      </c>
      <c r="D23" s="278">
        <f>K5</f>
        <v>9980222.2199999988</v>
      </c>
      <c r="E23" s="279">
        <f>D23/C23</f>
        <v>0.41584259249999994</v>
      </c>
    </row>
    <row r="24" spans="2:12">
      <c r="B24" s="281">
        <f>EOMONTH(B23,1)</f>
        <v>45351</v>
      </c>
      <c r="C24" s="277">
        <v>24000000</v>
      </c>
      <c r="D24" s="278">
        <f>K6</f>
        <v>6937098.2100000009</v>
      </c>
      <c r="E24" s="279">
        <f t="shared" ref="E24:E30" si="2">D24/C24</f>
        <v>0.28904575875000005</v>
      </c>
    </row>
    <row r="25" spans="2:12">
      <c r="B25" s="281">
        <f t="shared" ref="B25:B34" si="3">EOMONTH(B24,1)</f>
        <v>45382</v>
      </c>
      <c r="C25" s="277">
        <v>24000000</v>
      </c>
      <c r="D25" s="278">
        <f>K7</f>
        <v>402817.88</v>
      </c>
      <c r="E25" s="279">
        <f t="shared" si="2"/>
        <v>1.6784078333333334E-2</v>
      </c>
    </row>
    <row r="26" spans="2:12">
      <c r="B26" s="281">
        <f t="shared" si="3"/>
        <v>45412</v>
      </c>
      <c r="C26" s="277">
        <v>24000000</v>
      </c>
      <c r="D26" s="278">
        <f>K8</f>
        <v>0</v>
      </c>
      <c r="E26" s="279">
        <f t="shared" si="2"/>
        <v>0</v>
      </c>
    </row>
    <row r="27" spans="2:12">
      <c r="B27" s="281">
        <f t="shared" si="3"/>
        <v>45443</v>
      </c>
      <c r="C27" s="277">
        <v>24000000</v>
      </c>
      <c r="D27" s="278">
        <f>K9</f>
        <v>0</v>
      </c>
      <c r="E27" s="279">
        <f t="shared" si="2"/>
        <v>0</v>
      </c>
    </row>
    <row r="28" spans="2:12" s="136" customFormat="1">
      <c r="B28" s="281">
        <f t="shared" si="3"/>
        <v>45473</v>
      </c>
      <c r="C28" s="277">
        <v>24000000</v>
      </c>
      <c r="D28" s="278">
        <f>K10</f>
        <v>0</v>
      </c>
      <c r="E28" s="279">
        <f t="shared" si="2"/>
        <v>0</v>
      </c>
    </row>
    <row r="29" spans="2:12" s="87" customFormat="1">
      <c r="B29" s="281">
        <f t="shared" si="3"/>
        <v>45504</v>
      </c>
      <c r="C29" s="277">
        <v>24000000</v>
      </c>
      <c r="D29" s="278">
        <f>K11</f>
        <v>0</v>
      </c>
      <c r="E29" s="279">
        <f t="shared" si="2"/>
        <v>0</v>
      </c>
    </row>
    <row r="30" spans="2:12" s="133" customFormat="1">
      <c r="B30" s="281">
        <f t="shared" si="3"/>
        <v>45535</v>
      </c>
      <c r="C30" s="277">
        <v>24000000</v>
      </c>
      <c r="D30" s="278">
        <f>K12</f>
        <v>0</v>
      </c>
      <c r="E30" s="279">
        <f t="shared" si="2"/>
        <v>0</v>
      </c>
    </row>
    <row r="31" spans="2:12" s="144" customFormat="1">
      <c r="B31" s="281">
        <f t="shared" si="3"/>
        <v>45565</v>
      </c>
      <c r="C31" s="277">
        <v>24000000</v>
      </c>
      <c r="D31" s="278">
        <f>K13</f>
        <v>0</v>
      </c>
      <c r="E31" s="279">
        <f>D31/C31</f>
        <v>0</v>
      </c>
    </row>
    <row r="32" spans="2:12" s="133" customFormat="1">
      <c r="B32" s="281">
        <f t="shared" si="3"/>
        <v>45596</v>
      </c>
      <c r="C32" s="277">
        <v>24000000</v>
      </c>
      <c r="D32" s="278">
        <f>K14</f>
        <v>0</v>
      </c>
      <c r="E32" s="279">
        <f>D32/C32</f>
        <v>0</v>
      </c>
    </row>
    <row r="33" spans="2:5" s="144" customFormat="1">
      <c r="B33" s="281">
        <f t="shared" si="3"/>
        <v>45626</v>
      </c>
      <c r="C33" s="277">
        <v>24000000</v>
      </c>
      <c r="D33" s="278">
        <f>K15</f>
        <v>0</v>
      </c>
      <c r="E33" s="279">
        <f>D33/C33</f>
        <v>0</v>
      </c>
    </row>
    <row r="34" spans="2:5" s="133" customFormat="1">
      <c r="B34" s="281">
        <f t="shared" si="3"/>
        <v>45657</v>
      </c>
      <c r="C34" s="277">
        <v>24000000</v>
      </c>
      <c r="D34" s="278">
        <f>K16</f>
        <v>0</v>
      </c>
      <c r="E34" s="279">
        <f>D34/C34</f>
        <v>0</v>
      </c>
    </row>
    <row r="35" spans="2:5">
      <c r="B35" s="286"/>
      <c r="C35" s="287">
        <f>SUM(C22:C34)</f>
        <v>288000000</v>
      </c>
      <c r="D35" s="287">
        <f>SUM(D22:D34)</f>
        <v>17320138.309999999</v>
      </c>
      <c r="E35" s="288">
        <f>D35/C35</f>
        <v>6.013936913194444E-2</v>
      </c>
    </row>
    <row r="36" spans="2:5"/>
    <row r="37" spans="2:5" s="87" customFormat="1"/>
    <row r="38" spans="2:5" s="87" customFormat="1" ht="15.75" customHeight="1"/>
    <row r="39" spans="2:5" ht="15.75" customHeight="1"/>
    <row r="40" spans="2:5" ht="15.75" customHeight="1"/>
    <row r="41" spans="2:5" ht="15.75" customHeight="1"/>
    <row r="42" spans="2:5" ht="20.45" customHeight="1"/>
    <row r="43" spans="2:5" ht="20.45" customHeight="1"/>
    <row r="44" spans="2:5" ht="20.45" customHeight="1"/>
    <row r="45" spans="2:5" ht="20.45" customHeight="1"/>
    <row r="46" spans="2:5" ht="20.45" customHeight="1"/>
    <row r="47" spans="2:5" ht="20.45" customHeight="1"/>
    <row r="48" spans="2:5" ht="15.75" customHeight="1"/>
    <row r="49" ht="15.75" customHeight="1"/>
    <row r="50" ht="15.75" customHeight="1"/>
    <row r="51" ht="15.75" customHeight="1"/>
    <row r="52" s="87" customFormat="1" ht="15.75" customHeight="1"/>
    <row r="53" s="88" customFormat="1" ht="10.9" customHeight="1"/>
    <row r="54" s="87" customFormat="1" ht="15.75" customHeight="1"/>
    <row r="55" s="87" customFormat="1" ht="15.75" customHeight="1"/>
    <row r="56" s="88" customFormat="1" ht="10.9" customHeight="1"/>
    <row r="57" s="87" customFormat="1" ht="15.75" customHeight="1"/>
    <row r="58" s="87" customFormat="1" ht="15.75" customHeight="1"/>
    <row r="59" s="88" customFormat="1" ht="10.9" customHeight="1"/>
    <row r="60" s="87" customFormat="1" ht="15.75" customHeight="1"/>
    <row r="61" s="87" customFormat="1" ht="15.75" customHeight="1"/>
    <row r="62" s="88" customFormat="1" ht="10.9" customHeight="1"/>
    <row r="63" s="87" customFormat="1" ht="15.75" customHeight="1"/>
    <row r="64" s="87" customFormat="1" ht="15.75" customHeight="1"/>
    <row r="65" s="88" customFormat="1" ht="10.9" customHeight="1"/>
    <row r="66" s="87" customFormat="1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/>
    <row r="75" ht="15.75" customHeight="1"/>
    <row r="76" ht="15.75" customHeight="1"/>
    <row r="77" ht="15.75" customHeight="1"/>
    <row r="78" ht="15.75" customHeight="1"/>
    <row r="79" ht="15.75" customHeight="1"/>
    <row r="80"/>
    <row r="81" ht="20.25" customHeight="1"/>
    <row r="82" ht="15.75" customHeight="1"/>
    <row r="83" ht="15.75" customHeight="1"/>
    <row r="84" ht="15.75" customHeight="1"/>
    <row r="85" ht="15.75" customHeight="1"/>
    <row r="86" s="87" customFormat="1" ht="15.75" customHeight="1"/>
    <row r="87" s="87" customFormat="1" ht="15.75" customHeight="1"/>
    <row r="88" s="87" customFormat="1" ht="15.75" customHeight="1"/>
    <row r="89" s="87" customFormat="1" ht="15.75" customHeight="1"/>
    <row r="90" s="87" customFormat="1" ht="15.75" customHeight="1"/>
    <row r="91" s="87" customFormat="1" ht="15.75" customHeight="1"/>
    <row r="92" s="87" customFormat="1" ht="15.75" customHeight="1"/>
    <row r="93" s="87" customFormat="1" ht="15.75" customHeight="1"/>
    <row r="94" s="87" customFormat="1" ht="15.75" customHeight="1"/>
    <row r="95" s="87" customFormat="1" ht="15.75" customHeight="1"/>
    <row r="96" s="87" customFormat="1" ht="15.75" customHeight="1"/>
    <row r="97" s="87" customFormat="1" ht="15.75" customHeight="1"/>
    <row r="98" s="87" customFormat="1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s="87" customFormat="1" ht="15.75" customHeight="1"/>
    <row r="106" s="87" customFormat="1" ht="15.75" customHeight="1"/>
    <row r="107" s="87" customFormat="1" ht="15.75" customHeight="1"/>
    <row r="108" s="87" customFormat="1" ht="15.75" customHeight="1"/>
    <row r="109" s="87" customFormat="1" ht="15.75" customHeight="1"/>
    <row r="110" s="87" customFormat="1" ht="15.75" customHeight="1"/>
    <row r="111" s="87" customFormat="1" ht="15.75" customHeight="1"/>
    <row r="112" s="87" customFormat="1" ht="15.75" customHeight="1"/>
    <row r="113" s="87" customFormat="1" ht="15.75" customHeight="1"/>
    <row r="114" s="87" customFormat="1" ht="15.75" customHeight="1"/>
    <row r="115" s="87" customFormat="1" ht="15.75" customHeight="1"/>
    <row r="116" s="87" customFormat="1" ht="15.75" customHeight="1"/>
    <row r="117" s="87" customFormat="1" ht="15.75" customHeight="1"/>
    <row r="118" s="87" customFormat="1" ht="15.75" customHeight="1"/>
    <row r="119" s="87" customFormat="1" ht="15.75" customHeight="1"/>
    <row r="120" s="87" customFormat="1" ht="15.75" customHeight="1"/>
    <row r="121" s="87" customFormat="1" ht="15.75" customHeight="1"/>
    <row r="122" s="87" customFormat="1" ht="15.75" customHeight="1"/>
    <row r="123" s="87" customFormat="1" ht="15.75" customHeight="1"/>
    <row r="124" s="87" customFormat="1" ht="15.75" customHeight="1"/>
    <row r="125" s="87" customFormat="1" ht="15.75" customHeight="1"/>
    <row r="126" s="87" customFormat="1" ht="15.75" customHeight="1"/>
    <row r="127" s="87" customFormat="1" ht="15.75" customHeight="1"/>
    <row r="128" s="87" customFormat="1" ht="15.75" customHeight="1"/>
    <row r="129" s="87" customFormat="1" ht="15.75" customHeight="1"/>
    <row r="130" s="87" customFormat="1" ht="15.75" customHeight="1"/>
    <row r="131" s="87" customFormat="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</sheetData>
  <mergeCells count="2">
    <mergeCell ref="B4:E4"/>
    <mergeCell ref="B21:E21"/>
  </mergeCells>
  <pageMargins left="0.51181102362204722" right="0.51181102362204722" top="0.51181102362204722" bottom="0.55118110236220474" header="0" footer="0"/>
  <pageSetup paperSize="9" scale="62" fitToHeight="0" orientation="portrait" r:id="rId1"/>
  <rowBreaks count="3" manualBreakCount="3">
    <brk id="101" max="16383" man="1"/>
    <brk id="138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F13A-D76E-4B6A-81EA-1F9FEC7F000F}">
  <dimension ref="B2:R35"/>
  <sheetViews>
    <sheetView showGridLines="0" zoomScale="85" zoomScaleNormal="85" workbookViewId="0">
      <selection activeCell="D4" sqref="D4"/>
    </sheetView>
  </sheetViews>
  <sheetFormatPr defaultRowHeight="15"/>
  <cols>
    <col min="2" max="2" width="26.140625" customWidth="1"/>
    <col min="3" max="3" width="12.85546875" bestFit="1" customWidth="1"/>
    <col min="4" max="4" width="11" bestFit="1" customWidth="1"/>
    <col min="5" max="7" width="12" bestFit="1" customWidth="1"/>
    <col min="9" max="9" width="16.7109375" customWidth="1"/>
    <col min="10" max="10" width="11" bestFit="1" customWidth="1"/>
    <col min="11" max="11" width="11.85546875" customWidth="1"/>
    <col min="12" max="13" width="11.28515625" bestFit="1" customWidth="1"/>
    <col min="15" max="15" width="24" customWidth="1"/>
    <col min="16" max="16" width="11.42578125" bestFit="1" customWidth="1"/>
    <col min="17" max="17" width="11" bestFit="1" customWidth="1"/>
    <col min="18" max="18" width="12" bestFit="1" customWidth="1"/>
  </cols>
  <sheetData>
    <row r="2" spans="2:18">
      <c r="B2" s="217" t="str">
        <f>'Performance Vendas'!B87</f>
        <v>VENDAS POR TIPO DE FRAÇÃO</v>
      </c>
      <c r="I2" s="217">
        <f>'Performance Vendas'!B120</f>
        <v>0</v>
      </c>
      <c r="O2" s="217" t="str">
        <f>'Performance Vendas'!B108</f>
        <v>% de VENDAS POR TIPO DE TABELA</v>
      </c>
      <c r="P2" s="217"/>
      <c r="Q2" s="217"/>
      <c r="R2" s="217"/>
    </row>
    <row r="3" spans="2:18">
      <c r="B3" s="101"/>
      <c r="C3" s="113"/>
      <c r="D3" s="156">
        <f>'Performance Vendas'!AL88</f>
        <v>45716</v>
      </c>
      <c r="E3" s="127" t="str">
        <f>'Performance Vendas'!AW88</f>
        <v>2025</v>
      </c>
      <c r="F3" s="127" t="str">
        <f>'Performance Vendas'!AX88</f>
        <v>Total</v>
      </c>
      <c r="G3" s="128" t="str">
        <f>'Performance Vendas'!AY88</f>
        <v>%</v>
      </c>
      <c r="I3" s="454"/>
      <c r="J3" s="156">
        <f>'Performance Vendas'!AL109</f>
        <v>45716</v>
      </c>
      <c r="K3" s="127" t="str">
        <f>'Performance Vendas'!AW109</f>
        <v>2025</v>
      </c>
      <c r="L3" s="226" t="str">
        <f>'Performance Vendas'!AX109</f>
        <v>TOTAL</v>
      </c>
      <c r="M3" s="81"/>
      <c r="O3" s="103" t="str">
        <f>'Performance Vendas'!B109</f>
        <v>Tipo de Tabela</v>
      </c>
      <c r="P3" s="156">
        <f>'Performance Vendas'!AL109</f>
        <v>45716</v>
      </c>
      <c r="Q3" s="127" t="str">
        <f>'Performance Vendas'!AW109</f>
        <v>2025</v>
      </c>
      <c r="R3" s="127" t="str">
        <f>'Performance Vendas'!AX109</f>
        <v>TOTAL</v>
      </c>
    </row>
    <row r="4" spans="2:18">
      <c r="B4" s="462" t="str">
        <f>'Performance Vendas'!B90</f>
        <v>Integral</v>
      </c>
      <c r="C4" s="117" t="str">
        <f>'Performance Vendas'!C89</f>
        <v>R$</v>
      </c>
      <c r="D4" s="82">
        <f>'Performance Vendas'!AL89</f>
        <v>0</v>
      </c>
      <c r="E4" s="86">
        <f>'Performance Vendas'!AW89</f>
        <v>0</v>
      </c>
      <c r="F4" s="86">
        <f>'Performance Vendas'!AX89</f>
        <v>168636445.36000001</v>
      </c>
      <c r="G4" s="92">
        <f>'Performance Vendas'!AY89</f>
        <v>0.44025239339171018</v>
      </c>
      <c r="I4" s="150" t="str">
        <f>'Performance Vendas'!B123</f>
        <v>Bloco A</v>
      </c>
      <c r="J4" s="154">
        <f>'Performance Vendas'!AL123</f>
        <v>0</v>
      </c>
      <c r="K4" s="153">
        <f>'Performance Vendas'!AW123</f>
        <v>0</v>
      </c>
      <c r="L4" s="153">
        <f>'Performance Vendas'!AX123</f>
        <v>106624617.48</v>
      </c>
      <c r="M4" s="149">
        <f>'Performance Vendas'!AY123</f>
        <v>0.27836060550159103</v>
      </c>
      <c r="O4" s="456" t="str">
        <f>'Performance Vendas'!B110</f>
        <v>A vista</v>
      </c>
      <c r="P4" s="19">
        <f>'Performance Vendas'!AL110</f>
        <v>407506.80000000005</v>
      </c>
      <c r="Q4" s="86">
        <f>'Performance Vendas'!AW110</f>
        <v>2581949.3199999998</v>
      </c>
      <c r="R4" s="86">
        <f>'Performance Vendas'!AX110</f>
        <v>63190978.5255</v>
      </c>
    </row>
    <row r="5" spans="2:18">
      <c r="B5" s="463"/>
      <c r="C5" s="118" t="str">
        <f>'Performance Vendas'!C90</f>
        <v># Frações</v>
      </c>
      <c r="D5" s="190">
        <f>'Performance Vendas'!AL90</f>
        <v>0</v>
      </c>
      <c r="E5" s="191">
        <f>'Performance Vendas'!AW90</f>
        <v>0</v>
      </c>
      <c r="F5" s="191">
        <f>'Performance Vendas'!AX90</f>
        <v>37</v>
      </c>
      <c r="G5" s="81">
        <f>'Performance Vendas'!AY90</f>
        <v>8.0086580086580081E-2</v>
      </c>
      <c r="I5" s="194" t="str">
        <f>'Performance Vendas'!B124</f>
        <v xml:space="preserve">     Integral</v>
      </c>
      <c r="J5" s="197">
        <f>'Performance Vendas'!AL124</f>
        <v>0</v>
      </c>
      <c r="K5" s="198">
        <f>'Performance Vendas'!AW124</f>
        <v>0</v>
      </c>
      <c r="L5" s="198">
        <f>'Performance Vendas'!AX124</f>
        <v>67543782</v>
      </c>
      <c r="M5" s="199">
        <f>'Performance Vendas'!AY124</f>
        <v>0.63347267822714071</v>
      </c>
      <c r="O5" s="457">
        <f>'Performance Vendas'!B111</f>
        <v>0</v>
      </c>
      <c r="P5" s="231">
        <f>'Performance Vendas'!AL111</f>
        <v>5.8743121066466786E-2</v>
      </c>
      <c r="Q5" s="193">
        <f>'Performance Vendas'!AW111</f>
        <v>0.14907209594909984</v>
      </c>
      <c r="R5" s="193">
        <f>'Performance Vendas'!AX111</f>
        <v>0.14797673714849724</v>
      </c>
    </row>
    <row r="6" spans="2:18">
      <c r="B6" s="464"/>
      <c r="C6" s="119" t="str">
        <f>'Performance Vendas'!C91</f>
        <v>$ Ticket Médio Integral</v>
      </c>
      <c r="D6" s="83">
        <f>'Performance Vendas'!AL91</f>
        <v>0</v>
      </c>
      <c r="E6" s="96">
        <f>'Performance Vendas'!AW91</f>
        <v>0</v>
      </c>
      <c r="F6" s="96">
        <f>'Performance Vendas'!AX91</f>
        <v>4557741.7664864864</v>
      </c>
      <c r="G6" s="97"/>
      <c r="I6" s="200" t="str">
        <f>'Performance Vendas'!B125</f>
        <v xml:space="preserve">     13 semanas</v>
      </c>
      <c r="J6" s="202">
        <f>'Performance Vendas'!AL125</f>
        <v>0</v>
      </c>
      <c r="K6" s="203">
        <f>'Performance Vendas'!AW125</f>
        <v>0</v>
      </c>
      <c r="L6" s="203">
        <f>'Performance Vendas'!AX125</f>
        <v>39080835.480000004</v>
      </c>
      <c r="M6" s="199">
        <f>'Performance Vendas'!AY125</f>
        <v>0.36652732177285935</v>
      </c>
      <c r="O6" s="456" t="str">
        <f>'Performance Vendas'!B112</f>
        <v>Curta</v>
      </c>
      <c r="P6" s="19">
        <f>'Performance Vendas'!AL112</f>
        <v>3956833.06</v>
      </c>
      <c r="Q6" s="86">
        <f>'Performance Vendas'!AW112</f>
        <v>3956833.06</v>
      </c>
      <c r="R6" s="86">
        <f>'Performance Vendas'!AX112</f>
        <v>149206226.18849999</v>
      </c>
    </row>
    <row r="7" spans="2:18">
      <c r="B7" s="462" t="str">
        <f>'Performance Vendas'!B93</f>
        <v>13 semanas</v>
      </c>
      <c r="C7" s="117" t="str">
        <f>'Performance Vendas'!C92</f>
        <v>R$</v>
      </c>
      <c r="D7" s="82">
        <f>'Performance Vendas'!AL92</f>
        <v>2506000</v>
      </c>
      <c r="E7" s="86">
        <f>'Performance Vendas'!AW92</f>
        <v>5500000.4000000004</v>
      </c>
      <c r="F7" s="86">
        <f>'Performance Vendas'!AX92</f>
        <v>67003255.600000001</v>
      </c>
      <c r="G7" s="92">
        <f>'Performance Vendas'!AY92</f>
        <v>0.17492270772171656</v>
      </c>
      <c r="I7" s="150" t="str">
        <f>'Performance Vendas'!B126</f>
        <v>Bloco B</v>
      </c>
      <c r="J7" s="154">
        <f>'Performance Vendas'!AL126</f>
        <v>4925295.3100000005</v>
      </c>
      <c r="K7" s="153">
        <f>'Performance Vendas'!AW126</f>
        <v>10051033.51</v>
      </c>
      <c r="L7" s="153">
        <f>'Performance Vendas'!AX126</f>
        <v>192386982.94999999</v>
      </c>
      <c r="M7" s="149">
        <f>'Performance Vendas'!AY126</f>
        <v>0.50225696776479789</v>
      </c>
      <c r="O7" s="457">
        <f>'Performance Vendas'!B113</f>
        <v>0</v>
      </c>
      <c r="P7" s="231">
        <f>'Performance Vendas'!AL113</f>
        <v>0.57038734932368795</v>
      </c>
      <c r="Q7" s="193">
        <f>'Performance Vendas'!AW113</f>
        <v>0.22845274034073232</v>
      </c>
      <c r="R7" s="193">
        <f>'Performance Vendas'!AX113</f>
        <v>0.34940194041630701</v>
      </c>
    </row>
    <row r="8" spans="2:18">
      <c r="B8" s="463">
        <f>'Performance Vendas'!B94</f>
        <v>0</v>
      </c>
      <c r="C8" s="118" t="str">
        <f>'Performance Vendas'!C93</f>
        <v># Frações</v>
      </c>
      <c r="D8" s="190">
        <f>'Performance Vendas'!AL93</f>
        <v>3</v>
      </c>
      <c r="E8" s="191">
        <f>'Performance Vendas'!AW93</f>
        <v>6</v>
      </c>
      <c r="F8" s="191">
        <f>'Performance Vendas'!AX93</f>
        <v>62</v>
      </c>
      <c r="G8" s="81">
        <f>'Performance Vendas'!AY93</f>
        <v>0.13419913419913421</v>
      </c>
      <c r="I8" s="194" t="str">
        <f>'Performance Vendas'!B127</f>
        <v xml:space="preserve">     Integral</v>
      </c>
      <c r="J8" s="197">
        <f>'Performance Vendas'!AL127</f>
        <v>0</v>
      </c>
      <c r="K8" s="198">
        <f>'Performance Vendas'!AW127</f>
        <v>0</v>
      </c>
      <c r="L8" s="198">
        <f>'Performance Vendas'!AX127</f>
        <v>53106980</v>
      </c>
      <c r="M8" s="199">
        <f>'Performance Vendas'!AY127</f>
        <v>0.27604248055494546</v>
      </c>
      <c r="O8" s="456" t="str">
        <f>'Performance Vendas'!B114</f>
        <v>Longa</v>
      </c>
      <c r="P8" s="19">
        <f>'Performance Vendas'!AL114</f>
        <v>2572758.35</v>
      </c>
      <c r="Q8" s="86">
        <f>'Performance Vendas'!AW114</f>
        <v>10781355.929999998</v>
      </c>
      <c r="R8" s="86">
        <f>'Performance Vendas'!AX114</f>
        <v>193827227.09175</v>
      </c>
    </row>
    <row r="9" spans="2:18">
      <c r="B9" s="464">
        <f>'Performance Vendas'!B95</f>
        <v>0</v>
      </c>
      <c r="C9" s="119" t="str">
        <f>'Performance Vendas'!C94</f>
        <v>Ticket Medio</v>
      </c>
      <c r="D9" s="83">
        <f>'Performance Vendas'!AL94</f>
        <v>835333.33333333337</v>
      </c>
      <c r="E9" s="96">
        <f>'Performance Vendas'!AW94</f>
        <v>916666.7333333334</v>
      </c>
      <c r="F9" s="96">
        <f>'Performance Vendas'!AX94</f>
        <v>1080697.6709677419</v>
      </c>
      <c r="G9" s="97"/>
      <c r="I9" s="194" t="str">
        <f>'Performance Vendas'!B128</f>
        <v xml:space="preserve">     13 semanas</v>
      </c>
      <c r="J9" s="197">
        <f>'Performance Vendas'!AL128</f>
        <v>1446000</v>
      </c>
      <c r="K9" s="198">
        <f>'Performance Vendas'!AW128</f>
        <v>1446000</v>
      </c>
      <c r="L9" s="198">
        <f>'Performance Vendas'!AX128</f>
        <v>7720700</v>
      </c>
      <c r="M9" s="199">
        <f>'Performance Vendas'!AY128</f>
        <v>4.0131093495065384E-2</v>
      </c>
      <c r="O9" s="457">
        <f>'Performance Vendas'!B115</f>
        <v>0</v>
      </c>
      <c r="P9" s="231">
        <f>'Performance Vendas'!AL115</f>
        <v>0.37086952960984532</v>
      </c>
      <c r="Q9" s="193">
        <f>'Performance Vendas'!AW115</f>
        <v>0.62247516371016776</v>
      </c>
      <c r="R9" s="193">
        <f>'Performance Vendas'!AX115</f>
        <v>0.45389264899583265</v>
      </c>
    </row>
    <row r="10" spans="2:18">
      <c r="B10" s="462" t="str">
        <f>'Performance Vendas'!B96</f>
        <v>8 semanas</v>
      </c>
      <c r="C10" s="117" t="str">
        <f>'Performance Vendas'!C95</f>
        <v>R$</v>
      </c>
      <c r="D10" s="82">
        <f>'Performance Vendas'!AL95</f>
        <v>0</v>
      </c>
      <c r="E10" s="86">
        <f>'Performance Vendas'!AW95</f>
        <v>2315451.6100000003</v>
      </c>
      <c r="F10" s="86">
        <f>'Performance Vendas'!AX95</f>
        <v>30355872.239999998</v>
      </c>
      <c r="G10" s="92">
        <f>'Performance Vendas'!AY95</f>
        <v>7.924885619252342E-2</v>
      </c>
      <c r="I10" s="194" t="str">
        <f>'Performance Vendas'!B129</f>
        <v xml:space="preserve">     8 semanas</v>
      </c>
      <c r="J10" s="197">
        <f>'Performance Vendas'!AL129</f>
        <v>0</v>
      </c>
      <c r="K10" s="198">
        <f>'Performance Vendas'!AW129</f>
        <v>1821738.4</v>
      </c>
      <c r="L10" s="198">
        <f>'Performance Vendas'!AX129</f>
        <v>26639729.18</v>
      </c>
      <c r="M10" s="199">
        <f>'Performance Vendas'!AY129</f>
        <v>0.13846949919123933</v>
      </c>
      <c r="O10" s="456" t="str">
        <f>'Performance Vendas'!B116</f>
        <v>Longuissima</v>
      </c>
      <c r="P10" s="19">
        <f>'Performance Vendas'!AL116</f>
        <v>0</v>
      </c>
      <c r="Q10" s="86">
        <f>'Performance Vendas'!AW116</f>
        <v>0</v>
      </c>
      <c r="R10" s="86">
        <f>'Performance Vendas'!AX116</f>
        <v>20808761</v>
      </c>
    </row>
    <row r="11" spans="2:18">
      <c r="B11" s="463">
        <f>'Performance Vendas'!B97</f>
        <v>0</v>
      </c>
      <c r="C11" s="118" t="str">
        <f>'Performance Vendas'!C96</f>
        <v># Frações</v>
      </c>
      <c r="D11" s="190">
        <f>'Performance Vendas'!AL96</f>
        <v>0</v>
      </c>
      <c r="E11" s="191">
        <f>'Performance Vendas'!AW96</f>
        <v>3</v>
      </c>
      <c r="F11" s="191">
        <f>'Performance Vendas'!AX96</f>
        <v>51</v>
      </c>
      <c r="G11" s="81">
        <f>'Performance Vendas'!AY96</f>
        <v>0.11038961038961038</v>
      </c>
      <c r="I11" s="200" t="str">
        <f>'Performance Vendas'!B130</f>
        <v xml:space="preserve">     6 semanas</v>
      </c>
      <c r="J11" s="202">
        <f>'Performance Vendas'!AL130</f>
        <v>3479295.31</v>
      </c>
      <c r="K11" s="203">
        <f>'Performance Vendas'!AW130</f>
        <v>6783295.1099999994</v>
      </c>
      <c r="L11" s="203">
        <f>'Performance Vendas'!AX130</f>
        <v>104919573.77</v>
      </c>
      <c r="M11" s="199">
        <f>'Performance Vendas'!AY130</f>
        <v>0.5453569267587498</v>
      </c>
      <c r="O11" s="457">
        <f>'Performance Vendas'!B117</f>
        <v>0</v>
      </c>
      <c r="P11" s="231">
        <f>'Performance Vendas'!AL117</f>
        <v>0</v>
      </c>
      <c r="Q11" s="193">
        <f>'Performance Vendas'!AW117</f>
        <v>0</v>
      </c>
      <c r="R11" s="193">
        <f>'Performance Vendas'!AX117</f>
        <v>4.8728673439363171E-2</v>
      </c>
    </row>
    <row r="12" spans="2:18">
      <c r="B12" s="464">
        <f>'Performance Vendas'!B98</f>
        <v>0</v>
      </c>
      <c r="C12" s="119" t="str">
        <f>'Performance Vendas'!C97</f>
        <v>Ticket Medio</v>
      </c>
      <c r="D12" s="83">
        <f>'Performance Vendas'!AL97</f>
        <v>0</v>
      </c>
      <c r="E12" s="96">
        <f>'Performance Vendas'!AW97</f>
        <v>1543634.406666667</v>
      </c>
      <c r="F12" s="96">
        <f>'Performance Vendas'!AX97</f>
        <v>1190426.3623529412</v>
      </c>
      <c r="G12" s="97"/>
      <c r="I12" s="150" t="str">
        <f>'Performance Vendas'!B131</f>
        <v>Bloco C</v>
      </c>
      <c r="J12" s="154">
        <f>'Performance Vendas'!AL131</f>
        <v>1559000</v>
      </c>
      <c r="K12" s="153">
        <f>'Performance Vendas'!AW131</f>
        <v>6109713.6099999994</v>
      </c>
      <c r="L12" s="153">
        <f>'Performance Vendas'!AX131</f>
        <v>81733324.36999999</v>
      </c>
      <c r="M12" s="149">
        <f>'Performance Vendas'!AY131</f>
        <v>0.21337790651918356</v>
      </c>
      <c r="O12" s="448" t="str">
        <f>'Performance Vendas'!B118</f>
        <v>VGV TOTAL</v>
      </c>
      <c r="P12" s="449">
        <f>'Performance Vendas'!AL118</f>
        <v>6937098.21</v>
      </c>
      <c r="Q12" s="90">
        <f>'Performance Vendas'!AW118</f>
        <v>17320138.309999999</v>
      </c>
      <c r="R12" s="90">
        <f>'Performance Vendas'!AX118</f>
        <v>427033192.80574995</v>
      </c>
    </row>
    <row r="13" spans="2:18">
      <c r="B13" s="462" t="str">
        <f>'Performance Vendas'!B99</f>
        <v>6 semanas</v>
      </c>
      <c r="C13" s="117" t="str">
        <f>'Performance Vendas'!C98</f>
        <v>R$</v>
      </c>
      <c r="D13" s="82">
        <f>'Performance Vendas'!AL98</f>
        <v>3978295.31</v>
      </c>
      <c r="E13" s="86">
        <f>'Performance Vendas'!AW98</f>
        <v>8345295.1099999994</v>
      </c>
      <c r="F13" s="86">
        <f>'Performance Vendas'!AX98</f>
        <v>114749351.59999999</v>
      </c>
      <c r="G13" s="92">
        <f>'Performance Vendas'!AY98</f>
        <v>0.29957152247962243</v>
      </c>
      <c r="I13" s="194" t="str">
        <f>'Performance Vendas'!B132</f>
        <v xml:space="preserve">     Integral</v>
      </c>
      <c r="J13" s="197">
        <f>'Performance Vendas'!AL132</f>
        <v>0</v>
      </c>
      <c r="K13" s="198">
        <f>'Performance Vendas'!AW132</f>
        <v>0</v>
      </c>
      <c r="L13" s="198">
        <f>'Performance Vendas'!AX132</f>
        <v>47985683.359999999</v>
      </c>
      <c r="M13" s="199">
        <f>'Performance Vendas'!AY132</f>
        <v>0.58710059489043642</v>
      </c>
    </row>
    <row r="14" spans="2:18">
      <c r="B14" s="463">
        <f>'Performance Vendas'!B100</f>
        <v>0</v>
      </c>
      <c r="C14" s="118" t="str">
        <f>'Performance Vendas'!C99</f>
        <v># Frações</v>
      </c>
      <c r="D14" s="190">
        <f>'Performance Vendas'!AL99</f>
        <v>10</v>
      </c>
      <c r="E14" s="191">
        <f>'Performance Vendas'!AW99</f>
        <v>21</v>
      </c>
      <c r="F14" s="191">
        <f>'Performance Vendas'!AX99</f>
        <v>312</v>
      </c>
      <c r="G14" s="81">
        <f>'Performance Vendas'!AY99</f>
        <v>0.67532467532467533</v>
      </c>
      <c r="I14" s="200" t="str">
        <f>'Performance Vendas'!B135</f>
        <v xml:space="preserve">     6 semanas</v>
      </c>
      <c r="J14" s="202">
        <f>'Performance Vendas'!AL135</f>
        <v>499000</v>
      </c>
      <c r="K14" s="203">
        <f>'Performance Vendas'!AW135</f>
        <v>1562000</v>
      </c>
      <c r="L14" s="203">
        <f>'Performance Vendas'!AX135</f>
        <v>9829777.8300000001</v>
      </c>
      <c r="M14" s="199">
        <f>'Performance Vendas'!AY135</f>
        <v>0.12026646298517615</v>
      </c>
    </row>
    <row r="15" spans="2:18">
      <c r="B15" s="464">
        <f>'Performance Vendas'!B101</f>
        <v>0</v>
      </c>
      <c r="C15" s="119" t="str">
        <f>'Performance Vendas'!C100</f>
        <v>Ticket Medio</v>
      </c>
      <c r="D15" s="83">
        <f>'Performance Vendas'!AL100</f>
        <v>397829.53100000002</v>
      </c>
      <c r="E15" s="96">
        <f>'Performance Vendas'!AW100</f>
        <v>397395.00523809518</v>
      </c>
      <c r="F15" s="96">
        <f>'Performance Vendas'!AX100</f>
        <v>367786.3833333333</v>
      </c>
      <c r="G15" s="97"/>
      <c r="I15" s="123" t="str">
        <f>'Performance Vendas'!B136</f>
        <v xml:space="preserve">     Vaga</v>
      </c>
      <c r="J15" s="20">
        <f>'Performance Vendas'!AL136</f>
        <v>0</v>
      </c>
      <c r="K15" s="13">
        <f>'Performance Vendas'!AW136</f>
        <v>0</v>
      </c>
      <c r="L15" s="13">
        <f>'Performance Vendas'!AX136</f>
        <v>2300001</v>
      </c>
      <c r="M15" s="149">
        <f>'Performance Vendas'!AY136</f>
        <v>6.0045202144275479E-3</v>
      </c>
    </row>
    <row r="16" spans="2:18">
      <c r="B16" s="462" t="str">
        <f>'Performance Vendas'!B102</f>
        <v>Vaga</v>
      </c>
      <c r="C16" s="117" t="str">
        <f>'Performance Vendas'!C101</f>
        <v>R$</v>
      </c>
      <c r="D16" s="82">
        <f>'Performance Vendas'!AL101</f>
        <v>0</v>
      </c>
      <c r="E16" s="86">
        <f>'Performance Vendas'!AW101</f>
        <v>0</v>
      </c>
      <c r="F16" s="86">
        <f>'Performance Vendas'!AX101</f>
        <v>2300001</v>
      </c>
      <c r="G16" s="92">
        <f>'Performance Vendas'!AY101</f>
        <v>6.0045202144275479E-3</v>
      </c>
      <c r="I16" s="453" t="str">
        <f>'Performance Vendas'!B137</f>
        <v>VGV POR BLOCO</v>
      </c>
      <c r="J16" s="234">
        <f>'Performance Vendas'!AL137</f>
        <v>6484295.3100000005</v>
      </c>
      <c r="K16" s="235">
        <f>'Performance Vendas'!AW137</f>
        <v>16160747.119999999</v>
      </c>
      <c r="L16" s="235">
        <f>'Performance Vendas'!AX137</f>
        <v>383044925.79999995</v>
      </c>
      <c r="M16" s="91">
        <f>'Performance Vendas'!AY137</f>
        <v>0</v>
      </c>
    </row>
    <row r="17" spans="2:7">
      <c r="B17" s="463">
        <f>'Performance Vendas'!B103</f>
        <v>0</v>
      </c>
      <c r="C17" s="118" t="str">
        <f>'Performance Vendas'!C102</f>
        <v># Frações</v>
      </c>
      <c r="D17" s="190">
        <f>'Performance Vendas'!AL102</f>
        <v>0</v>
      </c>
      <c r="E17" s="191">
        <f>'Performance Vendas'!AW102</f>
        <v>0</v>
      </c>
      <c r="F17" s="191">
        <f>'Performance Vendas'!AX102</f>
        <v>13</v>
      </c>
      <c r="G17" s="81">
        <f>'Performance Vendas'!AY102</f>
        <v>2.813852813852814E-2</v>
      </c>
    </row>
    <row r="18" spans="2:7">
      <c r="B18" s="464" t="str">
        <f>'Performance Vendas'!B104</f>
        <v>VGV TOTAL</v>
      </c>
      <c r="C18" s="119" t="str">
        <f>'Performance Vendas'!C103</f>
        <v>Ticket Medio</v>
      </c>
      <c r="D18" s="83">
        <f>'Performance Vendas'!AL103</f>
        <v>0</v>
      </c>
      <c r="E18" s="96">
        <f>'Performance Vendas'!AW103</f>
        <v>0</v>
      </c>
      <c r="F18" s="96">
        <f>'Performance Vendas'!AX103</f>
        <v>176923.15384615384</v>
      </c>
      <c r="G18" s="97"/>
    </row>
    <row r="19" spans="2:7">
      <c r="B19" s="460" t="str">
        <f>'Performance Vendas'!B104</f>
        <v>VGV TOTAL</v>
      </c>
      <c r="C19" s="122" t="str">
        <f>'Performance Vendas'!C104</f>
        <v>R$</v>
      </c>
      <c r="D19" s="449">
        <f>'Performance Vendas'!AL104</f>
        <v>6484295.3100000005</v>
      </c>
      <c r="E19" s="90">
        <f>'Performance Vendas'!AW104</f>
        <v>16160747.120000001</v>
      </c>
      <c r="F19" s="90">
        <f>'Performance Vendas'!AX104</f>
        <v>383044925.79999995</v>
      </c>
      <c r="G19" s="121">
        <f>'Performance Vendas'!AY104</f>
        <v>0</v>
      </c>
    </row>
    <row r="20" spans="2:7">
      <c r="B20" s="461">
        <f>'Performance Vendas'!B106</f>
        <v>0</v>
      </c>
      <c r="C20" s="122" t="str">
        <f>'Performance Vendas'!C105</f>
        <v>Frações vendidas</v>
      </c>
      <c r="D20" s="449">
        <f>'Performance Vendas'!AL105</f>
        <v>13</v>
      </c>
      <c r="E20" s="90">
        <f>'Performance Vendas'!AW105</f>
        <v>30</v>
      </c>
      <c r="F20" s="90">
        <f>'Performance Vendas'!AX105</f>
        <v>462</v>
      </c>
      <c r="G20" s="121">
        <f>'Performance Vendas'!AY105</f>
        <v>0</v>
      </c>
    </row>
    <row r="21" spans="2:7">
      <c r="B21" s="461"/>
      <c r="C21" s="122" t="str">
        <f>'Performance Vendas'!C106</f>
        <v>$ Ticket médio X Fração</v>
      </c>
      <c r="D21" s="449">
        <f>'Performance Vendas'!AL106</f>
        <v>498791.94692307699</v>
      </c>
      <c r="E21" s="90">
        <f>'Performance Vendas'!AW106</f>
        <v>538691.57066666672</v>
      </c>
      <c r="F21" s="90">
        <f>'Performance Vendas'!AX106</f>
        <v>824123.21385281393</v>
      </c>
      <c r="G21" s="121">
        <f>'Performance Vendas'!AY106</f>
        <v>0</v>
      </c>
    </row>
    <row r="22" spans="2:7">
      <c r="E22" s="220"/>
      <c r="F22" s="220"/>
    </row>
    <row r="25" spans="2:7">
      <c r="D25" s="127" t="str">
        <f>'Performance Vendas'!J65</f>
        <v>2022</v>
      </c>
      <c r="E25" s="127" t="str">
        <f>'Performance Vendas'!W65</f>
        <v>2023</v>
      </c>
      <c r="F25" s="127" t="str">
        <f>'Performance Vendas'!AW65</f>
        <v>2025</v>
      </c>
      <c r="G25" s="127" t="str">
        <f>'Performance Vendas'!AX65</f>
        <v>TOTAL</v>
      </c>
    </row>
    <row r="26" spans="2:7">
      <c r="B26" s="465" t="str">
        <f>'Performance Vendas'!B66</f>
        <v>Vendas efetivadas</v>
      </c>
      <c r="C26" s="109" t="str">
        <f>'Performance Vendas'!C66</f>
        <v>R$</v>
      </c>
      <c r="D26" s="130">
        <f>'Performance Vendas'!J66</f>
        <v>85716261.429999992</v>
      </c>
      <c r="E26" s="130">
        <f>'Performance Vendas'!W66</f>
        <v>204944775.72</v>
      </c>
      <c r="F26" s="130">
        <f>'Performance Vendas'!AW66</f>
        <v>16160747.119999999</v>
      </c>
      <c r="G26" s="130">
        <f>'Performance Vendas'!AX66</f>
        <v>436530660.56999999</v>
      </c>
    </row>
    <row r="27" spans="2:7">
      <c r="B27" s="466">
        <f>'Performance Vendas'!B67</f>
        <v>0</v>
      </c>
      <c r="C27" s="256" t="str">
        <f>'Performance Vendas'!C67</f>
        <v># clientes</v>
      </c>
      <c r="D27" s="257">
        <f>'Performance Vendas'!J67</f>
        <v>87</v>
      </c>
      <c r="E27" s="257">
        <f>'Performance Vendas'!W67</f>
        <v>228</v>
      </c>
      <c r="F27" s="257">
        <f>'Performance Vendas'!AW67</f>
        <v>28</v>
      </c>
      <c r="G27" s="258">
        <f>'Performance Vendas'!AX67</f>
        <v>472</v>
      </c>
    </row>
    <row r="28" spans="2:7">
      <c r="B28" s="465" t="str">
        <f>'Performance Vendas'!B68</f>
        <v>Distratos para Upgrade</v>
      </c>
      <c r="C28" s="140" t="str">
        <f>'Performance Vendas'!C68</f>
        <v>R$</v>
      </c>
      <c r="D28" s="142">
        <f>'Performance Vendas'!J68</f>
        <v>-1407000</v>
      </c>
      <c r="E28" s="142">
        <f>'Performance Vendas'!W68</f>
        <v>-6598100</v>
      </c>
      <c r="F28" s="142">
        <f>'Performance Vendas'!AW68</f>
        <v>0</v>
      </c>
      <c r="G28" s="142">
        <f>'Performance Vendas'!AX68</f>
        <v>-9850710</v>
      </c>
    </row>
    <row r="29" spans="2:7">
      <c r="B29" s="466">
        <f>'Performance Vendas'!B69</f>
        <v>0</v>
      </c>
      <c r="C29" s="256" t="str">
        <f>'Performance Vendas'!C69</f>
        <v># clientes</v>
      </c>
      <c r="D29" s="257">
        <f>'Performance Vendas'!J69</f>
        <v>-2</v>
      </c>
      <c r="E29" s="257">
        <f>'Performance Vendas'!W69</f>
        <v>-5</v>
      </c>
      <c r="F29" s="257">
        <f>'Performance Vendas'!AW69</f>
        <v>0</v>
      </c>
      <c r="G29" s="258">
        <f>'Performance Vendas'!AX69</f>
        <v>-7</v>
      </c>
    </row>
    <row r="30" spans="2:7">
      <c r="B30" s="465" t="str">
        <f>'Performance Vendas'!B70</f>
        <v>Distratos</v>
      </c>
      <c r="C30" s="140" t="str">
        <f>'Performance Vendas'!C70</f>
        <v>R$</v>
      </c>
      <c r="D30" s="142">
        <f>'Performance Vendas'!J70</f>
        <v>-24566484.77</v>
      </c>
      <c r="E30" s="142">
        <f>'Performance Vendas'!W70</f>
        <v>-18218540</v>
      </c>
      <c r="F30" s="142">
        <f>'Performance Vendas'!AW70</f>
        <v>0</v>
      </c>
      <c r="G30" s="142">
        <f>'Performance Vendas'!AX70</f>
        <v>-43635024.769999996</v>
      </c>
    </row>
    <row r="31" spans="2:7">
      <c r="B31" s="466" t="str">
        <f>'Performance Vendas'!B71</f>
        <v>Distratos</v>
      </c>
      <c r="C31" s="256" t="str">
        <f>'Performance Vendas'!C71</f>
        <v># clientes</v>
      </c>
      <c r="D31" s="257">
        <f>'Performance Vendas'!J71</f>
        <v>-27</v>
      </c>
      <c r="E31" s="257">
        <f>'Performance Vendas'!W71</f>
        <v>-26</v>
      </c>
      <c r="F31" s="257">
        <f>'Performance Vendas'!AW71</f>
        <v>0</v>
      </c>
      <c r="G31" s="258">
        <f>'Performance Vendas'!AX71</f>
        <v>-55</v>
      </c>
    </row>
    <row r="32" spans="2:7">
      <c r="B32" s="460" t="str">
        <f>'Performance Vendas'!B72</f>
        <v xml:space="preserve">Vendas Liquidas </v>
      </c>
      <c r="C32" s="467">
        <f>'Performance Vendas'!C72</f>
        <v>0</v>
      </c>
      <c r="D32" s="90">
        <f>'Performance Vendas'!J72</f>
        <v>59742776.659999996</v>
      </c>
      <c r="E32" s="90">
        <f>'Performance Vendas'!W72</f>
        <v>180128135.72</v>
      </c>
      <c r="F32" s="90">
        <f>'Performance Vendas'!AW72</f>
        <v>16160747.119999999</v>
      </c>
      <c r="G32" s="90">
        <f>'Performance Vendas'!AX72</f>
        <v>383044925.79999995</v>
      </c>
    </row>
    <row r="33" spans="2:7">
      <c r="B33" s="468">
        <f>'Performance Vendas'!B73</f>
        <v>0</v>
      </c>
      <c r="C33" s="469">
        <f>'Performance Vendas'!C73</f>
        <v>0</v>
      </c>
      <c r="D33" s="90">
        <f>'Performance Vendas'!J73</f>
        <v>58</v>
      </c>
      <c r="E33" s="90">
        <f>'Performance Vendas'!W73</f>
        <v>197</v>
      </c>
      <c r="F33" s="90">
        <f>'Performance Vendas'!AW73</f>
        <v>28</v>
      </c>
      <c r="G33" s="90">
        <f>'Performance Vendas'!AX73</f>
        <v>410</v>
      </c>
    </row>
    <row r="34" spans="2:7">
      <c r="B34" s="470" t="str">
        <f>'Performance Vendas'!B74</f>
        <v>% Distrato p/ Upgrade</v>
      </c>
      <c r="C34" s="471">
        <f>'Performance Vendas'!C74</f>
        <v>0</v>
      </c>
      <c r="D34" s="138">
        <f>'Performance Vendas'!J74</f>
        <v>-1.6414621642697559E-2</v>
      </c>
      <c r="E34" s="138">
        <f>'Performance Vendas'!W74</f>
        <v>-3.2194526436792256E-2</v>
      </c>
      <c r="F34" s="138">
        <f>'Performance Vendas'!AW74</f>
        <v>0</v>
      </c>
      <c r="G34" s="145">
        <f>'Performance Vendas'!AX74</f>
        <v>-2.2565906337798664E-2</v>
      </c>
    </row>
    <row r="35" spans="2:7">
      <c r="B35" s="458" t="str">
        <f>'Performance Vendas'!B75</f>
        <v>% Distrato</v>
      </c>
      <c r="C35" s="459">
        <f>'Performance Vendas'!C75</f>
        <v>0</v>
      </c>
      <c r="D35" s="300">
        <f>'Performance Vendas'!J75</f>
        <v>-0.29138536328416276</v>
      </c>
      <c r="E35" s="300">
        <f>'Performance Vendas'!W75</f>
        <v>-9.1852005756418942E-2</v>
      </c>
      <c r="F35" s="300">
        <f>'Performance Vendas'!AW75</f>
        <v>0</v>
      </c>
      <c r="G35" s="146">
        <f>'Performance Vendas'!AX75</f>
        <v>-0.10226640532724386</v>
      </c>
    </row>
  </sheetData>
  <mergeCells count="16">
    <mergeCell ref="O4:O5"/>
    <mergeCell ref="O6:O7"/>
    <mergeCell ref="O8:O9"/>
    <mergeCell ref="O10:O11"/>
    <mergeCell ref="B35:C35"/>
    <mergeCell ref="B19:B21"/>
    <mergeCell ref="B4:B6"/>
    <mergeCell ref="B7:B9"/>
    <mergeCell ref="B10:B12"/>
    <mergeCell ref="B13:B15"/>
    <mergeCell ref="B16:B18"/>
    <mergeCell ref="B26:B27"/>
    <mergeCell ref="B28:B29"/>
    <mergeCell ref="B30:B31"/>
    <mergeCell ref="B32:C33"/>
    <mergeCell ref="B34:C3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2367-1E37-451B-A6B8-2A2DA49D511E}">
  <dimension ref="A2:Q46"/>
  <sheetViews>
    <sheetView showGridLines="0" workbookViewId="0">
      <selection activeCell="R21" sqref="R21"/>
    </sheetView>
  </sheetViews>
  <sheetFormatPr defaultRowHeight="15"/>
  <cols>
    <col min="2" max="2" width="12.7109375" bestFit="1" customWidth="1"/>
    <col min="3" max="3" width="5.5703125" bestFit="1" customWidth="1"/>
    <col min="4" max="4" width="8.42578125" bestFit="1" customWidth="1"/>
    <col min="5" max="5" width="8.140625" bestFit="1" customWidth="1"/>
    <col min="6" max="7" width="12.5703125" bestFit="1" customWidth="1"/>
    <col min="9" max="9" width="15.28515625" bestFit="1" customWidth="1"/>
    <col min="10" max="12" width="17.7109375" bestFit="1" customWidth="1"/>
    <col min="13" max="14" width="12.5703125" bestFit="1" customWidth="1"/>
    <col min="16" max="16" width="10.85546875" bestFit="1" customWidth="1"/>
    <col min="17" max="17" width="10.5703125" bestFit="1" customWidth="1"/>
  </cols>
  <sheetData>
    <row r="2" spans="1:17">
      <c r="B2" s="472" t="s">
        <v>39</v>
      </c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4"/>
      <c r="P2" s="450" t="s">
        <v>40</v>
      </c>
      <c r="Q2" s="244" t="s">
        <v>41</v>
      </c>
    </row>
    <row r="3" spans="1:17">
      <c r="B3" s="87"/>
      <c r="C3" s="87"/>
      <c r="D3" s="87"/>
      <c r="E3" s="87"/>
      <c r="F3" s="87"/>
      <c r="G3" s="87"/>
      <c r="I3" s="87"/>
      <c r="J3" s="87"/>
      <c r="K3" s="87"/>
      <c r="L3" s="87"/>
      <c r="M3" s="87"/>
      <c r="N3" s="87"/>
    </row>
    <row r="4" spans="1:17">
      <c r="A4" s="87"/>
      <c r="B4" s="476" t="s">
        <v>42</v>
      </c>
      <c r="C4" s="477"/>
      <c r="D4" s="477"/>
      <c r="E4" s="477"/>
      <c r="F4" s="477"/>
      <c r="G4" s="478"/>
      <c r="H4" s="340"/>
      <c r="I4" s="476" t="s">
        <v>43</v>
      </c>
      <c r="J4" s="477"/>
      <c r="K4" s="477"/>
      <c r="L4" s="477"/>
      <c r="M4" s="477"/>
      <c r="N4" s="478"/>
      <c r="O4" s="87"/>
    </row>
    <row r="5" spans="1:17">
      <c r="B5" s="340"/>
      <c r="C5" s="340"/>
      <c r="D5" s="340"/>
      <c r="E5" s="340"/>
      <c r="F5" s="340"/>
      <c r="G5" s="340"/>
      <c r="H5" s="89"/>
      <c r="I5" s="340"/>
      <c r="J5" s="340"/>
      <c r="K5" s="340"/>
      <c r="L5" s="340"/>
      <c r="M5" s="340"/>
      <c r="N5" s="340"/>
    </row>
    <row r="6" spans="1:17">
      <c r="A6" s="87"/>
      <c r="B6" s="475" t="s">
        <v>18</v>
      </c>
      <c r="C6" s="475"/>
      <c r="D6" s="475"/>
      <c r="E6" s="475"/>
      <c r="F6" s="475"/>
      <c r="G6" s="475"/>
      <c r="H6" s="340"/>
      <c r="I6" s="475" t="s">
        <v>18</v>
      </c>
      <c r="J6" s="475"/>
      <c r="K6" s="475"/>
      <c r="L6" s="475"/>
      <c r="M6" s="475"/>
      <c r="N6" s="475"/>
      <c r="O6" s="87"/>
    </row>
    <row r="7" spans="1:17">
      <c r="A7" s="87"/>
      <c r="B7" s="450" t="s">
        <v>44</v>
      </c>
      <c r="C7" s="450" t="s">
        <v>45</v>
      </c>
      <c r="D7" s="450" t="s">
        <v>46</v>
      </c>
      <c r="E7" s="450" t="s">
        <v>47</v>
      </c>
      <c r="F7" s="450" t="s">
        <v>48</v>
      </c>
      <c r="G7" s="450" t="s">
        <v>49</v>
      </c>
      <c r="H7" s="340"/>
      <c r="I7" s="450" t="s">
        <v>44</v>
      </c>
      <c r="J7" s="450" t="s">
        <v>46</v>
      </c>
      <c r="K7" s="450" t="s">
        <v>47</v>
      </c>
      <c r="L7" s="450" t="s">
        <v>50</v>
      </c>
      <c r="M7" s="450" t="s">
        <v>48</v>
      </c>
      <c r="N7" s="450" t="s">
        <v>49</v>
      </c>
      <c r="O7" s="87"/>
    </row>
    <row r="8" spans="1:17">
      <c r="A8" s="87"/>
      <c r="B8" s="452">
        <v>13</v>
      </c>
      <c r="C8" s="452">
        <v>92</v>
      </c>
      <c r="D8" s="452">
        <v>80</v>
      </c>
      <c r="E8" s="452">
        <f>C8-D8</f>
        <v>12</v>
      </c>
      <c r="F8" s="339">
        <f>D8/C8</f>
        <v>0.86956521739130432</v>
      </c>
      <c r="G8" s="339">
        <f>E8/C8</f>
        <v>0.13043478260869565</v>
      </c>
      <c r="H8" s="340"/>
      <c r="I8" s="452">
        <v>13</v>
      </c>
      <c r="J8" s="341">
        <v>106324617.48</v>
      </c>
      <c r="K8" s="341">
        <v>33853922.479999997</v>
      </c>
      <c r="L8" s="341">
        <f>SUM(J8:K8)</f>
        <v>140178539.96000001</v>
      </c>
      <c r="M8" s="339">
        <f>J8/L8</f>
        <v>0.75849425675527626</v>
      </c>
      <c r="N8" s="339">
        <f>K8/L8</f>
        <v>0.24150574324472365</v>
      </c>
      <c r="O8" s="87"/>
    </row>
    <row r="9" spans="1:17">
      <c r="B9" s="340"/>
      <c r="C9" s="340"/>
      <c r="D9" s="340"/>
      <c r="E9" s="340"/>
      <c r="F9" s="340"/>
      <c r="G9" s="340"/>
      <c r="H9" s="89"/>
      <c r="I9" s="340"/>
      <c r="J9" s="342"/>
      <c r="K9" s="342"/>
      <c r="L9" s="342"/>
      <c r="M9" s="343"/>
      <c r="N9" s="343"/>
    </row>
    <row r="10" spans="1:17">
      <c r="B10" s="340"/>
      <c r="C10" s="340"/>
      <c r="D10" s="340"/>
      <c r="E10" s="340"/>
      <c r="F10" s="340"/>
      <c r="G10" s="340"/>
      <c r="H10" s="89"/>
      <c r="I10" s="340"/>
      <c r="J10" s="342"/>
      <c r="K10" s="342"/>
      <c r="L10" s="342"/>
      <c r="M10" s="343"/>
      <c r="N10" s="343"/>
    </row>
    <row r="11" spans="1:17">
      <c r="A11" s="87"/>
      <c r="B11" s="475" t="s">
        <v>51</v>
      </c>
      <c r="C11" s="475"/>
      <c r="D11" s="475"/>
      <c r="E11" s="475"/>
      <c r="F11" s="475"/>
      <c r="G11" s="475"/>
      <c r="H11" s="340"/>
      <c r="I11" s="475" t="s">
        <v>20</v>
      </c>
      <c r="J11" s="475"/>
      <c r="K11" s="475"/>
      <c r="L11" s="475"/>
      <c r="M11" s="475"/>
      <c r="N11" s="475"/>
      <c r="O11" s="87"/>
    </row>
    <row r="12" spans="1:17">
      <c r="A12" s="87"/>
      <c r="B12" s="451" t="s">
        <v>44</v>
      </c>
      <c r="C12" s="451" t="s">
        <v>45</v>
      </c>
      <c r="D12" s="451" t="s">
        <v>46</v>
      </c>
      <c r="E12" s="451" t="s">
        <v>47</v>
      </c>
      <c r="F12" s="451" t="s">
        <v>48</v>
      </c>
      <c r="G12" s="451" t="s">
        <v>49</v>
      </c>
      <c r="H12" s="340"/>
      <c r="I12" s="451" t="s">
        <v>44</v>
      </c>
      <c r="J12" s="359" t="s">
        <v>46</v>
      </c>
      <c r="K12" s="359" t="s">
        <v>47</v>
      </c>
      <c r="L12" s="359" t="s">
        <v>50</v>
      </c>
      <c r="M12" s="360" t="s">
        <v>48</v>
      </c>
      <c r="N12" s="360" t="s">
        <v>49</v>
      </c>
      <c r="O12" s="87"/>
    </row>
    <row r="13" spans="1:17">
      <c r="A13" s="87"/>
      <c r="B13" s="354">
        <v>13</v>
      </c>
      <c r="C13" s="355">
        <v>48</v>
      </c>
      <c r="D13" s="355">
        <f>C13-E13</f>
        <v>29</v>
      </c>
      <c r="E13" s="355">
        <v>19</v>
      </c>
      <c r="F13" s="356">
        <f>D13/C13</f>
        <v>0.60416666666666663</v>
      </c>
      <c r="G13" s="357">
        <f>E13/C13</f>
        <v>0.39583333333333331</v>
      </c>
      <c r="H13" s="340"/>
      <c r="I13" s="354">
        <v>13</v>
      </c>
      <c r="J13" s="358">
        <v>62713700</v>
      </c>
      <c r="K13" s="358">
        <v>46186498.130000003</v>
      </c>
      <c r="L13" s="358">
        <f>SUM(J13:K13)</f>
        <v>108900198.13</v>
      </c>
      <c r="M13" s="356">
        <f>J13/L13</f>
        <v>0.57588233150076829</v>
      </c>
      <c r="N13" s="357">
        <f>K13/L13</f>
        <v>0.42411766849923183</v>
      </c>
      <c r="O13" s="87"/>
    </row>
    <row r="14" spans="1:17">
      <c r="A14" s="87"/>
      <c r="B14" s="340"/>
      <c r="C14" s="340"/>
      <c r="D14" s="340"/>
      <c r="E14" s="340"/>
      <c r="F14" s="340"/>
      <c r="G14" s="340"/>
      <c r="H14" s="340"/>
      <c r="I14" s="340"/>
      <c r="J14" s="342"/>
      <c r="K14" s="342"/>
      <c r="L14" s="342"/>
      <c r="M14" s="343"/>
      <c r="N14" s="343"/>
      <c r="O14" s="87"/>
    </row>
    <row r="15" spans="1:17">
      <c r="B15" s="340"/>
      <c r="C15" s="340"/>
      <c r="D15" s="340"/>
      <c r="E15" s="340"/>
      <c r="F15" s="340"/>
      <c r="G15" s="340"/>
      <c r="H15" s="340"/>
      <c r="I15" s="340"/>
      <c r="J15" s="342"/>
      <c r="K15" s="342"/>
      <c r="L15" s="342"/>
      <c r="M15" s="343"/>
      <c r="N15" s="343"/>
    </row>
    <row r="16" spans="1:17">
      <c r="A16" s="87"/>
      <c r="B16" s="475" t="s">
        <v>19</v>
      </c>
      <c r="C16" s="475"/>
      <c r="D16" s="475"/>
      <c r="E16" s="475"/>
      <c r="F16" s="475"/>
      <c r="G16" s="475"/>
      <c r="H16" s="340"/>
      <c r="I16" s="475" t="s">
        <v>19</v>
      </c>
      <c r="J16" s="475"/>
      <c r="K16" s="475"/>
      <c r="L16" s="475"/>
      <c r="M16" s="475"/>
      <c r="N16" s="475"/>
      <c r="O16" s="87"/>
    </row>
    <row r="17" spans="1:15">
      <c r="A17" s="87"/>
      <c r="B17" s="450" t="s">
        <v>44</v>
      </c>
      <c r="C17" s="450" t="s">
        <v>45</v>
      </c>
      <c r="D17" s="450" t="s">
        <v>46</v>
      </c>
      <c r="E17" s="450" t="s">
        <v>47</v>
      </c>
      <c r="F17" s="450" t="s">
        <v>48</v>
      </c>
      <c r="G17" s="450" t="s">
        <v>49</v>
      </c>
      <c r="H17" s="340"/>
      <c r="I17" s="450" t="s">
        <v>44</v>
      </c>
      <c r="J17" s="344" t="s">
        <v>46</v>
      </c>
      <c r="K17" s="344" t="s">
        <v>47</v>
      </c>
      <c r="L17" s="344" t="s">
        <v>50</v>
      </c>
      <c r="M17" s="345" t="s">
        <v>48</v>
      </c>
      <c r="N17" s="345" t="s">
        <v>49</v>
      </c>
      <c r="O17" s="87"/>
    </row>
    <row r="18" spans="1:15">
      <c r="A18" s="87"/>
      <c r="B18" s="452">
        <v>4</v>
      </c>
      <c r="C18" s="452">
        <v>312</v>
      </c>
      <c r="D18" s="452">
        <v>142</v>
      </c>
      <c r="E18" s="452">
        <v>165</v>
      </c>
      <c r="F18" s="339">
        <f>D18/C18</f>
        <v>0.45512820512820512</v>
      </c>
      <c r="G18" s="339">
        <f>E18/C18</f>
        <v>0.52884615384615385</v>
      </c>
      <c r="H18" s="340"/>
      <c r="I18" s="452">
        <v>4</v>
      </c>
      <c r="J18" s="341">
        <v>44131265.170000002</v>
      </c>
      <c r="K18" s="341">
        <v>64176065.960000001</v>
      </c>
      <c r="L18" s="341">
        <f>SUM(J18:K18)</f>
        <v>108307331.13</v>
      </c>
      <c r="M18" s="339">
        <f>J18/L18</f>
        <v>0.40746332413112252</v>
      </c>
      <c r="N18" s="339">
        <f>K18/L18</f>
        <v>0.59253667586887759</v>
      </c>
      <c r="O18" s="87"/>
    </row>
    <row r="19" spans="1:15">
      <c r="A19" s="87"/>
      <c r="B19" s="452">
        <v>6</v>
      </c>
      <c r="C19" s="452">
        <v>468</v>
      </c>
      <c r="D19" s="452">
        <v>353</v>
      </c>
      <c r="E19" s="452">
        <v>97</v>
      </c>
      <c r="F19" s="339">
        <f>D19/C19</f>
        <v>0.75427350427350426</v>
      </c>
      <c r="G19" s="339">
        <f>E19/C19</f>
        <v>0.20726495726495728</v>
      </c>
      <c r="H19" s="340"/>
      <c r="I19" s="452">
        <v>6</v>
      </c>
      <c r="J19" s="341">
        <v>144669107.06999999</v>
      </c>
      <c r="K19" s="341">
        <v>37740099.649999999</v>
      </c>
      <c r="L19" s="341">
        <f>SUM(J19:K19)</f>
        <v>182409206.72</v>
      </c>
      <c r="M19" s="339">
        <f>J19/L19</f>
        <v>0.79310200220358695</v>
      </c>
      <c r="N19" s="339">
        <f>K19/L19</f>
        <v>0.20689799779641296</v>
      </c>
      <c r="O19" s="87"/>
    </row>
    <row r="20" spans="1:15">
      <c r="A20" s="87"/>
      <c r="B20" s="452">
        <v>13</v>
      </c>
      <c r="C20" s="452">
        <v>60</v>
      </c>
      <c r="D20" s="452">
        <v>29</v>
      </c>
      <c r="E20" s="452">
        <v>28</v>
      </c>
      <c r="F20" s="339">
        <f>D20/C20</f>
        <v>0.48333333333333334</v>
      </c>
      <c r="G20" s="339">
        <f>E20/C20</f>
        <v>0.46666666666666667</v>
      </c>
      <c r="H20" s="340"/>
      <c r="I20" s="452">
        <v>13</v>
      </c>
      <c r="J20" s="341">
        <v>25831649.780000001</v>
      </c>
      <c r="K20" s="341">
        <v>30478242.920000002</v>
      </c>
      <c r="L20" s="341">
        <f>SUM(J20:K20)</f>
        <v>56309892.700000003</v>
      </c>
      <c r="M20" s="339">
        <f>J20/L20</f>
        <v>0.45874088088965581</v>
      </c>
      <c r="N20" s="339">
        <f>K20/L20</f>
        <v>0.54125911911034419</v>
      </c>
      <c r="O20" s="87"/>
    </row>
    <row r="21" spans="1:15">
      <c r="B21" s="346" t="s">
        <v>45</v>
      </c>
      <c r="C21" s="346">
        <f>SUM(C18:C20)</f>
        <v>840</v>
      </c>
      <c r="D21" s="346">
        <f>SUM(D18:D20)</f>
        <v>524</v>
      </c>
      <c r="E21" s="346">
        <f>SUM(E18:E20)</f>
        <v>290</v>
      </c>
      <c r="F21" s="347">
        <f>D21/C21</f>
        <v>0.62380952380952381</v>
      </c>
      <c r="G21" s="347">
        <f>E21/C21</f>
        <v>0.34523809523809523</v>
      </c>
      <c r="H21" s="89"/>
      <c r="I21" s="346" t="s">
        <v>45</v>
      </c>
      <c r="J21" s="348">
        <f>SUM(J18:J20)</f>
        <v>214632022.02000001</v>
      </c>
      <c r="K21" s="348">
        <f>SUM(K18:K20)</f>
        <v>132394408.53</v>
      </c>
      <c r="L21" s="348">
        <f>SUM(L18:L20)</f>
        <v>347026430.55000001</v>
      </c>
      <c r="M21" s="347">
        <f>J21/L21</f>
        <v>0.61848897699184202</v>
      </c>
      <c r="N21" s="347">
        <f>K21/L21</f>
        <v>0.38151102300815803</v>
      </c>
    </row>
    <row r="22" spans="1:15">
      <c r="B22" s="340"/>
      <c r="C22" s="340"/>
      <c r="D22" s="340"/>
      <c r="E22" s="340"/>
      <c r="F22" s="340"/>
      <c r="G22" s="340"/>
      <c r="H22" s="89"/>
      <c r="I22" s="340"/>
      <c r="J22" s="342"/>
      <c r="K22" s="342"/>
      <c r="L22" s="342"/>
      <c r="M22" s="343"/>
      <c r="N22" s="343"/>
    </row>
    <row r="23" spans="1:15">
      <c r="A23" s="87"/>
      <c r="B23" s="475" t="s">
        <v>52</v>
      </c>
      <c r="C23" s="475"/>
      <c r="D23" s="475"/>
      <c r="E23" s="475"/>
      <c r="F23" s="475"/>
      <c r="G23" s="475"/>
      <c r="H23" s="340"/>
      <c r="I23" s="475" t="s">
        <v>52</v>
      </c>
      <c r="J23" s="475"/>
      <c r="K23" s="475"/>
      <c r="L23" s="475"/>
      <c r="M23" s="475"/>
      <c r="N23" s="475"/>
      <c r="O23" s="87"/>
    </row>
    <row r="24" spans="1:15">
      <c r="A24" s="87"/>
      <c r="B24" s="450" t="s">
        <v>44</v>
      </c>
      <c r="C24" s="450" t="s">
        <v>45</v>
      </c>
      <c r="D24" s="450" t="s">
        <v>46</v>
      </c>
      <c r="E24" s="450" t="s">
        <v>47</v>
      </c>
      <c r="F24" s="450" t="s">
        <v>48</v>
      </c>
      <c r="G24" s="450" t="s">
        <v>49</v>
      </c>
      <c r="H24" s="340"/>
      <c r="I24" s="450" t="s">
        <v>44</v>
      </c>
      <c r="J24" s="344" t="s">
        <v>46</v>
      </c>
      <c r="K24" s="344" t="s">
        <v>47</v>
      </c>
      <c r="L24" s="344" t="s">
        <v>50</v>
      </c>
      <c r="M24" s="345" t="s">
        <v>48</v>
      </c>
      <c r="N24" s="345" t="s">
        <v>49</v>
      </c>
      <c r="O24" s="87"/>
    </row>
    <row r="25" spans="1:15">
      <c r="A25" s="87"/>
      <c r="B25" s="452">
        <v>13</v>
      </c>
      <c r="C25" s="452">
        <f>SUM(C20,C13,C8)</f>
        <v>200</v>
      </c>
      <c r="D25" s="452">
        <f>SUM(D8,D13,D20)</f>
        <v>138</v>
      </c>
      <c r="E25" s="452">
        <f>C25-D25</f>
        <v>62</v>
      </c>
      <c r="F25" s="339">
        <f>D25/C25</f>
        <v>0.69</v>
      </c>
      <c r="G25" s="339">
        <f>E25/C25</f>
        <v>0.31</v>
      </c>
      <c r="H25" s="340"/>
      <c r="I25" s="452">
        <v>13</v>
      </c>
      <c r="J25" s="341">
        <f>SUM(J8,J13,J20)</f>
        <v>194869967.26000002</v>
      </c>
      <c r="K25" s="341">
        <f>SUM(K8,K13,K20)</f>
        <v>110518663.53</v>
      </c>
      <c r="L25" s="341">
        <f>SUM(J25:K25)</f>
        <v>305388630.79000002</v>
      </c>
      <c r="M25" s="339">
        <f>J25/L25</f>
        <v>0.63810485267869066</v>
      </c>
      <c r="N25" s="339">
        <f>K25/L25</f>
        <v>0.36189514732130934</v>
      </c>
      <c r="O25" s="87"/>
    </row>
    <row r="26" spans="1:15">
      <c r="A26" s="87"/>
      <c r="B26" s="452">
        <v>4</v>
      </c>
      <c r="C26" s="452">
        <f>SUM(C18)</f>
        <v>312</v>
      </c>
      <c r="D26" s="452">
        <f>D18</f>
        <v>142</v>
      </c>
      <c r="E26" s="452">
        <f>C26-D26</f>
        <v>170</v>
      </c>
      <c r="F26" s="339">
        <f>D26/C26</f>
        <v>0.45512820512820512</v>
      </c>
      <c r="G26" s="339">
        <f>E26/C26</f>
        <v>0.54487179487179482</v>
      </c>
      <c r="H26" s="340"/>
      <c r="I26" s="452">
        <v>4</v>
      </c>
      <c r="J26" s="341">
        <f>J18</f>
        <v>44131265.170000002</v>
      </c>
      <c r="K26" s="341">
        <f>K18</f>
        <v>64176065.960000001</v>
      </c>
      <c r="L26" s="341">
        <f>SUM(J26:K26)</f>
        <v>108307331.13</v>
      </c>
      <c r="M26" s="339">
        <f>J26/L26</f>
        <v>0.40746332413112252</v>
      </c>
      <c r="N26" s="339">
        <f>K26/L26</f>
        <v>0.59253667586887759</v>
      </c>
      <c r="O26" s="87"/>
    </row>
    <row r="27" spans="1:15">
      <c r="A27" s="87"/>
      <c r="B27" s="452">
        <v>6</v>
      </c>
      <c r="C27" s="452">
        <f>C19</f>
        <v>468</v>
      </c>
      <c r="D27" s="452">
        <f>D19</f>
        <v>353</v>
      </c>
      <c r="E27" s="452">
        <f>C27-D27</f>
        <v>115</v>
      </c>
      <c r="F27" s="339">
        <f>D27/C27</f>
        <v>0.75427350427350426</v>
      </c>
      <c r="G27" s="339">
        <f>E27/C27</f>
        <v>0.24572649572649571</v>
      </c>
      <c r="H27" s="340"/>
      <c r="I27" s="452">
        <v>6</v>
      </c>
      <c r="J27" s="341">
        <f>J19</f>
        <v>144669107.06999999</v>
      </c>
      <c r="K27" s="341">
        <f>K19</f>
        <v>37740099.649999999</v>
      </c>
      <c r="L27" s="341">
        <f>SUM(J27:K27)</f>
        <v>182409206.72</v>
      </c>
      <c r="M27" s="339">
        <f>J27/L27</f>
        <v>0.79310200220358695</v>
      </c>
      <c r="N27" s="339">
        <f>K27/L27</f>
        <v>0.20689799779641296</v>
      </c>
      <c r="O27" s="87"/>
    </row>
    <row r="28" spans="1:15">
      <c r="A28" s="87"/>
      <c r="B28" s="346" t="s">
        <v>45</v>
      </c>
      <c r="C28" s="346">
        <f>SUM(C25:C27)</f>
        <v>980</v>
      </c>
      <c r="D28" s="346">
        <f>SUM(D25:D27)</f>
        <v>633</v>
      </c>
      <c r="E28" s="346">
        <f>SUM(E25:E27)</f>
        <v>347</v>
      </c>
      <c r="F28" s="347">
        <f>D28/C28</f>
        <v>0.64591836734693875</v>
      </c>
      <c r="G28" s="347">
        <f>E28/C28</f>
        <v>0.35408163265306125</v>
      </c>
      <c r="H28" s="340"/>
      <c r="I28" s="346" t="s">
        <v>45</v>
      </c>
      <c r="J28" s="348">
        <f>SUM(J25:J27)</f>
        <v>383670339.5</v>
      </c>
      <c r="K28" s="348">
        <f>SUM(K25:K27)</f>
        <v>212434829.14000002</v>
      </c>
      <c r="L28" s="348">
        <f>SUM(L25:L27)</f>
        <v>596105168.63999999</v>
      </c>
      <c r="M28" s="347">
        <f>J28/L28</f>
        <v>0.64362860730655114</v>
      </c>
      <c r="N28" s="347">
        <f>K28/L28</f>
        <v>0.35637139269344892</v>
      </c>
      <c r="O28" s="87"/>
    </row>
    <row r="29" spans="1:15">
      <c r="A29" s="87"/>
      <c r="B29" s="340"/>
      <c r="C29" s="340"/>
      <c r="D29" s="340"/>
      <c r="E29" s="340"/>
      <c r="F29" s="340"/>
      <c r="G29" s="340"/>
      <c r="H29" s="89"/>
      <c r="I29" s="340"/>
      <c r="J29" s="342"/>
      <c r="K29" s="342"/>
      <c r="L29" s="342"/>
      <c r="M29" s="340"/>
      <c r="N29" s="340"/>
      <c r="O29" s="87"/>
    </row>
    <row r="30" spans="1:15">
      <c r="A30" s="87"/>
      <c r="B30" s="479" t="s">
        <v>53</v>
      </c>
      <c r="C30" s="479"/>
      <c r="D30" s="475"/>
      <c r="E30" s="475"/>
      <c r="F30" s="475"/>
      <c r="G30" s="475"/>
      <c r="H30" s="89"/>
      <c r="I30" s="340"/>
      <c r="J30" s="342"/>
      <c r="K30" s="342"/>
      <c r="L30" s="342"/>
      <c r="M30" s="340"/>
      <c r="N30" s="340"/>
      <c r="O30" s="87"/>
    </row>
    <row r="31" spans="1:15">
      <c r="A31" s="87"/>
      <c r="B31" s="450" t="s">
        <v>45</v>
      </c>
      <c r="C31" s="452">
        <v>28</v>
      </c>
      <c r="D31" s="340"/>
      <c r="E31" s="340"/>
      <c r="F31" s="340"/>
      <c r="G31" s="340"/>
      <c r="H31" s="340"/>
      <c r="I31" s="340"/>
      <c r="J31" s="342"/>
      <c r="K31" s="342"/>
      <c r="L31" s="342"/>
      <c r="M31" s="340"/>
      <c r="N31" s="340"/>
      <c r="O31" s="87"/>
    </row>
    <row r="32" spans="1:15">
      <c r="A32" s="87"/>
      <c r="B32" s="450" t="s">
        <v>54</v>
      </c>
      <c r="C32" s="383">
        <v>13</v>
      </c>
      <c r="D32" s="480">
        <v>2300002</v>
      </c>
      <c r="E32" s="481"/>
      <c r="F32" s="340"/>
      <c r="G32" s="340"/>
      <c r="H32" s="89"/>
      <c r="I32" s="340"/>
      <c r="J32" s="342"/>
      <c r="K32" s="342"/>
      <c r="L32" s="342"/>
      <c r="M32" s="340"/>
      <c r="N32" s="340"/>
      <c r="O32" s="87"/>
    </row>
    <row r="33" spans="1:15">
      <c r="A33" s="87"/>
      <c r="B33" s="450" t="s">
        <v>47</v>
      </c>
      <c r="C33" s="452">
        <f>C31-C32</f>
        <v>15</v>
      </c>
      <c r="D33" s="340"/>
      <c r="E33" s="340"/>
      <c r="F33" s="340"/>
      <c r="G33" s="340"/>
      <c r="H33" s="89"/>
      <c r="I33" s="340"/>
      <c r="J33" s="342"/>
      <c r="K33" s="342"/>
      <c r="L33" s="342"/>
      <c r="M33" s="340"/>
      <c r="N33" s="340"/>
      <c r="O33" s="87"/>
    </row>
    <row r="34" spans="1:15">
      <c r="B34" s="340"/>
      <c r="C34" s="340"/>
      <c r="D34" s="340"/>
      <c r="E34" s="340"/>
      <c r="F34" s="340"/>
      <c r="G34" s="340"/>
      <c r="H34" s="89"/>
      <c r="I34" s="340"/>
      <c r="J34" s="342"/>
      <c r="K34" s="342"/>
      <c r="L34" s="342"/>
      <c r="M34" s="340"/>
      <c r="N34" s="340"/>
    </row>
    <row r="35" spans="1:15">
      <c r="B35" s="472" t="s">
        <v>55</v>
      </c>
      <c r="C35" s="473"/>
      <c r="D35" s="473"/>
      <c r="E35" s="473"/>
      <c r="F35" s="473"/>
      <c r="G35" s="473"/>
      <c r="H35" s="473"/>
      <c r="I35" s="473"/>
      <c r="J35" s="473"/>
      <c r="K35" s="473"/>
      <c r="L35" s="473"/>
      <c r="M35" s="473"/>
      <c r="N35" s="474"/>
    </row>
    <row r="37" spans="1:15">
      <c r="B37" s="475" t="s">
        <v>56</v>
      </c>
      <c r="C37" s="475"/>
      <c r="D37" s="475"/>
      <c r="E37" s="475"/>
      <c r="F37" s="475"/>
      <c r="G37" s="475"/>
      <c r="H37" s="340"/>
      <c r="I37" s="475" t="s">
        <v>56</v>
      </c>
      <c r="J37" s="475"/>
      <c r="K37" s="475"/>
      <c r="L37" s="475"/>
      <c r="M37" s="475"/>
      <c r="N37" s="475"/>
    </row>
    <row r="38" spans="1:15">
      <c r="B38" s="450" t="s">
        <v>44</v>
      </c>
      <c r="C38" s="450" t="s">
        <v>45</v>
      </c>
      <c r="D38" s="450" t="s">
        <v>46</v>
      </c>
      <c r="E38" s="450" t="s">
        <v>47</v>
      </c>
      <c r="F38" s="450" t="s">
        <v>48</v>
      </c>
      <c r="G38" s="450" t="s">
        <v>49</v>
      </c>
      <c r="H38" s="340"/>
      <c r="I38" s="450" t="s">
        <v>44</v>
      </c>
      <c r="J38" s="344" t="s">
        <v>46</v>
      </c>
      <c r="K38" s="344" t="s">
        <v>47</v>
      </c>
      <c r="L38" s="344" t="s">
        <v>50</v>
      </c>
      <c r="M38" s="345" t="s">
        <v>48</v>
      </c>
      <c r="N38" s="345" t="s">
        <v>49</v>
      </c>
    </row>
    <row r="39" spans="1:15">
      <c r="B39" s="452">
        <v>4</v>
      </c>
      <c r="C39" s="452">
        <v>140</v>
      </c>
      <c r="D39" s="452">
        <v>6</v>
      </c>
      <c r="E39" s="452">
        <f>C39-D39</f>
        <v>134</v>
      </c>
      <c r="F39" s="339">
        <f>D39/C39</f>
        <v>4.2857142857142858E-2</v>
      </c>
      <c r="G39" s="339">
        <f>E39/C39</f>
        <v>0.95714285714285718</v>
      </c>
      <c r="H39" s="340"/>
      <c r="I39" s="452">
        <v>4</v>
      </c>
      <c r="J39" s="341">
        <v>3222429.85</v>
      </c>
      <c r="K39" s="341">
        <v>74504761.840000004</v>
      </c>
      <c r="L39" s="341">
        <f>SUM(J39:K39)</f>
        <v>77727191.689999998</v>
      </c>
      <c r="M39" s="339">
        <f>J39/L39</f>
        <v>4.1458205036559712E-2</v>
      </c>
      <c r="N39" s="339">
        <f>K39/L39</f>
        <v>0.95854179496344039</v>
      </c>
    </row>
    <row r="40" spans="1:15">
      <c r="B40" s="452">
        <v>6</v>
      </c>
      <c r="C40" s="452">
        <v>210</v>
      </c>
      <c r="D40" s="452">
        <v>17</v>
      </c>
      <c r="E40" s="452">
        <f>C40-D40</f>
        <v>193</v>
      </c>
      <c r="F40" s="339">
        <f>D40/C40</f>
        <v>8.0952380952380956E-2</v>
      </c>
      <c r="G40" s="339">
        <f>E40/C40</f>
        <v>0.919047619047619</v>
      </c>
      <c r="H40" s="340"/>
      <c r="I40" s="452">
        <v>6</v>
      </c>
      <c r="J40" s="341">
        <v>8267777.8300000001</v>
      </c>
      <c r="K40" s="341">
        <v>110121125.53</v>
      </c>
      <c r="L40" s="341">
        <f>SUM(J40:K40)</f>
        <v>118388903.36</v>
      </c>
      <c r="M40" s="339">
        <f>J40/L40</f>
        <v>6.9835749764985411E-2</v>
      </c>
      <c r="N40" s="339">
        <f>K40/L40</f>
        <v>0.93016425023501459</v>
      </c>
    </row>
    <row r="41" spans="1:15">
      <c r="B41" s="452">
        <v>13</v>
      </c>
      <c r="C41" s="452">
        <v>128</v>
      </c>
      <c r="D41" s="452">
        <v>11</v>
      </c>
      <c r="E41" s="452">
        <f>C41-D41</f>
        <v>117</v>
      </c>
      <c r="F41" s="339">
        <f>D41/C41</f>
        <v>8.59375E-2</v>
      </c>
      <c r="G41" s="339">
        <f>E41/C41</f>
        <v>0.9140625</v>
      </c>
      <c r="H41" s="340"/>
      <c r="I41" s="452">
        <v>13</v>
      </c>
      <c r="J41" s="341">
        <v>10346219.92</v>
      </c>
      <c r="K41" s="341">
        <v>201359630.33000001</v>
      </c>
      <c r="L41" s="341">
        <f>SUM(J41:K41)</f>
        <v>211705850.25</v>
      </c>
      <c r="M41" s="339">
        <f>J41/L41</f>
        <v>4.8870732234287888E-2</v>
      </c>
      <c r="N41" s="339">
        <f>K41/L41</f>
        <v>0.95112926776571216</v>
      </c>
    </row>
    <row r="42" spans="1:15">
      <c r="B42" s="346" t="s">
        <v>45</v>
      </c>
      <c r="C42" s="346">
        <f>SUM(C39:C41)</f>
        <v>478</v>
      </c>
      <c r="D42" s="346">
        <f>SUM(D39:D41)</f>
        <v>34</v>
      </c>
      <c r="E42" s="346">
        <f>SUM(E39:E41)</f>
        <v>444</v>
      </c>
      <c r="F42" s="347">
        <f>D42/C42</f>
        <v>7.1129707112970716E-2</v>
      </c>
      <c r="G42" s="347">
        <f>E42/C42</f>
        <v>0.92887029288702927</v>
      </c>
      <c r="I42" s="346" t="s">
        <v>45</v>
      </c>
      <c r="J42" s="348">
        <f>SUM(J39:J41)</f>
        <v>21836427.600000001</v>
      </c>
      <c r="K42" s="348">
        <f>SUM(K39:K41)</f>
        <v>385985517.70000005</v>
      </c>
      <c r="L42" s="348">
        <f>SUM(L39:L41)</f>
        <v>407821945.30000001</v>
      </c>
      <c r="M42" s="347">
        <f>J42/L42</f>
        <v>5.3544022953293489E-2</v>
      </c>
      <c r="N42" s="347">
        <f>K42/L42</f>
        <v>0.94645597704670659</v>
      </c>
    </row>
    <row r="44" spans="1:15">
      <c r="I44" s="380" t="s">
        <v>57</v>
      </c>
      <c r="J44" s="264">
        <f>J28</f>
        <v>383670339.5</v>
      </c>
    </row>
    <row r="45" spans="1:15">
      <c r="I45" s="380" t="s">
        <v>58</v>
      </c>
      <c r="J45" s="264">
        <f>J42</f>
        <v>21836427.600000001</v>
      </c>
    </row>
    <row r="46" spans="1:15">
      <c r="I46" s="380" t="s">
        <v>59</v>
      </c>
      <c r="J46" s="264">
        <f>SUM(J44:J45)</f>
        <v>405506767.10000002</v>
      </c>
    </row>
  </sheetData>
  <mergeCells count="16">
    <mergeCell ref="B35:N35"/>
    <mergeCell ref="B2:N2"/>
    <mergeCell ref="B37:G37"/>
    <mergeCell ref="I37:N37"/>
    <mergeCell ref="I11:N11"/>
    <mergeCell ref="I16:N16"/>
    <mergeCell ref="I23:N23"/>
    <mergeCell ref="B4:G4"/>
    <mergeCell ref="I4:N4"/>
    <mergeCell ref="B6:G6"/>
    <mergeCell ref="B11:G11"/>
    <mergeCell ref="B16:G16"/>
    <mergeCell ref="B23:G23"/>
    <mergeCell ref="I6:N6"/>
    <mergeCell ref="B30:G30"/>
    <mergeCell ref="D32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5A5A5"/>
  </sheetPr>
  <dimension ref="A1:CM183"/>
  <sheetViews>
    <sheetView showGridLines="0" topLeftCell="A121" zoomScaleNormal="100" workbookViewId="0">
      <selection activeCell="AZ180" sqref="AZ180"/>
    </sheetView>
  </sheetViews>
  <sheetFormatPr defaultColWidth="14.42578125" defaultRowHeight="15" outlineLevelRow="1" outlineLevelCol="2"/>
  <cols>
    <col min="1" max="1" width="3" style="8" customWidth="1"/>
    <col min="2" max="2" width="25.7109375" style="177" customWidth="1"/>
    <col min="3" max="3" width="17.28515625" style="181" bestFit="1" customWidth="1"/>
    <col min="4" max="4" width="1" style="8" customWidth="1"/>
    <col min="5" max="9" width="13.7109375" style="8" customWidth="1" outlineLevel="1"/>
    <col min="10" max="10" width="14.42578125" style="8" customWidth="1"/>
    <col min="11" max="19" width="11.140625" style="8" hidden="1" customWidth="1" outlineLevel="1"/>
    <col min="20" max="20" width="11.140625" style="8" hidden="1" customWidth="1" outlineLevel="1" collapsed="1"/>
    <col min="21" max="22" width="11.140625" style="8" hidden="1" customWidth="1" outlineLevel="1"/>
    <col min="23" max="23" width="14.42578125" style="8" customWidth="1" collapsed="1"/>
    <col min="24" max="32" width="11" style="8" hidden="1" customWidth="1" outlineLevel="1"/>
    <col min="33" max="33" width="11" style="8" hidden="1" customWidth="1" outlineLevel="2" collapsed="1"/>
    <col min="34" max="35" width="11" style="8" hidden="1" customWidth="1" outlineLevel="2"/>
    <col min="36" max="36" width="14.42578125" style="8" customWidth="1" collapsed="1"/>
    <col min="37" max="38" width="12.42578125" style="8" customWidth="1"/>
    <col min="39" max="39" width="11.5703125" style="8" hidden="1" customWidth="1" outlineLevel="1"/>
    <col min="40" max="40" width="11.85546875" style="8" hidden="1" customWidth="1" outlineLevel="1"/>
    <col min="41" max="41" width="11.7109375" style="8" hidden="1" customWidth="1" outlineLevel="1"/>
    <col min="42" max="42" width="11.140625" style="8" hidden="1" customWidth="1" outlineLevel="1"/>
    <col min="43" max="43" width="11.28515625" style="8" hidden="1" customWidth="1" outlineLevel="1"/>
    <col min="44" max="44" width="12.42578125" style="8" hidden="1" customWidth="1" outlineLevel="1"/>
    <col min="45" max="45" width="11.140625" style="8" hidden="1" customWidth="1" outlineLevel="1"/>
    <col min="46" max="46" width="11.85546875" style="8" hidden="1" customWidth="1" outlineLevel="1"/>
    <col min="47" max="48" width="12" style="8" hidden="1" customWidth="1" outlineLevel="1"/>
    <col min="49" max="49" width="12" style="8" customWidth="1" collapsed="1"/>
    <col min="50" max="50" width="13.28515625" style="8" customWidth="1"/>
    <col min="51" max="51" width="5.85546875" style="8" bestFit="1" customWidth="1"/>
    <col min="52" max="52" width="10.28515625" style="8" bestFit="1" customWidth="1"/>
    <col min="53" max="53" width="2.28515625" style="8" customWidth="1"/>
    <col min="54" max="54" width="7.85546875" bestFit="1" customWidth="1"/>
    <col min="55" max="55" width="17.7109375" bestFit="1" customWidth="1"/>
    <col min="56" max="56" width="16.42578125" bestFit="1" customWidth="1"/>
    <col min="57" max="57" width="6.42578125" bestFit="1" customWidth="1"/>
    <col min="58" max="58" width="2.85546875" customWidth="1"/>
    <col min="59" max="59" width="10.28515625" bestFit="1" customWidth="1"/>
    <col min="60" max="60" width="17.7109375" bestFit="1" customWidth="1"/>
    <col min="61" max="61" width="16.42578125" bestFit="1" customWidth="1"/>
    <col min="62" max="62" width="8.140625" bestFit="1" customWidth="1"/>
  </cols>
  <sheetData>
    <row r="1" spans="1:62" ht="26.25">
      <c r="A1" s="94"/>
      <c r="B1" s="484" t="s">
        <v>60</v>
      </c>
      <c r="C1" s="484"/>
      <c r="D1" s="484"/>
      <c r="E1" s="484"/>
      <c r="F1" s="484"/>
      <c r="G1" s="484"/>
      <c r="H1" s="484"/>
      <c r="I1" s="484"/>
      <c r="J1" s="48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220"/>
      <c r="X1" s="94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220"/>
      <c r="AK1" s="94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220"/>
      <c r="AX1" s="220"/>
      <c r="AY1" s="171"/>
      <c r="AZ1" s="172"/>
    </row>
    <row r="2" spans="1:62">
      <c r="A2" s="94"/>
      <c r="B2" s="173"/>
      <c r="C2" s="173"/>
      <c r="D2" s="174"/>
      <c r="E2" s="173"/>
      <c r="F2" s="173"/>
      <c r="G2" s="173"/>
      <c r="H2" s="174"/>
      <c r="I2" s="174"/>
      <c r="J2" s="175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5"/>
      <c r="X2" s="174"/>
      <c r="Y2" s="174"/>
      <c r="Z2" s="174"/>
      <c r="AA2" s="174"/>
      <c r="AB2" s="174"/>
      <c r="AC2" s="296"/>
      <c r="AD2" s="174"/>
      <c r="AE2" s="174"/>
      <c r="AF2" s="174"/>
      <c r="AG2" s="174"/>
      <c r="AH2" s="174"/>
      <c r="AI2" s="174"/>
      <c r="AJ2" s="175"/>
      <c r="AK2" s="174"/>
      <c r="AL2" s="174"/>
      <c r="AM2" s="174"/>
      <c r="AN2" s="174"/>
      <c r="AO2" s="174"/>
      <c r="AP2" s="296"/>
      <c r="AQ2" s="174"/>
      <c r="AR2" s="174"/>
      <c r="AS2" s="174"/>
      <c r="AT2" s="174"/>
      <c r="AU2" s="174"/>
      <c r="AV2" s="174"/>
      <c r="AW2" s="175"/>
      <c r="AX2" s="175"/>
      <c r="AY2" s="221"/>
      <c r="AZ2" s="353"/>
    </row>
    <row r="3" spans="1:62" ht="15.75">
      <c r="A3" s="94"/>
      <c r="B3" s="217"/>
      <c r="C3" s="217"/>
      <c r="D3" s="218"/>
      <c r="E3" s="222"/>
      <c r="F3" s="223"/>
      <c r="G3" s="223"/>
      <c r="H3" s="223"/>
      <c r="I3" s="223"/>
      <c r="J3" s="224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373"/>
      <c r="X3" s="374"/>
      <c r="Y3" s="80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220"/>
      <c r="AK3" s="374"/>
      <c r="AL3" s="80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220"/>
      <c r="AX3" s="220"/>
      <c r="AY3" s="81"/>
      <c r="AZ3" s="99"/>
    </row>
    <row r="4" spans="1:62" ht="15.75">
      <c r="A4" s="94"/>
      <c r="B4" s="217" t="s">
        <v>61</v>
      </c>
      <c r="C4" s="219"/>
      <c r="D4" s="218"/>
      <c r="E4" s="223"/>
      <c r="F4" s="223"/>
      <c r="G4" s="223"/>
      <c r="H4" s="223"/>
      <c r="I4" s="225"/>
      <c r="J4" s="224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4"/>
      <c r="X4" s="225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220"/>
      <c r="AK4" s="225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220"/>
      <c r="AX4" s="220"/>
      <c r="AY4" s="81"/>
      <c r="AZ4" s="99"/>
      <c r="BA4" s="177"/>
    </row>
    <row r="5" spans="1:62">
      <c r="A5" s="204"/>
      <c r="B5" s="491" t="s">
        <v>62</v>
      </c>
      <c r="C5" s="492"/>
      <c r="D5" s="309"/>
      <c r="E5" s="310">
        <v>44804</v>
      </c>
      <c r="F5" s="310">
        <v>44834</v>
      </c>
      <c r="G5" s="310">
        <v>44865</v>
      </c>
      <c r="H5" s="310">
        <v>44895</v>
      </c>
      <c r="I5" s="310">
        <f>EOMONTH(H5,1)</f>
        <v>44926</v>
      </c>
      <c r="J5" s="311" t="s">
        <v>63</v>
      </c>
      <c r="K5" s="310">
        <f>EOMONTH(I5,1)</f>
        <v>44957</v>
      </c>
      <c r="L5" s="310">
        <f t="shared" ref="L5:V5" si="0">EOMONTH(K5,1)</f>
        <v>44985</v>
      </c>
      <c r="M5" s="310">
        <f t="shared" si="0"/>
        <v>45016</v>
      </c>
      <c r="N5" s="310">
        <f>EOMONTH(M5,1)</f>
        <v>45046</v>
      </c>
      <c r="O5" s="310">
        <f t="shared" si="0"/>
        <v>45077</v>
      </c>
      <c r="P5" s="310">
        <f t="shared" si="0"/>
        <v>45107</v>
      </c>
      <c r="Q5" s="310">
        <f t="shared" si="0"/>
        <v>45138</v>
      </c>
      <c r="R5" s="310">
        <f t="shared" si="0"/>
        <v>45169</v>
      </c>
      <c r="S5" s="310">
        <f t="shared" si="0"/>
        <v>45199</v>
      </c>
      <c r="T5" s="310">
        <f t="shared" si="0"/>
        <v>45230</v>
      </c>
      <c r="U5" s="310">
        <f t="shared" si="0"/>
        <v>45260</v>
      </c>
      <c r="V5" s="310">
        <f t="shared" si="0"/>
        <v>45291</v>
      </c>
      <c r="W5" s="311" t="s">
        <v>64</v>
      </c>
      <c r="X5" s="310">
        <f>EOMONTH(V5,1)</f>
        <v>45322</v>
      </c>
      <c r="Y5" s="310">
        <f t="shared" ref="Y5:AI5" si="1">EOMONTH(X5,1)</f>
        <v>45351</v>
      </c>
      <c r="Z5" s="310">
        <f t="shared" si="1"/>
        <v>45382</v>
      </c>
      <c r="AA5" s="310">
        <f t="shared" si="1"/>
        <v>45412</v>
      </c>
      <c r="AB5" s="310">
        <f t="shared" si="1"/>
        <v>45443</v>
      </c>
      <c r="AC5" s="310">
        <f t="shared" si="1"/>
        <v>45473</v>
      </c>
      <c r="AD5" s="310">
        <f t="shared" si="1"/>
        <v>45504</v>
      </c>
      <c r="AE5" s="310">
        <f t="shared" si="1"/>
        <v>45535</v>
      </c>
      <c r="AF5" s="310">
        <f t="shared" si="1"/>
        <v>45565</v>
      </c>
      <c r="AG5" s="310">
        <f t="shared" si="1"/>
        <v>45596</v>
      </c>
      <c r="AH5" s="310">
        <f t="shared" si="1"/>
        <v>45626</v>
      </c>
      <c r="AI5" s="310">
        <f t="shared" si="1"/>
        <v>45657</v>
      </c>
      <c r="AJ5" s="311" t="s">
        <v>65</v>
      </c>
      <c r="AK5" s="310">
        <v>45688</v>
      </c>
      <c r="AL5" s="310">
        <f t="shared" ref="AL5" si="2">EOMONTH(AK5,1)</f>
        <v>45716</v>
      </c>
      <c r="AM5" s="310">
        <f t="shared" ref="AM5" si="3">EOMONTH(AL5,1)</f>
        <v>45747</v>
      </c>
      <c r="AN5" s="310">
        <f t="shared" ref="AN5" si="4">EOMONTH(AM5,1)</f>
        <v>45777</v>
      </c>
      <c r="AO5" s="310">
        <f t="shared" ref="AO5" si="5">EOMONTH(AN5,1)</f>
        <v>45808</v>
      </c>
      <c r="AP5" s="310">
        <f t="shared" ref="AP5" si="6">EOMONTH(AO5,1)</f>
        <v>45838</v>
      </c>
      <c r="AQ5" s="310">
        <f t="shared" ref="AQ5" si="7">EOMONTH(AP5,1)</f>
        <v>45869</v>
      </c>
      <c r="AR5" s="310">
        <f t="shared" ref="AR5" si="8">EOMONTH(AQ5,1)</f>
        <v>45900</v>
      </c>
      <c r="AS5" s="310">
        <f t="shared" ref="AS5" si="9">EOMONTH(AR5,1)</f>
        <v>45930</v>
      </c>
      <c r="AT5" s="310">
        <f t="shared" ref="AT5" si="10">EOMONTH(AS5,1)</f>
        <v>45961</v>
      </c>
      <c r="AU5" s="310">
        <f t="shared" ref="AU5" si="11">EOMONTH(AT5,1)</f>
        <v>45991</v>
      </c>
      <c r="AV5" s="310">
        <f t="shared" ref="AV5" si="12">EOMONTH(AU5,1)</f>
        <v>46022</v>
      </c>
      <c r="AW5" s="311" t="s">
        <v>66</v>
      </c>
      <c r="AX5" s="311" t="s">
        <v>45</v>
      </c>
      <c r="AY5" s="179" t="s">
        <v>15</v>
      </c>
      <c r="AZ5" s="297" t="s">
        <v>67</v>
      </c>
    </row>
    <row r="6" spans="1:62" s="87" customFormat="1">
      <c r="A6" s="93" t="s">
        <v>68</v>
      </c>
      <c r="B6" s="508" t="s">
        <v>69</v>
      </c>
      <c r="C6" s="312" t="s">
        <v>70</v>
      </c>
      <c r="D6" s="313"/>
      <c r="E6" s="314">
        <f>SUMIFS('Consulta Contratos'!$Z:$Z,'Consulta Contratos'!$AM:$AM,E$5,'Consulta Contratos'!$N:$N,'Performance Vendas'!$A6,'Consulta Contratos'!$H:$H,"Ativo")</f>
        <v>4164001</v>
      </c>
      <c r="F6" s="314">
        <f>SUMIFS('Consulta Contratos'!$Z:$Z,'Consulta Contratos'!$AM:$AM,F$5,'Consulta Contratos'!$N:$N,'Performance Vendas'!$A6,'Consulta Contratos'!$H:$H,"Ativo")</f>
        <v>6029248.2999999998</v>
      </c>
      <c r="G6" s="314">
        <f>SUMIFS('Consulta Contratos'!$Z:$Z,'Consulta Contratos'!$AM:$AM,G$5,'Consulta Contratos'!$N:$N,'Performance Vendas'!$A6,'Consulta Contratos'!$H:$H,"Ativo")</f>
        <v>10761880.18</v>
      </c>
      <c r="H6" s="314">
        <f>SUMIFS('Consulta Contratos'!$Z:$Z,'Consulta Contratos'!$AM:$AM,H$5,'Consulta Contratos'!$N:$N,'Performance Vendas'!$A6,'Consulta Contratos'!$H:$H,"Ativo")</f>
        <v>4752566</v>
      </c>
      <c r="I6" s="314">
        <f>SUMIFS('Consulta Contratos'!$Z:$Z,'Consulta Contratos'!$AM:$AM,I$5,'Consulta Contratos'!$N:$N,'Performance Vendas'!$A6,'Consulta Contratos'!$H:$H,"Ativo")</f>
        <v>12897740</v>
      </c>
      <c r="J6" s="315">
        <f t="shared" ref="J6:J13" si="13">SUM(E6:I6)</f>
        <v>38605435.480000004</v>
      </c>
      <c r="K6" s="314">
        <f>SUMIFS('Consulta Contratos'!$Z:$Z,'Consulta Contratos'!$AM:$AM,K$5,'Consulta Contratos'!$N:$N,'Performance Vendas'!$A6,'Consulta Contratos'!$H:$H,"Ativo")</f>
        <v>14667835</v>
      </c>
      <c r="L6" s="314">
        <f>SUMIFS('Consulta Contratos'!$Z:$Z,'Consulta Contratos'!$AM:$AM,L$5,'Consulta Contratos'!$N:$N,'Performance Vendas'!$A6,'Consulta Contratos'!$H:$H,"Ativo")</f>
        <v>4347825</v>
      </c>
      <c r="M6" s="314">
        <f>SUMIFS('Consulta Contratos'!$Z:$Z,'Consulta Contratos'!$AM:$AM,M$5,'Consulta Contratos'!$N:$N,'Performance Vendas'!$A6,'Consulta Contratos'!$H:$H,"Ativo")</f>
        <v>12491340</v>
      </c>
      <c r="N6" s="314">
        <f>SUMIFS('Consulta Contratos'!$Z:$Z,'Consulta Contratos'!$AM:$AM,N$5,'Consulta Contratos'!$N:$N,'Performance Vendas'!$A6,'Consulta Contratos'!$H:$H,"Ativo")</f>
        <v>13804596.76</v>
      </c>
      <c r="O6" s="314">
        <f>SUMIFS('Consulta Contratos'!$Z:$Z,'Consulta Contratos'!$AM:$AM,O$5,'Consulta Contratos'!$N:$N,'Performance Vendas'!$A6,'Consulta Contratos'!$H:$H,"Ativo")</f>
        <v>9937311.1999999993</v>
      </c>
      <c r="P6" s="314">
        <f>SUMIFS('Consulta Contratos'!$Z:$Z,'Consulta Contratos'!$AM:$AM,P$5,'Consulta Contratos'!$N:$N,'Performance Vendas'!$A6,'Consulta Contratos'!$H:$H,"Ativo")</f>
        <v>14564533.300000001</v>
      </c>
      <c r="Q6" s="314">
        <f>SUMIFS('Consulta Contratos'!$Z:$Z,'Consulta Contratos'!$AM:$AM,Q$5,'Consulta Contratos'!$N:$N,'Performance Vendas'!$A6,'Consulta Contratos'!$H:$H,"Ativo")</f>
        <v>13602758.629999999</v>
      </c>
      <c r="R6" s="314">
        <f>SUMIFS('Consulta Contratos'!$Z:$Z,'Consulta Contratos'!$AM:$AM,R$5,'Consulta Contratos'!$N:$N,'Performance Vendas'!$A6,'Consulta Contratos'!$H:$H,"Ativo")</f>
        <v>10455029.26</v>
      </c>
      <c r="S6" s="314">
        <f>SUMIFS('Consulta Contratos'!$Z:$Z,'Consulta Contratos'!$AM:$AM,S$5,'Consulta Contratos'!$N:$N,'Performance Vendas'!$A6,'Consulta Contratos'!$H:$H,"Ativo")</f>
        <v>19070199.820000004</v>
      </c>
      <c r="T6" s="314">
        <f>SUMIFS('Consulta Contratos'!$Z:$Z,'Consulta Contratos'!$AM:$AM,T$5,'Consulta Contratos'!$N:$N,'Performance Vendas'!$A6,'Consulta Contratos'!$H:$H,"Ativo")</f>
        <v>23634491.489999998</v>
      </c>
      <c r="U6" s="314">
        <f>SUMIFS('Consulta Contratos'!$Z:$Z,'Consulta Contratos'!$AM:$AM,U$5,'Consulta Contratos'!$N:$N,'Performance Vendas'!$A6,'Consulta Contratos'!$H:$H,"Ativo")</f>
        <v>14034977.119999999</v>
      </c>
      <c r="V6" s="314">
        <f>SUMIFS('Consulta Contratos'!$Z:$Z,'Consulta Contratos'!$AM:$AM,V$5,'Consulta Contratos'!$N:$N,'Performance Vendas'!$A6,'Consulta Contratos'!$H:$H,"Ativo")</f>
        <v>11862645</v>
      </c>
      <c r="W6" s="315">
        <f t="shared" ref="W6:W13" si="14">SUM(K6:V6)</f>
        <v>162473542.58000001</v>
      </c>
      <c r="X6" s="314">
        <f>SUMIFS('Consulta Contratos'!$Z:$Z,'Consulta Contratos'!$AM:$AM,X$5,'Consulta Contratos'!$N:$N,'Performance Vendas'!$A6,'Consulta Contratos'!$H:$H,"Ativo")</f>
        <v>16222630</v>
      </c>
      <c r="Y6" s="314">
        <f>SUMIFS('Consulta Contratos'!$Z:$Z,'Consulta Contratos'!$AM:$AM,Y$5,'Consulta Contratos'!$N:$N,'Performance Vendas'!$A6,'Consulta Contratos'!$H:$H,"Ativo")</f>
        <v>3294280</v>
      </c>
      <c r="Z6" s="314">
        <f>SUMIFS('Consulta Contratos'!$Z:$Z,'Consulta Contratos'!$AM:$AM,Z$5,'Consulta Contratos'!$N:$N,'Performance Vendas'!$A6,'Consulta Contratos'!$H:$H,"Ativo")</f>
        <v>3411784</v>
      </c>
      <c r="AA6" s="314">
        <f>SUMIFS('Consulta Contratos'!$Z:$Z,'Consulta Contratos'!$AM:$AM,AA$5,'Consulta Contratos'!$N:$N,'Performance Vendas'!$A6,'Consulta Contratos'!$H:$H,"Ativo")</f>
        <v>6213850</v>
      </c>
      <c r="AB6" s="314">
        <f>SUMIFS('Consulta Contratos'!$Z:$Z,'Consulta Contratos'!$AM:$AM,AB$5,'Consulta Contratos'!$N:$N,'Performance Vendas'!$A6,'Consulta Contratos'!$H:$H,"Ativo")</f>
        <v>336240</v>
      </c>
      <c r="AC6" s="314">
        <f>SUMIFS('Consulta Contratos'!$Z:$Z,'Consulta Contratos'!$AM:$AM,AC$5,'Consulta Contratos'!$N:$N,'Performance Vendas'!$A6,'Consulta Contratos'!$H:$H,"Ativo")</f>
        <v>1379000</v>
      </c>
      <c r="AD6" s="314">
        <f>SUMIFS('Consulta Contratos'!$Z:$Z,'Consulta Contratos'!$AM:$AM,AD$5,'Consulta Contratos'!$N:$N,'Performance Vendas'!$A6,'Consulta Contratos'!$H:$H,"Ativo")</f>
        <v>7971970.6600000001</v>
      </c>
      <c r="AE6" s="314">
        <f>SUMIFS('Consulta Contratos'!$Z:$Z,'Consulta Contratos'!$AM:$AM,AE$5,'Consulta Contratos'!$N:$N,'Performance Vendas'!$A6,'Consulta Contratos'!$H:$H,"Ativo")</f>
        <v>20878441.460000001</v>
      </c>
      <c r="AF6" s="314">
        <f>SUMIFS('Consulta Contratos'!$Z:$Z,'Consulta Contratos'!$AM:$AM,AF$5,'Consulta Contratos'!$N:$N,'Performance Vendas'!$A6,'Consulta Contratos'!$H:$H,"Ativo")</f>
        <v>11957722.830000002</v>
      </c>
      <c r="AG6" s="314">
        <f>SUMIFS('Consulta Contratos'!$Z:$Z,'Consulta Contratos'!$AM:$AM,AG$5,'Consulta Contratos'!$N:$N,'Performance Vendas'!$A6,'Consulta Contratos'!$H:$H,"Ativo")</f>
        <v>606000</v>
      </c>
      <c r="AH6" s="314">
        <f>SUMIFS('Consulta Contratos'!$Z:$Z,'Consulta Contratos'!$AM:$AM,AH$5,'Consulta Contratos'!$N:$N,'Performance Vendas'!$A6,'Consulta Contratos'!$H:$H,"Ativo")</f>
        <v>7219599.7999999998</v>
      </c>
      <c r="AI6" s="314">
        <f>SUMIFS('Consulta Contratos'!$Z:$Z,'Consulta Contratos'!$AM:$AM,AI$5,'Consulta Contratos'!$N:$N,'Performance Vendas'!$A6,'Consulta Contratos'!$H:$H,"Ativo")</f>
        <v>11207364.85</v>
      </c>
      <c r="AJ6" s="315">
        <f t="shared" ref="AJ6" si="15">SUM(X6:AI6)</f>
        <v>90698883.599999994</v>
      </c>
      <c r="AK6" s="314">
        <f>SUMIFS('Consulta Contratos'!$Z:$Z,'Consulta Contratos'!$AM:$AM,AK$5,'Consulta Contratos'!$N:$N,'Performance Vendas'!$A6,'Consulta Contratos'!$H:$H,"Ativo")</f>
        <v>9348451.8099999987</v>
      </c>
      <c r="AL6" s="314">
        <f>SUMIFS('Consulta Contratos'!$Z:$Z,'Consulta Contratos'!$AM:$AM,AL$5,'Consulta Contratos'!$N:$N,'Performance Vendas'!$A6,'Consulta Contratos'!$H:$H,"Ativo")</f>
        <v>5696718.8300000001</v>
      </c>
      <c r="AM6" s="314">
        <f>SUMIFS('Consulta Contratos'!$Z:$Z,'Consulta Contratos'!$AM:$AM,AM$5,'Consulta Contratos'!$N:$N,'Performance Vendas'!$A6,'Consulta Contratos'!$H:$H,"Ativo")</f>
        <v>328000</v>
      </c>
      <c r="AN6" s="314">
        <f>SUMIFS('Consulta Contratos'!$Z:$Z,'Consulta Contratos'!$AM:$AM,AN$5,'Consulta Contratos'!$N:$N,'Performance Vendas'!$A6,'Consulta Contratos'!$H:$H,"Ativo")</f>
        <v>0</v>
      </c>
      <c r="AO6" s="314">
        <f>SUMIFS('Consulta Contratos'!$Z:$Z,'Consulta Contratos'!$AM:$AM,AO$5,'Consulta Contratos'!$N:$N,'Performance Vendas'!$A6,'Consulta Contratos'!$H:$H,"Ativo")</f>
        <v>0</v>
      </c>
      <c r="AP6" s="314">
        <f>SUMIFS('Consulta Contratos'!$Z:$Z,'Consulta Contratos'!$AM:$AM,AP$5,'Consulta Contratos'!$N:$N,'Performance Vendas'!$A6,'Consulta Contratos'!$H:$H,"Ativo")</f>
        <v>0</v>
      </c>
      <c r="AQ6" s="314">
        <f>SUMIFS('Consulta Contratos'!$Z:$Z,'Consulta Contratos'!$AM:$AM,AQ$5,'Consulta Contratos'!$N:$N,'Performance Vendas'!$A6,'Consulta Contratos'!$H:$H,"Ativo")</f>
        <v>0</v>
      </c>
      <c r="AR6" s="314">
        <f>SUMIFS('Consulta Contratos'!$Z:$Z,'Consulta Contratos'!$AM:$AM,AR$5,'Consulta Contratos'!$N:$N,'Performance Vendas'!$A6,'Consulta Contratos'!$H:$H,"Ativo")</f>
        <v>0</v>
      </c>
      <c r="AS6" s="314">
        <f>SUMIFS('Consulta Contratos'!$Z:$Z,'Consulta Contratos'!$AM:$AM,AS$5,'Consulta Contratos'!$N:$N,'Performance Vendas'!$A6,'Consulta Contratos'!$H:$H,"Ativo")</f>
        <v>0</v>
      </c>
      <c r="AT6" s="314">
        <f>SUMIFS('Consulta Contratos'!$Z:$Z,'Consulta Contratos'!$AM:$AM,AT$5,'Consulta Contratos'!$N:$N,'Performance Vendas'!$A6,'Consulta Contratos'!$H:$H,"Ativo")</f>
        <v>0</v>
      </c>
      <c r="AU6" s="314">
        <f>SUMIFS('Consulta Contratos'!$Z:$Z,'Consulta Contratos'!$AM:$AM,AU$5,'Consulta Contratos'!$N:$N,'Performance Vendas'!$A6,'Consulta Contratos'!$H:$H,"Ativo")</f>
        <v>0</v>
      </c>
      <c r="AV6" s="314">
        <f>SUMIFS('Consulta Contratos'!$Z:$Z,'Consulta Contratos'!$AM:$AM,AV$5,'Consulta Contratos'!$N:$N,'Performance Vendas'!$A6,'Consulta Contratos'!$H:$H,"Ativo")</f>
        <v>0</v>
      </c>
      <c r="AW6" s="315">
        <f t="shared" ref="AW6:AW13" si="16">SUM(AK6:AV6)</f>
        <v>15373170.639999999</v>
      </c>
      <c r="AX6" s="315">
        <f>AJ6+W6+J6+AW6</f>
        <v>307151032.30000001</v>
      </c>
      <c r="AY6" s="92">
        <f>AX6/AX12</f>
        <v>0.80186686106990335</v>
      </c>
      <c r="AZ6" s="161">
        <f>SUMIFS('Consulta Contratos'!$Z:$Z,'Consulta Contratos'!$AM:$AM,AZ$5,'Consulta Contratos'!$N:$N,'Performance Vendas'!$A6,'Consulta Contratos'!$H:$H,"Ativo")</f>
        <v>1498219.6800000002</v>
      </c>
      <c r="BA6" s="177"/>
      <c r="BB6"/>
      <c r="BC6"/>
      <c r="BD6"/>
      <c r="BE6"/>
      <c r="BF6"/>
      <c r="BG6"/>
      <c r="BH6"/>
      <c r="BI6"/>
      <c r="BJ6"/>
    </row>
    <row r="7" spans="1:62" s="272" customFormat="1">
      <c r="A7" s="268"/>
      <c r="B7" s="509"/>
      <c r="C7" s="316" t="s">
        <v>71</v>
      </c>
      <c r="D7" s="317"/>
      <c r="E7" s="318">
        <f>SUMIFS('Consulta Contratos'!$AO:$AO,'Consulta Contratos'!$AM:$AM,'Performance Vendas'!E$5,'Consulta Contratos'!$H:$H,"ATIVO",'Consulta Contratos'!$N:$N,'Performance Vendas'!$A6)</f>
        <v>3</v>
      </c>
      <c r="F7" s="318">
        <f>SUMIFS('Consulta Contratos'!$AO:$AO,'Consulta Contratos'!$AM:$AM,'Performance Vendas'!F$5,'Consulta Contratos'!$H:$H,"ATIVO",'Consulta Contratos'!$N:$N,'Performance Vendas'!$A6)</f>
        <v>11</v>
      </c>
      <c r="G7" s="318">
        <f>SUMIFS('Consulta Contratos'!$AO:$AO,'Consulta Contratos'!$AM:$AM,'Performance Vendas'!G$5,'Consulta Contratos'!$H:$H,"ATIVO",'Consulta Contratos'!$N:$N,'Performance Vendas'!$A6)</f>
        <v>9</v>
      </c>
      <c r="H7" s="318">
        <f>SUMIFS('Consulta Contratos'!$AO:$AO,'Consulta Contratos'!$AM:$AM,'Performance Vendas'!H$5,'Consulta Contratos'!$H:$H,"ATIVO",'Consulta Contratos'!$N:$N,'Performance Vendas'!$A6)</f>
        <v>10</v>
      </c>
      <c r="I7" s="318">
        <f>SUMIFS('Consulta Contratos'!$AO:$AO,'Consulta Contratos'!$AM:$AM,'Performance Vendas'!I$5,'Consulta Contratos'!$H:$H,"ATIVO",'Consulta Contratos'!$N:$N,'Performance Vendas'!$A6)</f>
        <v>17</v>
      </c>
      <c r="J7" s="319">
        <f t="shared" si="13"/>
        <v>50</v>
      </c>
      <c r="K7" s="318">
        <f>SUMIFS('Consulta Contratos'!$AO:$AO,'Consulta Contratos'!$AM:$AM,'Performance Vendas'!K$5,'Consulta Contratos'!$H:$H,"ATIVO",'Consulta Contratos'!$N:$N,'Performance Vendas'!$A6)</f>
        <v>15</v>
      </c>
      <c r="L7" s="318">
        <f>SUMIFS('Consulta Contratos'!$AO:$AO,'Consulta Contratos'!$AM:$AM,'Performance Vendas'!L$5,'Consulta Contratos'!$H:$H,"ATIVO",'Consulta Contratos'!$N:$N,'Performance Vendas'!$A6)</f>
        <v>8</v>
      </c>
      <c r="M7" s="318">
        <f>SUMIFS('Consulta Contratos'!$AO:$AO,'Consulta Contratos'!$AM:$AM,'Performance Vendas'!M$5,'Consulta Contratos'!$H:$H,"ATIVO",'Consulta Contratos'!$N:$N,'Performance Vendas'!$A6)</f>
        <v>8</v>
      </c>
      <c r="N7" s="318">
        <f>SUMIFS('Consulta Contratos'!$AO:$AO,'Consulta Contratos'!$AM:$AM,'Performance Vendas'!N$5,'Consulta Contratos'!$H:$H,"ATIVO",'Consulta Contratos'!$N:$N,'Performance Vendas'!$A6)</f>
        <v>6</v>
      </c>
      <c r="O7" s="318">
        <f>SUMIFS('Consulta Contratos'!$AO:$AO,'Consulta Contratos'!$AM:$AM,'Performance Vendas'!O$5,'Consulta Contratos'!$H:$H,"ATIVO",'Consulta Contratos'!$N:$N,'Performance Vendas'!$A6)</f>
        <v>15</v>
      </c>
      <c r="P7" s="318">
        <f>SUMIFS('Consulta Contratos'!$AO:$AO,'Consulta Contratos'!$AM:$AM,'Performance Vendas'!P$5,'Consulta Contratos'!$H:$H,"ATIVO",'Consulta Contratos'!$N:$N,'Performance Vendas'!$A6)</f>
        <v>16</v>
      </c>
      <c r="Q7" s="318">
        <f>SUMIFS('Consulta Contratos'!$AO:$AO,'Consulta Contratos'!$AM:$AM,'Performance Vendas'!Q$5,'Consulta Contratos'!$H:$H,"ATIVO",'Consulta Contratos'!$N:$N,'Performance Vendas'!$A6)</f>
        <v>16</v>
      </c>
      <c r="R7" s="318">
        <f>SUMIFS('Consulta Contratos'!$AO:$AO,'Consulta Contratos'!$AM:$AM,'Performance Vendas'!R$5,'Consulta Contratos'!$H:$H,"ATIVO",'Consulta Contratos'!$N:$N,'Performance Vendas'!$A6)</f>
        <v>17</v>
      </c>
      <c r="S7" s="318">
        <f>SUMIFS('Consulta Contratos'!$AO:$AO,'Consulta Contratos'!$AM:$AM,'Performance Vendas'!S$5,'Consulta Contratos'!$H:$H,"ATIVO",'Consulta Contratos'!$N:$N,'Performance Vendas'!$A6)</f>
        <v>18</v>
      </c>
      <c r="T7" s="318">
        <f>SUMIFS('Consulta Contratos'!$AO:$AO,'Consulta Contratos'!$AM:$AM,'Performance Vendas'!T$5,'Consulta Contratos'!$H:$H,"ATIVO",'Consulta Contratos'!$N:$N,'Performance Vendas'!$A6)</f>
        <v>26</v>
      </c>
      <c r="U7" s="318">
        <f>SUMIFS('Consulta Contratos'!$AO:$AO,'Consulta Contratos'!$AM:$AM,'Performance Vendas'!U$5,'Consulta Contratos'!$H:$H,"ATIVO",'Consulta Contratos'!$N:$N,'Performance Vendas'!$A6)</f>
        <v>27</v>
      </c>
      <c r="V7" s="318">
        <f>SUMIFS('Consulta Contratos'!$AO:$AO,'Consulta Contratos'!$AM:$AM,'Performance Vendas'!V$5,'Consulta Contratos'!$H:$H,"ATIVO",'Consulta Contratos'!$N:$N,'Performance Vendas'!$A6)</f>
        <v>13</v>
      </c>
      <c r="W7" s="319">
        <f t="shared" si="14"/>
        <v>185</v>
      </c>
      <c r="X7" s="318">
        <f>SUMIFS('Consulta Contratos'!$AO:$AO,'Consulta Contratos'!$AM:$AM,'Performance Vendas'!X$5,'Consulta Contratos'!$H:$H,"ATIVO",'Consulta Contratos'!$N:$N,'Performance Vendas'!$A6)</f>
        <v>9</v>
      </c>
      <c r="Y7" s="318">
        <f>SUMIFS('Consulta Contratos'!$AO:$AO,'Consulta Contratos'!$AM:$AM,'Performance Vendas'!Y$5,'Consulta Contratos'!$H:$H,"ATIVO",'Consulta Contratos'!$N:$N,'Performance Vendas'!$A6)</f>
        <v>8</v>
      </c>
      <c r="Z7" s="318">
        <f>SUMIFS('Consulta Contratos'!$AO:$AO,'Consulta Contratos'!$AM:$AM,'Performance Vendas'!Z$5,'Consulta Contratos'!$H:$H,"ATIVO",'Consulta Contratos'!$N:$N,'Performance Vendas'!$A6)</f>
        <v>5</v>
      </c>
      <c r="AA7" s="318">
        <f>SUMIFS('Consulta Contratos'!$AO:$AO,'Consulta Contratos'!$AM:$AM,'Performance Vendas'!AA$5,'Consulta Contratos'!$H:$H,"ATIVO",'Consulta Contratos'!$N:$N,'Performance Vendas'!$A6)</f>
        <v>10</v>
      </c>
      <c r="AB7" s="318">
        <f>SUMIFS('Consulta Contratos'!$AO:$AO,'Consulta Contratos'!$AM:$AM,'Performance Vendas'!AB$5,'Consulta Contratos'!$H:$H,"ATIVO",'Consulta Contratos'!$N:$N,'Performance Vendas'!$A6)</f>
        <v>1</v>
      </c>
      <c r="AC7" s="318">
        <f>SUMIFS('Consulta Contratos'!$AO:$AO,'Consulta Contratos'!$AM:$AM,'Performance Vendas'!AC$5,'Consulta Contratos'!$H:$H,"ATIVO",'Consulta Contratos'!$N:$N,'Performance Vendas'!$A6)</f>
        <v>2</v>
      </c>
      <c r="AD7" s="318">
        <f>SUMIFS('Consulta Contratos'!$AO:$AO,'Consulta Contratos'!$AM:$AM,'Performance Vendas'!AD$5,'Consulta Contratos'!$H:$H,"ATIVO",'Consulta Contratos'!$N:$N,'Performance Vendas'!$A6)</f>
        <v>12</v>
      </c>
      <c r="AE7" s="318">
        <f>SUMIFS('Consulta Contratos'!$AO:$AO,'Consulta Contratos'!$AM:$AM,'Performance Vendas'!AE$5,'Consulta Contratos'!$H:$H,"ATIVO",'Consulta Contratos'!$N:$N,'Performance Vendas'!$A6)</f>
        <v>20</v>
      </c>
      <c r="AF7" s="318">
        <f>SUMIFS('Consulta Contratos'!$AO:$AO,'Consulta Contratos'!$AM:$AM,'Performance Vendas'!AF$5,'Consulta Contratos'!$H:$H,"ATIVO",'Consulta Contratos'!$N:$N,'Performance Vendas'!$A6)</f>
        <v>18</v>
      </c>
      <c r="AG7" s="318">
        <f>SUMIFS('Consulta Contratos'!$AO:$AO,'Consulta Contratos'!$AM:$AM,'Performance Vendas'!AG$5,'Consulta Contratos'!$H:$H,"ATIVO",'Consulta Contratos'!$N:$N,'Performance Vendas'!$A6)</f>
        <v>1</v>
      </c>
      <c r="AH7" s="318">
        <f>SUMIFS('Consulta Contratos'!$AO:$AO,'Consulta Contratos'!$AM:$AM,'Performance Vendas'!AH$5,'Consulta Contratos'!$H:$H,"ATIVO",'Consulta Contratos'!$N:$N,'Performance Vendas'!$A6)</f>
        <v>8</v>
      </c>
      <c r="AI7" s="318">
        <f>SUMIFS('Consulta Contratos'!$AO:$AO,'Consulta Contratos'!$AM:$AM,'Performance Vendas'!AI$5,'Consulta Contratos'!$H:$H,"ATIVO",'Consulta Contratos'!$N:$N,'Performance Vendas'!$A6)</f>
        <v>7</v>
      </c>
      <c r="AJ7" s="319">
        <f t="shared" ref="AJ7:AJ13" si="17">SUM(X7:AI7)</f>
        <v>101</v>
      </c>
      <c r="AK7" s="318">
        <f>SUMIFS('Consulta Contratos'!$AO:$AO,'Consulta Contratos'!$AM:$AM,'Performance Vendas'!AK$5,'Consulta Contratos'!$H:$H,"ATIVO",'Consulta Contratos'!$N:$N,'Performance Vendas'!$A6)</f>
        <v>14</v>
      </c>
      <c r="AL7" s="318">
        <f>SUMIFS('Consulta Contratos'!$AO:$AO,'Consulta Contratos'!$AM:$AM,'Performance Vendas'!AL$5,'Consulta Contratos'!$H:$H,"ATIVO",'Consulta Contratos'!$N:$N,'Performance Vendas'!$A6)</f>
        <v>11</v>
      </c>
      <c r="AM7" s="318">
        <f>SUMIFS('Consulta Contratos'!$AO:$AO,'Consulta Contratos'!$AM:$AM,'Performance Vendas'!AM$5,'Consulta Contratos'!$H:$H,"ATIVO",'Consulta Contratos'!$N:$N,'Performance Vendas'!$A6)</f>
        <v>1</v>
      </c>
      <c r="AN7" s="318">
        <f>SUMIFS('Consulta Contratos'!$AO:$AO,'Consulta Contratos'!$AM:$AM,'Performance Vendas'!AN$5,'Consulta Contratos'!$H:$H,"ATIVO",'Consulta Contratos'!$N:$N,'Performance Vendas'!$A6)</f>
        <v>0</v>
      </c>
      <c r="AO7" s="318">
        <f>SUMIFS('Consulta Contratos'!$AO:$AO,'Consulta Contratos'!$AM:$AM,'Performance Vendas'!AO$5,'Consulta Contratos'!$H:$H,"ATIVO",'Consulta Contratos'!$N:$N,'Performance Vendas'!$A6)</f>
        <v>0</v>
      </c>
      <c r="AP7" s="318">
        <f>SUMIFS('Consulta Contratos'!$AO:$AO,'Consulta Contratos'!$AM:$AM,'Performance Vendas'!AP$5,'Consulta Contratos'!$H:$H,"ATIVO",'Consulta Contratos'!$N:$N,'Performance Vendas'!$A6)</f>
        <v>0</v>
      </c>
      <c r="AQ7" s="318">
        <f>SUMIFS('Consulta Contratos'!$AO:$AO,'Consulta Contratos'!$AM:$AM,'Performance Vendas'!AQ$5,'Consulta Contratos'!$H:$H,"ATIVO",'Consulta Contratos'!$N:$N,'Performance Vendas'!$A6)</f>
        <v>0</v>
      </c>
      <c r="AR7" s="318">
        <f>SUMIFS('Consulta Contratos'!$AO:$AO,'Consulta Contratos'!$AM:$AM,'Performance Vendas'!AR$5,'Consulta Contratos'!$H:$H,"ATIVO",'Consulta Contratos'!$N:$N,'Performance Vendas'!$A6)</f>
        <v>0</v>
      </c>
      <c r="AS7" s="318">
        <f>SUMIFS('Consulta Contratos'!$AO:$AO,'Consulta Contratos'!$AM:$AM,'Performance Vendas'!AS$5,'Consulta Contratos'!$H:$H,"ATIVO",'Consulta Contratos'!$N:$N,'Performance Vendas'!$A6)</f>
        <v>0</v>
      </c>
      <c r="AT7" s="318">
        <f>SUMIFS('Consulta Contratos'!$AO:$AO,'Consulta Contratos'!$AM:$AM,'Performance Vendas'!AT$5,'Consulta Contratos'!$H:$H,"ATIVO",'Consulta Contratos'!$N:$N,'Performance Vendas'!$A6)</f>
        <v>0</v>
      </c>
      <c r="AU7" s="318">
        <f>SUMIFS('Consulta Contratos'!$AO:$AO,'Consulta Contratos'!$AM:$AM,'Performance Vendas'!AU$5,'Consulta Contratos'!$H:$H,"ATIVO",'Consulta Contratos'!$N:$N,'Performance Vendas'!$A6)</f>
        <v>0</v>
      </c>
      <c r="AV7" s="318">
        <f>SUMIFS('Consulta Contratos'!$AO:$AO,'Consulta Contratos'!$AM:$AM,'Performance Vendas'!AV$5,'Consulta Contratos'!$H:$H,"ATIVO",'Consulta Contratos'!$N:$N,'Performance Vendas'!$A6)</f>
        <v>0</v>
      </c>
      <c r="AW7" s="319">
        <f t="shared" si="16"/>
        <v>26</v>
      </c>
      <c r="AX7" s="319">
        <f>AJ7+W7+J7+AW7</f>
        <v>362</v>
      </c>
      <c r="AY7" s="269"/>
      <c r="AZ7" s="270">
        <f>COUNTIFS('Consulta Contratos'!$AM:$AM,'Performance Vendas'!AZ$5,'Consulta Contratos'!$N:$N,'Performance Vendas'!$A6,'Consulta Contratos'!$H:$H,"ATIVO")</f>
        <v>3</v>
      </c>
      <c r="BA7" s="271"/>
      <c r="BB7"/>
      <c r="BC7"/>
      <c r="BD7"/>
      <c r="BE7"/>
      <c r="BF7"/>
      <c r="BG7"/>
      <c r="BH7"/>
      <c r="BI7"/>
      <c r="BJ7"/>
    </row>
    <row r="8" spans="1:62" s="87" customFormat="1">
      <c r="A8" s="93" t="s">
        <v>72</v>
      </c>
      <c r="B8" s="510" t="s">
        <v>72</v>
      </c>
      <c r="C8" s="320" t="s">
        <v>70</v>
      </c>
      <c r="D8" s="313"/>
      <c r="E8" s="314">
        <f>SUMIFS('Consulta Contratos'!$Z:$Z,'Consulta Contratos'!$AM:$AM,E$5,'Consulta Contratos'!$N:$N,'Performance Vendas'!$A8,'Consulta Contratos'!$H:$H,"Ativo")</f>
        <v>4911000</v>
      </c>
      <c r="F8" s="314">
        <f>SUMIFS('Consulta Contratos'!$Z:$Z,'Consulta Contratos'!$AM:$AM,F$5,'Consulta Contratos'!$N:$N,'Performance Vendas'!$A8,'Consulta Contratos'!$H:$H,"Ativo")</f>
        <v>341500</v>
      </c>
      <c r="G8" s="314">
        <f>SUMIFS('Consulta Contratos'!$Z:$Z,'Consulta Contratos'!$AM:$AM,G$5,'Consulta Contratos'!$N:$N,'Performance Vendas'!$A8,'Consulta Contratos'!$H:$H,"Ativo")</f>
        <v>3526841.18</v>
      </c>
      <c r="H8" s="314">
        <f>SUMIFS('Consulta Contratos'!$Z:$Z,'Consulta Contratos'!$AM:$AM,H$5,'Consulta Contratos'!$N:$N,'Performance Vendas'!$A8,'Consulta Contratos'!$H:$H,"Ativo")</f>
        <v>0</v>
      </c>
      <c r="I8" s="314">
        <f>SUMIFS('Consulta Contratos'!$Z:$Z,'Consulta Contratos'!$AM:$AM,I$5,'Consulta Contratos'!$N:$N,'Performance Vendas'!$A8,'Consulta Contratos'!$H:$H,"Ativo")</f>
        <v>950000</v>
      </c>
      <c r="J8" s="315">
        <f t="shared" si="13"/>
        <v>9729341.1799999997</v>
      </c>
      <c r="K8" s="314">
        <f>SUMIFS('Consulta Contratos'!$Z:$Z,'Consulta Contratos'!$AM:$AM,K$5,'Consulta Contratos'!$N:$N,'Performance Vendas'!$A8,'Consulta Contratos'!$H:$H,"Ativo")</f>
        <v>0</v>
      </c>
      <c r="L8" s="314">
        <f>SUMIFS('Consulta Contratos'!$Z:$Z,'Consulta Contratos'!$AM:$AM,L$5,'Consulta Contratos'!$N:$N,'Performance Vendas'!$A8,'Consulta Contratos'!$H:$H,"Ativo")</f>
        <v>0</v>
      </c>
      <c r="M8" s="314">
        <f>SUMIFS('Consulta Contratos'!$Z:$Z,'Consulta Contratos'!$AM:$AM,M$5,'Consulta Contratos'!$N:$N,'Performance Vendas'!$A8,'Consulta Contratos'!$H:$H,"Ativo")</f>
        <v>0</v>
      </c>
      <c r="N8" s="314">
        <f>SUMIFS('Consulta Contratos'!$Z:$Z,'Consulta Contratos'!$AM:$AM,N$5,'Consulta Contratos'!$N:$N,'Performance Vendas'!$A8,'Consulta Contratos'!$H:$H,"Ativo")</f>
        <v>0</v>
      </c>
      <c r="O8" s="314">
        <f>SUMIFS('Consulta Contratos'!$Z:$Z,'Consulta Contratos'!$AM:$AM,O$5,'Consulta Contratos'!$N:$N,'Performance Vendas'!$A8,'Consulta Contratos'!$H:$H,"Ativo")</f>
        <v>0</v>
      </c>
      <c r="P8" s="314">
        <f>SUMIFS('Consulta Contratos'!$Z:$Z,'Consulta Contratos'!$AM:$AM,P$5,'Consulta Contratos'!$N:$N,'Performance Vendas'!$A8,'Consulta Contratos'!$H:$H,"Ativo")</f>
        <v>516200</v>
      </c>
      <c r="Q8" s="314">
        <f>SUMIFS('Consulta Contratos'!$Z:$Z,'Consulta Contratos'!$AM:$AM,Q$5,'Consulta Contratos'!$N:$N,'Performance Vendas'!$A8,'Consulta Contratos'!$H:$H,"Ativo")</f>
        <v>0</v>
      </c>
      <c r="R8" s="314">
        <f>SUMIFS('Consulta Contratos'!$Z:$Z,'Consulta Contratos'!$AM:$AM,R$5,'Consulta Contratos'!$N:$N,'Performance Vendas'!$A8,'Consulta Contratos'!$H:$H,"Ativo")</f>
        <v>1240999.96</v>
      </c>
      <c r="S8" s="314">
        <f>SUMIFS('Consulta Contratos'!$Z:$Z,'Consulta Contratos'!$AM:$AM,S$5,'Consulta Contratos'!$N:$N,'Performance Vendas'!$A8,'Consulta Contratos'!$H:$H,"Ativo")</f>
        <v>1633603.01</v>
      </c>
      <c r="T8" s="314">
        <f>SUMIFS('Consulta Contratos'!$Z:$Z,'Consulta Contratos'!$AM:$AM,T$5,'Consulta Contratos'!$N:$N,'Performance Vendas'!$A8,'Consulta Contratos'!$H:$H,"Ativo")</f>
        <v>1400000</v>
      </c>
      <c r="U8" s="314">
        <f>SUMIFS('Consulta Contratos'!$Z:$Z,'Consulta Contratos'!$AM:$AM,U$5,'Consulta Contratos'!$N:$N,'Performance Vendas'!$A8,'Consulta Contratos'!$H:$H,"Ativo")</f>
        <v>0</v>
      </c>
      <c r="V8" s="314">
        <f>SUMIFS('Consulta Contratos'!$Z:$Z,'Consulta Contratos'!$AM:$AM,V$5,'Consulta Contratos'!$N:$N,'Performance Vendas'!$A8,'Consulta Contratos'!$H:$H,"Ativo")</f>
        <v>11500001</v>
      </c>
      <c r="W8" s="315">
        <f t="shared" si="14"/>
        <v>16290803.969999999</v>
      </c>
      <c r="X8" s="314">
        <f>SUMIFS('Consulta Contratos'!$Z:$Z,'Consulta Contratos'!$AM:$AM,X$5,'Consulta Contratos'!$N:$N,'Performance Vendas'!$A8,'Consulta Contratos'!$H:$H,"Ativo")</f>
        <v>0</v>
      </c>
      <c r="Y8" s="314">
        <f>SUMIFS('Consulta Contratos'!$Z:$Z,'Consulta Contratos'!$AM:$AM,Y$5,'Consulta Contratos'!$N:$N,'Performance Vendas'!$A8,'Consulta Contratos'!$H:$H,"Ativo")</f>
        <v>0</v>
      </c>
      <c r="Z8" s="314">
        <f>SUMIFS('Consulta Contratos'!$Z:$Z,'Consulta Contratos'!$AM:$AM,Z$5,'Consulta Contratos'!$N:$N,'Performance Vendas'!$A8,'Consulta Contratos'!$H:$H,"Ativo")</f>
        <v>7650000</v>
      </c>
      <c r="AA8" s="314">
        <f>SUMIFS('Consulta Contratos'!$Z:$Z,'Consulta Contratos'!$AM:$AM,AA$5,'Consulta Contratos'!$N:$N,'Performance Vendas'!$A8,'Consulta Contratos'!$H:$H,"Ativo")</f>
        <v>650000</v>
      </c>
      <c r="AB8" s="314">
        <f>SUMIFS('Consulta Contratos'!$Z:$Z,'Consulta Contratos'!$AM:$AM,AB$5,'Consulta Contratos'!$N:$N,'Performance Vendas'!$A8,'Consulta Contratos'!$H:$H,"Ativo")</f>
        <v>730000</v>
      </c>
      <c r="AC8" s="314">
        <f>SUMIFS('Consulta Contratos'!$Z:$Z,'Consulta Contratos'!$AM:$AM,AC$5,'Consulta Contratos'!$N:$N,'Performance Vendas'!$A8,'Consulta Contratos'!$H:$H,"Ativo")</f>
        <v>0</v>
      </c>
      <c r="AD8" s="314">
        <f>SUMIFS('Consulta Contratos'!$Z:$Z,'Consulta Contratos'!$AM:$AM,AD$5,'Consulta Contratos'!$N:$N,'Performance Vendas'!$A8,'Consulta Contratos'!$H:$H,"Ativo")</f>
        <v>0</v>
      </c>
      <c r="AE8" s="314">
        <f>SUMIFS('Consulta Contratos'!$Z:$Z,'Consulta Contratos'!$AM:$AM,AE$5,'Consulta Contratos'!$N:$N,'Performance Vendas'!$A8,'Consulta Contratos'!$H:$H,"Ativo")</f>
        <v>0</v>
      </c>
      <c r="AF8" s="314">
        <f>SUMIFS('Consulta Contratos'!$Z:$Z,'Consulta Contratos'!$AM:$AM,AF$5,'Consulta Contratos'!$N:$N,'Performance Vendas'!$A8,'Consulta Contratos'!$H:$H,"Ativo")</f>
        <v>4788000</v>
      </c>
      <c r="AG8" s="314">
        <f>SUMIFS('Consulta Contratos'!$Z:$Z,'Consulta Contratos'!$AM:$AM,AG$5,'Consulta Contratos'!$N:$N,'Performance Vendas'!$A8,'Consulta Contratos'!$H:$H,"Ativo")</f>
        <v>0</v>
      </c>
      <c r="AH8" s="314">
        <f>SUMIFS('Consulta Contratos'!$Z:$Z,'Consulta Contratos'!$AM:$AM,AH$5,'Consulta Contratos'!$N:$N,'Performance Vendas'!$A8,'Consulta Contratos'!$H:$H,"Ativo")</f>
        <v>0</v>
      </c>
      <c r="AI8" s="314">
        <f>SUMIFS('Consulta Contratos'!$Z:$Z,'Consulta Contratos'!$AM:$AM,AI$5,'Consulta Contratos'!$N:$N,'Performance Vendas'!$A8,'Consulta Contratos'!$H:$H,"Ativo")</f>
        <v>5100000</v>
      </c>
      <c r="AJ8" s="315">
        <f t="shared" si="17"/>
        <v>18918000</v>
      </c>
      <c r="AK8" s="314">
        <f>SUMIFS('Consulta Contratos'!$Z:$Z,'Consulta Contratos'!$AM:$AM,AK$5,'Consulta Contratos'!$N:$N,'Performance Vendas'!$A8,'Consulta Contratos'!$H:$H,"Ativo")</f>
        <v>0</v>
      </c>
      <c r="AL8" s="314">
        <f>SUMIFS('Consulta Contratos'!$Z:$Z,'Consulta Contratos'!$AM:$AM,AL$5,'Consulta Contratos'!$N:$N,'Performance Vendas'!$A8,'Consulta Contratos'!$H:$H,"Ativo")</f>
        <v>0</v>
      </c>
      <c r="AM8" s="314">
        <f>SUMIFS('Consulta Contratos'!$Z:$Z,'Consulta Contratos'!$AM:$AM,AM$5,'Consulta Contratos'!$N:$N,'Performance Vendas'!$A8,'Consulta Contratos'!$H:$H,"Ativo")</f>
        <v>0</v>
      </c>
      <c r="AN8" s="314">
        <f>SUMIFS('Consulta Contratos'!$Z:$Z,'Consulta Contratos'!$AM:$AM,AN$5,'Consulta Contratos'!$N:$N,'Performance Vendas'!$A8,'Consulta Contratos'!$H:$H,"Ativo")</f>
        <v>0</v>
      </c>
      <c r="AO8" s="314">
        <f>SUMIFS('Consulta Contratos'!$Z:$Z,'Consulta Contratos'!$AM:$AM,AO$5,'Consulta Contratos'!$N:$N,'Performance Vendas'!$A8,'Consulta Contratos'!$H:$H,"Ativo")</f>
        <v>0</v>
      </c>
      <c r="AP8" s="314">
        <f>SUMIFS('Consulta Contratos'!$Z:$Z,'Consulta Contratos'!$AM:$AM,AP$5,'Consulta Contratos'!$N:$N,'Performance Vendas'!$A8,'Consulta Contratos'!$H:$H,"Ativo")</f>
        <v>0</v>
      </c>
      <c r="AQ8" s="314">
        <f>SUMIFS('Consulta Contratos'!$Z:$Z,'Consulta Contratos'!$AM:$AM,AQ$5,'Consulta Contratos'!$N:$N,'Performance Vendas'!$A8,'Consulta Contratos'!$H:$H,"Ativo")</f>
        <v>0</v>
      </c>
      <c r="AR8" s="314">
        <f>SUMIFS('Consulta Contratos'!$Z:$Z,'Consulta Contratos'!$AM:$AM,AR$5,'Consulta Contratos'!$N:$N,'Performance Vendas'!$A8,'Consulta Contratos'!$H:$H,"Ativo")</f>
        <v>0</v>
      </c>
      <c r="AS8" s="314">
        <f>SUMIFS('Consulta Contratos'!$Z:$Z,'Consulta Contratos'!$AM:$AM,AS$5,'Consulta Contratos'!$N:$N,'Performance Vendas'!$A8,'Consulta Contratos'!$H:$H,"Ativo")</f>
        <v>0</v>
      </c>
      <c r="AT8" s="314">
        <f>SUMIFS('Consulta Contratos'!$Z:$Z,'Consulta Contratos'!$AM:$AM,AT$5,'Consulta Contratos'!$N:$N,'Performance Vendas'!$A8,'Consulta Contratos'!$H:$H,"Ativo")</f>
        <v>0</v>
      </c>
      <c r="AU8" s="314">
        <f>SUMIFS('Consulta Contratos'!$Z:$Z,'Consulta Contratos'!$AM:$AM,AU$5,'Consulta Contratos'!$N:$N,'Performance Vendas'!$A8,'Consulta Contratos'!$H:$H,"Ativo")</f>
        <v>0</v>
      </c>
      <c r="AV8" s="314">
        <f>SUMIFS('Consulta Contratos'!$Z:$Z,'Consulta Contratos'!$AM:$AM,AV$5,'Consulta Contratos'!$N:$N,'Performance Vendas'!$A8,'Consulta Contratos'!$H:$H,"Ativo")</f>
        <v>0</v>
      </c>
      <c r="AW8" s="315">
        <f t="shared" si="16"/>
        <v>0</v>
      </c>
      <c r="AX8" s="315">
        <f>AJ8+W8+J8+AW8</f>
        <v>44938145.149999999</v>
      </c>
      <c r="AY8" s="92">
        <f>AX8/$AX$12</f>
        <v>0.11731821027558435</v>
      </c>
      <c r="AZ8" s="161">
        <f>SUMIFS('Consulta Contratos'!$Z:$Z,'Consulta Contratos'!$AM:$AM,AZ$5,'Consulta Contratos'!$N:$N,'Performance Vendas'!$A8,'Consulta Contratos'!$H:$H,"Ativo")</f>
        <v>0</v>
      </c>
      <c r="BA8" s="177"/>
      <c r="BB8"/>
      <c r="BC8"/>
      <c r="BD8"/>
      <c r="BE8"/>
      <c r="BF8"/>
      <c r="BG8"/>
      <c r="BH8"/>
      <c r="BI8"/>
      <c r="BJ8"/>
    </row>
    <row r="9" spans="1:62" s="88" customFormat="1">
      <c r="A9" s="93"/>
      <c r="B9" s="509"/>
      <c r="C9" s="377" t="s">
        <v>71</v>
      </c>
      <c r="D9" s="321"/>
      <c r="E9" s="318">
        <f>SUMIFS('Consulta Contratos'!$AO:$AO,'Consulta Contratos'!$AM:$AM,'Performance Vendas'!E$5,'Consulta Contratos'!$H:$H,"ATIVO",'Consulta Contratos'!$N:$N,'Performance Vendas'!$A8)</f>
        <v>4</v>
      </c>
      <c r="F9" s="318">
        <f>SUMIFS('Consulta Contratos'!$AO:$AO,'Consulta Contratos'!$AM:$AM,'Performance Vendas'!F$5,'Consulta Contratos'!$H:$H,"ATIVO",'Consulta Contratos'!$N:$N,'Performance Vendas'!$A8)</f>
        <v>1</v>
      </c>
      <c r="G9" s="318">
        <f>SUMIFS('Consulta Contratos'!$AO:$AO,'Consulta Contratos'!$AM:$AM,'Performance Vendas'!G$5,'Consulta Contratos'!$H:$H,"ATIVO",'Consulta Contratos'!$N:$N,'Performance Vendas'!$A8)</f>
        <v>1</v>
      </c>
      <c r="H9" s="318">
        <f>SUMIFS('Consulta Contratos'!$AO:$AO,'Consulta Contratos'!$AM:$AM,'Performance Vendas'!H$5,'Consulta Contratos'!$H:$H,"ATIVO",'Consulta Contratos'!$N:$N,'Performance Vendas'!$A8)</f>
        <v>0</v>
      </c>
      <c r="I9" s="318">
        <f>SUMIFS('Consulta Contratos'!$AO:$AO,'Consulta Contratos'!$AM:$AM,'Performance Vendas'!I$5,'Consulta Contratos'!$H:$H,"ATIVO",'Consulta Contratos'!$N:$N,'Performance Vendas'!$A8)</f>
        <v>1</v>
      </c>
      <c r="J9" s="319">
        <f t="shared" si="13"/>
        <v>7</v>
      </c>
      <c r="K9" s="318">
        <f>SUMIFS('Consulta Contratos'!$AO:$AO,'Consulta Contratos'!$AM:$AM,'Performance Vendas'!K$5,'Consulta Contratos'!$H:$H,"ATIVO",'Consulta Contratos'!$N:$N,'Performance Vendas'!$A8)</f>
        <v>0</v>
      </c>
      <c r="L9" s="318">
        <f>SUMIFS('Consulta Contratos'!$AO:$AO,'Consulta Contratos'!$AM:$AM,'Performance Vendas'!L$5,'Consulta Contratos'!$H:$H,"ATIVO",'Consulta Contratos'!$N:$N,'Performance Vendas'!$A8)</f>
        <v>0</v>
      </c>
      <c r="M9" s="318">
        <f>SUMIFS('Consulta Contratos'!$AO:$AO,'Consulta Contratos'!$AM:$AM,'Performance Vendas'!M$5,'Consulta Contratos'!$H:$H,"ATIVO",'Consulta Contratos'!$N:$N,'Performance Vendas'!$A8)</f>
        <v>0</v>
      </c>
      <c r="N9" s="318">
        <f>SUMIFS('Consulta Contratos'!$AO:$AO,'Consulta Contratos'!$AM:$AM,'Performance Vendas'!N$5,'Consulta Contratos'!$H:$H,"ATIVO",'Consulta Contratos'!$N:$N,'Performance Vendas'!$A8)</f>
        <v>0</v>
      </c>
      <c r="O9" s="318">
        <f>SUMIFS('Consulta Contratos'!$AO:$AO,'Consulta Contratos'!$AM:$AM,'Performance Vendas'!O$5,'Consulta Contratos'!$H:$H,"ATIVO",'Consulta Contratos'!$N:$N,'Performance Vendas'!$A8)</f>
        <v>0</v>
      </c>
      <c r="P9" s="318">
        <f>SUMIFS('Consulta Contratos'!$AO:$AO,'Consulta Contratos'!$AM:$AM,'Performance Vendas'!P$5,'Consulta Contratos'!$H:$H,"ATIVO",'Consulta Contratos'!$N:$N,'Performance Vendas'!$A8)</f>
        <v>2</v>
      </c>
      <c r="Q9" s="318">
        <f>SUMIFS('Consulta Contratos'!$AO:$AO,'Consulta Contratos'!$AM:$AM,'Performance Vendas'!Q$5,'Consulta Contratos'!$H:$H,"ATIVO",'Consulta Contratos'!$N:$N,'Performance Vendas'!$A8)</f>
        <v>0</v>
      </c>
      <c r="R9" s="318">
        <f>SUMIFS('Consulta Contratos'!$AO:$AO,'Consulta Contratos'!$AM:$AM,'Performance Vendas'!R$5,'Consulta Contratos'!$H:$H,"ATIVO",'Consulta Contratos'!$N:$N,'Performance Vendas'!$A8)</f>
        <v>3</v>
      </c>
      <c r="S9" s="318">
        <f>SUMIFS('Consulta Contratos'!$AO:$AO,'Consulta Contratos'!$AM:$AM,'Performance Vendas'!S$5,'Consulta Contratos'!$H:$H,"ATIVO",'Consulta Contratos'!$N:$N,'Performance Vendas'!$A8)</f>
        <v>1</v>
      </c>
      <c r="T9" s="318">
        <f>SUMIFS('Consulta Contratos'!$AO:$AO,'Consulta Contratos'!$AM:$AM,'Performance Vendas'!T$5,'Consulta Contratos'!$H:$H,"ATIVO",'Consulta Contratos'!$N:$N,'Performance Vendas'!$A8)</f>
        <v>1</v>
      </c>
      <c r="U9" s="318">
        <f>SUMIFS('Consulta Contratos'!$AO:$AO,'Consulta Contratos'!$AM:$AM,'Performance Vendas'!U$5,'Consulta Contratos'!$H:$H,"ATIVO",'Consulta Contratos'!$N:$N,'Performance Vendas'!$A8)</f>
        <v>0</v>
      </c>
      <c r="V9" s="318">
        <f>SUMIFS('Consulta Contratos'!$AO:$AO,'Consulta Contratos'!$AM:$AM,'Performance Vendas'!V$5,'Consulta Contratos'!$H:$H,"ATIVO",'Consulta Contratos'!$N:$N,'Performance Vendas'!$A8)</f>
        <v>2</v>
      </c>
      <c r="W9" s="319">
        <f t="shared" si="14"/>
        <v>9</v>
      </c>
      <c r="X9" s="318">
        <f>SUMIFS('Consulta Contratos'!$AO:$AO,'Consulta Contratos'!$AM:$AM,'Performance Vendas'!X$5,'Consulta Contratos'!$H:$H,"ATIVO",'Consulta Contratos'!$N:$N,'Performance Vendas'!$A8)</f>
        <v>0</v>
      </c>
      <c r="Y9" s="318">
        <f>SUMIFS('Consulta Contratos'!$AO:$AO,'Consulta Contratos'!$AM:$AM,'Performance Vendas'!Y$5,'Consulta Contratos'!$H:$H,"ATIVO",'Consulta Contratos'!$N:$N,'Performance Vendas'!$A8)</f>
        <v>0</v>
      </c>
      <c r="Z9" s="318">
        <f>SUMIFS('Consulta Contratos'!$AO:$AO,'Consulta Contratos'!$AM:$AM,'Performance Vendas'!Z$5,'Consulta Contratos'!$H:$H,"ATIVO",'Consulta Contratos'!$N:$N,'Performance Vendas'!$A8)</f>
        <v>1</v>
      </c>
      <c r="AA9" s="318">
        <f>SUMIFS('Consulta Contratos'!$AO:$AO,'Consulta Contratos'!$AM:$AM,'Performance Vendas'!AA$5,'Consulta Contratos'!$H:$H,"ATIVO",'Consulta Contratos'!$N:$N,'Performance Vendas'!$A8)</f>
        <v>1</v>
      </c>
      <c r="AB9" s="318">
        <f>SUMIFS('Consulta Contratos'!$AO:$AO,'Consulta Contratos'!$AM:$AM,'Performance Vendas'!AB$5,'Consulta Contratos'!$H:$H,"ATIVO",'Consulta Contratos'!$N:$N,'Performance Vendas'!$A8)</f>
        <v>1</v>
      </c>
      <c r="AC9" s="318">
        <f>SUMIFS('Consulta Contratos'!$AO:$AO,'Consulta Contratos'!$AM:$AM,'Performance Vendas'!AC$5,'Consulta Contratos'!$H:$H,"ATIVO",'Consulta Contratos'!$N:$N,'Performance Vendas'!$A8)</f>
        <v>0</v>
      </c>
      <c r="AD9" s="318">
        <f>SUMIFS('Consulta Contratos'!$AO:$AO,'Consulta Contratos'!$AM:$AM,'Performance Vendas'!AD$5,'Consulta Contratos'!$H:$H,"ATIVO",'Consulta Contratos'!$N:$N,'Performance Vendas'!$A8)</f>
        <v>0</v>
      </c>
      <c r="AE9" s="318">
        <f>SUMIFS('Consulta Contratos'!$AO:$AO,'Consulta Contratos'!$AM:$AM,'Performance Vendas'!AE$5,'Consulta Contratos'!$H:$H,"ATIVO",'Consulta Contratos'!$N:$N,'Performance Vendas'!$A8)</f>
        <v>0</v>
      </c>
      <c r="AF9" s="318">
        <f>SUMIFS('Consulta Contratos'!$AO:$AO,'Consulta Contratos'!$AM:$AM,'Performance Vendas'!AF$5,'Consulta Contratos'!$H:$H,"ATIVO",'Consulta Contratos'!$N:$N,'Performance Vendas'!$A8)</f>
        <v>1</v>
      </c>
      <c r="AG9" s="318">
        <f>SUMIFS('Consulta Contratos'!$AO:$AO,'Consulta Contratos'!$AM:$AM,'Performance Vendas'!AG$5,'Consulta Contratos'!$H:$H,"ATIVO",'Consulta Contratos'!$N:$N,'Performance Vendas'!$A8)</f>
        <v>0</v>
      </c>
      <c r="AH9" s="318">
        <f>SUMIFS('Consulta Contratos'!$AO:$AO,'Consulta Contratos'!$AM:$AM,'Performance Vendas'!AH$5,'Consulta Contratos'!$H:$H,"ATIVO",'Consulta Contratos'!$N:$N,'Performance Vendas'!$A8)</f>
        <v>0</v>
      </c>
      <c r="AI9" s="318">
        <f>SUMIFS('Consulta Contratos'!$AO:$AO,'Consulta Contratos'!$AM:$AM,'Performance Vendas'!AI$5,'Consulta Contratos'!$H:$H,"ATIVO",'Consulta Contratos'!$N:$N,'Performance Vendas'!$A8)</f>
        <v>1</v>
      </c>
      <c r="AJ9" s="319">
        <f t="shared" si="17"/>
        <v>5</v>
      </c>
      <c r="AK9" s="318">
        <f>SUMIFS('Consulta Contratos'!$AO:$AO,'Consulta Contratos'!$AM:$AM,'Performance Vendas'!AK$5,'Consulta Contratos'!$H:$H,"ATIVO",'Consulta Contratos'!$N:$N,'Performance Vendas'!$A8)</f>
        <v>0</v>
      </c>
      <c r="AL9" s="318">
        <f>SUMIFS('Consulta Contratos'!$AO:$AO,'Consulta Contratos'!$AM:$AM,'Performance Vendas'!AL$5,'Consulta Contratos'!$H:$H,"ATIVO",'Consulta Contratos'!$N:$N,'Performance Vendas'!$A8)</f>
        <v>0</v>
      </c>
      <c r="AM9" s="318">
        <f>SUMIFS('Consulta Contratos'!$AO:$AO,'Consulta Contratos'!$AM:$AM,'Performance Vendas'!AM$5,'Consulta Contratos'!$H:$H,"ATIVO",'Consulta Contratos'!$N:$N,'Performance Vendas'!$A8)</f>
        <v>0</v>
      </c>
      <c r="AN9" s="318">
        <f>SUMIFS('Consulta Contratos'!$AO:$AO,'Consulta Contratos'!$AM:$AM,'Performance Vendas'!AN$5,'Consulta Contratos'!$H:$H,"ATIVO",'Consulta Contratos'!$N:$N,'Performance Vendas'!$A8)</f>
        <v>0</v>
      </c>
      <c r="AO9" s="318">
        <f>SUMIFS('Consulta Contratos'!$AO:$AO,'Consulta Contratos'!$AM:$AM,'Performance Vendas'!AO$5,'Consulta Contratos'!$H:$H,"ATIVO",'Consulta Contratos'!$N:$N,'Performance Vendas'!$A8)</f>
        <v>0</v>
      </c>
      <c r="AP9" s="318">
        <f>SUMIFS('Consulta Contratos'!$AO:$AO,'Consulta Contratos'!$AM:$AM,'Performance Vendas'!AP$5,'Consulta Contratos'!$H:$H,"ATIVO",'Consulta Contratos'!$N:$N,'Performance Vendas'!$A8)</f>
        <v>0</v>
      </c>
      <c r="AQ9" s="318">
        <f>SUMIFS('Consulta Contratos'!$AO:$AO,'Consulta Contratos'!$AM:$AM,'Performance Vendas'!AQ$5,'Consulta Contratos'!$H:$H,"ATIVO",'Consulta Contratos'!$N:$N,'Performance Vendas'!$A8)</f>
        <v>0</v>
      </c>
      <c r="AR9" s="318">
        <f>SUMIFS('Consulta Contratos'!$AO:$AO,'Consulta Contratos'!$AM:$AM,'Performance Vendas'!AR$5,'Consulta Contratos'!$H:$H,"ATIVO",'Consulta Contratos'!$N:$N,'Performance Vendas'!$A8)</f>
        <v>0</v>
      </c>
      <c r="AS9" s="318">
        <f>SUMIFS('Consulta Contratos'!$AO:$AO,'Consulta Contratos'!$AM:$AM,'Performance Vendas'!AS$5,'Consulta Contratos'!$H:$H,"ATIVO",'Consulta Contratos'!$N:$N,'Performance Vendas'!$A8)</f>
        <v>0</v>
      </c>
      <c r="AT9" s="318">
        <f>SUMIFS('Consulta Contratos'!$AO:$AO,'Consulta Contratos'!$AM:$AM,'Performance Vendas'!AT$5,'Consulta Contratos'!$H:$H,"ATIVO",'Consulta Contratos'!$N:$N,'Performance Vendas'!$A8)</f>
        <v>0</v>
      </c>
      <c r="AU9" s="318">
        <f>SUMIFS('Consulta Contratos'!$AO:$AO,'Consulta Contratos'!$AM:$AM,'Performance Vendas'!AU$5,'Consulta Contratos'!$H:$H,"ATIVO",'Consulta Contratos'!$N:$N,'Performance Vendas'!$A8)</f>
        <v>0</v>
      </c>
      <c r="AV9" s="318">
        <f>SUMIFS('Consulta Contratos'!$AO:$AO,'Consulta Contratos'!$AM:$AM,'Performance Vendas'!AV$5,'Consulta Contratos'!$H:$H,"ATIVO",'Consulta Contratos'!$N:$N,'Performance Vendas'!$A8)</f>
        <v>0</v>
      </c>
      <c r="AW9" s="319">
        <f t="shared" si="16"/>
        <v>0</v>
      </c>
      <c r="AX9" s="319">
        <f>AJ9+W9+J9+AW9</f>
        <v>21</v>
      </c>
      <c r="AY9" s="92"/>
      <c r="AZ9" s="178">
        <f>COUNTIFS('Consulta Contratos'!$AM:$AM,'Performance Vendas'!AZ$5,'Consulta Contratos'!$N:$N,'Performance Vendas'!$A8,'Consulta Contratos'!$H:$H,"ATIVO")</f>
        <v>0</v>
      </c>
      <c r="BA9" s="177"/>
      <c r="BB9"/>
      <c r="BC9"/>
      <c r="BD9"/>
      <c r="BE9"/>
      <c r="BF9"/>
      <c r="BG9"/>
      <c r="BH9"/>
      <c r="BI9"/>
      <c r="BJ9"/>
    </row>
    <row r="10" spans="1:62" s="87" customFormat="1">
      <c r="A10" s="93" t="s">
        <v>73</v>
      </c>
      <c r="B10" s="510" t="s">
        <v>73</v>
      </c>
      <c r="C10" s="320" t="s">
        <v>70</v>
      </c>
      <c r="D10" s="313"/>
      <c r="E10" s="314">
        <f>SUMIFS('Consulta Contratos'!$Z:$Z,'Consulta Contratos'!$AM:$AM,E$5,'Consulta Contratos'!$N:$N,'Performance Vendas'!$A10,'Consulta Contratos'!$H:$H,"Ativo")</f>
        <v>5168000</v>
      </c>
      <c r="F10" s="314">
        <f>SUMIFS('Consulta Contratos'!$Z:$Z,'Consulta Contratos'!$AM:$AM,F$5,'Consulta Contratos'!$N:$N,'Performance Vendas'!$A10,'Consulta Contratos'!$H:$H,"Ativo")</f>
        <v>0</v>
      </c>
      <c r="G10" s="314">
        <f>SUMIFS('Consulta Contratos'!$Z:$Z,'Consulta Contratos'!$AM:$AM,G$5,'Consulta Contratos'!$N:$N,'Performance Vendas'!$A10,'Consulta Contratos'!$H:$H,"Ativo")</f>
        <v>0</v>
      </c>
      <c r="H10" s="314">
        <f>SUMIFS('Consulta Contratos'!$Z:$Z,'Consulta Contratos'!$AM:$AM,H$5,'Consulta Contratos'!$N:$N,'Performance Vendas'!$A10,'Consulta Contratos'!$H:$H,"Ativo")</f>
        <v>6240000</v>
      </c>
      <c r="I10" s="314">
        <f>SUMIFS('Consulta Contratos'!$Z:$Z,'Consulta Contratos'!$AM:$AM,I$5,'Consulta Contratos'!$N:$N,'Performance Vendas'!$A10,'Consulta Contratos'!$H:$H,"Ativo")</f>
        <v>0</v>
      </c>
      <c r="J10" s="315">
        <f t="shared" si="13"/>
        <v>11408000</v>
      </c>
      <c r="K10" s="314">
        <f>SUMIFS('Consulta Contratos'!$Z:$Z,'Consulta Contratos'!$AM:$AM,K$5,'Consulta Contratos'!$N:$N,'Performance Vendas'!$A10,'Consulta Contratos'!$H:$H,"Ativo")</f>
        <v>361549.19</v>
      </c>
      <c r="L10" s="314">
        <f>SUMIFS('Consulta Contratos'!$Z:$Z,'Consulta Contratos'!$AM:$AM,L$5,'Consulta Contratos'!$N:$N,'Performance Vendas'!$A10,'Consulta Contratos'!$H:$H,"Ativo")</f>
        <v>0</v>
      </c>
      <c r="M10" s="314">
        <f>SUMIFS('Consulta Contratos'!$Z:$Z,'Consulta Contratos'!$AM:$AM,M$5,'Consulta Contratos'!$N:$N,'Performance Vendas'!$A10,'Consulta Contratos'!$H:$H,"Ativo")</f>
        <v>0</v>
      </c>
      <c r="N10" s="314">
        <f>SUMIFS('Consulta Contratos'!$Z:$Z,'Consulta Contratos'!$AM:$AM,N$5,'Consulta Contratos'!$N:$N,'Performance Vendas'!$A10,'Consulta Contratos'!$H:$H,"Ativo")</f>
        <v>0</v>
      </c>
      <c r="O10" s="314">
        <f>SUMIFS('Consulta Contratos'!$Z:$Z,'Consulta Contratos'!$AM:$AM,O$5,'Consulta Contratos'!$N:$N,'Performance Vendas'!$A10,'Consulta Contratos'!$H:$H,"Ativo")</f>
        <v>0</v>
      </c>
      <c r="P10" s="314">
        <f>SUMIFS('Consulta Contratos'!$Z:$Z,'Consulta Contratos'!$AM:$AM,P$5,'Consulta Contratos'!$N:$N,'Performance Vendas'!$A10,'Consulta Contratos'!$H:$H,"Ativo")</f>
        <v>0</v>
      </c>
      <c r="Q10" s="314">
        <f>SUMIFS('Consulta Contratos'!$Z:$Z,'Consulta Contratos'!$AM:$AM,Q$5,'Consulta Contratos'!$N:$N,'Performance Vendas'!$A10,'Consulta Contratos'!$H:$H,"Ativo")</f>
        <v>0</v>
      </c>
      <c r="R10" s="314">
        <f>SUMIFS('Consulta Contratos'!$Z:$Z,'Consulta Contratos'!$AM:$AM,R$5,'Consulta Contratos'!$N:$N,'Performance Vendas'!$A10,'Consulta Contratos'!$H:$H,"Ativo")</f>
        <v>0</v>
      </c>
      <c r="S10" s="314">
        <f>SUMIFS('Consulta Contratos'!$Z:$Z,'Consulta Contratos'!$AM:$AM,S$5,'Consulta Contratos'!$N:$N,'Performance Vendas'!$A10,'Consulta Contratos'!$H:$H,"Ativo")</f>
        <v>0</v>
      </c>
      <c r="T10" s="314">
        <f>SUMIFS('Consulta Contratos'!$Z:$Z,'Consulta Contratos'!$AM:$AM,T$5,'Consulta Contratos'!$N:$N,'Performance Vendas'!$A10,'Consulta Contratos'!$H:$H,"Ativo")</f>
        <v>0</v>
      </c>
      <c r="U10" s="314">
        <f>SUMIFS('Consulta Contratos'!$Z:$Z,'Consulta Contratos'!$AM:$AM,U$5,'Consulta Contratos'!$N:$N,'Performance Vendas'!$A10,'Consulta Contratos'!$H:$H,"Ativo")</f>
        <v>227239.98</v>
      </c>
      <c r="V10" s="314">
        <f>SUMIFS('Consulta Contratos'!$Z:$Z,'Consulta Contratos'!$AM:$AM,V$5,'Consulta Contratos'!$N:$N,'Performance Vendas'!$A10,'Consulta Contratos'!$H:$H,"Ativo")</f>
        <v>775000</v>
      </c>
      <c r="W10" s="315">
        <f t="shared" si="14"/>
        <v>1363789.17</v>
      </c>
      <c r="X10" s="314">
        <f>SUMIFS('Consulta Contratos'!$Z:$Z,'Consulta Contratos'!$AM:$AM,X$5,'Consulta Contratos'!$N:$N,'Performance Vendas'!$A10,'Consulta Contratos'!$H:$H,"Ativo")</f>
        <v>362191.96</v>
      </c>
      <c r="Y10" s="314">
        <f>SUMIFS('Consulta Contratos'!$Z:$Z,'Consulta Contratos'!$AM:$AM,Y$5,'Consulta Contratos'!$N:$N,'Performance Vendas'!$A10,'Consulta Contratos'!$H:$H,"Ativo")</f>
        <v>789304.23</v>
      </c>
      <c r="Z10" s="314">
        <f>SUMIFS('Consulta Contratos'!$Z:$Z,'Consulta Contratos'!$AM:$AM,Z$5,'Consulta Contratos'!$N:$N,'Performance Vendas'!$A10,'Consulta Contratos'!$H:$H,"Ativo")</f>
        <v>320000</v>
      </c>
      <c r="AA10" s="314">
        <f>SUMIFS('Consulta Contratos'!$Z:$Z,'Consulta Contratos'!$AM:$AM,AA$5,'Consulta Contratos'!$N:$N,'Performance Vendas'!$A10,'Consulta Contratos'!$H:$H,"Ativo")</f>
        <v>3998670</v>
      </c>
      <c r="AB10" s="314">
        <f>SUMIFS('Consulta Contratos'!$Z:$Z,'Consulta Contratos'!$AM:$AM,AB$5,'Consulta Contratos'!$N:$N,'Performance Vendas'!$A10,'Consulta Contratos'!$H:$H,"Ativo")</f>
        <v>339166.28</v>
      </c>
      <c r="AC10" s="314">
        <f>SUMIFS('Consulta Contratos'!$Z:$Z,'Consulta Contratos'!$AM:$AM,AC$5,'Consulta Contratos'!$N:$N,'Performance Vendas'!$A10,'Consulta Contratos'!$H:$H,"Ativo")</f>
        <v>751000</v>
      </c>
      <c r="AD10" s="314">
        <f>SUMIFS('Consulta Contratos'!$Z:$Z,'Consulta Contratos'!$AM:$AM,AD$5,'Consulta Contratos'!$N:$N,'Performance Vendas'!$A10,'Consulta Contratos'!$H:$H,"Ativo")</f>
        <v>3765000</v>
      </c>
      <c r="AE10" s="314">
        <f>SUMIFS('Consulta Contratos'!$Z:$Z,'Consulta Contratos'!$AM:$AM,AE$5,'Consulta Contratos'!$N:$N,'Performance Vendas'!$A10,'Consulta Contratos'!$H:$H,"Ativo")</f>
        <v>782400</v>
      </c>
      <c r="AF10" s="314">
        <f>SUMIFS('Consulta Contratos'!$Z:$Z,'Consulta Contratos'!$AM:$AM,AF$5,'Consulta Contratos'!$N:$N,'Performance Vendas'!$A10,'Consulta Contratos'!$H:$H,"Ativo")</f>
        <v>1882400.31</v>
      </c>
      <c r="AG10" s="314">
        <f>SUMIFS('Consulta Contratos'!$Z:$Z,'Consulta Contratos'!$AM:$AM,AG$5,'Consulta Contratos'!$N:$N,'Performance Vendas'!$A10,'Consulta Contratos'!$H:$H,"Ativo")</f>
        <v>2640000</v>
      </c>
      <c r="AH10" s="314">
        <f>SUMIFS('Consulta Contratos'!$Z:$Z,'Consulta Contratos'!$AM:$AM,AH$5,'Consulta Contratos'!$N:$N,'Performance Vendas'!$A10,'Consulta Contratos'!$H:$H,"Ativo")</f>
        <v>837099.92</v>
      </c>
      <c r="AI10" s="314">
        <f>SUMIFS('Consulta Contratos'!$Z:$Z,'Consulta Contratos'!$AM:$AM,AI$5,'Consulta Contratos'!$N:$N,'Performance Vendas'!$A10,'Consulta Contratos'!$H:$H,"Ativo")</f>
        <v>929150</v>
      </c>
      <c r="AJ10" s="315">
        <f t="shared" si="17"/>
        <v>17396382.699999999</v>
      </c>
      <c r="AK10" s="314">
        <f>SUMIFS('Consulta Contratos'!$Z:$Z,'Consulta Contratos'!$AM:$AM,AK$5,'Consulta Contratos'!$N:$N,'Performance Vendas'!$A10,'Consulta Contratos'!$H:$H,"Ativo")</f>
        <v>0</v>
      </c>
      <c r="AL10" s="314">
        <f>SUMIFS('Consulta Contratos'!$Z:$Z,'Consulta Contratos'!$AM:$AM,AL$5,'Consulta Contratos'!$N:$N,'Performance Vendas'!$A10,'Consulta Contratos'!$H:$H,"Ativo")</f>
        <v>787576.48</v>
      </c>
      <c r="AM10" s="314">
        <f>SUMIFS('Consulta Contratos'!$Z:$Z,'Consulta Contratos'!$AM:$AM,AM$5,'Consulta Contratos'!$N:$N,'Performance Vendas'!$A10,'Consulta Contratos'!$H:$H,"Ativo")</f>
        <v>0</v>
      </c>
      <c r="AN10" s="314">
        <f>SUMIFS('Consulta Contratos'!$Z:$Z,'Consulta Contratos'!$AM:$AM,AN$5,'Consulta Contratos'!$N:$N,'Performance Vendas'!$A10,'Consulta Contratos'!$H:$H,"Ativo")</f>
        <v>0</v>
      </c>
      <c r="AO10" s="314">
        <f>SUMIFS('Consulta Contratos'!$Z:$Z,'Consulta Contratos'!$AM:$AM,AO$5,'Consulta Contratos'!$N:$N,'Performance Vendas'!$A10,'Consulta Contratos'!$H:$H,"Ativo")</f>
        <v>0</v>
      </c>
      <c r="AP10" s="314">
        <f>SUMIFS('Consulta Contratos'!$Z:$Z,'Consulta Contratos'!$AM:$AM,AP$5,'Consulta Contratos'!$N:$N,'Performance Vendas'!$A10,'Consulta Contratos'!$H:$H,"Ativo")</f>
        <v>0</v>
      </c>
      <c r="AQ10" s="314">
        <f>SUMIFS('Consulta Contratos'!$Z:$Z,'Consulta Contratos'!$AM:$AM,AQ$5,'Consulta Contratos'!$N:$N,'Performance Vendas'!$A10,'Consulta Contratos'!$H:$H,"Ativo")</f>
        <v>0</v>
      </c>
      <c r="AR10" s="314">
        <f>SUMIFS('Consulta Contratos'!$Z:$Z,'Consulta Contratos'!$AM:$AM,AR$5,'Consulta Contratos'!$N:$N,'Performance Vendas'!$A10,'Consulta Contratos'!$H:$H,"Ativo")</f>
        <v>0</v>
      </c>
      <c r="AS10" s="314">
        <f>SUMIFS('Consulta Contratos'!$Z:$Z,'Consulta Contratos'!$AM:$AM,AS$5,'Consulta Contratos'!$N:$N,'Performance Vendas'!$A10,'Consulta Contratos'!$H:$H,"Ativo")</f>
        <v>0</v>
      </c>
      <c r="AT10" s="314">
        <f>SUMIFS('Consulta Contratos'!$Z:$Z,'Consulta Contratos'!$AM:$AM,AT$5,'Consulta Contratos'!$N:$N,'Performance Vendas'!$A10,'Consulta Contratos'!$H:$H,"Ativo")</f>
        <v>0</v>
      </c>
      <c r="AU10" s="314">
        <f>SUMIFS('Consulta Contratos'!$Z:$Z,'Consulta Contratos'!$AM:$AM,AU$5,'Consulta Contratos'!$N:$N,'Performance Vendas'!$A10,'Consulta Contratos'!$H:$H,"Ativo")</f>
        <v>0</v>
      </c>
      <c r="AV10" s="314">
        <f>SUMIFS('Consulta Contratos'!$Z:$Z,'Consulta Contratos'!$AM:$AM,AV$5,'Consulta Contratos'!$N:$N,'Performance Vendas'!$A10,'Consulta Contratos'!$H:$H,"Ativo")</f>
        <v>0</v>
      </c>
      <c r="AW10" s="315">
        <f t="shared" si="16"/>
        <v>787576.48</v>
      </c>
      <c r="AX10" s="315">
        <f>AJ10+W10+J10+AW10</f>
        <v>30955748.349999998</v>
      </c>
      <c r="AY10" s="92">
        <f>AX10/$AX$12</f>
        <v>8.0814928654512411E-2</v>
      </c>
      <c r="AZ10" s="161">
        <f>SUMIFS('Consulta Contratos'!$Z:$Z,'Consulta Contratos'!$AM:$AM,AZ$5,'Consulta Contratos'!$N:$N,'Performance Vendas'!$A10,'Consulta Contratos'!$H:$H,"Ativo")</f>
        <v>0</v>
      </c>
      <c r="BA10" s="177"/>
      <c r="BB10"/>
      <c r="BC10"/>
      <c r="BD10"/>
      <c r="BE10"/>
      <c r="BF10"/>
      <c r="BG10"/>
      <c r="BH10"/>
      <c r="BI10"/>
      <c r="BJ10"/>
    </row>
    <row r="11" spans="1:62" s="88" customFormat="1">
      <c r="A11" s="93"/>
      <c r="B11" s="509"/>
      <c r="C11" s="377" t="s">
        <v>71</v>
      </c>
      <c r="D11" s="321"/>
      <c r="E11" s="322">
        <f>SUMIFS('Consulta Contratos'!$AO:$AO,'Consulta Contratos'!$AM:$AM,'Performance Vendas'!E$5,'Consulta Contratos'!$H:$H,"ATIVO",'Consulta Contratos'!$N:$N,'Performance Vendas'!$A10)</f>
        <v>0</v>
      </c>
      <c r="F11" s="322">
        <f>SUMIFS('Consulta Contratos'!$AO:$AO,'Consulta Contratos'!$AM:$AM,'Performance Vendas'!F$5,'Consulta Contratos'!$H:$H,"ATIVO",'Consulta Contratos'!$N:$N,'Performance Vendas'!$A10)</f>
        <v>0</v>
      </c>
      <c r="G11" s="322">
        <f>SUMIFS('Consulta Contratos'!$AO:$AO,'Consulta Contratos'!$AM:$AM,'Performance Vendas'!G$5,'Consulta Contratos'!$H:$H,"ATIVO",'Consulta Contratos'!$N:$N,'Performance Vendas'!$A10)</f>
        <v>0</v>
      </c>
      <c r="H11" s="322">
        <f>SUMIFS('Consulta Contratos'!$AO:$AO,'Consulta Contratos'!$AM:$AM,'Performance Vendas'!H$5,'Consulta Contratos'!$H:$H,"ATIVO",'Consulta Contratos'!$N:$N,'Performance Vendas'!$A10)</f>
        <v>1</v>
      </c>
      <c r="I11" s="322">
        <f>SUMIFS('Consulta Contratos'!$AO:$AO,'Consulta Contratos'!$AM:$AM,'Performance Vendas'!I$5,'Consulta Contratos'!$H:$H,"ATIVO",'Consulta Contratos'!$N:$N,'Performance Vendas'!$A10)</f>
        <v>0</v>
      </c>
      <c r="J11" s="323">
        <f t="shared" si="13"/>
        <v>1</v>
      </c>
      <c r="K11" s="322">
        <f>SUMIFS('Consulta Contratos'!$AO:$AO,'Consulta Contratos'!$AM:$AM,'Performance Vendas'!K$5,'Consulta Contratos'!$H:$H,"ATIVO",'Consulta Contratos'!$N:$N,'Performance Vendas'!$A10)</f>
        <v>1</v>
      </c>
      <c r="L11" s="322">
        <f>SUMIFS('Consulta Contratos'!$AO:$AO,'Consulta Contratos'!$AM:$AM,'Performance Vendas'!L$5,'Consulta Contratos'!$H:$H,"ATIVO",'Consulta Contratos'!$N:$N,'Performance Vendas'!$A10)</f>
        <v>0</v>
      </c>
      <c r="M11" s="322">
        <f>SUMIFS('Consulta Contratos'!$AO:$AO,'Consulta Contratos'!$AM:$AM,'Performance Vendas'!M$5,'Consulta Contratos'!$H:$H,"ATIVO",'Consulta Contratos'!$N:$N,'Performance Vendas'!$A10)</f>
        <v>0</v>
      </c>
      <c r="N11" s="322">
        <f>SUMIFS('Consulta Contratos'!$AO:$AO,'Consulta Contratos'!$AM:$AM,'Performance Vendas'!N$5,'Consulta Contratos'!$H:$H,"ATIVO",'Consulta Contratos'!$N:$N,'Performance Vendas'!$A10)</f>
        <v>0</v>
      </c>
      <c r="O11" s="322">
        <f>SUMIFS('Consulta Contratos'!$AO:$AO,'Consulta Contratos'!$AM:$AM,'Performance Vendas'!O$5,'Consulta Contratos'!$H:$H,"ATIVO",'Consulta Contratos'!$N:$N,'Performance Vendas'!$A10)</f>
        <v>0</v>
      </c>
      <c r="P11" s="322">
        <f>SUMIFS('Consulta Contratos'!$AO:$AO,'Consulta Contratos'!$AM:$AM,'Performance Vendas'!P$5,'Consulta Contratos'!$H:$H,"ATIVO",'Consulta Contratos'!$N:$N,'Performance Vendas'!$A10)</f>
        <v>0</v>
      </c>
      <c r="Q11" s="322">
        <f>SUMIFS('Consulta Contratos'!$AO:$AO,'Consulta Contratos'!$AM:$AM,'Performance Vendas'!Q$5,'Consulta Contratos'!$H:$H,"ATIVO",'Consulta Contratos'!$N:$N,'Performance Vendas'!$A10)</f>
        <v>0</v>
      </c>
      <c r="R11" s="322">
        <f>SUMIFS('Consulta Contratos'!$AO:$AO,'Consulta Contratos'!$AM:$AM,'Performance Vendas'!R$5,'Consulta Contratos'!$H:$H,"ATIVO",'Consulta Contratos'!$N:$N,'Performance Vendas'!$A10)</f>
        <v>0</v>
      </c>
      <c r="S11" s="322">
        <f>SUMIFS('Consulta Contratos'!$AO:$AO,'Consulta Contratos'!$AM:$AM,'Performance Vendas'!S$5,'Consulta Contratos'!$H:$H,"ATIVO",'Consulta Contratos'!$N:$N,'Performance Vendas'!$A10)</f>
        <v>0</v>
      </c>
      <c r="T11" s="322">
        <f>SUMIFS('Consulta Contratos'!$AO:$AO,'Consulta Contratos'!$AM:$AM,'Performance Vendas'!T$5,'Consulta Contratos'!$H:$H,"ATIVO",'Consulta Contratos'!$N:$N,'Performance Vendas'!$A10)</f>
        <v>0</v>
      </c>
      <c r="U11" s="322">
        <f>SUMIFS('Consulta Contratos'!$AO:$AO,'Consulta Contratos'!$AM:$AM,'Performance Vendas'!U$5,'Consulta Contratos'!$H:$H,"ATIVO",'Consulta Contratos'!$N:$N,'Performance Vendas'!$A10)</f>
        <v>1</v>
      </c>
      <c r="V11" s="322">
        <f>SUMIFS('Consulta Contratos'!$AO:$AO,'Consulta Contratos'!$AM:$AM,'Performance Vendas'!V$5,'Consulta Contratos'!$H:$H,"ATIVO",'Consulta Contratos'!$N:$N,'Performance Vendas'!$A10)</f>
        <v>1</v>
      </c>
      <c r="W11" s="323">
        <f t="shared" si="14"/>
        <v>3</v>
      </c>
      <c r="X11" s="322">
        <f>SUMIFS('Consulta Contratos'!$AO:$AO,'Consulta Contratos'!$AM:$AM,'Performance Vendas'!X$5,'Consulta Contratos'!$H:$H,"ATIVO",'Consulta Contratos'!$N:$N,'Performance Vendas'!$A10)</f>
        <v>1</v>
      </c>
      <c r="Y11" s="322">
        <f>SUMIFS('Consulta Contratos'!$AO:$AO,'Consulta Contratos'!$AM:$AM,'Performance Vendas'!Y$5,'Consulta Contratos'!$H:$H,"ATIVO",'Consulta Contratos'!$N:$N,'Performance Vendas'!$A10)</f>
        <v>2</v>
      </c>
      <c r="Z11" s="322">
        <f>SUMIFS('Consulta Contratos'!$AO:$AO,'Consulta Contratos'!$AM:$AM,'Performance Vendas'!Z$5,'Consulta Contratos'!$H:$H,"ATIVO",'Consulta Contratos'!$N:$N,'Performance Vendas'!$A10)</f>
        <v>1</v>
      </c>
      <c r="AA11" s="322">
        <f>SUMIFS('Consulta Contratos'!$AO:$AO,'Consulta Contratos'!$AM:$AM,'Performance Vendas'!AA$5,'Consulta Contratos'!$H:$H,"ATIVO",'Consulta Contratos'!$N:$N,'Performance Vendas'!$A10)</f>
        <v>2</v>
      </c>
      <c r="AB11" s="322">
        <f>SUMIFS('Consulta Contratos'!$AO:$AO,'Consulta Contratos'!$AM:$AM,'Performance Vendas'!AB$5,'Consulta Contratos'!$H:$H,"ATIVO",'Consulta Contratos'!$N:$N,'Performance Vendas'!$A10)</f>
        <v>1</v>
      </c>
      <c r="AC11" s="322">
        <f>SUMIFS('Consulta Contratos'!$AO:$AO,'Consulta Contratos'!$AM:$AM,'Performance Vendas'!AC$5,'Consulta Contratos'!$H:$H,"ATIVO",'Consulta Contratos'!$N:$N,'Performance Vendas'!$A10)</f>
        <v>2</v>
      </c>
      <c r="AD11" s="322">
        <f>SUMIFS('Consulta Contratos'!$AO:$AO,'Consulta Contratos'!$AM:$AM,'Performance Vendas'!AD$5,'Consulta Contratos'!$H:$H,"ATIVO",'Consulta Contratos'!$N:$N,'Performance Vendas'!$A10)</f>
        <v>3</v>
      </c>
      <c r="AE11" s="322">
        <f>SUMIFS('Consulta Contratos'!$AO:$AO,'Consulta Contratos'!$AM:$AM,'Performance Vendas'!AE$5,'Consulta Contratos'!$H:$H,"ATIVO",'Consulta Contratos'!$N:$N,'Performance Vendas'!$A10)</f>
        <v>1</v>
      </c>
      <c r="AF11" s="322">
        <f>SUMIFS('Consulta Contratos'!$AO:$AO,'Consulta Contratos'!$AM:$AM,'Performance Vendas'!AF$5,'Consulta Contratos'!$H:$H,"ATIVO",'Consulta Contratos'!$N:$N,'Performance Vendas'!$A10)</f>
        <v>2</v>
      </c>
      <c r="AG11" s="322">
        <f>SUMIFS('Consulta Contratos'!$AO:$AO,'Consulta Contratos'!$AM:$AM,'Performance Vendas'!AG$5,'Consulta Contratos'!$H:$H,"ATIVO",'Consulta Contratos'!$N:$N,'Performance Vendas'!$A10)</f>
        <v>1</v>
      </c>
      <c r="AH11" s="322">
        <f>SUMIFS('Consulta Contratos'!$AO:$AO,'Consulta Contratos'!$AM:$AM,'Performance Vendas'!AH$5,'Consulta Contratos'!$H:$H,"ATIVO",'Consulta Contratos'!$N:$N,'Performance Vendas'!$A10)</f>
        <v>1</v>
      </c>
      <c r="AI11" s="322">
        <f>SUMIFS('Consulta Contratos'!$AO:$AO,'Consulta Contratos'!$AM:$AM,'Performance Vendas'!AI$5,'Consulta Contratos'!$H:$H,"ATIVO",'Consulta Contratos'!$N:$N,'Performance Vendas'!$A10)</f>
        <v>2</v>
      </c>
      <c r="AJ11" s="323">
        <f t="shared" si="17"/>
        <v>19</v>
      </c>
      <c r="AK11" s="322">
        <f>SUMIFS('Consulta Contratos'!$AO:$AO,'Consulta Contratos'!$AM:$AM,'Performance Vendas'!AK$5,'Consulta Contratos'!$H:$H,"ATIVO",'Consulta Contratos'!$N:$N,'Performance Vendas'!$A10)</f>
        <v>0</v>
      </c>
      <c r="AL11" s="322">
        <f>SUMIFS('Consulta Contratos'!$AO:$AO,'Consulta Contratos'!$AM:$AM,'Performance Vendas'!AL$5,'Consulta Contratos'!$H:$H,"ATIVO",'Consulta Contratos'!$N:$N,'Performance Vendas'!$A10)</f>
        <v>2</v>
      </c>
      <c r="AM11" s="322">
        <f>SUMIFS('Consulta Contratos'!$AO:$AO,'Consulta Contratos'!$AM:$AM,'Performance Vendas'!AM$5,'Consulta Contratos'!$H:$H,"ATIVO",'Consulta Contratos'!$N:$N,'Performance Vendas'!$A10)</f>
        <v>0</v>
      </c>
      <c r="AN11" s="322">
        <f>SUMIFS('Consulta Contratos'!$AO:$AO,'Consulta Contratos'!$AM:$AM,'Performance Vendas'!AN$5,'Consulta Contratos'!$H:$H,"ATIVO",'Consulta Contratos'!$N:$N,'Performance Vendas'!$A10)</f>
        <v>0</v>
      </c>
      <c r="AO11" s="322">
        <f>SUMIFS('Consulta Contratos'!$AO:$AO,'Consulta Contratos'!$AM:$AM,'Performance Vendas'!AO$5,'Consulta Contratos'!$H:$H,"ATIVO",'Consulta Contratos'!$N:$N,'Performance Vendas'!$A10)</f>
        <v>0</v>
      </c>
      <c r="AP11" s="322">
        <f>SUMIFS('Consulta Contratos'!$AO:$AO,'Consulta Contratos'!$AM:$AM,'Performance Vendas'!AP$5,'Consulta Contratos'!$H:$H,"ATIVO",'Consulta Contratos'!$N:$N,'Performance Vendas'!$A10)</f>
        <v>0</v>
      </c>
      <c r="AQ11" s="322">
        <f>SUMIFS('Consulta Contratos'!$AO:$AO,'Consulta Contratos'!$AM:$AM,'Performance Vendas'!AQ$5,'Consulta Contratos'!$H:$H,"ATIVO",'Consulta Contratos'!$N:$N,'Performance Vendas'!$A10)</f>
        <v>0</v>
      </c>
      <c r="AR11" s="322">
        <f>SUMIFS('Consulta Contratos'!$AO:$AO,'Consulta Contratos'!$AM:$AM,'Performance Vendas'!AR$5,'Consulta Contratos'!$H:$H,"ATIVO",'Consulta Contratos'!$N:$N,'Performance Vendas'!$A10)</f>
        <v>0</v>
      </c>
      <c r="AS11" s="322">
        <f>SUMIFS('Consulta Contratos'!$AO:$AO,'Consulta Contratos'!$AM:$AM,'Performance Vendas'!AS$5,'Consulta Contratos'!$H:$H,"ATIVO",'Consulta Contratos'!$N:$N,'Performance Vendas'!$A10)</f>
        <v>0</v>
      </c>
      <c r="AT11" s="322">
        <f>SUMIFS('Consulta Contratos'!$AO:$AO,'Consulta Contratos'!$AM:$AM,'Performance Vendas'!AT$5,'Consulta Contratos'!$H:$H,"ATIVO",'Consulta Contratos'!$N:$N,'Performance Vendas'!$A10)</f>
        <v>0</v>
      </c>
      <c r="AU11" s="322">
        <f>SUMIFS('Consulta Contratos'!$AO:$AO,'Consulta Contratos'!$AM:$AM,'Performance Vendas'!AU$5,'Consulta Contratos'!$H:$H,"ATIVO",'Consulta Contratos'!$N:$N,'Performance Vendas'!$A10)</f>
        <v>0</v>
      </c>
      <c r="AV11" s="322">
        <f>SUMIFS('Consulta Contratos'!$AO:$AO,'Consulta Contratos'!$AM:$AM,'Performance Vendas'!AV$5,'Consulta Contratos'!$H:$H,"ATIVO",'Consulta Contratos'!$N:$N,'Performance Vendas'!$A10)</f>
        <v>0</v>
      </c>
      <c r="AW11" s="323">
        <f t="shared" si="16"/>
        <v>2</v>
      </c>
      <c r="AX11" s="323">
        <f>AJ11+W11+J11+AW11</f>
        <v>25</v>
      </c>
      <c r="AY11" s="92"/>
      <c r="AZ11" s="378">
        <f>SUMIFS('Consulta Contratos'!$AO:$AO,'Consulta Contratos'!$AM:$AM,'Performance Vendas'!AZ$5,'Consulta Contratos'!$H:$H,"ATIVO",'Consulta Contratos'!$N:$N,'Performance Vendas'!$A10)</f>
        <v>0</v>
      </c>
      <c r="BA11" s="177"/>
      <c r="BB11"/>
      <c r="BC11"/>
      <c r="BD11"/>
      <c r="BE11"/>
      <c r="BF11"/>
      <c r="BG11"/>
      <c r="BH11"/>
      <c r="BI11"/>
      <c r="BJ11"/>
    </row>
    <row r="12" spans="1:62">
      <c r="A12" s="93"/>
      <c r="B12" s="511" t="s">
        <v>74</v>
      </c>
      <c r="C12" s="324" t="s">
        <v>70</v>
      </c>
      <c r="D12" s="325"/>
      <c r="E12" s="324">
        <f>E6+E8+E10</f>
        <v>14243001</v>
      </c>
      <c r="F12" s="324">
        <f t="shared" ref="F12:AI12" si="18">F6+F8+F10</f>
        <v>6370748.2999999998</v>
      </c>
      <c r="G12" s="324">
        <f t="shared" si="18"/>
        <v>14288721.359999999</v>
      </c>
      <c r="H12" s="324">
        <f t="shared" si="18"/>
        <v>10992566</v>
      </c>
      <c r="I12" s="324">
        <f t="shared" si="18"/>
        <v>13847740</v>
      </c>
      <c r="J12" s="326">
        <f t="shared" si="13"/>
        <v>59742776.659999996</v>
      </c>
      <c r="K12" s="324">
        <f t="shared" si="18"/>
        <v>15029384.189999999</v>
      </c>
      <c r="L12" s="324">
        <f t="shared" si="18"/>
        <v>4347825</v>
      </c>
      <c r="M12" s="324">
        <f t="shared" si="18"/>
        <v>12491340</v>
      </c>
      <c r="N12" s="324">
        <f t="shared" si="18"/>
        <v>13804596.76</v>
      </c>
      <c r="O12" s="324">
        <f t="shared" si="18"/>
        <v>9937311.1999999993</v>
      </c>
      <c r="P12" s="324">
        <f t="shared" si="18"/>
        <v>15080733.300000001</v>
      </c>
      <c r="Q12" s="324">
        <f t="shared" si="18"/>
        <v>13602758.629999999</v>
      </c>
      <c r="R12" s="324">
        <f t="shared" si="18"/>
        <v>11696029.219999999</v>
      </c>
      <c r="S12" s="324">
        <f t="shared" si="18"/>
        <v>20703802.830000006</v>
      </c>
      <c r="T12" s="324">
        <f t="shared" si="18"/>
        <v>25034491.489999998</v>
      </c>
      <c r="U12" s="324">
        <f t="shared" si="18"/>
        <v>14262217.1</v>
      </c>
      <c r="V12" s="324">
        <f t="shared" si="18"/>
        <v>24137646</v>
      </c>
      <c r="W12" s="326">
        <f t="shared" si="14"/>
        <v>180128135.72</v>
      </c>
      <c r="X12" s="324">
        <f t="shared" si="18"/>
        <v>16584821.960000001</v>
      </c>
      <c r="Y12" s="324">
        <f t="shared" si="18"/>
        <v>4083584.23</v>
      </c>
      <c r="Z12" s="324">
        <f t="shared" si="18"/>
        <v>11381784</v>
      </c>
      <c r="AA12" s="324">
        <f t="shared" si="18"/>
        <v>10862520</v>
      </c>
      <c r="AB12" s="324">
        <f t="shared" si="18"/>
        <v>1405406.28</v>
      </c>
      <c r="AC12" s="324">
        <f t="shared" si="18"/>
        <v>2130000</v>
      </c>
      <c r="AD12" s="324">
        <f t="shared" si="18"/>
        <v>11736970.66</v>
      </c>
      <c r="AE12" s="324">
        <f t="shared" si="18"/>
        <v>21660841.460000001</v>
      </c>
      <c r="AF12" s="324">
        <f t="shared" si="18"/>
        <v>18628123.140000001</v>
      </c>
      <c r="AG12" s="324">
        <f t="shared" si="18"/>
        <v>3246000</v>
      </c>
      <c r="AH12" s="324">
        <f t="shared" si="18"/>
        <v>8056699.7199999997</v>
      </c>
      <c r="AI12" s="324">
        <f t="shared" si="18"/>
        <v>17236514.850000001</v>
      </c>
      <c r="AJ12" s="326">
        <f t="shared" si="17"/>
        <v>127013266.30000001</v>
      </c>
      <c r="AK12" s="324">
        <f t="shared" ref="AK12:AW12" si="19">AK6+AK8+AK10</f>
        <v>9348451.8099999987</v>
      </c>
      <c r="AL12" s="324">
        <f t="shared" si="19"/>
        <v>6484295.3100000005</v>
      </c>
      <c r="AM12" s="324">
        <f t="shared" si="19"/>
        <v>328000</v>
      </c>
      <c r="AN12" s="324">
        <f t="shared" si="19"/>
        <v>0</v>
      </c>
      <c r="AO12" s="324">
        <f t="shared" si="19"/>
        <v>0</v>
      </c>
      <c r="AP12" s="324">
        <f t="shared" si="19"/>
        <v>0</v>
      </c>
      <c r="AQ12" s="324">
        <f t="shared" si="19"/>
        <v>0</v>
      </c>
      <c r="AR12" s="324">
        <f t="shared" si="19"/>
        <v>0</v>
      </c>
      <c r="AS12" s="324">
        <f t="shared" si="19"/>
        <v>0</v>
      </c>
      <c r="AT12" s="324">
        <f t="shared" si="19"/>
        <v>0</v>
      </c>
      <c r="AU12" s="324">
        <f t="shared" si="19"/>
        <v>0</v>
      </c>
      <c r="AV12" s="324">
        <f t="shared" si="19"/>
        <v>0</v>
      </c>
      <c r="AW12" s="326">
        <f t="shared" si="16"/>
        <v>16160747.119999999</v>
      </c>
      <c r="AX12" s="327">
        <f>AJ12+W12+J12+AW12</f>
        <v>383044925.79999995</v>
      </c>
      <c r="AY12" s="179"/>
      <c r="AZ12" s="162">
        <f>SUM(AZ6:AZ10)</f>
        <v>1498222.6800000002</v>
      </c>
    </row>
    <row r="13" spans="1:62" s="84" customFormat="1">
      <c r="A13" s="93"/>
      <c r="B13" s="512"/>
      <c r="C13" s="328" t="str">
        <f>C11</f>
        <v># clientes</v>
      </c>
      <c r="D13" s="329"/>
      <c r="E13" s="329">
        <f>E7+E9+E11</f>
        <v>7</v>
      </c>
      <c r="F13" s="329">
        <f t="shared" ref="F13:AI13" si="20">F7+F9+F11</f>
        <v>12</v>
      </c>
      <c r="G13" s="329">
        <f t="shared" si="20"/>
        <v>10</v>
      </c>
      <c r="H13" s="329">
        <f t="shared" si="20"/>
        <v>11</v>
      </c>
      <c r="I13" s="329">
        <f t="shared" si="20"/>
        <v>18</v>
      </c>
      <c r="J13" s="328">
        <f t="shared" si="13"/>
        <v>58</v>
      </c>
      <c r="K13" s="329">
        <f t="shared" si="20"/>
        <v>16</v>
      </c>
      <c r="L13" s="329">
        <f t="shared" si="20"/>
        <v>8</v>
      </c>
      <c r="M13" s="329">
        <f t="shared" si="20"/>
        <v>8</v>
      </c>
      <c r="N13" s="329">
        <f t="shared" si="20"/>
        <v>6</v>
      </c>
      <c r="O13" s="329">
        <f t="shared" si="20"/>
        <v>15</v>
      </c>
      <c r="P13" s="329">
        <f t="shared" si="20"/>
        <v>18</v>
      </c>
      <c r="Q13" s="329">
        <f t="shared" si="20"/>
        <v>16</v>
      </c>
      <c r="R13" s="329">
        <f t="shared" si="20"/>
        <v>20</v>
      </c>
      <c r="S13" s="329">
        <f t="shared" si="20"/>
        <v>19</v>
      </c>
      <c r="T13" s="329">
        <f t="shared" si="20"/>
        <v>27</v>
      </c>
      <c r="U13" s="329">
        <f t="shared" si="20"/>
        <v>28</v>
      </c>
      <c r="V13" s="329">
        <f t="shared" si="20"/>
        <v>16</v>
      </c>
      <c r="W13" s="328">
        <f t="shared" si="14"/>
        <v>197</v>
      </c>
      <c r="X13" s="329">
        <f t="shared" si="20"/>
        <v>10</v>
      </c>
      <c r="Y13" s="329">
        <f t="shared" si="20"/>
        <v>10</v>
      </c>
      <c r="Z13" s="329">
        <f t="shared" si="20"/>
        <v>7</v>
      </c>
      <c r="AA13" s="329">
        <f t="shared" si="20"/>
        <v>13</v>
      </c>
      <c r="AB13" s="329">
        <f t="shared" si="20"/>
        <v>3</v>
      </c>
      <c r="AC13" s="329">
        <f t="shared" si="20"/>
        <v>4</v>
      </c>
      <c r="AD13" s="329">
        <f t="shared" si="20"/>
        <v>15</v>
      </c>
      <c r="AE13" s="329">
        <f t="shared" si="20"/>
        <v>21</v>
      </c>
      <c r="AF13" s="329">
        <f t="shared" si="20"/>
        <v>21</v>
      </c>
      <c r="AG13" s="329">
        <f t="shared" si="20"/>
        <v>2</v>
      </c>
      <c r="AH13" s="329">
        <f t="shared" si="20"/>
        <v>9</v>
      </c>
      <c r="AI13" s="329">
        <f t="shared" si="20"/>
        <v>10</v>
      </c>
      <c r="AJ13" s="328">
        <f t="shared" si="17"/>
        <v>125</v>
      </c>
      <c r="AK13" s="329">
        <f t="shared" ref="AK13:AW13" si="21">AK7+AK9+AK11</f>
        <v>14</v>
      </c>
      <c r="AL13" s="329">
        <f t="shared" si="21"/>
        <v>13</v>
      </c>
      <c r="AM13" s="329">
        <f t="shared" si="21"/>
        <v>1</v>
      </c>
      <c r="AN13" s="329">
        <f t="shared" si="21"/>
        <v>0</v>
      </c>
      <c r="AO13" s="329">
        <f t="shared" si="21"/>
        <v>0</v>
      </c>
      <c r="AP13" s="329">
        <f t="shared" si="21"/>
        <v>0</v>
      </c>
      <c r="AQ13" s="329">
        <f t="shared" si="21"/>
        <v>0</v>
      </c>
      <c r="AR13" s="329">
        <f t="shared" si="21"/>
        <v>0</v>
      </c>
      <c r="AS13" s="329">
        <f t="shared" si="21"/>
        <v>0</v>
      </c>
      <c r="AT13" s="329">
        <f t="shared" si="21"/>
        <v>0</v>
      </c>
      <c r="AU13" s="329">
        <f t="shared" si="21"/>
        <v>0</v>
      </c>
      <c r="AV13" s="329">
        <f t="shared" si="21"/>
        <v>0</v>
      </c>
      <c r="AW13" s="328">
        <f t="shared" si="16"/>
        <v>28</v>
      </c>
      <c r="AX13" s="316">
        <f>AJ13+W13+J13+AW13</f>
        <v>408</v>
      </c>
      <c r="AY13" s="179"/>
      <c r="AZ13" s="180"/>
      <c r="BA13" s="8"/>
      <c r="BB13"/>
      <c r="BC13"/>
      <c r="BD13"/>
      <c r="BE13"/>
      <c r="BF13"/>
      <c r="BG13"/>
      <c r="BH13"/>
      <c r="BI13"/>
      <c r="BJ13"/>
    </row>
    <row r="14" spans="1:62">
      <c r="A14" s="80"/>
      <c r="B14" s="513" t="str">
        <f>B16</f>
        <v>Desconto Financeiro</v>
      </c>
      <c r="C14" s="514"/>
      <c r="D14" s="330"/>
      <c r="E14" s="331">
        <f t="shared" ref="E14:V14" si="22">E16</f>
        <v>18000</v>
      </c>
      <c r="F14" s="331">
        <f t="shared" si="22"/>
        <v>697673.3</v>
      </c>
      <c r="G14" s="331">
        <f t="shared" si="22"/>
        <v>348301.63999999966</v>
      </c>
      <c r="H14" s="331">
        <f t="shared" si="22"/>
        <v>1000</v>
      </c>
      <c r="I14" s="331">
        <f t="shared" si="22"/>
        <v>1299180</v>
      </c>
      <c r="J14" s="332">
        <f t="shared" si="22"/>
        <v>2364154.9399999995</v>
      </c>
      <c r="K14" s="331">
        <f t="shared" si="22"/>
        <v>1543615.4</v>
      </c>
      <c r="L14" s="331">
        <f t="shared" si="22"/>
        <v>285329.25</v>
      </c>
      <c r="M14" s="331">
        <f t="shared" si="22"/>
        <v>3951255.4930000002</v>
      </c>
      <c r="N14" s="331">
        <f t="shared" si="22"/>
        <v>1761403.24</v>
      </c>
      <c r="O14" s="331">
        <f t="shared" si="22"/>
        <v>1163982.00875</v>
      </c>
      <c r="P14" s="331">
        <f t="shared" si="22"/>
        <v>1948466.166</v>
      </c>
      <c r="Q14" s="331">
        <f t="shared" si="22"/>
        <v>1760210.5329999998</v>
      </c>
      <c r="R14" s="331">
        <f t="shared" si="22"/>
        <v>1989784.1700000002</v>
      </c>
      <c r="S14" s="331">
        <f t="shared" si="22"/>
        <v>3251888.4220000003</v>
      </c>
      <c r="T14" s="331">
        <f t="shared" si="22"/>
        <v>2776798.4160000016</v>
      </c>
      <c r="U14" s="331">
        <f t="shared" si="22"/>
        <v>1875785.2749999999</v>
      </c>
      <c r="V14" s="331">
        <f t="shared" si="22"/>
        <v>3691585.5880000014</v>
      </c>
      <c r="W14" s="332">
        <f t="shared" ref="W14:W20" si="23">SUM(K14:V14)</f>
        <v>26000103.961750001</v>
      </c>
      <c r="X14" s="331">
        <f t="shared" ref="X14:AI14" si="24">X16</f>
        <v>2609069.6040000003</v>
      </c>
      <c r="Y14" s="331">
        <f t="shared" si="24"/>
        <v>446481.48</v>
      </c>
      <c r="Z14" s="331">
        <f t="shared" si="24"/>
        <v>1056095.1599999999</v>
      </c>
      <c r="AA14" s="331">
        <f t="shared" si="24"/>
        <v>2971884.6900000004</v>
      </c>
      <c r="AB14" s="331">
        <f t="shared" si="24"/>
        <v>252049.49</v>
      </c>
      <c r="AC14" s="331">
        <f t="shared" si="24"/>
        <v>222582.47999999998</v>
      </c>
      <c r="AD14" s="331">
        <f t="shared" si="24"/>
        <v>951126.05</v>
      </c>
      <c r="AE14" s="331">
        <f t="shared" si="24"/>
        <v>1340808.6399999994</v>
      </c>
      <c r="AF14" s="331">
        <f t="shared" si="24"/>
        <v>1739310.9300000002</v>
      </c>
      <c r="AG14" s="331">
        <f t="shared" si="24"/>
        <v>418333.76000000024</v>
      </c>
      <c r="AH14" s="331">
        <f t="shared" si="24"/>
        <v>941863.88000000012</v>
      </c>
      <c r="AI14" s="331">
        <f t="shared" si="24"/>
        <v>1515010.7500000005</v>
      </c>
      <c r="AJ14" s="332">
        <f t="shared" ref="AJ14:AJ19" si="25">SUM(X14:AI14)</f>
        <v>14464616.914000001</v>
      </c>
      <c r="AK14" s="331">
        <f t="shared" ref="AK14:AV14" si="26">AK16</f>
        <v>631770.4099999998</v>
      </c>
      <c r="AL14" s="331">
        <f t="shared" si="26"/>
        <v>452802.90000000014</v>
      </c>
      <c r="AM14" s="331">
        <f t="shared" si="26"/>
        <v>74817.880000000019</v>
      </c>
      <c r="AN14" s="331">
        <f t="shared" si="26"/>
        <v>0</v>
      </c>
      <c r="AO14" s="331">
        <f t="shared" si="26"/>
        <v>0</v>
      </c>
      <c r="AP14" s="331">
        <f t="shared" si="26"/>
        <v>0</v>
      </c>
      <c r="AQ14" s="331">
        <f t="shared" si="26"/>
        <v>0</v>
      </c>
      <c r="AR14" s="331">
        <f t="shared" si="26"/>
        <v>0</v>
      </c>
      <c r="AS14" s="331">
        <f t="shared" si="26"/>
        <v>0</v>
      </c>
      <c r="AT14" s="331">
        <f t="shared" si="26"/>
        <v>0</v>
      </c>
      <c r="AU14" s="331">
        <f t="shared" si="26"/>
        <v>0</v>
      </c>
      <c r="AV14" s="331">
        <f t="shared" si="26"/>
        <v>0</v>
      </c>
      <c r="AW14" s="332">
        <f t="shared" ref="AW14:AW19" si="27">SUM(AK14:AV14)</f>
        <v>1159391.1900000002</v>
      </c>
      <c r="AX14" s="332">
        <f>AJ14+W14+J14+AW14</f>
        <v>43988267.00575</v>
      </c>
      <c r="AY14" s="4"/>
      <c r="AZ14" s="157">
        <f>AZ16</f>
        <v>161654.30999999997</v>
      </c>
    </row>
    <row r="15" spans="1:62">
      <c r="B15" s="493" t="s">
        <v>75</v>
      </c>
      <c r="C15" s="494"/>
      <c r="D15" s="333"/>
      <c r="E15" s="334">
        <f>E12+E14</f>
        <v>14261001</v>
      </c>
      <c r="F15" s="334">
        <f>F12+F14</f>
        <v>7068421.5999999996</v>
      </c>
      <c r="G15" s="334">
        <f>G12+G14</f>
        <v>14637023</v>
      </c>
      <c r="H15" s="334">
        <f>H12+H14</f>
        <v>10993566</v>
      </c>
      <c r="I15" s="334">
        <f>I12+I14</f>
        <v>15146920</v>
      </c>
      <c r="J15" s="334">
        <f t="shared" ref="J15:J20" si="28">SUM(E15:I15)</f>
        <v>62106931.600000001</v>
      </c>
      <c r="K15" s="334">
        <f t="shared" ref="K15:V15" si="29">K12+K14</f>
        <v>16572999.59</v>
      </c>
      <c r="L15" s="334">
        <f t="shared" si="29"/>
        <v>4633154.25</v>
      </c>
      <c r="M15" s="334">
        <f t="shared" si="29"/>
        <v>16442595.493000001</v>
      </c>
      <c r="N15" s="334">
        <f t="shared" si="29"/>
        <v>15566000</v>
      </c>
      <c r="O15" s="334">
        <f t="shared" si="29"/>
        <v>11101293.208749998</v>
      </c>
      <c r="P15" s="334">
        <f t="shared" si="29"/>
        <v>17029199.466000002</v>
      </c>
      <c r="Q15" s="334">
        <f t="shared" si="29"/>
        <v>15362969.162999999</v>
      </c>
      <c r="R15" s="334">
        <f t="shared" si="29"/>
        <v>13685813.389999999</v>
      </c>
      <c r="S15" s="334">
        <f t="shared" si="29"/>
        <v>23955691.252000004</v>
      </c>
      <c r="T15" s="334">
        <f t="shared" si="29"/>
        <v>27811289.905999999</v>
      </c>
      <c r="U15" s="334">
        <f t="shared" si="29"/>
        <v>16138002.375</v>
      </c>
      <c r="V15" s="334">
        <f t="shared" si="29"/>
        <v>27829231.588</v>
      </c>
      <c r="W15" s="334">
        <f t="shared" si="23"/>
        <v>206128239.68175</v>
      </c>
      <c r="X15" s="334">
        <f t="shared" ref="X15:AI15" si="30">X12+X14</f>
        <v>19193891.564000003</v>
      </c>
      <c r="Y15" s="334">
        <f t="shared" si="30"/>
        <v>4530065.71</v>
      </c>
      <c r="Z15" s="334">
        <f t="shared" si="30"/>
        <v>12437879.16</v>
      </c>
      <c r="AA15" s="334">
        <f t="shared" si="30"/>
        <v>13834404.690000001</v>
      </c>
      <c r="AB15" s="334">
        <f t="shared" si="30"/>
        <v>1657455.77</v>
      </c>
      <c r="AC15" s="334">
        <f t="shared" si="30"/>
        <v>2352582.48</v>
      </c>
      <c r="AD15" s="334">
        <f t="shared" si="30"/>
        <v>12688096.710000001</v>
      </c>
      <c r="AE15" s="334">
        <f t="shared" si="30"/>
        <v>23001650.100000001</v>
      </c>
      <c r="AF15" s="334">
        <f t="shared" si="30"/>
        <v>20367434.07</v>
      </c>
      <c r="AG15" s="334">
        <f t="shared" si="30"/>
        <v>3664333.7600000002</v>
      </c>
      <c r="AH15" s="334">
        <f t="shared" si="30"/>
        <v>8998563.5999999996</v>
      </c>
      <c r="AI15" s="334">
        <f t="shared" si="30"/>
        <v>18751525.600000001</v>
      </c>
      <c r="AJ15" s="334">
        <f t="shared" si="25"/>
        <v>141477883.21400002</v>
      </c>
      <c r="AK15" s="334">
        <f t="shared" ref="AK15" si="31">AK12+AK14</f>
        <v>9980222.2199999988</v>
      </c>
      <c r="AL15" s="334">
        <f t="shared" ref="AL15" si="32">AL12+AL14</f>
        <v>6937098.2100000009</v>
      </c>
      <c r="AM15" s="334">
        <f t="shared" ref="AM15" si="33">AM12+AM14</f>
        <v>402817.88</v>
      </c>
      <c r="AN15" s="334">
        <f t="shared" ref="AN15" si="34">AN12+AN14</f>
        <v>0</v>
      </c>
      <c r="AO15" s="334">
        <f t="shared" ref="AO15" si="35">AO12+AO14</f>
        <v>0</v>
      </c>
      <c r="AP15" s="334">
        <f t="shared" ref="AP15" si="36">AP12+AP14</f>
        <v>0</v>
      </c>
      <c r="AQ15" s="334">
        <f t="shared" ref="AQ15" si="37">AQ12+AQ14</f>
        <v>0</v>
      </c>
      <c r="AR15" s="334">
        <f t="shared" ref="AR15" si="38">AR12+AR14</f>
        <v>0</v>
      </c>
      <c r="AS15" s="334">
        <f t="shared" ref="AS15" si="39">AS12+AS14</f>
        <v>0</v>
      </c>
      <c r="AT15" s="334">
        <f t="shared" ref="AT15" si="40">AT12+AT14</f>
        <v>0</v>
      </c>
      <c r="AU15" s="334">
        <f t="shared" ref="AU15" si="41">AU12+AU14</f>
        <v>0</v>
      </c>
      <c r="AV15" s="334">
        <f t="shared" ref="AV15" si="42">AV12+AV14</f>
        <v>0</v>
      </c>
      <c r="AW15" s="334">
        <f t="shared" si="27"/>
        <v>17320138.309999999</v>
      </c>
      <c r="AX15" s="334">
        <f>AJ15+W15+J15+AW15</f>
        <v>427033192.80575007</v>
      </c>
      <c r="AY15" s="179"/>
      <c r="AZ15" s="158">
        <f>AZ12+AZ16</f>
        <v>1659876.9900000002</v>
      </c>
      <c r="BD15" s="408"/>
    </row>
    <row r="16" spans="1:62" outlineLevel="1">
      <c r="B16" s="495" t="str">
        <f>'Consulta Contratos'!AL1</f>
        <v>Desconto Financeiro</v>
      </c>
      <c r="C16" s="496"/>
      <c r="D16" s="330"/>
      <c r="E16" s="335">
        <f>SUMIFS('Consulta Contratos'!$AL:$AL,'Consulta Contratos'!$AT:$AT,1,'Consulta Contratos'!$H:$H,"ATIVO",'Consulta Contratos'!$AM:$AM,'Performance Vendas'!E$5)</f>
        <v>18000</v>
      </c>
      <c r="F16" s="335">
        <f>SUMIFS('Consulta Contratos'!$AL:$AL,'Consulta Contratos'!$AT:$AT,1,'Consulta Contratos'!$H:$H,"ATIVO",'Consulta Contratos'!$AM:$AM,'Performance Vendas'!F$5)</f>
        <v>697673.3</v>
      </c>
      <c r="G16" s="335">
        <f>SUMIFS('Consulta Contratos'!$AL:$AL,'Consulta Contratos'!$AT:$AT,1,'Consulta Contratos'!$H:$H,"ATIVO",'Consulta Contratos'!$AM:$AM,'Performance Vendas'!G$5)</f>
        <v>348301.63999999966</v>
      </c>
      <c r="H16" s="335">
        <f>SUMIFS('Consulta Contratos'!$AL:$AL,'Consulta Contratos'!$AT:$AT,1,'Consulta Contratos'!$H:$H,"ATIVO",'Consulta Contratos'!$AM:$AM,'Performance Vendas'!H$5)</f>
        <v>1000</v>
      </c>
      <c r="I16" s="335">
        <f>SUMIFS('Consulta Contratos'!$AL:$AL,'Consulta Contratos'!$AT:$AT,1,'Consulta Contratos'!$H:$H,"ATIVO",'Consulta Contratos'!$AM:$AM,'Performance Vendas'!I$5)</f>
        <v>1299180</v>
      </c>
      <c r="J16" s="332">
        <f t="shared" si="28"/>
        <v>2364154.9399999995</v>
      </c>
      <c r="K16" s="335">
        <f>SUMIFS('Consulta Contratos'!$AL:$AL,'Consulta Contratos'!$AT:$AT,1,'Consulta Contratos'!$H:$H,"ATIVO",'Consulta Contratos'!$AM:$AM,'Performance Vendas'!K$5)</f>
        <v>1543615.4</v>
      </c>
      <c r="L16" s="335">
        <f>SUMIFS('Consulta Contratos'!$AL:$AL,'Consulta Contratos'!$AT:$AT,1,'Consulta Contratos'!$H:$H,"ATIVO",'Consulta Contratos'!$AM:$AM,'Performance Vendas'!L$5)</f>
        <v>285329.25</v>
      </c>
      <c r="M16" s="335">
        <f>SUMIFS('Consulta Contratos'!$AL:$AL,'Consulta Contratos'!$AT:$AT,1,'Consulta Contratos'!$H:$H,"ATIVO",'Consulta Contratos'!$AM:$AM,'Performance Vendas'!M$5)</f>
        <v>3951255.4930000002</v>
      </c>
      <c r="N16" s="335">
        <f>SUMIFS('Consulta Contratos'!$AL:$AL,'Consulta Contratos'!$AT:$AT,1,'Consulta Contratos'!$H:$H,"ATIVO",'Consulta Contratos'!$AM:$AM,'Performance Vendas'!N$5)</f>
        <v>1761403.24</v>
      </c>
      <c r="O16" s="335">
        <f>SUMIFS('Consulta Contratos'!$AL:$AL,'Consulta Contratos'!$AT:$AT,1,'Consulta Contratos'!$H:$H,"ATIVO",'Consulta Contratos'!$AM:$AM,'Performance Vendas'!O$5)</f>
        <v>1163982.00875</v>
      </c>
      <c r="P16" s="335">
        <f>SUMIFS('Consulta Contratos'!$AL:$AL,'Consulta Contratos'!$AT:$AT,1,'Consulta Contratos'!$H:$H,"ATIVO",'Consulta Contratos'!$AM:$AM,'Performance Vendas'!P$5)</f>
        <v>1948466.166</v>
      </c>
      <c r="Q16" s="335">
        <f>SUMIFS('Consulta Contratos'!$AL:$AL,'Consulta Contratos'!$AT:$AT,1,'Consulta Contratos'!$H:$H,"ATIVO",'Consulta Contratos'!$AM:$AM,'Performance Vendas'!Q$5)</f>
        <v>1760210.5329999998</v>
      </c>
      <c r="R16" s="335">
        <f>SUMIFS('Consulta Contratos'!$AL:$AL,'Consulta Contratos'!$AT:$AT,1,'Consulta Contratos'!$H:$H,"ATIVO",'Consulta Contratos'!$AM:$AM,'Performance Vendas'!R$5)</f>
        <v>1989784.1700000002</v>
      </c>
      <c r="S16" s="335">
        <f>SUMIFS('Consulta Contratos'!$AL:$AL,'Consulta Contratos'!$AT:$AT,1,'Consulta Contratos'!$H:$H,"ATIVO",'Consulta Contratos'!$AM:$AM,'Performance Vendas'!S$5)</f>
        <v>3251888.4220000003</v>
      </c>
      <c r="T16" s="335">
        <f>SUMIFS('Consulta Contratos'!$AL:$AL,'Consulta Contratos'!$AT:$AT,1,'Consulta Contratos'!$H:$H,"ATIVO",'Consulta Contratos'!$AM:$AM,'Performance Vendas'!T$5)</f>
        <v>2776798.4160000016</v>
      </c>
      <c r="U16" s="335">
        <f>SUMIFS('Consulta Contratos'!$AL:$AL,'Consulta Contratos'!$AT:$AT,1,'Consulta Contratos'!$H:$H,"ATIVO",'Consulta Contratos'!$AM:$AM,'Performance Vendas'!U$5)</f>
        <v>1875785.2749999999</v>
      </c>
      <c r="V16" s="335">
        <f>SUMIFS('Consulta Contratos'!$AL:$AL,'Consulta Contratos'!$AT:$AT,1,'Consulta Contratos'!$H:$H,"ATIVO",'Consulta Contratos'!$AM:$AM,'Performance Vendas'!V$5)</f>
        <v>3691585.5880000014</v>
      </c>
      <c r="W16" s="332">
        <f t="shared" si="23"/>
        <v>26000103.961750001</v>
      </c>
      <c r="X16" s="335">
        <f>SUMIFS('Consulta Contratos'!$AL:$AL,'Consulta Contratos'!$AT:$AT,1,'Consulta Contratos'!$H:$H,"ATIVO",'Consulta Contratos'!$AM:$AM,'Performance Vendas'!X$5)</f>
        <v>2609069.6040000003</v>
      </c>
      <c r="Y16" s="335">
        <f>SUMIFS('Consulta Contratos'!$AL:$AL,'Consulta Contratos'!$AT:$AT,1,'Consulta Contratos'!$H:$H,"ATIVO",'Consulta Contratos'!$AM:$AM,'Performance Vendas'!Y$5)</f>
        <v>446481.48</v>
      </c>
      <c r="Z16" s="335">
        <f>SUMIFS('Consulta Contratos'!$AL:$AL,'Consulta Contratos'!$AT:$AT,1,'Consulta Contratos'!$H:$H,"ATIVO",'Consulta Contratos'!$AM:$AM,'Performance Vendas'!Z$5)</f>
        <v>1056095.1599999999</v>
      </c>
      <c r="AA16" s="335">
        <f>SUMIFS('Consulta Contratos'!$AL:$AL,'Consulta Contratos'!$AT:$AT,1,'Consulta Contratos'!$H:$H,"ATIVO",'Consulta Contratos'!$AM:$AM,'Performance Vendas'!AA$5)</f>
        <v>2971884.6900000004</v>
      </c>
      <c r="AB16" s="335">
        <f>SUMIFS('Consulta Contratos'!$AL:$AL,'Consulta Contratos'!$AT:$AT,1,'Consulta Contratos'!$H:$H,"ATIVO",'Consulta Contratos'!$AM:$AM,'Performance Vendas'!AB$5)</f>
        <v>252049.49</v>
      </c>
      <c r="AC16" s="335">
        <f>SUMIFS('Consulta Contratos'!$AL:$AL,'Consulta Contratos'!$AT:$AT,1,'Consulta Contratos'!$H:$H,"ATIVO",'Consulta Contratos'!$AM:$AM,'Performance Vendas'!AC$5)</f>
        <v>222582.47999999998</v>
      </c>
      <c r="AD16" s="335">
        <f>SUMIFS('Consulta Contratos'!$AL:$AL,'Consulta Contratos'!$AT:$AT,1,'Consulta Contratos'!$H:$H,"ATIVO",'Consulta Contratos'!$AM:$AM,'Performance Vendas'!AD$5)</f>
        <v>951126.05</v>
      </c>
      <c r="AE16" s="335">
        <f>SUMIFS('Consulta Contratos'!$AL:$AL,'Consulta Contratos'!$AT:$AT,1,'Consulta Contratos'!$H:$H,"ATIVO",'Consulta Contratos'!$AM:$AM,'Performance Vendas'!AE$5)</f>
        <v>1340808.6399999994</v>
      </c>
      <c r="AF16" s="335">
        <f>SUMIFS('Consulta Contratos'!$AL:$AL,'Consulta Contratos'!$AT:$AT,1,'Consulta Contratos'!$H:$H,"ATIVO",'Consulta Contratos'!$AM:$AM,'Performance Vendas'!AF$5)</f>
        <v>1739310.9300000002</v>
      </c>
      <c r="AG16" s="335">
        <f>SUMIFS('Consulta Contratos'!$AL:$AL,'Consulta Contratos'!$AT:$AT,1,'Consulta Contratos'!$H:$H,"ATIVO",'Consulta Contratos'!$AM:$AM,'Performance Vendas'!AG$5)</f>
        <v>418333.76000000024</v>
      </c>
      <c r="AH16" s="335">
        <f>SUMIFS('Consulta Contratos'!$AL:$AL,'Consulta Contratos'!$AT:$AT,1,'Consulta Contratos'!$H:$H,"ATIVO",'Consulta Contratos'!$AM:$AM,'Performance Vendas'!AH$5)</f>
        <v>941863.88000000012</v>
      </c>
      <c r="AI16" s="335">
        <f>SUMIFS('Consulta Contratos'!$AL:$AL,'Consulta Contratos'!$AT:$AT,1,'Consulta Contratos'!$H:$H,"ATIVO",'Consulta Contratos'!$AM:$AM,'Performance Vendas'!AI$5)</f>
        <v>1515010.7500000005</v>
      </c>
      <c r="AJ16" s="332">
        <f t="shared" si="25"/>
        <v>14464616.914000001</v>
      </c>
      <c r="AK16" s="335">
        <f>SUMIFS('Consulta Contratos'!$AL:$AL,'Consulta Contratos'!$AT:$AT,1,'Consulta Contratos'!$H:$H,"ATIVO",'Consulta Contratos'!$AM:$AM,'Performance Vendas'!AK$5)</f>
        <v>631770.4099999998</v>
      </c>
      <c r="AL16" s="335">
        <f>SUMIFS('Consulta Contratos'!$AL:$AL,'Consulta Contratos'!$AT:$AT,1,'Consulta Contratos'!$H:$H,"ATIVO",'Consulta Contratos'!$AM:$AM,'Performance Vendas'!AL$5)</f>
        <v>452802.90000000014</v>
      </c>
      <c r="AM16" s="335">
        <f>SUMIFS('Consulta Contratos'!$AL:$AL,'Consulta Contratos'!$AT:$AT,1,'Consulta Contratos'!$H:$H,"ATIVO",'Consulta Contratos'!$AM:$AM,'Performance Vendas'!AM$5)</f>
        <v>74817.880000000019</v>
      </c>
      <c r="AN16" s="335">
        <f>SUMIFS('Consulta Contratos'!$AL:$AL,'Consulta Contratos'!$AT:$AT,1,'Consulta Contratos'!$H:$H,"ATIVO",'Consulta Contratos'!$AM:$AM,'Performance Vendas'!AN$5)</f>
        <v>0</v>
      </c>
      <c r="AO16" s="335">
        <f>SUMIFS('Consulta Contratos'!$AL:$AL,'Consulta Contratos'!$AT:$AT,1,'Consulta Contratos'!$H:$H,"ATIVO",'Consulta Contratos'!$AM:$AM,'Performance Vendas'!AO$5)</f>
        <v>0</v>
      </c>
      <c r="AP16" s="335">
        <f>SUMIFS('Consulta Contratos'!$AL:$AL,'Consulta Contratos'!$AT:$AT,1,'Consulta Contratos'!$H:$H,"ATIVO",'Consulta Contratos'!$AM:$AM,'Performance Vendas'!AP$5)</f>
        <v>0</v>
      </c>
      <c r="AQ16" s="335">
        <f>SUMIFS('Consulta Contratos'!$AL:$AL,'Consulta Contratos'!$AT:$AT,1,'Consulta Contratos'!$H:$H,"ATIVO",'Consulta Contratos'!$AM:$AM,'Performance Vendas'!AQ$5)</f>
        <v>0</v>
      </c>
      <c r="AR16" s="335">
        <f>SUMIFS('Consulta Contratos'!$AL:$AL,'Consulta Contratos'!$AT:$AT,1,'Consulta Contratos'!$H:$H,"ATIVO",'Consulta Contratos'!$AM:$AM,'Performance Vendas'!AR$5)</f>
        <v>0</v>
      </c>
      <c r="AS16" s="335">
        <f>SUMIFS('Consulta Contratos'!$AL:$AL,'Consulta Contratos'!$AT:$AT,1,'Consulta Contratos'!$H:$H,"ATIVO",'Consulta Contratos'!$AM:$AM,'Performance Vendas'!AS$5)</f>
        <v>0</v>
      </c>
      <c r="AT16" s="335">
        <f>SUMIFS('Consulta Contratos'!$AL:$AL,'Consulta Contratos'!$AT:$AT,1,'Consulta Contratos'!$H:$H,"ATIVO",'Consulta Contratos'!$AM:$AM,'Performance Vendas'!AT$5)</f>
        <v>0</v>
      </c>
      <c r="AU16" s="335">
        <f>SUMIFS('Consulta Contratos'!$AL:$AL,'Consulta Contratos'!$AT:$AT,1,'Consulta Contratos'!$H:$H,"ATIVO",'Consulta Contratos'!$AM:$AM,'Performance Vendas'!AU$5)</f>
        <v>0</v>
      </c>
      <c r="AV16" s="335">
        <f>SUMIFS('Consulta Contratos'!$AL:$AL,'Consulta Contratos'!$AT:$AT,1,'Consulta Contratos'!$H:$H,"ATIVO",'Consulta Contratos'!$AM:$AM,'Performance Vendas'!AV$5)</f>
        <v>0</v>
      </c>
      <c r="AW16" s="332">
        <f t="shared" si="27"/>
        <v>1159391.1900000002</v>
      </c>
      <c r="AX16" s="332">
        <f>AJ16+W16+J16</f>
        <v>42828875.815750003</v>
      </c>
      <c r="AY16" s="6"/>
      <c r="AZ16" s="159">
        <f>SUMIFS('Consulta Contratos'!$AL:$AL,'Consulta Contratos'!$AT:$AT,1,'Consulta Contratos'!$H:$H,"ATIVO",'Consulta Contratos'!$AM:$AM,'Performance Vendas'!AZ$5)</f>
        <v>161654.30999999997</v>
      </c>
    </row>
    <row r="17" spans="1:62" outlineLevel="1">
      <c r="B17" s="495" t="s">
        <v>76</v>
      </c>
      <c r="C17" s="496"/>
      <c r="D17" s="330"/>
      <c r="E17" s="335">
        <f>SUMIFS('Consulta Contratos'!$AK:$AK,'Consulta Contratos'!$H:$H,"ATIVO",'Consulta Contratos'!$AM:$AM,'Performance Vendas'!E$5)</f>
        <v>2712263.4</v>
      </c>
      <c r="F17" s="335">
        <f>SUMIFS('Consulta Contratos'!$AK:$AK,'Consulta Contratos'!$H:$H,"ATIVO",'Consulta Contratos'!$AM:$AM,'Performance Vendas'!F$5)</f>
        <v>246757.5</v>
      </c>
      <c r="G17" s="335">
        <f>SUMIFS('Consulta Contratos'!$AK:$AK,'Consulta Contratos'!$H:$H,"ATIVO",'Consulta Contratos'!$AM:$AM,'Performance Vendas'!G$5)</f>
        <v>443016</v>
      </c>
      <c r="H17" s="335">
        <f>SUMIFS('Consulta Contratos'!$AK:$AK,'Consulta Contratos'!$H:$H,"ATIVO",'Consulta Contratos'!$AM:$AM,'Performance Vendas'!H$5)</f>
        <v>0</v>
      </c>
      <c r="I17" s="335">
        <f>SUMIFS('Consulta Contratos'!$AK:$AK,'Consulta Contratos'!$H:$H,"ATIVO",'Consulta Contratos'!$AM:$AM,'Performance Vendas'!I$5)</f>
        <v>290000</v>
      </c>
      <c r="J17" s="332">
        <f t="shared" si="28"/>
        <v>3692036.9</v>
      </c>
      <c r="K17" s="335">
        <f>SUMIFS('Consulta Contratos'!$AK:$AK,'Consulta Contratos'!$H:$H,"ATIVO",'Consulta Contratos'!$AM:$AM,'Performance Vendas'!K$5)</f>
        <v>729184.60000000009</v>
      </c>
      <c r="L17" s="335">
        <f>SUMIFS('Consulta Contratos'!$AK:$AK,'Consulta Contratos'!$H:$H,"ATIVO",'Consulta Contratos'!$AM:$AM,'Performance Vendas'!L$5)</f>
        <v>11670.75</v>
      </c>
      <c r="M17" s="335">
        <f>SUMIFS('Consulta Contratos'!$AK:$AK,'Consulta Contratos'!$H:$H,"ATIVO",'Consulta Contratos'!$AM:$AM,'Performance Vendas'!M$5)</f>
        <v>170404.50699999998</v>
      </c>
      <c r="N17" s="335">
        <f>SUMIFS('Consulta Contratos'!$AK:$AK,'Consulta Contratos'!$H:$H,"ATIVO",'Consulta Contratos'!$AM:$AM,'Performance Vendas'!N$5)</f>
        <v>0</v>
      </c>
      <c r="O17" s="335">
        <f>SUMIFS('Consulta Contratos'!$AK:$AK,'Consulta Contratos'!$H:$H,"ATIVO",'Consulta Contratos'!$AM:$AM,'Performance Vendas'!O$5)</f>
        <v>272467.99125000002</v>
      </c>
      <c r="P17" s="335">
        <f>SUMIFS('Consulta Contratos'!$AK:$AK,'Consulta Contratos'!$H:$H,"ATIVO",'Consulta Contratos'!$AM:$AM,'Performance Vendas'!P$5)</f>
        <v>308050.83400000003</v>
      </c>
      <c r="Q17" s="335">
        <f>SUMIFS('Consulta Contratos'!$AK:$AK,'Consulta Contratos'!$H:$H,"ATIVO",'Consulta Contratos'!$AM:$AM,'Performance Vendas'!Q$5)</f>
        <v>12030.837</v>
      </c>
      <c r="R17" s="335">
        <f>SUMIFS('Consulta Contratos'!$AK:$AK,'Consulta Contratos'!$H:$H,"ATIVO",'Consulta Contratos'!$AM:$AM,'Performance Vendas'!R$5)</f>
        <v>226836.61</v>
      </c>
      <c r="S17" s="335">
        <f>SUMIFS('Consulta Contratos'!$AK:$AK,'Consulta Contratos'!$H:$H,"ATIVO",'Consulta Contratos'!$AM:$AM,'Performance Vendas'!S$5)</f>
        <v>288308.74799999996</v>
      </c>
      <c r="T17" s="335">
        <f>SUMIFS('Consulta Contratos'!$AK:$AK,'Consulta Contratos'!$H:$H,"ATIVO",'Consulta Contratos'!$AM:$AM,'Performance Vendas'!T$5)</f>
        <v>1526710.0940000005</v>
      </c>
      <c r="U17" s="335">
        <f>SUMIFS('Consulta Contratos'!$AK:$AK,'Consulta Contratos'!$H:$H,"ATIVO",'Consulta Contratos'!$AM:$AM,'Performance Vendas'!U$5)</f>
        <v>145497.625</v>
      </c>
      <c r="V17" s="335">
        <f>SUMIFS('Consulta Contratos'!$AK:$AK,'Consulta Contratos'!$H:$H,"ATIVO",'Consulta Contratos'!$AM:$AM,'Performance Vendas'!V$5)</f>
        <v>1712668.4120000002</v>
      </c>
      <c r="W17" s="332">
        <f t="shared" si="23"/>
        <v>5403831.0082500009</v>
      </c>
      <c r="X17" s="335">
        <f>SUMIFS('Consulta Contratos'!$AK:$AK,'Consulta Contratos'!$H:$H,"ATIVO",'Consulta Contratos'!$AM:$AM,'Performance Vendas'!X$5)</f>
        <v>309108.43599999999</v>
      </c>
      <c r="Y17" s="335">
        <f>SUMIFS('Consulta Contratos'!$AK:$AK,'Consulta Contratos'!$H:$H,"ATIVO",'Consulta Contratos'!$AM:$AM,'Performance Vendas'!Y$5)</f>
        <v>65838.52</v>
      </c>
      <c r="Z17" s="335">
        <f>SUMIFS('Consulta Contratos'!$AK:$AK,'Consulta Contratos'!$H:$H,"ATIVO",'Consulta Contratos'!$AM:$AM,'Performance Vendas'!Z$5)</f>
        <v>579120.84</v>
      </c>
      <c r="AA17" s="335">
        <f>SUMIFS('Consulta Contratos'!$AK:$AK,'Consulta Contratos'!$H:$H,"ATIVO",'Consulta Contratos'!$AM:$AM,'Performance Vendas'!AA$5)</f>
        <v>1610777.1899999997</v>
      </c>
      <c r="AB17" s="335">
        <f>SUMIFS('Consulta Contratos'!$AK:$AK,'Consulta Contratos'!$H:$H,"ATIVO",'Consulta Contratos'!$AM:$AM,'Performance Vendas'!AB$5)</f>
        <v>8544.23</v>
      </c>
      <c r="AC17" s="335">
        <f>SUMIFS('Consulta Contratos'!$AK:$AK,'Consulta Contratos'!$H:$H,"ATIVO",'Consulta Contratos'!$AM:$AM,'Performance Vendas'!AC$5)</f>
        <v>47417.52</v>
      </c>
      <c r="AD17" s="335">
        <f>SUMIFS('Consulta Contratos'!$AK:$AK,'Consulta Contratos'!$H:$H,"ATIVO",'Consulta Contratos'!$AM:$AM,'Performance Vendas'!AD$5)</f>
        <v>305455.48999999993</v>
      </c>
      <c r="AE17" s="335">
        <f>SUMIFS('Consulta Contratos'!$AK:$AK,'Consulta Contratos'!$H:$H,"ATIVO",'Consulta Contratos'!$AM:$AM,'Performance Vendas'!AE$5)</f>
        <v>181761.67</v>
      </c>
      <c r="AF17" s="335">
        <f>SUMIFS('Consulta Contratos'!$AK:$AK,'Consulta Contratos'!$H:$H,"ATIVO",'Consulta Contratos'!$AM:$AM,'Performance Vendas'!AF$5)</f>
        <v>377974.94000000006</v>
      </c>
      <c r="AG17" s="335">
        <f>SUMIFS('Consulta Contratos'!$AK:$AK,'Consulta Contratos'!$H:$H,"ATIVO",'Consulta Contratos'!$AM:$AM,'Performance Vendas'!AG$5)</f>
        <v>214631.08999999997</v>
      </c>
      <c r="AH17" s="335">
        <f>SUMIFS('Consulta Contratos'!$AK:$AK,'Consulta Contratos'!$H:$H,"ATIVO",'Consulta Contratos'!$AM:$AM,'Performance Vendas'!AH$5)</f>
        <v>398303.93999999994</v>
      </c>
      <c r="AI17" s="335">
        <f>SUMIFS('Consulta Contratos'!$AK:$AK,'Consulta Contratos'!$H:$H,"ATIVO",'Consulta Contratos'!$AM:$AM,'Performance Vendas'!AI$5)</f>
        <v>954968.13</v>
      </c>
      <c r="AJ17" s="332">
        <f t="shared" si="25"/>
        <v>5053901.9959999993</v>
      </c>
      <c r="AK17" s="335">
        <f>SUMIFS('Consulta Contratos'!$AK:$AK,'Consulta Contratos'!$H:$H,"ATIVO",'Consulta Contratos'!$AM:$AM,'Performance Vendas'!AK$5)</f>
        <v>305602.97000000003</v>
      </c>
      <c r="AL17" s="335">
        <f>SUMIFS('Consulta Contratos'!$AK:$AK,'Consulta Contratos'!$H:$H,"ATIVO",'Consulta Contratos'!$AM:$AM,'Performance Vendas'!AL$5)</f>
        <v>72814.710000000006</v>
      </c>
      <c r="AM17" s="335">
        <f>SUMIFS('Consulta Contratos'!$AK:$AK,'Consulta Contratos'!$H:$H,"ATIVO",'Consulta Contratos'!$AM:$AM,'Performance Vendas'!AM$5)</f>
        <v>9852.4500000000007</v>
      </c>
      <c r="AN17" s="335">
        <f>SUMIFS('Consulta Contratos'!$AK:$AK,'Consulta Contratos'!$H:$H,"ATIVO",'Consulta Contratos'!$AM:$AM,'Performance Vendas'!AN$5)</f>
        <v>0</v>
      </c>
      <c r="AO17" s="335">
        <f>SUMIFS('Consulta Contratos'!$AK:$AK,'Consulta Contratos'!$H:$H,"ATIVO",'Consulta Contratos'!$AM:$AM,'Performance Vendas'!AO$5)</f>
        <v>0</v>
      </c>
      <c r="AP17" s="335">
        <f>SUMIFS('Consulta Contratos'!$AK:$AK,'Consulta Contratos'!$H:$H,"ATIVO",'Consulta Contratos'!$AM:$AM,'Performance Vendas'!AP$5)</f>
        <v>0</v>
      </c>
      <c r="AQ17" s="335">
        <f>SUMIFS('Consulta Contratos'!$AK:$AK,'Consulta Contratos'!$H:$H,"ATIVO",'Consulta Contratos'!$AM:$AM,'Performance Vendas'!AQ$5)</f>
        <v>0</v>
      </c>
      <c r="AR17" s="335">
        <f>SUMIFS('Consulta Contratos'!$AK:$AK,'Consulta Contratos'!$H:$H,"ATIVO",'Consulta Contratos'!$AM:$AM,'Performance Vendas'!AR$5)</f>
        <v>0</v>
      </c>
      <c r="AS17" s="335">
        <f>SUMIFS('Consulta Contratos'!$AK:$AK,'Consulta Contratos'!$H:$H,"ATIVO",'Consulta Contratos'!$AM:$AM,'Performance Vendas'!AS$5)</f>
        <v>0</v>
      </c>
      <c r="AT17" s="335">
        <f>SUMIFS('Consulta Contratos'!$AK:$AK,'Consulta Contratos'!$H:$H,"ATIVO",'Consulta Contratos'!$AM:$AM,'Performance Vendas'!AT$5)</f>
        <v>0</v>
      </c>
      <c r="AU17" s="335">
        <f>SUMIFS('Consulta Contratos'!$AK:$AK,'Consulta Contratos'!$H:$H,"ATIVO",'Consulta Contratos'!$AM:$AM,'Performance Vendas'!AU$5)</f>
        <v>0</v>
      </c>
      <c r="AV17" s="335">
        <f>SUMIFS('Consulta Contratos'!$AK:$AK,'Consulta Contratos'!$H:$H,"ATIVO",'Consulta Contratos'!$AM:$AM,'Performance Vendas'!AV$5)</f>
        <v>0</v>
      </c>
      <c r="AW17" s="332">
        <f t="shared" si="27"/>
        <v>388270.13000000006</v>
      </c>
      <c r="AX17" s="332">
        <f>AJ17+W17+J17</f>
        <v>14149769.904250002</v>
      </c>
      <c r="AY17" s="6"/>
      <c r="AZ17" s="159">
        <f>SUMIFS('Consulta Contratos'!$AK:$AK,'Consulta Contratos'!$H:$H,"ATIVO",'Consulta Contratos'!$AM:$AM,'Performance Vendas'!AZ$5)</f>
        <v>4205.7299999999996</v>
      </c>
    </row>
    <row r="18" spans="1:62" outlineLevel="1">
      <c r="B18" s="506" t="s">
        <v>77</v>
      </c>
      <c r="C18" s="507"/>
      <c r="D18" s="330"/>
      <c r="E18" s="336">
        <f>SUMIFS('Consulta Contratos'!$AH:$AH,'Consulta Contratos'!$AS:$AS,1,'Consulta Contratos'!$H:$H,"ATIVO",'Consulta Contratos'!$AM:$AM,'Performance Vendas'!E$5)</f>
        <v>2730000</v>
      </c>
      <c r="F18" s="336">
        <f>SUMIFS('Consulta Contratos'!$AH:$AH,'Consulta Contratos'!$AS:$AS,1,'Consulta Contratos'!$H:$H,"ATIVO",'Consulta Contratos'!$AM:$AM,'Performance Vendas'!F$5)</f>
        <v>944430.8</v>
      </c>
      <c r="G18" s="336">
        <f>SUMIFS('Consulta Contratos'!$AH:$AH,'Consulta Contratos'!$AS:$AS,1,'Consulta Contratos'!$H:$H,"ATIVO",'Consulta Contratos'!$AM:$AM,'Performance Vendas'!G$5)</f>
        <v>791317.63999999966</v>
      </c>
      <c r="H18" s="336">
        <f>SUMIFS('Consulta Contratos'!$AH:$AH,'Consulta Contratos'!$AS:$AS,1,'Consulta Contratos'!$H:$H,"ATIVO",'Consulta Contratos'!$AM:$AM,'Performance Vendas'!H$5)</f>
        <v>1000</v>
      </c>
      <c r="I18" s="336">
        <f>SUMIFS('Consulta Contratos'!$AH:$AH,'Consulta Contratos'!$AS:$AS,1,'Consulta Contratos'!$H:$H,"ATIVO",'Consulta Contratos'!$AM:$AM,'Performance Vendas'!I$5)</f>
        <v>1589180</v>
      </c>
      <c r="J18" s="337">
        <f t="shared" si="28"/>
        <v>6055928.4399999995</v>
      </c>
      <c r="K18" s="336">
        <f>SUMIFS('Consulta Contratos'!$AH:$AH,'Consulta Contratos'!$AS:$AS,1,'Consulta Contratos'!$H:$H,"ATIVO",'Consulta Contratos'!$AM:$AM,'Performance Vendas'!K$5)</f>
        <v>2272800</v>
      </c>
      <c r="L18" s="336">
        <f>SUMIFS('Consulta Contratos'!$AH:$AH,'Consulta Contratos'!$AS:$AS,1,'Consulta Contratos'!$H:$H,"ATIVO",'Consulta Contratos'!$AM:$AM,'Performance Vendas'!L$5)</f>
        <v>297000</v>
      </c>
      <c r="M18" s="336">
        <f>SUMIFS('Consulta Contratos'!$AH:$AH,'Consulta Contratos'!$AS:$AS,1,'Consulta Contratos'!$H:$H,"ATIVO",'Consulta Contratos'!$AM:$AM,'Performance Vendas'!M$5)</f>
        <v>4121660</v>
      </c>
      <c r="N18" s="336">
        <f>SUMIFS('Consulta Contratos'!$AH:$AH,'Consulta Contratos'!$AS:$AS,1,'Consulta Contratos'!$H:$H,"ATIVO",'Consulta Contratos'!$AM:$AM,'Performance Vendas'!N$5)</f>
        <v>1761403.24</v>
      </c>
      <c r="O18" s="336">
        <f>SUMIFS('Consulta Contratos'!$AH:$AH,'Consulta Contratos'!$AS:$AS,1,'Consulta Contratos'!$H:$H,"ATIVO",'Consulta Contratos'!$AM:$AM,'Performance Vendas'!O$5)</f>
        <v>1436450</v>
      </c>
      <c r="P18" s="336">
        <f>SUMIFS('Consulta Contratos'!$AH:$AH,'Consulta Contratos'!$AS:$AS,1,'Consulta Contratos'!$H:$H,"ATIVO",'Consulta Contratos'!$AM:$AM,'Performance Vendas'!P$5)</f>
        <v>2256517</v>
      </c>
      <c r="Q18" s="336">
        <f>SUMIFS('Consulta Contratos'!$AH:$AH,'Consulta Contratos'!$AS:$AS,1,'Consulta Contratos'!$H:$H,"ATIVO",'Consulta Contratos'!$AM:$AM,'Performance Vendas'!Q$5)</f>
        <v>1772241.37</v>
      </c>
      <c r="R18" s="336">
        <f>SUMIFS('Consulta Contratos'!$AH:$AH,'Consulta Contratos'!$AS:$AS,1,'Consulta Contratos'!$H:$H,"ATIVO",'Consulta Contratos'!$AM:$AM,'Performance Vendas'!R$5)</f>
        <v>2216620.7799999998</v>
      </c>
      <c r="S18" s="336">
        <f>SUMIFS('Consulta Contratos'!$AH:$AH,'Consulta Contratos'!$AS:$AS,1,'Consulta Contratos'!$H:$H,"ATIVO",'Consulta Contratos'!$AM:$AM,'Performance Vendas'!S$5)</f>
        <v>3540197.17</v>
      </c>
      <c r="T18" s="336">
        <f>SUMIFS('Consulta Contratos'!$AH:$AH,'Consulta Contratos'!$AS:$AS,1,'Consulta Contratos'!$H:$H,"ATIVO",'Consulta Contratos'!$AM:$AM,'Performance Vendas'!T$5)</f>
        <v>4303508.51</v>
      </c>
      <c r="U18" s="336">
        <f>SUMIFS('Consulta Contratos'!$AH:$AH,'Consulta Contratos'!$AS:$AS,1,'Consulta Contratos'!$H:$H,"ATIVO",'Consulta Contratos'!$AM:$AM,'Performance Vendas'!U$5)</f>
        <v>2021282.9</v>
      </c>
      <c r="V18" s="336">
        <f>SUMIFS('Consulta Contratos'!$AH:$AH,'Consulta Contratos'!$AS:$AS,1,'Consulta Contratos'!$H:$H,"ATIVO",'Consulta Contratos'!$AM:$AM,'Performance Vendas'!V$5)</f>
        <v>5404254</v>
      </c>
      <c r="W18" s="337">
        <f t="shared" si="23"/>
        <v>31403934.969999999</v>
      </c>
      <c r="X18" s="336">
        <f>SUMIFS('Consulta Contratos'!$AH:$AH,'Consulta Contratos'!$AS:$AS,1,'Consulta Contratos'!$H:$H,"ATIVO",'Consulta Contratos'!$AM:$AM,'Performance Vendas'!X$5)</f>
        <v>2918178.04</v>
      </c>
      <c r="Y18" s="336">
        <f>SUMIFS('Consulta Contratos'!$AH:$AH,'Consulta Contratos'!$AS:$AS,1,'Consulta Contratos'!$H:$H,"ATIVO",'Consulta Contratos'!$AM:$AM,'Performance Vendas'!Y$5)</f>
        <v>512320</v>
      </c>
      <c r="Z18" s="336">
        <f>SUMIFS('Consulta Contratos'!$AH:$AH,'Consulta Contratos'!$AS:$AS,1,'Consulta Contratos'!$H:$H,"ATIVO",'Consulta Contratos'!$AM:$AM,'Performance Vendas'!Z$5)</f>
        <v>1635216</v>
      </c>
      <c r="AA18" s="336">
        <f>SUMIFS('Consulta Contratos'!$AH:$AH,'Consulta Contratos'!$AS:$AS,1,'Consulta Contratos'!$H:$H,"ATIVO",'Consulta Contratos'!$AM:$AM,'Performance Vendas'!AA$5)</f>
        <v>4553480</v>
      </c>
      <c r="AB18" s="336">
        <f>SUMIFS('Consulta Contratos'!$AH:$AH,'Consulta Contratos'!$AS:$AS,1,'Consulta Contratos'!$H:$H,"ATIVO",'Consulta Contratos'!$AM:$AM,'Performance Vendas'!AB$5)</f>
        <v>260593.71999999997</v>
      </c>
      <c r="AC18" s="336">
        <f>SUMIFS('Consulta Contratos'!$AH:$AH,'Consulta Contratos'!$AS:$AS,1,'Consulta Contratos'!$H:$H,"ATIVO",'Consulta Contratos'!$AM:$AM,'Performance Vendas'!AC$5)</f>
        <v>270000</v>
      </c>
      <c r="AD18" s="336">
        <f>SUMIFS('Consulta Contratos'!$AH:$AH,'Consulta Contratos'!$AS:$AS,1,'Consulta Contratos'!$H:$H,"ATIVO",'Consulta Contratos'!$AM:$AM,'Performance Vendas'!AD$5)</f>
        <v>1193029.3399999999</v>
      </c>
      <c r="AE18" s="336">
        <f>SUMIFS('Consulta Contratos'!$AH:$AH,'Consulta Contratos'!$AS:$AS,1,'Consulta Contratos'!$H:$H,"ATIVO",'Consulta Contratos'!$AM:$AM,'Performance Vendas'!AE$5)</f>
        <v>1505158.5399999998</v>
      </c>
      <c r="AF18" s="336">
        <f>SUMIFS('Consulta Contratos'!$AH:$AH,'Consulta Contratos'!$AS:$AS,1,'Consulta Contratos'!$H:$H,"ATIVO",'Consulta Contratos'!$AM:$AM,'Performance Vendas'!AF$5)</f>
        <v>1960916.4600000002</v>
      </c>
      <c r="AG18" s="336">
        <f>SUMIFS('Consulta Contratos'!$AH:$AH,'Consulta Contratos'!$AS:$AS,1,'Consulta Contratos'!$H:$H,"ATIVO",'Consulta Contratos'!$AM:$AM,'Performance Vendas'!AG$5)</f>
        <v>632964.85000000009</v>
      </c>
      <c r="AH18" s="336">
        <f>SUMIFS('Consulta Contratos'!$AH:$AH,'Consulta Contratos'!$AS:$AS,1,'Consulta Contratos'!$H:$H,"ATIVO",'Consulta Contratos'!$AM:$AM,'Performance Vendas'!AH$5)</f>
        <v>1340167.8200000003</v>
      </c>
      <c r="AI18" s="336">
        <f>SUMIFS('Consulta Contratos'!$AH:$AH,'Consulta Contratos'!$AS:$AS,1,'Consulta Contratos'!$H:$H,"ATIVO",'Consulta Contratos'!$AM:$AM,'Performance Vendas'!AI$5)</f>
        <v>2469978.8800000004</v>
      </c>
      <c r="AJ18" s="337">
        <f t="shared" si="25"/>
        <v>19252003.649999999</v>
      </c>
      <c r="AK18" s="336">
        <f>SUMIFS('Consulta Contratos'!$AH:$AH,'Consulta Contratos'!$AS:$AS,1,'Consulta Contratos'!$H:$H,"ATIVO",'Consulta Contratos'!$AM:$AM,'Performance Vendas'!AK$5)</f>
        <v>928042.15999999992</v>
      </c>
      <c r="AL18" s="336">
        <f>SUMIFS('Consulta Contratos'!$AH:$AH,'Consulta Contratos'!$AS:$AS,1,'Consulta Contratos'!$H:$H,"ATIVO",'Consulta Contratos'!$AM:$AM,'Performance Vendas'!AL$5)</f>
        <v>510985.46000000008</v>
      </c>
      <c r="AM18" s="336">
        <f>SUMIFS('Consulta Contratos'!$AH:$AH,'Consulta Contratos'!$AS:$AS,1,'Consulta Contratos'!$H:$H,"ATIVO",'Consulta Contratos'!$AM:$AM,'Performance Vendas'!AM$5)</f>
        <v>84670.330000000016</v>
      </c>
      <c r="AN18" s="336">
        <f>SUMIFS('Consulta Contratos'!$AH:$AH,'Consulta Contratos'!$AS:$AS,1,'Consulta Contratos'!$H:$H,"ATIVO",'Consulta Contratos'!$AM:$AM,'Performance Vendas'!AN$5)</f>
        <v>0</v>
      </c>
      <c r="AO18" s="336">
        <f>SUMIFS('Consulta Contratos'!$AH:$AH,'Consulta Contratos'!$AS:$AS,1,'Consulta Contratos'!$H:$H,"ATIVO",'Consulta Contratos'!$AM:$AM,'Performance Vendas'!AO$5)</f>
        <v>0</v>
      </c>
      <c r="AP18" s="336">
        <f>SUMIFS('Consulta Contratos'!$AH:$AH,'Consulta Contratos'!$AS:$AS,1,'Consulta Contratos'!$H:$H,"ATIVO",'Consulta Contratos'!$AM:$AM,'Performance Vendas'!AP$5)</f>
        <v>0</v>
      </c>
      <c r="AQ18" s="336">
        <f>SUMIFS('Consulta Contratos'!$AH:$AH,'Consulta Contratos'!$AS:$AS,1,'Consulta Contratos'!$H:$H,"ATIVO",'Consulta Contratos'!$AM:$AM,'Performance Vendas'!AQ$5)</f>
        <v>0</v>
      </c>
      <c r="AR18" s="336">
        <f>SUMIFS('Consulta Contratos'!$AH:$AH,'Consulta Contratos'!$AS:$AS,1,'Consulta Contratos'!$H:$H,"ATIVO",'Consulta Contratos'!$AM:$AM,'Performance Vendas'!AR$5)</f>
        <v>0</v>
      </c>
      <c r="AS18" s="336">
        <f>SUMIFS('Consulta Contratos'!$AH:$AH,'Consulta Contratos'!$AS:$AS,1,'Consulta Contratos'!$H:$H,"ATIVO",'Consulta Contratos'!$AM:$AM,'Performance Vendas'!AS$5)</f>
        <v>0</v>
      </c>
      <c r="AT18" s="336">
        <f>SUMIFS('Consulta Contratos'!$AH:$AH,'Consulta Contratos'!$AS:$AS,1,'Consulta Contratos'!$H:$H,"ATIVO",'Consulta Contratos'!$AM:$AM,'Performance Vendas'!AT$5)</f>
        <v>0</v>
      </c>
      <c r="AU18" s="336">
        <f>SUMIFS('Consulta Contratos'!$AH:$AH,'Consulta Contratos'!$AS:$AS,1,'Consulta Contratos'!$H:$H,"ATIVO",'Consulta Contratos'!$AM:$AM,'Performance Vendas'!AU$5)</f>
        <v>0</v>
      </c>
      <c r="AV18" s="336">
        <f>SUMIFS('Consulta Contratos'!$AH:$AH,'Consulta Contratos'!$AS:$AS,1,'Consulta Contratos'!$H:$H,"ATIVO",'Consulta Contratos'!$AM:$AM,'Performance Vendas'!AV$5)</f>
        <v>0</v>
      </c>
      <c r="AW18" s="337">
        <f t="shared" si="27"/>
        <v>1523697.9500000002</v>
      </c>
      <c r="AX18" s="337">
        <f>AJ18+W18+J18</f>
        <v>56711867.059999995</v>
      </c>
      <c r="AY18" s="92"/>
      <c r="AZ18" s="160">
        <f>SUMIFS('Consulta Contratos'!$AH:$AH,'Consulta Contratos'!$AS:$AS,1,'Consulta Contratos'!$H:$H,"ATIVO",'Consulta Contratos'!$AM:$AM,'Performance Vendas'!AZ$5)</f>
        <v>162386.78999999998</v>
      </c>
    </row>
    <row r="19" spans="1:62" outlineLevel="1">
      <c r="B19" s="495" t="s">
        <v>78</v>
      </c>
      <c r="C19" s="496"/>
      <c r="D19" s="330"/>
      <c r="E19" s="335">
        <f>SUMIFS('Consulta Contratos'!$AG:$AG,'Consulta Contratos'!$H:$H,"ATIVO",'Consulta Contratos'!$AM:$AM,'Performance Vendas'!E$5)</f>
        <v>365000</v>
      </c>
      <c r="F19" s="335">
        <f>SUMIFS('Consulta Contratos'!$AG:$AG,'Consulta Contratos'!$H:$H,"ATIVO",'Consulta Contratos'!$AM:$AM,'Performance Vendas'!F$5)</f>
        <v>52179.099999999977</v>
      </c>
      <c r="G19" s="335">
        <f>SUMIFS('Consulta Contratos'!$AG:$AG,'Consulta Contratos'!$H:$H,"ATIVO",'Consulta Contratos'!$AM:$AM,'Performance Vendas'!G$5)</f>
        <v>67039</v>
      </c>
      <c r="H19" s="335">
        <f>SUMIFS('Consulta Contratos'!$AG:$AG,'Consulta Contratos'!$H:$H,"ATIVO",'Consulta Contratos'!$AM:$AM,'Performance Vendas'!H$5)</f>
        <v>94566</v>
      </c>
      <c r="I19" s="335">
        <f>SUMIFS('Consulta Contratos'!$AG:$AG,'Consulta Contratos'!$H:$H,"ATIVO",'Consulta Contratos'!$AM:$AM,'Performance Vendas'!I$5)</f>
        <v>406500</v>
      </c>
      <c r="J19" s="332">
        <f t="shared" si="28"/>
        <v>985284.1</v>
      </c>
      <c r="K19" s="335">
        <f>SUMIFS('Consulta Contratos'!$AG:$AG,'Consulta Contratos'!$H:$H,"ATIVO",'Consulta Contratos'!$AM:$AM,'Performance Vendas'!K$5)</f>
        <v>690184.19</v>
      </c>
      <c r="L19" s="335">
        <f>SUMIFS('Consulta Contratos'!$AG:$AG,'Consulta Contratos'!$H:$H,"ATIVO",'Consulta Contratos'!$AM:$AM,'Performance Vendas'!L$5)</f>
        <v>140443.19999999998</v>
      </c>
      <c r="M19" s="335">
        <f>SUMIFS('Consulta Contratos'!$AG:$AG,'Consulta Contratos'!$H:$H,"ATIVO",'Consulta Contratos'!$AM:$AM,'Performance Vendas'!M$5)</f>
        <v>157451.32899999991</v>
      </c>
      <c r="N19" s="335">
        <f>SUMIFS('Consulta Contratos'!$AG:$AG,'Consulta Contratos'!$H:$H,"ATIVO",'Consulta Contratos'!$AM:$AM,'Performance Vendas'!N$5)</f>
        <v>1221401.9999999998</v>
      </c>
      <c r="O19" s="335">
        <f>SUMIFS('Consulta Contratos'!$AG:$AG,'Consulta Contratos'!$H:$H,"ATIVO",'Consulta Contratos'!$AM:$AM,'Performance Vendas'!O$5)</f>
        <v>565632.43099999975</v>
      </c>
      <c r="P19" s="335">
        <f>SUMIFS('Consulta Contratos'!$AG:$AG,'Consulta Contratos'!$H:$H,"ATIVO",'Consulta Contratos'!$AM:$AM,'Performance Vendas'!P$5)</f>
        <v>526780.39049999963</v>
      </c>
      <c r="Q19" s="335">
        <f>SUMIFS('Consulta Contratos'!$AG:$AG,'Consulta Contratos'!$H:$H,"ATIVO",'Consulta Contratos'!$AM:$AM,'Performance Vendas'!Q$5)</f>
        <v>677413.37299999967</v>
      </c>
      <c r="R19" s="335">
        <f>SUMIFS('Consulta Contratos'!$AG:$AG,'Consulta Contratos'!$H:$H,"ATIVO",'Consulta Contratos'!$AM:$AM,'Performance Vendas'!R$5)</f>
        <v>699620.37599999958</v>
      </c>
      <c r="S19" s="335">
        <f>SUMIFS('Consulta Contratos'!$AG:$AG,'Consulta Contratos'!$H:$H,"ATIVO",'Consulta Contratos'!$AM:$AM,'Performance Vendas'!S$5)</f>
        <v>423707.92099999986</v>
      </c>
      <c r="T19" s="335">
        <f>SUMIFS('Consulta Contratos'!$AG:$AG,'Consulta Contratos'!$H:$H,"ATIVO",'Consulta Contratos'!$AM:$AM,'Performance Vendas'!T$5)</f>
        <v>568690.75899999985</v>
      </c>
      <c r="U19" s="335">
        <f>SUMIFS('Consulta Contratos'!$AG:$AG,'Consulta Contratos'!$H:$H,"ATIVO",'Consulta Contratos'!$AM:$AM,'Performance Vendas'!U$5)</f>
        <v>697170.88350000011</v>
      </c>
      <c r="V19" s="335">
        <f>SUMIFS('Consulta Contratos'!$AG:$AG,'Consulta Contratos'!$H:$H,"ATIVO",'Consulta Contratos'!$AM:$AM,'Performance Vendas'!V$5)</f>
        <v>878776.80800000019</v>
      </c>
      <c r="W19" s="332">
        <f t="shared" si="23"/>
        <v>7247273.6609999985</v>
      </c>
      <c r="X19" s="335">
        <f>SUMIFS('Consulta Contratos'!$AG:$AG,'Consulta Contratos'!$H:$H,"ATIVO",'Consulta Contratos'!$AM:$AM,'Performance Vendas'!X$5)</f>
        <v>342511.71499999991</v>
      </c>
      <c r="Y19" s="335">
        <f>SUMIFS('Consulta Contratos'!$AG:$AG,'Consulta Contratos'!$H:$H,"ATIVO",'Consulta Contratos'!$AM:$AM,'Performance Vendas'!Y$5)</f>
        <v>256632.37599999999</v>
      </c>
      <c r="Z19" s="335">
        <f>SUMIFS('Consulta Contratos'!$AG:$AG,'Consulta Contratos'!$H:$H,"ATIVO",'Consulta Contratos'!$AM:$AM,'Performance Vendas'!Z$5)</f>
        <v>56487.15</v>
      </c>
      <c r="AA19" s="335">
        <f>SUMIFS('Consulta Contratos'!$AG:$AG,'Consulta Contratos'!$H:$H,"ATIVO",'Consulta Contratos'!$AM:$AM,'Performance Vendas'!AA$5)</f>
        <v>99134.87</v>
      </c>
      <c r="AB19" s="335">
        <f>SUMIFS('Consulta Contratos'!$AG:$AG,'Consulta Contratos'!$H:$H,"ATIVO",'Consulta Contratos'!$AM:$AM,'Performance Vendas'!AB$5)</f>
        <v>123990.23</v>
      </c>
      <c r="AC19" s="335">
        <f>SUMIFS('Consulta Contratos'!$AG:$AG,'Consulta Contratos'!$H:$H,"ATIVO",'Consulta Contratos'!$AM:$AM,'Performance Vendas'!AC$5)</f>
        <v>87883.19</v>
      </c>
      <c r="AD19" s="335">
        <f>SUMIFS('Consulta Contratos'!$AG:$AG,'Consulta Contratos'!$H:$H,"ATIVO",'Consulta Contratos'!$AM:$AM,'Performance Vendas'!AD$5)</f>
        <v>81207.809999999983</v>
      </c>
      <c r="AE19" s="335">
        <f>SUMIFS('Consulta Contratos'!$AG:$AG,'Consulta Contratos'!$H:$H,"ATIVO",'Consulta Contratos'!$AM:$AM,'Performance Vendas'!AE$5)</f>
        <v>451029.29</v>
      </c>
      <c r="AF19" s="335">
        <f>SUMIFS('Consulta Contratos'!$AG:$AG,'Consulta Contratos'!$H:$H,"ATIVO",'Consulta Contratos'!$AM:$AM,'Performance Vendas'!AF$5)</f>
        <v>2352570.9299999997</v>
      </c>
      <c r="AG19" s="335">
        <f>SUMIFS('Consulta Contratos'!$AG:$AG,'Consulta Contratos'!$H:$H,"ATIVO",'Consulta Contratos'!$AM:$AM,'Performance Vendas'!AG$5)</f>
        <v>6755.34</v>
      </c>
      <c r="AH19" s="335">
        <f>SUMIFS('Consulta Contratos'!$AG:$AG,'Consulta Contratos'!$H:$H,"ATIVO",'Consulta Contratos'!$AM:$AM,'Performance Vendas'!AH$5)</f>
        <v>55614.93</v>
      </c>
      <c r="AI19" s="335">
        <f>SUMIFS('Consulta Contratos'!$AG:$AG,'Consulta Contratos'!$H:$H,"ATIVO",'Consulta Contratos'!$AM:$AM,'Performance Vendas'!AI$5)</f>
        <v>415779.30000000005</v>
      </c>
      <c r="AJ19" s="332">
        <f t="shared" si="25"/>
        <v>4329597.1310000001</v>
      </c>
      <c r="AK19" s="335">
        <f>SUMIFS('Consulta Contratos'!$AG:$AG,'Consulta Contratos'!$H:$H,"ATIVO",'Consulta Contratos'!$AM:$AM,'Performance Vendas'!AK$5)</f>
        <v>21710.18</v>
      </c>
      <c r="AL19" s="335">
        <f>SUMIFS('Consulta Contratos'!$AG:$AG,'Consulta Contratos'!$H:$H,"ATIVO",'Consulta Contratos'!$AM:$AM,'Performance Vendas'!AL$5)</f>
        <v>120797.43</v>
      </c>
      <c r="AM19" s="335">
        <f>SUMIFS('Consulta Contratos'!$AG:$AG,'Consulta Contratos'!$H:$H,"ATIVO",'Consulta Contratos'!$AM:$AM,'Performance Vendas'!AM$5)</f>
        <v>0</v>
      </c>
      <c r="AN19" s="335">
        <f>SUMIFS('Consulta Contratos'!$AG:$AG,'Consulta Contratos'!$H:$H,"ATIVO",'Consulta Contratos'!$AM:$AM,'Performance Vendas'!AN$5)</f>
        <v>0</v>
      </c>
      <c r="AO19" s="335">
        <f>SUMIFS('Consulta Contratos'!$AG:$AG,'Consulta Contratos'!$H:$H,"ATIVO",'Consulta Contratos'!$AM:$AM,'Performance Vendas'!AO$5)</f>
        <v>0</v>
      </c>
      <c r="AP19" s="335">
        <f>SUMIFS('Consulta Contratos'!$AG:$AG,'Consulta Contratos'!$H:$H,"ATIVO",'Consulta Contratos'!$AM:$AM,'Performance Vendas'!AP$5)</f>
        <v>0</v>
      </c>
      <c r="AQ19" s="335">
        <f>SUMIFS('Consulta Contratos'!$AG:$AG,'Consulta Contratos'!$H:$H,"ATIVO",'Consulta Contratos'!$AM:$AM,'Performance Vendas'!AQ$5)</f>
        <v>0</v>
      </c>
      <c r="AR19" s="335">
        <f>SUMIFS('Consulta Contratos'!$AG:$AG,'Consulta Contratos'!$H:$H,"ATIVO",'Consulta Contratos'!$AM:$AM,'Performance Vendas'!AR$5)</f>
        <v>0</v>
      </c>
      <c r="AS19" s="335">
        <f>SUMIFS('Consulta Contratos'!$AG:$AG,'Consulta Contratos'!$H:$H,"ATIVO",'Consulta Contratos'!$AM:$AM,'Performance Vendas'!AS$5)</f>
        <v>0</v>
      </c>
      <c r="AT19" s="335">
        <f>SUMIFS('Consulta Contratos'!$AG:$AG,'Consulta Contratos'!$H:$H,"ATIVO",'Consulta Contratos'!$AM:$AM,'Performance Vendas'!AT$5)</f>
        <v>0</v>
      </c>
      <c r="AU19" s="335">
        <f>SUMIFS('Consulta Contratos'!$AG:$AG,'Consulta Contratos'!$H:$H,"ATIVO",'Consulta Contratos'!$AM:$AM,'Performance Vendas'!AU$5)</f>
        <v>0</v>
      </c>
      <c r="AV19" s="335">
        <f>SUMIFS('Consulta Contratos'!$AG:$AG,'Consulta Contratos'!$H:$H,"ATIVO",'Consulta Contratos'!$AM:$AM,'Performance Vendas'!AV$5)</f>
        <v>0</v>
      </c>
      <c r="AW19" s="332">
        <f t="shared" si="27"/>
        <v>142507.60999999999</v>
      </c>
      <c r="AX19" s="332">
        <f>AJ19+W19+J19</f>
        <v>12562154.891999999</v>
      </c>
      <c r="AY19" s="6"/>
      <c r="AZ19" s="159">
        <f>SUMIFS('Consulta Contratos'!$AG:$AG,'Consulta Contratos'!$H:$H,"ATIVO",'Consulta Contratos'!$AM:$AM,'Performance Vendas'!AZ$5)</f>
        <v>0</v>
      </c>
    </row>
    <row r="20" spans="1:62" outlineLevel="1">
      <c r="B20" s="497" t="s">
        <v>79</v>
      </c>
      <c r="C20" s="498"/>
      <c r="D20" s="330"/>
      <c r="E20" s="335">
        <f t="shared" ref="E20:V20" si="43">E19-E17</f>
        <v>-2347263.4</v>
      </c>
      <c r="F20" s="335">
        <f t="shared" si="43"/>
        <v>-194578.40000000002</v>
      </c>
      <c r="G20" s="335">
        <f t="shared" si="43"/>
        <v>-375977</v>
      </c>
      <c r="H20" s="335">
        <f t="shared" si="43"/>
        <v>94566</v>
      </c>
      <c r="I20" s="335">
        <f t="shared" si="43"/>
        <v>116500</v>
      </c>
      <c r="J20" s="332">
        <f t="shared" si="28"/>
        <v>-2706752.8</v>
      </c>
      <c r="K20" s="335">
        <f t="shared" si="43"/>
        <v>-39000.410000000149</v>
      </c>
      <c r="L20" s="335">
        <f t="shared" si="43"/>
        <v>128772.44999999998</v>
      </c>
      <c r="M20" s="335">
        <f t="shared" si="43"/>
        <v>-12953.178000000073</v>
      </c>
      <c r="N20" s="335">
        <f t="shared" si="43"/>
        <v>1221401.9999999998</v>
      </c>
      <c r="O20" s="335">
        <f t="shared" si="43"/>
        <v>293164.43974999973</v>
      </c>
      <c r="P20" s="335">
        <f t="shared" si="43"/>
        <v>218729.5564999996</v>
      </c>
      <c r="Q20" s="335">
        <f t="shared" si="43"/>
        <v>665382.53599999961</v>
      </c>
      <c r="R20" s="335">
        <f t="shared" si="43"/>
        <v>472783.7659999996</v>
      </c>
      <c r="S20" s="335">
        <f t="shared" si="43"/>
        <v>135399.17299999989</v>
      </c>
      <c r="T20" s="335">
        <f t="shared" si="43"/>
        <v>-958019.33500000066</v>
      </c>
      <c r="U20" s="335">
        <f t="shared" si="43"/>
        <v>551673.25850000011</v>
      </c>
      <c r="V20" s="335">
        <f t="shared" si="43"/>
        <v>-833891.60400000005</v>
      </c>
      <c r="W20" s="332">
        <f t="shared" si="23"/>
        <v>1843442.6527499973</v>
      </c>
      <c r="X20" s="335">
        <f>X19-X17</f>
        <v>33403.278999999922</v>
      </c>
      <c r="Y20" s="335">
        <f t="shared" ref="Y20:Z20" si="44">Y19-Y17</f>
        <v>190793.85599999997</v>
      </c>
      <c r="Z20" s="335">
        <f t="shared" si="44"/>
        <v>-522633.68999999994</v>
      </c>
      <c r="AA20" s="335">
        <f t="shared" ref="AA20:AI20" si="45">AA19-AA17</f>
        <v>-1511642.3199999998</v>
      </c>
      <c r="AB20" s="335">
        <f t="shared" si="45"/>
        <v>115446</v>
      </c>
      <c r="AC20" s="335">
        <f t="shared" si="45"/>
        <v>40465.670000000006</v>
      </c>
      <c r="AD20" s="335">
        <f t="shared" si="45"/>
        <v>-224247.67999999993</v>
      </c>
      <c r="AE20" s="335">
        <f t="shared" si="45"/>
        <v>269267.62</v>
      </c>
      <c r="AF20" s="335">
        <f t="shared" si="45"/>
        <v>1974595.9899999998</v>
      </c>
      <c r="AG20" s="335">
        <f t="shared" si="45"/>
        <v>-207875.74999999997</v>
      </c>
      <c r="AH20" s="335">
        <f t="shared" si="45"/>
        <v>-342689.00999999995</v>
      </c>
      <c r="AI20" s="335">
        <f t="shared" si="45"/>
        <v>-539188.82999999996</v>
      </c>
      <c r="AJ20" s="332">
        <f t="shared" ref="AJ20" si="46">SUM(X20:AI20)</f>
        <v>-724304.86500000022</v>
      </c>
      <c r="AK20" s="335">
        <f>AK19-AK17</f>
        <v>-283892.79000000004</v>
      </c>
      <c r="AL20" s="335">
        <f t="shared" ref="AL20:AV20" si="47">AL19-AL17</f>
        <v>47982.719999999987</v>
      </c>
      <c r="AM20" s="335">
        <f t="shared" si="47"/>
        <v>-9852.4500000000007</v>
      </c>
      <c r="AN20" s="335">
        <f t="shared" si="47"/>
        <v>0</v>
      </c>
      <c r="AO20" s="335">
        <f t="shared" si="47"/>
        <v>0</v>
      </c>
      <c r="AP20" s="335">
        <f t="shared" si="47"/>
        <v>0</v>
      </c>
      <c r="AQ20" s="335">
        <f t="shared" si="47"/>
        <v>0</v>
      </c>
      <c r="AR20" s="335">
        <f t="shared" si="47"/>
        <v>0</v>
      </c>
      <c r="AS20" s="335">
        <f t="shared" si="47"/>
        <v>0</v>
      </c>
      <c r="AT20" s="335">
        <f t="shared" si="47"/>
        <v>0</v>
      </c>
      <c r="AU20" s="335">
        <f t="shared" si="47"/>
        <v>0</v>
      </c>
      <c r="AV20" s="335">
        <f t="shared" si="47"/>
        <v>0</v>
      </c>
      <c r="AW20" s="332">
        <f t="shared" ref="AW20" si="48">SUM(AK20:AV20)</f>
        <v>-245762.52000000008</v>
      </c>
      <c r="AX20" s="332">
        <f>AJ20+W20+J20</f>
        <v>-1587615.0122500027</v>
      </c>
      <c r="AY20" s="6"/>
      <c r="AZ20" s="182"/>
    </row>
    <row r="21" spans="1:62" s="87" customFormat="1">
      <c r="B21" s="502" t="s">
        <v>80</v>
      </c>
      <c r="C21" s="503"/>
      <c r="D21" s="330"/>
      <c r="E21" s="368"/>
      <c r="F21" s="368"/>
      <c r="G21" s="368"/>
      <c r="H21" s="368"/>
      <c r="I21" s="368"/>
      <c r="J21" s="369">
        <f>IFERROR(J16/J15,0)</f>
        <v>3.8065878946111055E-2</v>
      </c>
      <c r="K21" s="369">
        <f t="shared" ref="K21:AX21" si="49">IFERROR(K14/K15,0)</f>
        <v>9.3140375199876529E-2</v>
      </c>
      <c r="L21" s="369">
        <f t="shared" si="49"/>
        <v>6.1584232815041717E-2</v>
      </c>
      <c r="M21" s="369">
        <f t="shared" si="49"/>
        <v>0.2403060693600437</v>
      </c>
      <c r="N21" s="369">
        <f t="shared" si="49"/>
        <v>0.11315708852627522</v>
      </c>
      <c r="O21" s="369">
        <f t="shared" si="49"/>
        <v>0.10485102833177613</v>
      </c>
      <c r="P21" s="369">
        <f t="shared" si="49"/>
        <v>0.11441912873768671</v>
      </c>
      <c r="Q21" s="369">
        <f t="shared" si="49"/>
        <v>0.11457489202277844</v>
      </c>
      <c r="R21" s="369">
        <f t="shared" si="49"/>
        <v>0.14539027482677083</v>
      </c>
      <c r="S21" s="369">
        <f t="shared" si="49"/>
        <v>0.13574596482280626</v>
      </c>
      <c r="T21" s="369">
        <f t="shared" si="49"/>
        <v>9.9844287172057275E-2</v>
      </c>
      <c r="U21" s="369">
        <f t="shared" si="49"/>
        <v>0.11623404380618081</v>
      </c>
      <c r="V21" s="369">
        <f t="shared" si="49"/>
        <v>0.13265136611216452</v>
      </c>
      <c r="W21" s="369">
        <f t="shared" si="49"/>
        <v>0.1261355746398099</v>
      </c>
      <c r="X21" s="369">
        <f t="shared" si="49"/>
        <v>0.13593228842104965</v>
      </c>
      <c r="Y21" s="369">
        <f t="shared" si="49"/>
        <v>9.8559603454405523E-2</v>
      </c>
      <c r="Z21" s="369">
        <f t="shared" si="49"/>
        <v>8.4909585180436814E-2</v>
      </c>
      <c r="AA21" s="369">
        <f t="shared" si="49"/>
        <v>0.21481840068970834</v>
      </c>
      <c r="AB21" s="369">
        <f t="shared" si="49"/>
        <v>0.15207011527070793</v>
      </c>
      <c r="AC21" s="369">
        <f t="shared" si="49"/>
        <v>9.4611977217478882E-2</v>
      </c>
      <c r="AD21" s="369">
        <f t="shared" si="49"/>
        <v>7.4962074433936113E-2</v>
      </c>
      <c r="AE21" s="369">
        <f t="shared" si="49"/>
        <v>5.8291845766317407E-2</v>
      </c>
      <c r="AF21" s="369">
        <f t="shared" si="49"/>
        <v>8.5396664303526576E-2</v>
      </c>
      <c r="AG21" s="369">
        <f t="shared" si="49"/>
        <v>0.11416366177299314</v>
      </c>
      <c r="AH21" s="369">
        <f t="shared" si="49"/>
        <v>0.10466824727448724</v>
      </c>
      <c r="AI21" s="369">
        <f t="shared" si="49"/>
        <v>8.0793999502632483E-2</v>
      </c>
      <c r="AJ21" s="369">
        <f t="shared" si="49"/>
        <v>0.10223942135267011</v>
      </c>
      <c r="AK21" s="369">
        <f t="shared" ref="AK21:AW21" si="50">IFERROR(AK14/AK15,0)</f>
        <v>6.3302238775200331E-2</v>
      </c>
      <c r="AL21" s="369">
        <f t="shared" si="50"/>
        <v>6.5272666797087209E-2</v>
      </c>
      <c r="AM21" s="369">
        <f t="shared" si="50"/>
        <v>0.18573624388271945</v>
      </c>
      <c r="AN21" s="369">
        <f t="shared" si="50"/>
        <v>0</v>
      </c>
      <c r="AO21" s="369">
        <f t="shared" si="50"/>
        <v>0</v>
      </c>
      <c r="AP21" s="369">
        <f t="shared" si="50"/>
        <v>0</v>
      </c>
      <c r="AQ21" s="369">
        <f t="shared" si="50"/>
        <v>0</v>
      </c>
      <c r="AR21" s="369">
        <f t="shared" si="50"/>
        <v>0</v>
      </c>
      <c r="AS21" s="369">
        <f t="shared" si="50"/>
        <v>0</v>
      </c>
      <c r="AT21" s="369">
        <f t="shared" si="50"/>
        <v>0</v>
      </c>
      <c r="AU21" s="369">
        <f t="shared" si="50"/>
        <v>0</v>
      </c>
      <c r="AV21" s="369">
        <f t="shared" si="50"/>
        <v>0</v>
      </c>
      <c r="AW21" s="369">
        <f t="shared" si="50"/>
        <v>6.693891060503894E-2</v>
      </c>
      <c r="AX21" s="370">
        <f t="shared" si="49"/>
        <v>0.10300901135280013</v>
      </c>
      <c r="AY21" s="183"/>
      <c r="AZ21" s="184">
        <f>IFERROR(AZ14/AZ15,"")</f>
        <v>9.7389331241949414E-2</v>
      </c>
      <c r="BA21" s="177"/>
      <c r="BB21"/>
      <c r="BC21"/>
      <c r="BD21"/>
      <c r="BE21"/>
      <c r="BF21"/>
      <c r="BG21"/>
      <c r="BH21"/>
      <c r="BI21"/>
      <c r="BJ21"/>
    </row>
    <row r="22" spans="1:62">
      <c r="A22" s="177"/>
      <c r="B22" s="504" t="s">
        <v>81</v>
      </c>
      <c r="C22" s="505"/>
      <c r="D22" s="330"/>
      <c r="E22" s="365">
        <f>E15/E13</f>
        <v>2037285.857142857</v>
      </c>
      <c r="F22" s="365">
        <f t="shared" ref="F22:AI22" si="51">F15/F13</f>
        <v>589035.1333333333</v>
      </c>
      <c r="G22" s="365">
        <f t="shared" si="51"/>
        <v>1463702.3</v>
      </c>
      <c r="H22" s="365">
        <f t="shared" si="51"/>
        <v>999415.09090909094</v>
      </c>
      <c r="I22" s="365">
        <f t="shared" si="51"/>
        <v>841495.5555555555</v>
      </c>
      <c r="J22" s="366">
        <f>J15/J13</f>
        <v>1070809.1655172415</v>
      </c>
      <c r="K22" s="365">
        <f t="shared" si="51"/>
        <v>1035812.474375</v>
      </c>
      <c r="L22" s="365">
        <f t="shared" si="51"/>
        <v>579144.28125</v>
      </c>
      <c r="M22" s="365">
        <f t="shared" si="51"/>
        <v>2055324.4366250001</v>
      </c>
      <c r="N22" s="365">
        <f t="shared" si="51"/>
        <v>2594333.3333333335</v>
      </c>
      <c r="O22" s="365">
        <f t="shared" si="51"/>
        <v>740086.21391666657</v>
      </c>
      <c r="P22" s="365">
        <f t="shared" si="51"/>
        <v>946066.6370000001</v>
      </c>
      <c r="Q22" s="365">
        <f t="shared" si="51"/>
        <v>960185.57268749992</v>
      </c>
      <c r="R22" s="365">
        <f t="shared" si="51"/>
        <v>684290.66949999996</v>
      </c>
      <c r="S22" s="365">
        <f t="shared" si="51"/>
        <v>1260825.8553684212</v>
      </c>
      <c r="T22" s="365">
        <f t="shared" si="51"/>
        <v>1030047.7742962963</v>
      </c>
      <c r="U22" s="365">
        <f t="shared" si="51"/>
        <v>576357.22767857148</v>
      </c>
      <c r="V22" s="365">
        <f t="shared" si="51"/>
        <v>1739326.97425</v>
      </c>
      <c r="W22" s="366">
        <f>W15/W13</f>
        <v>1046336.2420393401</v>
      </c>
      <c r="X22" s="365">
        <f t="shared" si="51"/>
        <v>1919389.1564000002</v>
      </c>
      <c r="Y22" s="365">
        <f t="shared" si="51"/>
        <v>453006.571</v>
      </c>
      <c r="Z22" s="365">
        <f t="shared" si="51"/>
        <v>1776839.8800000001</v>
      </c>
      <c r="AA22" s="365">
        <f t="shared" si="51"/>
        <v>1064184.9761538464</v>
      </c>
      <c r="AB22" s="365">
        <f t="shared" si="51"/>
        <v>552485.25666666671</v>
      </c>
      <c r="AC22" s="365">
        <f t="shared" si="51"/>
        <v>588145.62</v>
      </c>
      <c r="AD22" s="365">
        <f t="shared" si="51"/>
        <v>845873.11400000006</v>
      </c>
      <c r="AE22" s="365">
        <f t="shared" si="51"/>
        <v>1095316.6714285715</v>
      </c>
      <c r="AF22" s="365">
        <f t="shared" si="51"/>
        <v>969877.81285714288</v>
      </c>
      <c r="AG22" s="365">
        <f>IFERROR(AG15/AG13,"")</f>
        <v>1832166.8800000001</v>
      </c>
      <c r="AH22" s="365">
        <f>IFERROR(AH15/AH13,"")</f>
        <v>999840.39999999991</v>
      </c>
      <c r="AI22" s="365">
        <f t="shared" si="51"/>
        <v>1875152.56</v>
      </c>
      <c r="AJ22" s="366">
        <f>AJ15/AJ13</f>
        <v>1131823.0657120002</v>
      </c>
      <c r="AK22" s="365">
        <f t="shared" ref="AK22:AV22" si="52">IFERROR(AK15/AK13,"")</f>
        <v>712873.01571428566</v>
      </c>
      <c r="AL22" s="365">
        <f t="shared" si="52"/>
        <v>533622.93923076929</v>
      </c>
      <c r="AM22" s="365">
        <f t="shared" si="52"/>
        <v>402817.88</v>
      </c>
      <c r="AN22" s="365" t="str">
        <f t="shared" si="52"/>
        <v/>
      </c>
      <c r="AO22" s="365" t="str">
        <f t="shared" si="52"/>
        <v/>
      </c>
      <c r="AP22" s="365" t="str">
        <f t="shared" si="52"/>
        <v/>
      </c>
      <c r="AQ22" s="365" t="str">
        <f t="shared" si="52"/>
        <v/>
      </c>
      <c r="AR22" s="365" t="str">
        <f t="shared" si="52"/>
        <v/>
      </c>
      <c r="AS22" s="365" t="str">
        <f t="shared" si="52"/>
        <v/>
      </c>
      <c r="AT22" s="365" t="str">
        <f>IFERROR(AT15/AT13,"")</f>
        <v/>
      </c>
      <c r="AU22" s="365" t="str">
        <f t="shared" ref="AU22:AV22" si="53">IFERROR(AU15/AU13,"")</f>
        <v/>
      </c>
      <c r="AV22" s="365" t="str">
        <f t="shared" si="53"/>
        <v/>
      </c>
      <c r="AW22" s="366">
        <f>IFERROR(AW15/AW13,0)</f>
        <v>618576.3682142857</v>
      </c>
      <c r="AX22" s="366">
        <f>IFERROR(AX15/AX13,0)</f>
        <v>1046649.9823670345</v>
      </c>
      <c r="AY22" s="367"/>
      <c r="AZ22" s="14"/>
      <c r="BC22" s="299"/>
    </row>
    <row r="23" spans="1:62" ht="15.75">
      <c r="B23" s="217"/>
      <c r="C23" s="217"/>
      <c r="D23" s="330"/>
      <c r="E23" s="222"/>
      <c r="F23" s="223"/>
      <c r="G23" s="223"/>
      <c r="H23" s="223"/>
      <c r="I23" s="223"/>
      <c r="J23" s="224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4"/>
      <c r="X23" s="223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220"/>
      <c r="AK23" s="223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220"/>
      <c r="AX23" s="220"/>
      <c r="AY23" s="81"/>
      <c r="AZ23" s="99"/>
    </row>
    <row r="24" spans="1:62" ht="32.25">
      <c r="B24" s="393" t="s">
        <v>82</v>
      </c>
      <c r="C24" s="219"/>
      <c r="D24" s="330"/>
      <c r="E24" s="223"/>
      <c r="F24" s="223"/>
      <c r="G24" s="223"/>
      <c r="H24" s="223"/>
      <c r="I24" s="225"/>
      <c r="J24" s="224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4"/>
      <c r="X24" s="225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382"/>
      <c r="AK24" s="225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382"/>
      <c r="AX24" s="220"/>
      <c r="AY24" s="81"/>
      <c r="AZ24" s="99"/>
      <c r="BB24" s="247"/>
    </row>
    <row r="25" spans="1:62" s="89" customFormat="1">
      <c r="B25" s="98" t="s">
        <v>61</v>
      </c>
      <c r="C25" s="110"/>
      <c r="D25" s="330"/>
      <c r="E25" s="156">
        <f t="shared" ref="E25:AX25" si="54">E5</f>
        <v>44804</v>
      </c>
      <c r="F25" s="156">
        <f t="shared" si="54"/>
        <v>44834</v>
      </c>
      <c r="G25" s="156">
        <f t="shared" si="54"/>
        <v>44865</v>
      </c>
      <c r="H25" s="156">
        <f t="shared" si="54"/>
        <v>44895</v>
      </c>
      <c r="I25" s="156">
        <f t="shared" si="54"/>
        <v>44926</v>
      </c>
      <c r="J25" s="127" t="str">
        <f t="shared" si="54"/>
        <v>2022</v>
      </c>
      <c r="K25" s="156">
        <f t="shared" si="54"/>
        <v>44957</v>
      </c>
      <c r="L25" s="156">
        <f t="shared" si="54"/>
        <v>44985</v>
      </c>
      <c r="M25" s="156">
        <f t="shared" si="54"/>
        <v>45016</v>
      </c>
      <c r="N25" s="156">
        <f t="shared" si="54"/>
        <v>45046</v>
      </c>
      <c r="O25" s="156">
        <f t="shared" si="54"/>
        <v>45077</v>
      </c>
      <c r="P25" s="156">
        <f t="shared" si="54"/>
        <v>45107</v>
      </c>
      <c r="Q25" s="156">
        <f t="shared" si="54"/>
        <v>45138</v>
      </c>
      <c r="R25" s="156">
        <f t="shared" si="54"/>
        <v>45169</v>
      </c>
      <c r="S25" s="156">
        <f t="shared" si="54"/>
        <v>45199</v>
      </c>
      <c r="T25" s="156">
        <f t="shared" si="54"/>
        <v>45230</v>
      </c>
      <c r="U25" s="156">
        <f t="shared" si="54"/>
        <v>45260</v>
      </c>
      <c r="V25" s="156">
        <f t="shared" si="54"/>
        <v>45291</v>
      </c>
      <c r="W25" s="127" t="str">
        <f t="shared" si="54"/>
        <v>2023</v>
      </c>
      <c r="X25" s="156">
        <f t="shared" si="54"/>
        <v>45322</v>
      </c>
      <c r="Y25" s="156">
        <f t="shared" si="54"/>
        <v>45351</v>
      </c>
      <c r="Z25" s="156">
        <f t="shared" si="54"/>
        <v>45382</v>
      </c>
      <c r="AA25" s="156">
        <f t="shared" si="54"/>
        <v>45412</v>
      </c>
      <c r="AB25" s="156">
        <f t="shared" si="54"/>
        <v>45443</v>
      </c>
      <c r="AC25" s="156">
        <f t="shared" si="54"/>
        <v>45473</v>
      </c>
      <c r="AD25" s="156">
        <f t="shared" si="54"/>
        <v>45504</v>
      </c>
      <c r="AE25" s="156">
        <f t="shared" si="54"/>
        <v>45535</v>
      </c>
      <c r="AF25" s="156">
        <f t="shared" si="54"/>
        <v>45565</v>
      </c>
      <c r="AG25" s="156">
        <f t="shared" si="54"/>
        <v>45596</v>
      </c>
      <c r="AH25" s="156">
        <f t="shared" si="54"/>
        <v>45626</v>
      </c>
      <c r="AI25" s="156">
        <f t="shared" si="54"/>
        <v>45657</v>
      </c>
      <c r="AJ25" s="127" t="str">
        <f t="shared" si="54"/>
        <v>2024</v>
      </c>
      <c r="AK25" s="156">
        <f t="shared" ref="AK25:AW25" si="55">AK5</f>
        <v>45688</v>
      </c>
      <c r="AL25" s="156">
        <f t="shared" si="55"/>
        <v>45716</v>
      </c>
      <c r="AM25" s="156">
        <f t="shared" si="55"/>
        <v>45747</v>
      </c>
      <c r="AN25" s="156">
        <f t="shared" si="55"/>
        <v>45777</v>
      </c>
      <c r="AO25" s="156">
        <f t="shared" si="55"/>
        <v>45808</v>
      </c>
      <c r="AP25" s="156">
        <f t="shared" si="55"/>
        <v>45838</v>
      </c>
      <c r="AQ25" s="156">
        <f t="shared" si="55"/>
        <v>45869</v>
      </c>
      <c r="AR25" s="156">
        <f t="shared" si="55"/>
        <v>45900</v>
      </c>
      <c r="AS25" s="156">
        <f t="shared" si="55"/>
        <v>45930</v>
      </c>
      <c r="AT25" s="156">
        <f t="shared" si="55"/>
        <v>45961</v>
      </c>
      <c r="AU25" s="156">
        <f t="shared" si="55"/>
        <v>45991</v>
      </c>
      <c r="AV25" s="156">
        <f t="shared" si="55"/>
        <v>46022</v>
      </c>
      <c r="AW25" s="127" t="str">
        <f t="shared" si="55"/>
        <v>2025</v>
      </c>
      <c r="AX25" s="127" t="str">
        <f t="shared" si="54"/>
        <v>Total</v>
      </c>
      <c r="AY25" s="91" t="s">
        <v>15</v>
      </c>
      <c r="AZ25" s="227" t="s">
        <v>67</v>
      </c>
      <c r="BA25" s="186"/>
      <c r="BB25" s="248"/>
    </row>
    <row r="26" spans="1:62" s="87" customFormat="1">
      <c r="B26" s="499" t="s">
        <v>1</v>
      </c>
      <c r="C26" s="117" t="s">
        <v>70</v>
      </c>
      <c r="D26" s="330"/>
      <c r="E26" s="82">
        <f>SUMIFS('Consulta Contratos'!$Z:$Z,'Consulta Contratos'!$AM:$AM,'Performance Vendas'!E$25,'Consulta Contratos'!$P:$P,'Performance Vendas'!$B26,'Consulta Contratos'!$H:$H,"Ativo")</f>
        <v>9332001</v>
      </c>
      <c r="F26" s="82">
        <f>SUMIFS('Consulta Contratos'!$Z:$Z,'Consulta Contratos'!$AM:$AM,'Performance Vendas'!F$25,'Consulta Contratos'!$P:$P,'Performance Vendas'!$B26,'Consulta Contratos'!$H:$H,"Ativo")</f>
        <v>6029248.2999999998</v>
      </c>
      <c r="G26" s="82">
        <f>SUMIFS('Consulta Contratos'!$Z:$Z,'Consulta Contratos'!$AM:$AM,'Performance Vendas'!G$25,'Consulta Contratos'!$P:$P,'Performance Vendas'!$B26,'Consulta Contratos'!$H:$H,"Ativo")</f>
        <v>10266880.18</v>
      </c>
      <c r="H26" s="82">
        <f>SUMIFS('Consulta Contratos'!$Z:$Z,'Consulta Contratos'!$AM:$AM,'Performance Vendas'!H$25,'Consulta Contratos'!$P:$P,'Performance Vendas'!$B26,'Consulta Contratos'!$H:$H,"Ativo")</f>
        <v>10541566</v>
      </c>
      <c r="I26" s="82">
        <f>SUMIFS('Consulta Contratos'!$Z:$Z,'Consulta Contratos'!$AM:$AM,'Performance Vendas'!I$25,'Consulta Contratos'!$P:$P,'Performance Vendas'!$B26,'Consulta Contratos'!$H:$H,"Ativo")</f>
        <v>6282740</v>
      </c>
      <c r="J26" s="86">
        <f t="shared" ref="J26:J45" si="56">SUM(E26:I26)</f>
        <v>42452435.480000004</v>
      </c>
      <c r="K26" s="82">
        <f>SUMIFS('Consulta Contratos'!$Z:$Z,'Consulta Contratos'!$AM:$AM,'Performance Vendas'!K$25,'Consulta Contratos'!$P:$P,'Performance Vendas'!$B26,'Consulta Contratos'!$H:$H,"Ativo")</f>
        <v>6317835</v>
      </c>
      <c r="L26" s="82">
        <f>SUMIFS('Consulta Contratos'!$Z:$Z,'Consulta Contratos'!$AM:$AM,'Performance Vendas'!L$25,'Consulta Contratos'!$P:$P,'Performance Vendas'!$B26,'Consulta Contratos'!$H:$H,"Ativo")</f>
        <v>4347825</v>
      </c>
      <c r="M26" s="82">
        <f>SUMIFS('Consulta Contratos'!$Z:$Z,'Consulta Contratos'!$AM:$AM,'Performance Vendas'!M$25,'Consulta Contratos'!$P:$P,'Performance Vendas'!$B26,'Consulta Contratos'!$H:$H,"Ativo")</f>
        <v>4491340</v>
      </c>
      <c r="N26" s="82">
        <f>SUMIFS('Consulta Contratos'!$Z:$Z,'Consulta Contratos'!$AM:$AM,'Performance Vendas'!N$25,'Consulta Contratos'!$P:$P,'Performance Vendas'!$B26,'Consulta Contratos'!$H:$H,"Ativo")</f>
        <v>13804596.76</v>
      </c>
      <c r="O26" s="82">
        <f>SUMIFS('Consulta Contratos'!$Z:$Z,'Consulta Contratos'!$AM:$AM,'Performance Vendas'!O$25,'Consulta Contratos'!$P:$P,'Performance Vendas'!$B26,'Consulta Contratos'!$H:$H,"Ativo")</f>
        <v>4016511.2</v>
      </c>
      <c r="P26" s="82">
        <f>SUMIFS('Consulta Contratos'!$Z:$Z,'Consulta Contratos'!$AM:$AM,'Performance Vendas'!P$25,'Consulta Contratos'!$P:$P,'Performance Vendas'!$B26,'Consulta Contratos'!$H:$H,"Ativo")</f>
        <v>9430833</v>
      </c>
      <c r="Q26" s="82">
        <f>SUMIFS('Consulta Contratos'!$Z:$Z,'Consulta Contratos'!$AM:$AM,'Performance Vendas'!Q$25,'Consulta Contratos'!$P:$P,'Performance Vendas'!$B26,'Consulta Contratos'!$H:$H,"Ativo")</f>
        <v>11856492</v>
      </c>
      <c r="R26" s="82">
        <f>SUMIFS('Consulta Contratos'!$Z:$Z,'Consulta Contratos'!$AM:$AM,'Performance Vendas'!R$25,'Consulta Contratos'!$P:$P,'Performance Vendas'!$B26,'Consulta Contratos'!$H:$H,"Ativo")</f>
        <v>6666175.0999999996</v>
      </c>
      <c r="S26" s="82">
        <f>SUMIFS('Consulta Contratos'!$Z:$Z,'Consulta Contratos'!$AM:$AM,'Performance Vendas'!S$25,'Consulta Contratos'!$P:$P,'Performance Vendas'!$B26,'Consulta Contratos'!$H:$H,"Ativo")</f>
        <v>2916300.02</v>
      </c>
      <c r="T26" s="82">
        <f>SUMIFS('Consulta Contratos'!$Z:$Z,'Consulta Contratos'!$AM:$AM,'Performance Vendas'!T$25,'Consulta Contratos'!$P:$P,'Performance Vendas'!$B26,'Consulta Contratos'!$H:$H,"Ativo")</f>
        <v>6163581.4900000002</v>
      </c>
      <c r="U26" s="82">
        <f>SUMIFS('Consulta Contratos'!$Z:$Z,'Consulta Contratos'!$AM:$AM,'Performance Vendas'!U$25,'Consulta Contratos'!$P:$P,'Performance Vendas'!$B26,'Consulta Contratos'!$H:$H,"Ativo")</f>
        <v>3303760.02</v>
      </c>
      <c r="V26" s="82">
        <f>SUMIFS('Consulta Contratos'!$Z:$Z,'Consulta Contratos'!$AM:$AM,'Performance Vendas'!V$25,'Consulta Contratos'!$P:$P,'Performance Vendas'!$B26,'Consulta Contratos'!$H:$H,"Ativo")</f>
        <v>4000420</v>
      </c>
      <c r="W26" s="86">
        <f t="shared" ref="W26" si="57">SUM(K26:V26)</f>
        <v>77315669.589999989</v>
      </c>
      <c r="X26" s="82">
        <f>SUMIFS('Consulta Contratos'!$Z:$Z,'Consulta Contratos'!$AM:$AM,'Performance Vendas'!X$25,'Consulta Contratos'!$P:$P,'Performance Vendas'!$B26,'Consulta Contratos'!$H:$H,"Ativo")</f>
        <v>5031500</v>
      </c>
      <c r="Y26" s="82">
        <f>SUMIFS('Consulta Contratos'!$Z:$Z,'Consulta Contratos'!$AM:$AM,'Performance Vendas'!Y$25,'Consulta Contratos'!$P:$P,'Performance Vendas'!$B26,'Consulta Contratos'!$H:$H,"Ativo")</f>
        <v>1313200</v>
      </c>
      <c r="Z26" s="82">
        <f>SUMIFS('Consulta Contratos'!$Z:$Z,'Consulta Contratos'!$AM:$AM,'Performance Vendas'!Z$25,'Consulta Contratos'!$P:$P,'Performance Vendas'!$B26,'Consulta Contratos'!$H:$H,"Ativo")</f>
        <v>2626840</v>
      </c>
      <c r="AA26" s="82">
        <f>SUMIFS('Consulta Contratos'!$Z:$Z,'Consulta Contratos'!$AM:$AM,'Performance Vendas'!AA$25,'Consulta Contratos'!$P:$P,'Performance Vendas'!$B26,'Consulta Contratos'!$H:$H,"Ativo")</f>
        <v>4429850</v>
      </c>
      <c r="AB26" s="82">
        <f>SUMIFS('Consulta Contratos'!$Z:$Z,'Consulta Contratos'!$AM:$AM,'Performance Vendas'!AB$25,'Consulta Contratos'!$P:$P,'Performance Vendas'!$B26,'Consulta Contratos'!$H:$H,"Ativo")</f>
        <v>0</v>
      </c>
      <c r="AC26" s="82">
        <f>SUMIFS('Consulta Contratos'!$Z:$Z,'Consulta Contratos'!$AM:$AM,'Performance Vendas'!AC$25,'Consulta Contratos'!$P:$P,'Performance Vendas'!$B26,'Consulta Contratos'!$H:$H,"Ativo")</f>
        <v>0</v>
      </c>
      <c r="AD26" s="82">
        <f>SUMIFS('Consulta Contratos'!$Z:$Z,'Consulta Contratos'!$AM:$AM,'Performance Vendas'!AD$25,'Consulta Contratos'!$P:$P,'Performance Vendas'!$B26,'Consulta Contratos'!$H:$H,"Ativo")</f>
        <v>3927122.4000000004</v>
      </c>
      <c r="AE26" s="82">
        <f>SUMIFS('Consulta Contratos'!$Z:$Z,'Consulta Contratos'!$AM:$AM,'Performance Vendas'!AE$25,'Consulta Contratos'!$P:$P,'Performance Vendas'!$B26,'Consulta Contratos'!$H:$H,"Ativo")</f>
        <v>8919385.5899999999</v>
      </c>
      <c r="AF26" s="82">
        <f>SUMIFS('Consulta Contratos'!$Z:$Z,'Consulta Contratos'!$AM:$AM,'Performance Vendas'!AF$25,'Consulta Contratos'!$P:$P,'Performance Vendas'!$B26,'Consulta Contratos'!$H:$H,"Ativo")</f>
        <v>5425889.8299999991</v>
      </c>
      <c r="AG26" s="82">
        <f>SUMIFS('Consulta Contratos'!$Z:$Z,'Consulta Contratos'!$AM:$AM,'Performance Vendas'!AG$25,'Consulta Contratos'!$P:$P,'Performance Vendas'!$B26,'Consulta Contratos'!$H:$H,"Ativo")</f>
        <v>606000</v>
      </c>
      <c r="AH26" s="82">
        <f>SUMIFS('Consulta Contratos'!$Z:$Z,'Consulta Contratos'!$AM:$AM,'Performance Vendas'!AH$25,'Consulta Contratos'!$P:$P,'Performance Vendas'!$B26,'Consulta Contratos'!$H:$H,"Ativo")</f>
        <v>3348399.68</v>
      </c>
      <c r="AI26" s="82">
        <f>SUMIFS('Consulta Contratos'!$Z:$Z,'Consulta Contratos'!$AM:$AM,'Performance Vendas'!AI$25,'Consulta Contratos'!$P:$P,'Performance Vendas'!$B26,'Consulta Contratos'!$H:$H,"Ativo")</f>
        <v>1671644.85</v>
      </c>
      <c r="AJ26" s="86">
        <f t="shared" ref="AJ26:AJ45" si="58">SUM(X26:AI26)</f>
        <v>37299832.350000001</v>
      </c>
      <c r="AK26" s="82">
        <f>SUMIFS('Consulta Contratos'!$Z:$Z,'Consulta Contratos'!$AM:$AM,'Performance Vendas'!AK$25,'Consulta Contratos'!$P:$P,'Performance Vendas'!$B26,'Consulta Contratos'!$H:$H,"Ativo")</f>
        <v>1996000.4</v>
      </c>
      <c r="AL26" s="82">
        <f>SUMIFS('Consulta Contratos'!$Z:$Z,'Consulta Contratos'!$AM:$AM,'Performance Vendas'!AL$25,'Consulta Contratos'!$P:$P,'Performance Vendas'!$B26,'Consulta Contratos'!$H:$H,"Ativo")</f>
        <v>742142.29</v>
      </c>
      <c r="AM26" s="82">
        <f>SUMIFS('Consulta Contratos'!$Z:$Z,'Consulta Contratos'!$AM:$AM,'Performance Vendas'!AM$25,'Consulta Contratos'!$P:$P,'Performance Vendas'!$B26,'Consulta Contratos'!$H:$H,"Ativo")</f>
        <v>328000</v>
      </c>
      <c r="AN26" s="82">
        <f>SUMIFS('Consulta Contratos'!$Z:$Z,'Consulta Contratos'!$AM:$AM,'Performance Vendas'!AN$25,'Consulta Contratos'!$P:$P,'Performance Vendas'!$B26,'Consulta Contratos'!$H:$H,"Ativo")</f>
        <v>0</v>
      </c>
      <c r="AO26" s="82">
        <f>SUMIFS('Consulta Contratos'!$Z:$Z,'Consulta Contratos'!$AM:$AM,'Performance Vendas'!AO$25,'Consulta Contratos'!$P:$P,'Performance Vendas'!$B26,'Consulta Contratos'!$H:$H,"Ativo")</f>
        <v>0</v>
      </c>
      <c r="AP26" s="82">
        <f>SUMIFS('Consulta Contratos'!$Z:$Z,'Consulta Contratos'!$AM:$AM,'Performance Vendas'!AP$25,'Consulta Contratos'!$P:$P,'Performance Vendas'!$B26,'Consulta Contratos'!$H:$H,"Ativo")</f>
        <v>0</v>
      </c>
      <c r="AQ26" s="82">
        <f>SUMIFS('Consulta Contratos'!$Z:$Z,'Consulta Contratos'!$AM:$AM,'Performance Vendas'!AQ$25,'Consulta Contratos'!$P:$P,'Performance Vendas'!$B26,'Consulta Contratos'!$H:$H,"Ativo")</f>
        <v>0</v>
      </c>
      <c r="AR26" s="82">
        <f>SUMIFS('Consulta Contratos'!$Z:$Z,'Consulta Contratos'!$AM:$AM,'Performance Vendas'!AR$25,'Consulta Contratos'!$P:$P,'Performance Vendas'!$B26,'Consulta Contratos'!$H:$H,"Ativo")</f>
        <v>0</v>
      </c>
      <c r="AS26" s="82">
        <f>SUMIFS('Consulta Contratos'!$Z:$Z,'Consulta Contratos'!$AM:$AM,'Performance Vendas'!AS$25,'Consulta Contratos'!$P:$P,'Performance Vendas'!$B26,'Consulta Contratos'!$H:$H,"Ativo")</f>
        <v>0</v>
      </c>
      <c r="AT26" s="82">
        <f>SUMIFS('Consulta Contratos'!$Z:$Z,'Consulta Contratos'!$AM:$AM,'Performance Vendas'!AT$25,'Consulta Contratos'!$P:$P,'Performance Vendas'!$B26,'Consulta Contratos'!$H:$H,"Ativo")</f>
        <v>0</v>
      </c>
      <c r="AU26" s="82">
        <f>SUMIFS('Consulta Contratos'!$Z:$Z,'Consulta Contratos'!$AM:$AM,'Performance Vendas'!AU$25,'Consulta Contratos'!$P:$P,'Performance Vendas'!$B26,'Consulta Contratos'!$H:$H,"Ativo")</f>
        <v>0</v>
      </c>
      <c r="AV26" s="82">
        <f>SUMIFS('Consulta Contratos'!$Z:$Z,'Consulta Contratos'!$AM:$AM,'Performance Vendas'!AV$25,'Consulta Contratos'!$P:$P,'Performance Vendas'!$B26,'Consulta Contratos'!$H:$H,"Ativo")</f>
        <v>0</v>
      </c>
      <c r="AW26" s="86">
        <f t="shared" ref="AW26:AW45" si="59">SUM(AK26:AV26)</f>
        <v>3066142.69</v>
      </c>
      <c r="AX26" s="86">
        <f>AJ26+W26+J26+AW26</f>
        <v>160134080.11000001</v>
      </c>
      <c r="AY26" s="81">
        <f>AX26/AX42</f>
        <v>0.41805560999288927</v>
      </c>
      <c r="AZ26" s="82">
        <f>SUMIFS('Consulta Contratos'!$Z:$Z,'Consulta Contratos'!$AM:$AM,'Performance Vendas'!AZ$25,'Consulta Contratos'!$P:$P,'Performance Vendas'!$B26,'Consulta Contratos'!$H:$H,"Ativo")</f>
        <v>676219.68</v>
      </c>
      <c r="BA26" s="177"/>
      <c r="BB26" s="247"/>
    </row>
    <row r="27" spans="1:62" s="88" customFormat="1" ht="12.75">
      <c r="B27" s="500"/>
      <c r="C27" s="256" t="s">
        <v>71</v>
      </c>
      <c r="D27" s="330"/>
      <c r="E27" s="251">
        <f>SUMIFS('Consulta Contratos'!$AO:$AO,'Consulta Contratos'!$AM:$AM,'Performance Vendas'!E$25,'Consulta Contratos'!$P:$P,'Performance Vendas'!$B26,'Consulta Contratos'!$H:$H,"Ativo")</f>
        <v>3</v>
      </c>
      <c r="F27" s="251">
        <f>SUMIFS('Consulta Contratos'!$AO:$AO,'Consulta Contratos'!$AM:$AM,'Performance Vendas'!F$25,'Consulta Contratos'!$P:$P,'Performance Vendas'!$B26,'Consulta Contratos'!$H:$H,"Ativo")</f>
        <v>11</v>
      </c>
      <c r="G27" s="251">
        <f>SUMIFS('Consulta Contratos'!$AO:$AO,'Consulta Contratos'!$AM:$AM,'Performance Vendas'!G$25,'Consulta Contratos'!$P:$P,'Performance Vendas'!$B26,'Consulta Contratos'!$H:$H,"Ativo")</f>
        <v>8</v>
      </c>
      <c r="H27" s="251">
        <f>SUMIFS('Consulta Contratos'!$AO:$AO,'Consulta Contratos'!$AM:$AM,'Performance Vendas'!H$25,'Consulta Contratos'!$P:$P,'Performance Vendas'!$B26,'Consulta Contratos'!$H:$H,"Ativo")</f>
        <v>10</v>
      </c>
      <c r="I27" s="251">
        <f>SUMIFS('Consulta Contratos'!$AO:$AO,'Consulta Contratos'!$AM:$AM,'Performance Vendas'!I$25,'Consulta Contratos'!$P:$P,'Performance Vendas'!$B26,'Consulta Contratos'!$H:$H,"Ativo")</f>
        <v>12</v>
      </c>
      <c r="J27" s="252">
        <f>SUM(E27:I27)</f>
        <v>44</v>
      </c>
      <c r="K27" s="251">
        <f>SUMIFS('Consulta Contratos'!$AO:$AO,'Consulta Contratos'!$AM:$AM,'Performance Vendas'!K$25,'Consulta Contratos'!$P:$P,'Performance Vendas'!$B26,'Consulta Contratos'!$H:$H,"Ativo")</f>
        <v>10</v>
      </c>
      <c r="L27" s="251">
        <f>SUMIFS('Consulta Contratos'!$AO:$AO,'Consulta Contratos'!$AM:$AM,'Performance Vendas'!L$25,'Consulta Contratos'!$P:$P,'Performance Vendas'!$B26,'Consulta Contratos'!$H:$H,"Ativo")</f>
        <v>8</v>
      </c>
      <c r="M27" s="251">
        <f>SUMIFS('Consulta Contratos'!$AO:$AO,'Consulta Contratos'!$AM:$AM,'Performance Vendas'!M$25,'Consulta Contratos'!$P:$P,'Performance Vendas'!$B26,'Consulta Contratos'!$H:$H,"Ativo")</f>
        <v>7</v>
      </c>
      <c r="N27" s="251">
        <f>SUMIFS('Consulta Contratos'!$AO:$AO,'Consulta Contratos'!$AM:$AM,'Performance Vendas'!N$25,'Consulta Contratos'!$P:$P,'Performance Vendas'!$B26,'Consulta Contratos'!$H:$H,"Ativo")</f>
        <v>6</v>
      </c>
      <c r="O27" s="251">
        <f>SUMIFS('Consulta Contratos'!$AO:$AO,'Consulta Contratos'!$AM:$AM,'Performance Vendas'!O$25,'Consulta Contratos'!$P:$P,'Performance Vendas'!$B26,'Consulta Contratos'!$H:$H,"Ativo")</f>
        <v>6</v>
      </c>
      <c r="P27" s="251">
        <f>SUMIFS('Consulta Contratos'!$AO:$AO,'Consulta Contratos'!$AM:$AM,'Performance Vendas'!P$25,'Consulta Contratos'!$P:$P,'Performance Vendas'!$B26,'Consulta Contratos'!$H:$H,"Ativo")</f>
        <v>9</v>
      </c>
      <c r="Q27" s="251">
        <f>SUMIFS('Consulta Contratos'!$AO:$AO,'Consulta Contratos'!$AM:$AM,'Performance Vendas'!Q$25,'Consulta Contratos'!$P:$P,'Performance Vendas'!$B26,'Consulta Contratos'!$H:$H,"Ativo")</f>
        <v>11</v>
      </c>
      <c r="R27" s="251">
        <f>SUMIFS('Consulta Contratos'!$AO:$AO,'Consulta Contratos'!$AM:$AM,'Performance Vendas'!R$25,'Consulta Contratos'!$P:$P,'Performance Vendas'!$B26,'Consulta Contratos'!$H:$H,"Ativo")</f>
        <v>7</v>
      </c>
      <c r="S27" s="251">
        <f>SUMIFS('Consulta Contratos'!$AO:$AO,'Consulta Contratos'!$AM:$AM,'Performance Vendas'!S$25,'Consulta Contratos'!$P:$P,'Performance Vendas'!$B26,'Consulta Contratos'!$H:$H,"Ativo")</f>
        <v>6</v>
      </c>
      <c r="T27" s="251">
        <f>SUMIFS('Consulta Contratos'!$AO:$AO,'Consulta Contratos'!$AM:$AM,'Performance Vendas'!T$25,'Consulta Contratos'!$P:$P,'Performance Vendas'!$B26,'Consulta Contratos'!$H:$H,"Ativo")</f>
        <v>10</v>
      </c>
      <c r="U27" s="251">
        <f>SUMIFS('Consulta Contratos'!$AO:$AO,'Consulta Contratos'!$AM:$AM,'Performance Vendas'!U$25,'Consulta Contratos'!$P:$P,'Performance Vendas'!$B26,'Consulta Contratos'!$H:$H,"Ativo")</f>
        <v>7</v>
      </c>
      <c r="V27" s="251">
        <f>SUMIFS('Consulta Contratos'!$AO:$AO,'Consulta Contratos'!$AM:$AM,'Performance Vendas'!V$25,'Consulta Contratos'!$P:$P,'Performance Vendas'!$B26,'Consulta Contratos'!$H:$H,"Ativo")</f>
        <v>4</v>
      </c>
      <c r="W27" s="252">
        <f>SUM(K27:V27)</f>
        <v>91</v>
      </c>
      <c r="X27" s="251">
        <f>SUMIFS('Consulta Contratos'!$AO:$AO,'Consulta Contratos'!$AM:$AM,'Performance Vendas'!X$25,'Consulta Contratos'!$P:$P,'Performance Vendas'!$B26,'Consulta Contratos'!$H:$H,"Ativo")</f>
        <v>7</v>
      </c>
      <c r="Y27" s="251">
        <f>SUMIFS('Consulta Contratos'!$AO:$AO,'Consulta Contratos'!$AM:$AM,'Performance Vendas'!Y$25,'Consulta Contratos'!$P:$P,'Performance Vendas'!$B26,'Consulta Contratos'!$H:$H,"Ativo")</f>
        <v>3</v>
      </c>
      <c r="Z27" s="251">
        <f>SUMIFS('Consulta Contratos'!$AO:$AO,'Consulta Contratos'!$AM:$AM,'Performance Vendas'!Z$25,'Consulta Contratos'!$P:$P,'Performance Vendas'!$B26,'Consulta Contratos'!$H:$H,"Ativo")</f>
        <v>3</v>
      </c>
      <c r="AA27" s="251">
        <f>SUMIFS('Consulta Contratos'!$AO:$AO,'Consulta Contratos'!$AM:$AM,'Performance Vendas'!AA$25,'Consulta Contratos'!$P:$P,'Performance Vendas'!$B26,'Consulta Contratos'!$H:$H,"Ativo")</f>
        <v>5</v>
      </c>
      <c r="AB27" s="251">
        <f>SUMIFS('Consulta Contratos'!$AO:$AO,'Consulta Contratos'!$AM:$AM,'Performance Vendas'!AB$25,'Consulta Contratos'!$P:$P,'Performance Vendas'!$B26,'Consulta Contratos'!$H:$H,"Ativo")</f>
        <v>0</v>
      </c>
      <c r="AC27" s="251">
        <f>SUMIFS('Consulta Contratos'!$AO:$AO,'Consulta Contratos'!$AM:$AM,'Performance Vendas'!AC$25,'Consulta Contratos'!$P:$P,'Performance Vendas'!$B26,'Consulta Contratos'!$H:$H,"Ativo")</f>
        <v>0</v>
      </c>
      <c r="AD27" s="251">
        <f>SUMIFS('Consulta Contratos'!$AO:$AO,'Consulta Contratos'!$AM:$AM,'Performance Vendas'!AD$25,'Consulta Contratos'!$P:$P,'Performance Vendas'!$B26,'Consulta Contratos'!$H:$H,"Ativo")</f>
        <v>6</v>
      </c>
      <c r="AE27" s="251">
        <f>SUMIFS('Consulta Contratos'!$AO:$AO,'Consulta Contratos'!$AM:$AM,'Performance Vendas'!AE$25,'Consulta Contratos'!$P:$P,'Performance Vendas'!$B26,'Consulta Contratos'!$H:$H,"Ativo")</f>
        <v>5</v>
      </c>
      <c r="AF27" s="251">
        <f>SUMIFS('Consulta Contratos'!$AO:$AO,'Consulta Contratos'!$AM:$AM,'Performance Vendas'!AF$25,'Consulta Contratos'!$P:$P,'Performance Vendas'!$B26,'Consulta Contratos'!$H:$H,"Ativo")</f>
        <v>7</v>
      </c>
      <c r="AG27" s="251">
        <f>SUMIFS('Consulta Contratos'!$AO:$AO,'Consulta Contratos'!$AM:$AM,'Performance Vendas'!AG$25,'Consulta Contratos'!$P:$P,'Performance Vendas'!$B26,'Consulta Contratos'!$H:$H,"Ativo")</f>
        <v>1</v>
      </c>
      <c r="AH27" s="251">
        <f>SUMIFS('Consulta Contratos'!$AO:$AO,'Consulta Contratos'!$AM:$AM,'Performance Vendas'!AH$25,'Consulta Contratos'!$P:$P,'Performance Vendas'!$B26,'Consulta Contratos'!$H:$H,"Ativo")</f>
        <v>4</v>
      </c>
      <c r="AI27" s="251">
        <f>SUMIFS('Consulta Contratos'!$AO:$AO,'Consulta Contratos'!$AM:$AM,'Performance Vendas'!AI$25,'Consulta Contratos'!$P:$P,'Performance Vendas'!$B26,'Consulta Contratos'!$H:$H,"Ativo")</f>
        <v>3</v>
      </c>
      <c r="AJ27" s="252">
        <f>SUM(X27:AI27)</f>
        <v>44</v>
      </c>
      <c r="AK27" s="251">
        <f>SUMIFS('Consulta Contratos'!$AO:$AO,'Consulta Contratos'!$AM:$AM,'Performance Vendas'!AK$25,'Consulta Contratos'!$P:$P,'Performance Vendas'!$B26,'Consulta Contratos'!$H:$H,"Ativo")</f>
        <v>2</v>
      </c>
      <c r="AL27" s="251">
        <f>SUMIFS('Consulta Contratos'!$AO:$AO,'Consulta Contratos'!$AM:$AM,'Performance Vendas'!AL$25,'Consulta Contratos'!$P:$P,'Performance Vendas'!$B26,'Consulta Contratos'!$H:$H,"Ativo")</f>
        <v>2</v>
      </c>
      <c r="AM27" s="251">
        <f>SUMIFS('Consulta Contratos'!$AO:$AO,'Consulta Contratos'!$AM:$AM,'Performance Vendas'!AM$25,'Consulta Contratos'!$P:$P,'Performance Vendas'!$B26,'Consulta Contratos'!$H:$H,"Ativo")</f>
        <v>1</v>
      </c>
      <c r="AN27" s="251">
        <f>SUMIFS('Consulta Contratos'!$AO:$AO,'Consulta Contratos'!$AM:$AM,'Performance Vendas'!AN$25,'Consulta Contratos'!$P:$P,'Performance Vendas'!$B26,'Consulta Contratos'!$H:$H,"Ativo")</f>
        <v>0</v>
      </c>
      <c r="AO27" s="251">
        <f>SUMIFS('Consulta Contratos'!$AO:$AO,'Consulta Contratos'!$AM:$AM,'Performance Vendas'!AO$25,'Consulta Contratos'!$P:$P,'Performance Vendas'!$B26,'Consulta Contratos'!$H:$H,"Ativo")</f>
        <v>0</v>
      </c>
      <c r="AP27" s="251">
        <f>SUMIFS('Consulta Contratos'!$AO:$AO,'Consulta Contratos'!$AM:$AM,'Performance Vendas'!AP$25,'Consulta Contratos'!$P:$P,'Performance Vendas'!$B26,'Consulta Contratos'!$H:$H,"Ativo")</f>
        <v>0</v>
      </c>
      <c r="AQ27" s="251">
        <f>SUMIFS('Consulta Contratos'!$AO:$AO,'Consulta Contratos'!$AM:$AM,'Performance Vendas'!AQ$25,'Consulta Contratos'!$P:$P,'Performance Vendas'!$B26,'Consulta Contratos'!$H:$H,"Ativo")</f>
        <v>0</v>
      </c>
      <c r="AR27" s="251">
        <f>SUMIFS('Consulta Contratos'!$AO:$AO,'Consulta Contratos'!$AM:$AM,'Performance Vendas'!AR$25,'Consulta Contratos'!$P:$P,'Performance Vendas'!$B26,'Consulta Contratos'!$H:$H,"Ativo")</f>
        <v>0</v>
      </c>
      <c r="AS27" s="251">
        <f>SUMIFS('Consulta Contratos'!$AO:$AO,'Consulta Contratos'!$AM:$AM,'Performance Vendas'!AS$25,'Consulta Contratos'!$P:$P,'Performance Vendas'!$B26,'Consulta Contratos'!$H:$H,"Ativo")</f>
        <v>0</v>
      </c>
      <c r="AT27" s="251">
        <f>SUMIFS('Consulta Contratos'!$AO:$AO,'Consulta Contratos'!$AM:$AM,'Performance Vendas'!AT$25,'Consulta Contratos'!$P:$P,'Performance Vendas'!$B26,'Consulta Contratos'!$H:$H,"Ativo")</f>
        <v>0</v>
      </c>
      <c r="AU27" s="251">
        <f>SUMIFS('Consulta Contratos'!$AO:$AO,'Consulta Contratos'!$AM:$AM,'Performance Vendas'!AU$25,'Consulta Contratos'!$P:$P,'Performance Vendas'!$B26,'Consulta Contratos'!$H:$H,"Ativo")</f>
        <v>0</v>
      </c>
      <c r="AV27" s="251">
        <f>SUMIFS('Consulta Contratos'!$AO:$AO,'Consulta Contratos'!$AM:$AM,'Performance Vendas'!AV$25,'Consulta Contratos'!$P:$P,'Performance Vendas'!$B26,'Consulta Contratos'!$H:$H,"Ativo")</f>
        <v>0</v>
      </c>
      <c r="AW27" s="252">
        <f>SUM(AK27:AV27)</f>
        <v>5</v>
      </c>
      <c r="AX27" s="252">
        <f>AJ27+W27+J27+AW27</f>
        <v>184</v>
      </c>
      <c r="AY27" s="81"/>
      <c r="AZ27" s="83">
        <f>COUNTIFS('Consulta Contratos'!$AM:$AM,'Performance Vendas'!AZ$25,'Consulta Contratos'!$G:$G,"Assinado",'Consulta Contratos'!$P:$P,'Performance Vendas'!$B26)-COUNTIFS('Consulta Contratos'!$AM:$AM,'Performance Vendas'!AZ$25,'Consulta Contratos'!$H:$H,"Cancelado",'Consulta Contratos'!$G:$G,"Assinado",'Consulta Contratos'!$P:$P,'Performance Vendas'!$B26)-COUNTIFS('Consulta Contratos'!$AM:$AM,'Performance Vendas'!AZ$25,'Consulta Contratos'!$H:$H,"Cancelado Upgrade",'Consulta Contratos'!$G:$G,"Assinado",'Consulta Contratos'!$P:$P,'Performance Vendas'!$B26)</f>
        <v>0</v>
      </c>
      <c r="BA27" s="177"/>
      <c r="BB27" s="249"/>
    </row>
    <row r="28" spans="1:62" s="87" customFormat="1">
      <c r="B28" s="499" t="s">
        <v>2</v>
      </c>
      <c r="C28" s="117" t="s">
        <v>70</v>
      </c>
      <c r="D28" s="330"/>
      <c r="E28" s="82">
        <f>SUMIFS('Consulta Contratos'!$Z:$Z,'Consulta Contratos'!$AM:$AM,'Performance Vendas'!E$25,'Consulta Contratos'!$P:$P,'Performance Vendas'!$B28,'Consulta Contratos'!$H:$H,"Ativo")</f>
        <v>0</v>
      </c>
      <c r="F28" s="82">
        <f>SUMIFS('Consulta Contratos'!$Z:$Z,'Consulta Contratos'!$AM:$AM,'Performance Vendas'!F$25,'Consulta Contratos'!$P:$P,'Performance Vendas'!$B28,'Consulta Contratos'!$H:$H,"Ativo")</f>
        <v>0</v>
      </c>
      <c r="G28" s="82">
        <f>SUMIFS('Consulta Contratos'!$Z:$Z,'Consulta Contratos'!$AM:$AM,'Performance Vendas'!G$25,'Consulta Contratos'!$P:$P,'Performance Vendas'!$B28,'Consulta Contratos'!$H:$H,"Ativo")</f>
        <v>495000</v>
      </c>
      <c r="H28" s="82">
        <f>SUMIFS('Consulta Contratos'!$Z:$Z,'Consulta Contratos'!$AM:$AM,'Performance Vendas'!H$25,'Consulta Contratos'!$P:$P,'Performance Vendas'!$B28,'Consulta Contratos'!$H:$H,"Ativo")</f>
        <v>451000</v>
      </c>
      <c r="I28" s="82">
        <f>SUMIFS('Consulta Contratos'!$Z:$Z,'Consulta Contratos'!$AM:$AM,'Performance Vendas'!I$25,'Consulta Contratos'!$P:$P,'Performance Vendas'!$B28,'Consulta Contratos'!$H:$H,"Ativo")</f>
        <v>6615000</v>
      </c>
      <c r="J28" s="86">
        <f t="shared" ref="J28" si="60">SUM(E28:I28)</f>
        <v>7561000</v>
      </c>
      <c r="K28" s="82">
        <f>SUMIFS('Consulta Contratos'!$Z:$Z,'Consulta Contratos'!$AM:$AM,'Performance Vendas'!K$25,'Consulta Contratos'!$P:$P,'Performance Vendas'!$B28,'Consulta Contratos'!$H:$H,"Ativo")</f>
        <v>8350000</v>
      </c>
      <c r="L28" s="82">
        <f>SUMIFS('Consulta Contratos'!$Z:$Z,'Consulta Contratos'!$AM:$AM,'Performance Vendas'!L$25,'Consulta Contratos'!$P:$P,'Performance Vendas'!$B28,'Consulta Contratos'!$H:$H,"Ativo")</f>
        <v>0</v>
      </c>
      <c r="M28" s="82">
        <f>SUMIFS('Consulta Contratos'!$Z:$Z,'Consulta Contratos'!$AM:$AM,'Performance Vendas'!M$25,'Consulta Contratos'!$P:$P,'Performance Vendas'!$B28,'Consulta Contratos'!$H:$H,"Ativo")</f>
        <v>8000000</v>
      </c>
      <c r="N28" s="82">
        <f>SUMIFS('Consulta Contratos'!$Z:$Z,'Consulta Contratos'!$AM:$AM,'Performance Vendas'!N$25,'Consulta Contratos'!$P:$P,'Performance Vendas'!$B28,'Consulta Contratos'!$H:$H,"Ativo")</f>
        <v>0</v>
      </c>
      <c r="O28" s="82">
        <f>SUMIFS('Consulta Contratos'!$Z:$Z,'Consulta Contratos'!$AM:$AM,'Performance Vendas'!O$25,'Consulta Contratos'!$P:$P,'Performance Vendas'!$B28,'Consulta Contratos'!$H:$H,"Ativo")</f>
        <v>2257800</v>
      </c>
      <c r="P28" s="82">
        <f>SUMIFS('Consulta Contratos'!$Z:$Z,'Consulta Contratos'!$AM:$AM,'Performance Vendas'!P$25,'Consulta Contratos'!$P:$P,'Performance Vendas'!$B28,'Consulta Contratos'!$H:$H,"Ativo")</f>
        <v>1146000.3</v>
      </c>
      <c r="Q28" s="82">
        <f>SUMIFS('Consulta Contratos'!$Z:$Z,'Consulta Contratos'!$AM:$AM,'Performance Vendas'!Q$25,'Consulta Contratos'!$P:$P,'Performance Vendas'!$B28,'Consulta Contratos'!$H:$H,"Ativo")</f>
        <v>1746266.63</v>
      </c>
      <c r="R28" s="82">
        <f>SUMIFS('Consulta Contratos'!$Z:$Z,'Consulta Contratos'!$AM:$AM,'Performance Vendas'!R$25,'Consulta Contratos'!$P:$P,'Performance Vendas'!$B28,'Consulta Contratos'!$H:$H,"Ativo")</f>
        <v>3788854.16</v>
      </c>
      <c r="S28" s="82">
        <f>SUMIFS('Consulta Contratos'!$Z:$Z,'Consulta Contratos'!$AM:$AM,'Performance Vendas'!S$25,'Consulta Contratos'!$P:$P,'Performance Vendas'!$B28,'Consulta Contratos'!$H:$H,"Ativo")</f>
        <v>17291102.789999999</v>
      </c>
      <c r="T28" s="82">
        <f>SUMIFS('Consulta Contratos'!$Z:$Z,'Consulta Contratos'!$AM:$AM,'Performance Vendas'!T$25,'Consulta Contratos'!$P:$P,'Performance Vendas'!$B28,'Consulta Contratos'!$H:$H,"Ativo")</f>
        <v>16290910</v>
      </c>
      <c r="U28" s="82">
        <f>SUMIFS('Consulta Contratos'!$Z:$Z,'Consulta Contratos'!$AM:$AM,'Performance Vendas'!U$25,'Consulta Contratos'!$P:$P,'Performance Vendas'!$B28,'Consulta Contratos'!$H:$H,"Ativo")</f>
        <v>9409072</v>
      </c>
      <c r="V28" s="82">
        <f>SUMIFS('Consulta Contratos'!$Z:$Z,'Consulta Contratos'!$AM:$AM,'Performance Vendas'!V$25,'Consulta Contratos'!$P:$P,'Performance Vendas'!$B28,'Consulta Contratos'!$H:$H,"Ativo")</f>
        <v>5796625</v>
      </c>
      <c r="W28" s="86">
        <f t="shared" ref="W28" si="61">SUM(K28:V28)</f>
        <v>74076630.879999995</v>
      </c>
      <c r="X28" s="82">
        <f>SUMIFS('Consulta Contratos'!$Z:$Z,'Consulta Contratos'!$AM:$AM,'Performance Vendas'!X$25,'Consulta Contratos'!$P:$P,'Performance Vendas'!$B28,'Consulta Contratos'!$H:$H,"Ativo")</f>
        <v>834130</v>
      </c>
      <c r="Y28" s="82">
        <f>SUMIFS('Consulta Contratos'!$Z:$Z,'Consulta Contratos'!$AM:$AM,'Performance Vendas'!Y$25,'Consulta Contratos'!$P:$P,'Performance Vendas'!$B28,'Consulta Contratos'!$H:$H,"Ativo")</f>
        <v>1233520</v>
      </c>
      <c r="Z28" s="82">
        <f>SUMIFS('Consulta Contratos'!$Z:$Z,'Consulta Contratos'!$AM:$AM,'Performance Vendas'!Z$25,'Consulta Contratos'!$P:$P,'Performance Vendas'!$B28,'Consulta Contratos'!$H:$H,"Ativo")</f>
        <v>784944</v>
      </c>
      <c r="AA28" s="82">
        <f>SUMIFS('Consulta Contratos'!$Z:$Z,'Consulta Contratos'!$AM:$AM,'Performance Vendas'!AA$25,'Consulta Contratos'!$P:$P,'Performance Vendas'!$B28,'Consulta Contratos'!$H:$H,"Ativo")</f>
        <v>1154000</v>
      </c>
      <c r="AB28" s="82">
        <f>SUMIFS('Consulta Contratos'!$Z:$Z,'Consulta Contratos'!$AM:$AM,'Performance Vendas'!AB$25,'Consulta Contratos'!$P:$P,'Performance Vendas'!$B28,'Consulta Contratos'!$H:$H,"Ativo")</f>
        <v>336240</v>
      </c>
      <c r="AC28" s="82">
        <f>SUMIFS('Consulta Contratos'!$Z:$Z,'Consulta Contratos'!$AM:$AM,'Performance Vendas'!AC$25,'Consulta Contratos'!$P:$P,'Performance Vendas'!$B28,'Consulta Contratos'!$H:$H,"Ativo")</f>
        <v>1379000</v>
      </c>
      <c r="AD28" s="82">
        <f>SUMIFS('Consulta Contratos'!$Z:$Z,'Consulta Contratos'!$AM:$AM,'Performance Vendas'!AD$25,'Consulta Contratos'!$P:$P,'Performance Vendas'!$B28,'Consulta Contratos'!$H:$H,"Ativo")</f>
        <v>3350850</v>
      </c>
      <c r="AE28" s="82">
        <f>SUMIFS('Consulta Contratos'!$Z:$Z,'Consulta Contratos'!$AM:$AM,'Performance Vendas'!AE$25,'Consulta Contratos'!$P:$P,'Performance Vendas'!$B28,'Consulta Contratos'!$H:$H,"Ativo")</f>
        <v>10555355.869999999</v>
      </c>
      <c r="AF28" s="82">
        <f>SUMIFS('Consulta Contratos'!$Z:$Z,'Consulta Contratos'!$AM:$AM,'Performance Vendas'!AF$25,'Consulta Contratos'!$P:$P,'Performance Vendas'!$B28,'Consulta Contratos'!$H:$H,"Ativo")</f>
        <v>4497093</v>
      </c>
      <c r="AG28" s="82">
        <f>SUMIFS('Consulta Contratos'!$Z:$Z,'Consulta Contratos'!$AM:$AM,'Performance Vendas'!AG$25,'Consulta Contratos'!$P:$P,'Performance Vendas'!$B28,'Consulta Contratos'!$H:$H,"Ativo")</f>
        <v>0</v>
      </c>
      <c r="AH28" s="82">
        <f>SUMIFS('Consulta Contratos'!$Z:$Z,'Consulta Contratos'!$AM:$AM,'Performance Vendas'!AH$25,'Consulta Contratos'!$P:$P,'Performance Vendas'!$B28,'Consulta Contratos'!$H:$H,"Ativo")</f>
        <v>3871200.12</v>
      </c>
      <c r="AI28" s="82">
        <f>SUMIFS('Consulta Contratos'!$Z:$Z,'Consulta Contratos'!$AM:$AM,'Performance Vendas'!AI$25,'Consulta Contratos'!$P:$P,'Performance Vendas'!$B28,'Consulta Contratos'!$H:$H,"Ativo")</f>
        <v>8276120</v>
      </c>
      <c r="AJ28" s="86">
        <f t="shared" ref="AJ28" si="62">SUM(X28:AI28)</f>
        <v>36272452.989999995</v>
      </c>
      <c r="AK28" s="82">
        <f>SUMIFS('Consulta Contratos'!$Z:$Z,'Consulta Contratos'!$AM:$AM,'Performance Vendas'!AK$25,'Consulta Contratos'!$P:$P,'Performance Vendas'!$B28,'Consulta Contratos'!$H:$H,"Ativo")</f>
        <v>5272611.41</v>
      </c>
      <c r="AL28" s="82">
        <f>SUMIFS('Consulta Contratos'!$Z:$Z,'Consulta Contratos'!$AM:$AM,'Performance Vendas'!AL$25,'Consulta Contratos'!$P:$P,'Performance Vendas'!$B28,'Consulta Contratos'!$H:$H,"Ativo")</f>
        <v>3720576.54</v>
      </c>
      <c r="AM28" s="82">
        <f>SUMIFS('Consulta Contratos'!$Z:$Z,'Consulta Contratos'!$AM:$AM,'Performance Vendas'!AM$25,'Consulta Contratos'!$P:$P,'Performance Vendas'!$B28,'Consulta Contratos'!$H:$H,"Ativo")</f>
        <v>0</v>
      </c>
      <c r="AN28" s="82">
        <f>SUMIFS('Consulta Contratos'!$Z:$Z,'Consulta Contratos'!$AM:$AM,'Performance Vendas'!AN$25,'Consulta Contratos'!$P:$P,'Performance Vendas'!$B28,'Consulta Contratos'!$H:$H,"Ativo")</f>
        <v>0</v>
      </c>
      <c r="AO28" s="82">
        <f>SUMIFS('Consulta Contratos'!$Z:$Z,'Consulta Contratos'!$AM:$AM,'Performance Vendas'!AO$25,'Consulta Contratos'!$P:$P,'Performance Vendas'!$B28,'Consulta Contratos'!$H:$H,"Ativo")</f>
        <v>0</v>
      </c>
      <c r="AP28" s="82">
        <f>SUMIFS('Consulta Contratos'!$Z:$Z,'Consulta Contratos'!$AM:$AM,'Performance Vendas'!AP$25,'Consulta Contratos'!$P:$P,'Performance Vendas'!$B28,'Consulta Contratos'!$H:$H,"Ativo")</f>
        <v>0</v>
      </c>
      <c r="AQ28" s="82">
        <f>SUMIFS('Consulta Contratos'!$Z:$Z,'Consulta Contratos'!$AM:$AM,'Performance Vendas'!AQ$25,'Consulta Contratos'!$P:$P,'Performance Vendas'!$B28,'Consulta Contratos'!$H:$H,"Ativo")</f>
        <v>0</v>
      </c>
      <c r="AR28" s="82">
        <f>SUMIFS('Consulta Contratos'!$Z:$Z,'Consulta Contratos'!$AM:$AM,'Performance Vendas'!AR$25,'Consulta Contratos'!$P:$P,'Performance Vendas'!$B28,'Consulta Contratos'!$H:$H,"Ativo")</f>
        <v>0</v>
      </c>
      <c r="AS28" s="82">
        <f>SUMIFS('Consulta Contratos'!$Z:$Z,'Consulta Contratos'!$AM:$AM,'Performance Vendas'!AS$25,'Consulta Contratos'!$P:$P,'Performance Vendas'!$B28,'Consulta Contratos'!$H:$H,"Ativo")</f>
        <v>0</v>
      </c>
      <c r="AT28" s="82">
        <f>SUMIFS('Consulta Contratos'!$Z:$Z,'Consulta Contratos'!$AM:$AM,'Performance Vendas'!AT$25,'Consulta Contratos'!$P:$P,'Performance Vendas'!$B28,'Consulta Contratos'!$H:$H,"Ativo")</f>
        <v>0</v>
      </c>
      <c r="AU28" s="82">
        <f>SUMIFS('Consulta Contratos'!$Z:$Z,'Consulta Contratos'!$AM:$AM,'Performance Vendas'!AU$25,'Consulta Contratos'!$P:$P,'Performance Vendas'!$B28,'Consulta Contratos'!$H:$H,"Ativo")</f>
        <v>0</v>
      </c>
      <c r="AV28" s="82">
        <f>SUMIFS('Consulta Contratos'!$Z:$Z,'Consulta Contratos'!$AM:$AM,'Performance Vendas'!AV$25,'Consulta Contratos'!$P:$P,'Performance Vendas'!$B28,'Consulta Contratos'!$H:$H,"Ativo")</f>
        <v>0</v>
      </c>
      <c r="AW28" s="86">
        <f t="shared" ref="AW28" si="63">SUM(AK28:AV28)</f>
        <v>8993187.9499999993</v>
      </c>
      <c r="AX28" s="86">
        <f>AJ28+W28+J28+AW28</f>
        <v>126903271.81999999</v>
      </c>
      <c r="AY28" s="81">
        <f>AX28/AX42</f>
        <v>0.33130127374735213</v>
      </c>
      <c r="AZ28" s="82">
        <f>SUMIFS('Consulta Contratos'!$Z:$Z,'Consulta Contratos'!$AM:$AM,'Performance Vendas'!AZ$25,'Consulta Contratos'!$P:$P,'Performance Vendas'!$B28,'Consulta Contratos'!$H:$H,"Ativo")</f>
        <v>822000</v>
      </c>
      <c r="BA28" s="177"/>
      <c r="BB28" s="247"/>
    </row>
    <row r="29" spans="1:62" s="88" customFormat="1" ht="12.75">
      <c r="B29" s="501"/>
      <c r="C29" s="256" t="s">
        <v>71</v>
      </c>
      <c r="D29" s="330"/>
      <c r="E29" s="251">
        <f>SUMIFS('Consulta Contratos'!$AO:$AO,'Consulta Contratos'!$AM:$AM,'Performance Vendas'!E$25,'Consulta Contratos'!$P:$P,'Performance Vendas'!$B28,'Consulta Contratos'!$H:$H,"Ativo")</f>
        <v>0</v>
      </c>
      <c r="F29" s="251">
        <f>SUMIFS('Consulta Contratos'!$AO:$AO,'Consulta Contratos'!$AM:$AM,'Performance Vendas'!F$25,'Consulta Contratos'!$P:$P,'Performance Vendas'!$B28,'Consulta Contratos'!$H:$H,"Ativo")</f>
        <v>0</v>
      </c>
      <c r="G29" s="251">
        <f>SUMIFS('Consulta Contratos'!$AO:$AO,'Consulta Contratos'!$AM:$AM,'Performance Vendas'!G$25,'Consulta Contratos'!$P:$P,'Performance Vendas'!$B28,'Consulta Contratos'!$H:$H,"Ativo")</f>
        <v>1</v>
      </c>
      <c r="H29" s="251">
        <f>SUMIFS('Consulta Contratos'!$AO:$AO,'Consulta Contratos'!$AM:$AM,'Performance Vendas'!H$25,'Consulta Contratos'!$P:$P,'Performance Vendas'!$B28,'Consulta Contratos'!$H:$H,"Ativo")</f>
        <v>1</v>
      </c>
      <c r="I29" s="251">
        <f>SUMIFS('Consulta Contratos'!$AO:$AO,'Consulta Contratos'!$AM:$AM,'Performance Vendas'!I$25,'Consulta Contratos'!$P:$P,'Performance Vendas'!$B28,'Consulta Contratos'!$H:$H,"Ativo")</f>
        <v>5</v>
      </c>
      <c r="J29" s="252">
        <f>SUM(E29:I29)</f>
        <v>7</v>
      </c>
      <c r="K29" s="251">
        <f>SUMIFS('Consulta Contratos'!$AO:$AO,'Consulta Contratos'!$AM:$AM,'Performance Vendas'!K$25,'Consulta Contratos'!$P:$P,'Performance Vendas'!$B28,'Consulta Contratos'!$H:$H,"Ativo")</f>
        <v>5</v>
      </c>
      <c r="L29" s="251">
        <f>SUMIFS('Consulta Contratos'!$AO:$AO,'Consulta Contratos'!$AM:$AM,'Performance Vendas'!L$25,'Consulta Contratos'!$P:$P,'Performance Vendas'!$B28,'Consulta Contratos'!$H:$H,"Ativo")</f>
        <v>0</v>
      </c>
      <c r="M29" s="251">
        <f>SUMIFS('Consulta Contratos'!$AO:$AO,'Consulta Contratos'!$AM:$AM,'Performance Vendas'!M$25,'Consulta Contratos'!$P:$P,'Performance Vendas'!$B28,'Consulta Contratos'!$H:$H,"Ativo")</f>
        <v>1</v>
      </c>
      <c r="N29" s="251">
        <f>SUMIFS('Consulta Contratos'!$AO:$AO,'Consulta Contratos'!$AM:$AM,'Performance Vendas'!N$25,'Consulta Contratos'!$P:$P,'Performance Vendas'!$B28,'Consulta Contratos'!$H:$H,"Ativo")</f>
        <v>0</v>
      </c>
      <c r="O29" s="251">
        <f>SUMIFS('Consulta Contratos'!$AO:$AO,'Consulta Contratos'!$AM:$AM,'Performance Vendas'!O$25,'Consulta Contratos'!$P:$P,'Performance Vendas'!$B28,'Consulta Contratos'!$H:$H,"Ativo")</f>
        <v>5</v>
      </c>
      <c r="P29" s="251">
        <f>SUMIFS('Consulta Contratos'!$AO:$AO,'Consulta Contratos'!$AM:$AM,'Performance Vendas'!P$25,'Consulta Contratos'!$P:$P,'Performance Vendas'!$B28,'Consulta Contratos'!$H:$H,"Ativo")</f>
        <v>3</v>
      </c>
      <c r="Q29" s="251">
        <f>SUMIFS('Consulta Contratos'!$AO:$AO,'Consulta Contratos'!$AM:$AM,'Performance Vendas'!Q$25,'Consulta Contratos'!$P:$P,'Performance Vendas'!$B28,'Consulta Contratos'!$H:$H,"Ativo")</f>
        <v>5</v>
      </c>
      <c r="R29" s="251">
        <f>SUMIFS('Consulta Contratos'!$AO:$AO,'Consulta Contratos'!$AM:$AM,'Performance Vendas'!R$25,'Consulta Contratos'!$P:$P,'Performance Vendas'!$B28,'Consulta Contratos'!$H:$H,"Ativo")</f>
        <v>10</v>
      </c>
      <c r="S29" s="251">
        <f>SUMIFS('Consulta Contratos'!$AO:$AO,'Consulta Contratos'!$AM:$AM,'Performance Vendas'!S$25,'Consulta Contratos'!$P:$P,'Performance Vendas'!$B28,'Consulta Contratos'!$H:$H,"Ativo")</f>
        <v>13</v>
      </c>
      <c r="T29" s="251">
        <f>SUMIFS('Consulta Contratos'!$AO:$AO,'Consulta Contratos'!$AM:$AM,'Performance Vendas'!T$25,'Consulta Contratos'!$P:$P,'Performance Vendas'!$B28,'Consulta Contratos'!$H:$H,"Ativo")</f>
        <v>15</v>
      </c>
      <c r="U29" s="251">
        <f>SUMIFS('Consulta Contratos'!$AO:$AO,'Consulta Contratos'!$AM:$AM,'Performance Vendas'!U$25,'Consulta Contratos'!$P:$P,'Performance Vendas'!$B28,'Consulta Contratos'!$H:$H,"Ativo")</f>
        <v>15</v>
      </c>
      <c r="V29" s="251">
        <f>SUMIFS('Consulta Contratos'!$AO:$AO,'Consulta Contratos'!$AM:$AM,'Performance Vendas'!V$25,'Consulta Contratos'!$P:$P,'Performance Vendas'!$B28,'Consulta Contratos'!$H:$H,"Ativo")</f>
        <v>5</v>
      </c>
      <c r="W29" s="252">
        <f>SUM(K29:V29)</f>
        <v>77</v>
      </c>
      <c r="X29" s="251">
        <f>SUMIFS('Consulta Contratos'!$AO:$AO,'Consulta Contratos'!$AM:$AM,'Performance Vendas'!X$25,'Consulta Contratos'!$P:$P,'Performance Vendas'!$B28,'Consulta Contratos'!$H:$H,"Ativo")</f>
        <v>1</v>
      </c>
      <c r="Y29" s="251">
        <f>SUMIFS('Consulta Contratos'!$AO:$AO,'Consulta Contratos'!$AM:$AM,'Performance Vendas'!Y$25,'Consulta Contratos'!$P:$P,'Performance Vendas'!$B28,'Consulta Contratos'!$H:$H,"Ativo")</f>
        <v>3</v>
      </c>
      <c r="Z29" s="251">
        <f>SUMIFS('Consulta Contratos'!$AO:$AO,'Consulta Contratos'!$AM:$AM,'Performance Vendas'!Z$25,'Consulta Contratos'!$P:$P,'Performance Vendas'!$B28,'Consulta Contratos'!$H:$H,"Ativo")</f>
        <v>2</v>
      </c>
      <c r="AA29" s="251">
        <f>SUMIFS('Consulta Contratos'!$AO:$AO,'Consulta Contratos'!$AM:$AM,'Performance Vendas'!AA$25,'Consulta Contratos'!$P:$P,'Performance Vendas'!$B28,'Consulta Contratos'!$H:$H,"Ativo")</f>
        <v>3</v>
      </c>
      <c r="AB29" s="251">
        <f>SUMIFS('Consulta Contratos'!$AO:$AO,'Consulta Contratos'!$AM:$AM,'Performance Vendas'!AB$25,'Consulta Contratos'!$P:$P,'Performance Vendas'!$B28,'Consulta Contratos'!$H:$H,"Ativo")</f>
        <v>1</v>
      </c>
      <c r="AC29" s="251">
        <f>SUMIFS('Consulta Contratos'!$AO:$AO,'Consulta Contratos'!$AM:$AM,'Performance Vendas'!AC$25,'Consulta Contratos'!$P:$P,'Performance Vendas'!$B28,'Consulta Contratos'!$H:$H,"Ativo")</f>
        <v>2</v>
      </c>
      <c r="AD29" s="251">
        <f>SUMIFS('Consulta Contratos'!$AO:$AO,'Consulta Contratos'!$AM:$AM,'Performance Vendas'!AD$25,'Consulta Contratos'!$P:$P,'Performance Vendas'!$B28,'Consulta Contratos'!$H:$H,"Ativo")</f>
        <v>6</v>
      </c>
      <c r="AE29" s="251">
        <f>SUMIFS('Consulta Contratos'!$AO:$AO,'Consulta Contratos'!$AM:$AM,'Performance Vendas'!AE$25,'Consulta Contratos'!$P:$P,'Performance Vendas'!$B28,'Consulta Contratos'!$H:$H,"Ativo")</f>
        <v>13</v>
      </c>
      <c r="AF29" s="251">
        <f>SUMIFS('Consulta Contratos'!$AO:$AO,'Consulta Contratos'!$AM:$AM,'Performance Vendas'!AF$25,'Consulta Contratos'!$P:$P,'Performance Vendas'!$B28,'Consulta Contratos'!$H:$H,"Ativo")</f>
        <v>8</v>
      </c>
      <c r="AG29" s="251">
        <f>SUMIFS('Consulta Contratos'!$AO:$AO,'Consulta Contratos'!$AM:$AM,'Performance Vendas'!AG$25,'Consulta Contratos'!$P:$P,'Performance Vendas'!$B28,'Consulta Contratos'!$H:$H,"Ativo")</f>
        <v>0</v>
      </c>
      <c r="AH29" s="251">
        <f>SUMIFS('Consulta Contratos'!$AO:$AO,'Consulta Contratos'!$AM:$AM,'Performance Vendas'!AH$25,'Consulta Contratos'!$P:$P,'Performance Vendas'!$B28,'Consulta Contratos'!$H:$H,"Ativo")</f>
        <v>4</v>
      </c>
      <c r="AI29" s="251">
        <f>SUMIFS('Consulta Contratos'!$AO:$AO,'Consulta Contratos'!$AM:$AM,'Performance Vendas'!AI$25,'Consulta Contratos'!$P:$P,'Performance Vendas'!$B28,'Consulta Contratos'!$H:$H,"Ativo")</f>
        <v>3</v>
      </c>
      <c r="AJ29" s="252">
        <f>SUM(X29:AI29)</f>
        <v>46</v>
      </c>
      <c r="AK29" s="251">
        <f>SUMIFS('Consulta Contratos'!$AO:$AO,'Consulta Contratos'!$AM:$AM,'Performance Vendas'!AK$25,'Consulta Contratos'!$P:$P,'Performance Vendas'!$B28,'Consulta Contratos'!$H:$H,"Ativo")</f>
        <v>8</v>
      </c>
      <c r="AL29" s="251">
        <f>SUMIFS('Consulta Contratos'!$AO:$AO,'Consulta Contratos'!$AM:$AM,'Performance Vendas'!AL$25,'Consulta Contratos'!$P:$P,'Performance Vendas'!$B28,'Consulta Contratos'!$H:$H,"Ativo")</f>
        <v>7</v>
      </c>
      <c r="AM29" s="251">
        <f>SUMIFS('Consulta Contratos'!$AO:$AO,'Consulta Contratos'!$AM:$AM,'Performance Vendas'!AM$25,'Consulta Contratos'!$P:$P,'Performance Vendas'!$B28,'Consulta Contratos'!$H:$H,"Ativo")</f>
        <v>0</v>
      </c>
      <c r="AN29" s="251">
        <f>SUMIFS('Consulta Contratos'!$AO:$AO,'Consulta Contratos'!$AM:$AM,'Performance Vendas'!AN$25,'Consulta Contratos'!$P:$P,'Performance Vendas'!$B28,'Consulta Contratos'!$H:$H,"Ativo")</f>
        <v>0</v>
      </c>
      <c r="AO29" s="251">
        <f>SUMIFS('Consulta Contratos'!$AO:$AO,'Consulta Contratos'!$AM:$AM,'Performance Vendas'!AO$25,'Consulta Contratos'!$P:$P,'Performance Vendas'!$B28,'Consulta Contratos'!$H:$H,"Ativo")</f>
        <v>0</v>
      </c>
      <c r="AP29" s="251">
        <f>SUMIFS('Consulta Contratos'!$AO:$AO,'Consulta Contratos'!$AM:$AM,'Performance Vendas'!AP$25,'Consulta Contratos'!$P:$P,'Performance Vendas'!$B28,'Consulta Contratos'!$H:$H,"Ativo")</f>
        <v>0</v>
      </c>
      <c r="AQ29" s="251">
        <f>SUMIFS('Consulta Contratos'!$AO:$AO,'Consulta Contratos'!$AM:$AM,'Performance Vendas'!AQ$25,'Consulta Contratos'!$P:$P,'Performance Vendas'!$B28,'Consulta Contratos'!$H:$H,"Ativo")</f>
        <v>0</v>
      </c>
      <c r="AR29" s="251">
        <f>SUMIFS('Consulta Contratos'!$AO:$AO,'Consulta Contratos'!$AM:$AM,'Performance Vendas'!AR$25,'Consulta Contratos'!$P:$P,'Performance Vendas'!$B28,'Consulta Contratos'!$H:$H,"Ativo")</f>
        <v>0</v>
      </c>
      <c r="AS29" s="251">
        <f>SUMIFS('Consulta Contratos'!$AO:$AO,'Consulta Contratos'!$AM:$AM,'Performance Vendas'!AS$25,'Consulta Contratos'!$P:$P,'Performance Vendas'!$B28,'Consulta Contratos'!$H:$H,"Ativo")</f>
        <v>0</v>
      </c>
      <c r="AT29" s="251">
        <f>SUMIFS('Consulta Contratos'!$AO:$AO,'Consulta Contratos'!$AM:$AM,'Performance Vendas'!AT$25,'Consulta Contratos'!$P:$P,'Performance Vendas'!$B28,'Consulta Contratos'!$H:$H,"Ativo")</f>
        <v>0</v>
      </c>
      <c r="AU29" s="251">
        <f>SUMIFS('Consulta Contratos'!$AO:$AO,'Consulta Contratos'!$AM:$AM,'Performance Vendas'!AU$25,'Consulta Contratos'!$P:$P,'Performance Vendas'!$B28,'Consulta Contratos'!$H:$H,"Ativo")</f>
        <v>0</v>
      </c>
      <c r="AV29" s="251">
        <f>SUMIFS('Consulta Contratos'!$AO:$AO,'Consulta Contratos'!$AM:$AM,'Performance Vendas'!AV$25,'Consulta Contratos'!$P:$P,'Performance Vendas'!$B28,'Consulta Contratos'!$H:$H,"Ativo")</f>
        <v>0</v>
      </c>
      <c r="AW29" s="252">
        <f>SUM(AK29:AV29)</f>
        <v>15</v>
      </c>
      <c r="AX29" s="252">
        <f>AJ29+W29+J29+AW29</f>
        <v>145</v>
      </c>
      <c r="AY29" s="81"/>
      <c r="AZ29" s="83">
        <f>COUNTIFS('Consulta Contratos'!$AM:$AM,'Performance Vendas'!AZ$25,'Consulta Contratos'!$G:$G,"Assinado",'Consulta Contratos'!$P:$P,'Performance Vendas'!$B28)-COUNTIFS('Consulta Contratos'!$AM:$AM,'Performance Vendas'!AZ$25,'Consulta Contratos'!$H:$H,"Cancelado",'Consulta Contratos'!$G:$G,"Assinado",'Consulta Contratos'!$P:$P,'Performance Vendas'!$B28)-COUNTIFS('Consulta Contratos'!$AM:$AM,'Performance Vendas'!AZ$25,'Consulta Contratos'!$H:$H,"Cancelado Upgrade",'Consulta Contratos'!$G:$G,"Assinado",'Consulta Contratos'!$P:$P,'Performance Vendas'!$B28)</f>
        <v>0</v>
      </c>
      <c r="BA29" s="177"/>
      <c r="BB29" s="249"/>
    </row>
    <row r="30" spans="1:62" s="87" customFormat="1">
      <c r="B30" s="500" t="s">
        <v>72</v>
      </c>
      <c r="C30" s="308" t="s">
        <v>70</v>
      </c>
      <c r="D30" s="330"/>
      <c r="E30" s="190">
        <f>SUMIFS('Consulta Contratos'!$Z:$Z,'Consulta Contratos'!$AM:$AM,'Performance Vendas'!E$25,'Consulta Contratos'!$P:$P,'Performance Vendas'!$B30,'Consulta Contratos'!$H:$H,"Ativo")</f>
        <v>4911000</v>
      </c>
      <c r="F30" s="190">
        <f>SUMIFS('Consulta Contratos'!$Z:$Z,'Consulta Contratos'!$AM:$AM,'Performance Vendas'!F$25,'Consulta Contratos'!$P:$P,'Performance Vendas'!$B30,'Consulta Contratos'!$H:$H,"Ativo")</f>
        <v>341500</v>
      </c>
      <c r="G30" s="190">
        <f>SUMIFS('Consulta Contratos'!$Z:$Z,'Consulta Contratos'!$AM:$AM,'Performance Vendas'!G$25,'Consulta Contratos'!$P:$P,'Performance Vendas'!$B30,'Consulta Contratos'!$H:$H,"Ativo")</f>
        <v>3526841.18</v>
      </c>
      <c r="H30" s="190">
        <f>SUMIFS('Consulta Contratos'!$Z:$Z,'Consulta Contratos'!$AM:$AM,'Performance Vendas'!H$25,'Consulta Contratos'!$P:$P,'Performance Vendas'!$B30,'Consulta Contratos'!$H:$H,"Ativo")</f>
        <v>0</v>
      </c>
      <c r="I30" s="190">
        <f>SUMIFS('Consulta Contratos'!$Z:$Z,'Consulta Contratos'!$AM:$AM,'Performance Vendas'!I$25,'Consulta Contratos'!$P:$P,'Performance Vendas'!$B30,'Consulta Contratos'!$H:$H,"Ativo")</f>
        <v>950000</v>
      </c>
      <c r="J30" s="191">
        <f t="shared" ref="J30" si="64">SUM(E30:I30)</f>
        <v>9729341.1799999997</v>
      </c>
      <c r="K30" s="190">
        <f>SUMIFS('Consulta Contratos'!$Z:$Z,'Consulta Contratos'!$AM:$AM,'Performance Vendas'!K$25,'Consulta Contratos'!$P:$P,'Performance Vendas'!$B30,'Consulta Contratos'!$H:$H,"Ativo")</f>
        <v>0</v>
      </c>
      <c r="L30" s="190">
        <f>SUMIFS('Consulta Contratos'!$Z:$Z,'Consulta Contratos'!$AM:$AM,'Performance Vendas'!L$25,'Consulta Contratos'!$P:$P,'Performance Vendas'!$B30,'Consulta Contratos'!$H:$H,"Ativo")</f>
        <v>0</v>
      </c>
      <c r="M30" s="190">
        <f>SUMIFS('Consulta Contratos'!$Z:$Z,'Consulta Contratos'!$AM:$AM,'Performance Vendas'!M$25,'Consulta Contratos'!$P:$P,'Performance Vendas'!$B30,'Consulta Contratos'!$H:$H,"Ativo")</f>
        <v>0</v>
      </c>
      <c r="N30" s="190">
        <f>SUMIFS('Consulta Contratos'!$Z:$Z,'Consulta Contratos'!$AM:$AM,'Performance Vendas'!N$25,'Consulta Contratos'!$P:$P,'Performance Vendas'!$B30,'Consulta Contratos'!$H:$H,"Ativo")</f>
        <v>0</v>
      </c>
      <c r="O30" s="190">
        <f>SUMIFS('Consulta Contratos'!$Z:$Z,'Consulta Contratos'!$AM:$AM,'Performance Vendas'!O$25,'Consulta Contratos'!$P:$P,'Performance Vendas'!$B30,'Consulta Contratos'!$H:$H,"Ativo")</f>
        <v>0</v>
      </c>
      <c r="P30" s="190">
        <f>SUMIFS('Consulta Contratos'!$Z:$Z,'Consulta Contratos'!$AM:$AM,'Performance Vendas'!P$25,'Consulta Contratos'!$P:$P,'Performance Vendas'!$B30,'Consulta Contratos'!$H:$H,"Ativo")</f>
        <v>516200</v>
      </c>
      <c r="Q30" s="190">
        <f>SUMIFS('Consulta Contratos'!$Z:$Z,'Consulta Contratos'!$AM:$AM,'Performance Vendas'!Q$25,'Consulta Contratos'!$P:$P,'Performance Vendas'!$B30,'Consulta Contratos'!$H:$H,"Ativo")</f>
        <v>0</v>
      </c>
      <c r="R30" s="190">
        <f>SUMIFS('Consulta Contratos'!$Z:$Z,'Consulta Contratos'!$AM:$AM,'Performance Vendas'!R$25,'Consulta Contratos'!$P:$P,'Performance Vendas'!$B30,'Consulta Contratos'!$H:$H,"Ativo")</f>
        <v>0</v>
      </c>
      <c r="S30" s="190">
        <f>SUMIFS('Consulta Contratos'!$Z:$Z,'Consulta Contratos'!$AM:$AM,'Performance Vendas'!S$25,'Consulta Contratos'!$P:$P,'Performance Vendas'!$B30,'Consulta Contratos'!$H:$H,"Ativo")</f>
        <v>0</v>
      </c>
      <c r="T30" s="190">
        <f>SUMIFS('Consulta Contratos'!$Z:$Z,'Consulta Contratos'!$AM:$AM,'Performance Vendas'!T$25,'Consulta Contratos'!$P:$P,'Performance Vendas'!$B30,'Consulta Contratos'!$H:$H,"Ativo")</f>
        <v>0</v>
      </c>
      <c r="U30" s="190">
        <f>SUMIFS('Consulta Contratos'!$Z:$Z,'Consulta Contratos'!$AM:$AM,'Performance Vendas'!U$25,'Consulta Contratos'!$P:$P,'Performance Vendas'!$B30,'Consulta Contratos'!$H:$H,"Ativo")</f>
        <v>0</v>
      </c>
      <c r="V30" s="190">
        <f>SUMIFS('Consulta Contratos'!$Z:$Z,'Consulta Contratos'!$AM:$AM,'Performance Vendas'!V$25,'Consulta Contratos'!$P:$P,'Performance Vendas'!$B30,'Consulta Contratos'!$H:$H,"Ativo")</f>
        <v>1670000</v>
      </c>
      <c r="W30" s="191">
        <f t="shared" ref="W30" si="65">SUM(K30:V30)</f>
        <v>2186200</v>
      </c>
      <c r="X30" s="190">
        <f>SUMIFS('Consulta Contratos'!$Z:$Z,'Consulta Contratos'!$AM:$AM,'Performance Vendas'!X$25,'Consulta Contratos'!$P:$P,'Performance Vendas'!$B30,'Consulta Contratos'!$H:$H,"Ativo")</f>
        <v>0</v>
      </c>
      <c r="Y30" s="190">
        <f>SUMIFS('Consulta Contratos'!$Z:$Z,'Consulta Contratos'!$AM:$AM,'Performance Vendas'!Y$25,'Consulta Contratos'!$P:$P,'Performance Vendas'!$B30,'Consulta Contratos'!$H:$H,"Ativo")</f>
        <v>0</v>
      </c>
      <c r="Z30" s="190">
        <f>SUMIFS('Consulta Contratos'!$Z:$Z,'Consulta Contratos'!$AM:$AM,'Performance Vendas'!Z$25,'Consulta Contratos'!$P:$P,'Performance Vendas'!$B30,'Consulta Contratos'!$H:$H,"Ativo")</f>
        <v>7650000</v>
      </c>
      <c r="AA30" s="190">
        <f>SUMIFS('Consulta Contratos'!$Z:$Z,'Consulta Contratos'!$AM:$AM,'Performance Vendas'!AA$25,'Consulta Contratos'!$P:$P,'Performance Vendas'!$B30,'Consulta Contratos'!$H:$H,"Ativo")</f>
        <v>650000</v>
      </c>
      <c r="AB30" s="190">
        <f>SUMIFS('Consulta Contratos'!$Z:$Z,'Consulta Contratos'!$AM:$AM,'Performance Vendas'!AB$25,'Consulta Contratos'!$P:$P,'Performance Vendas'!$B30,'Consulta Contratos'!$H:$H,"Ativo")</f>
        <v>730000</v>
      </c>
      <c r="AC30" s="190">
        <f>SUMIFS('Consulta Contratos'!$Z:$Z,'Consulta Contratos'!$AM:$AM,'Performance Vendas'!AC$25,'Consulta Contratos'!$P:$P,'Performance Vendas'!$B30,'Consulta Contratos'!$H:$H,"Ativo")</f>
        <v>0</v>
      </c>
      <c r="AD30" s="190">
        <f>SUMIFS('Consulta Contratos'!$Z:$Z,'Consulta Contratos'!$AM:$AM,'Performance Vendas'!AD$25,'Consulta Contratos'!$P:$P,'Performance Vendas'!$B30,'Consulta Contratos'!$H:$H,"Ativo")</f>
        <v>0</v>
      </c>
      <c r="AE30" s="190">
        <f>SUMIFS('Consulta Contratos'!$Z:$Z,'Consulta Contratos'!$AM:$AM,'Performance Vendas'!AE$25,'Consulta Contratos'!$P:$P,'Performance Vendas'!$B30,'Consulta Contratos'!$H:$H,"Ativo")</f>
        <v>0</v>
      </c>
      <c r="AF30" s="190">
        <f>SUMIFS('Consulta Contratos'!$Z:$Z,'Consulta Contratos'!$AM:$AM,'Performance Vendas'!AF$25,'Consulta Contratos'!$P:$P,'Performance Vendas'!$B30,'Consulta Contratos'!$H:$H,"Ativo")</f>
        <v>4788000</v>
      </c>
      <c r="AG30" s="190">
        <f>SUMIFS('Consulta Contratos'!$Z:$Z,'Consulta Contratos'!$AM:$AM,'Performance Vendas'!AG$25,'Consulta Contratos'!$P:$P,'Performance Vendas'!$B30,'Consulta Contratos'!$H:$H,"Ativo")</f>
        <v>0</v>
      </c>
      <c r="AH30" s="190">
        <f>SUMIFS('Consulta Contratos'!$Z:$Z,'Consulta Contratos'!$AM:$AM,'Performance Vendas'!AH$25,'Consulta Contratos'!$P:$P,'Performance Vendas'!$B30,'Consulta Contratos'!$H:$H,"Ativo")</f>
        <v>0</v>
      </c>
      <c r="AI30" s="190">
        <f>SUMIFS('Consulta Contratos'!$Z:$Z,'Consulta Contratos'!$AM:$AM,'Performance Vendas'!AI$25,'Consulta Contratos'!$P:$P,'Performance Vendas'!$B30,'Consulta Contratos'!$H:$H,"Ativo")</f>
        <v>5100000</v>
      </c>
      <c r="AJ30" s="191">
        <f t="shared" ref="AJ30" si="66">SUM(X30:AI30)</f>
        <v>18918000</v>
      </c>
      <c r="AK30" s="190">
        <f>SUMIFS('Consulta Contratos'!$Z:$Z,'Consulta Contratos'!$AM:$AM,'Performance Vendas'!AK$25,'Consulta Contratos'!$P:$P,'Performance Vendas'!$B30,'Consulta Contratos'!$H:$H,"Ativo")</f>
        <v>0</v>
      </c>
      <c r="AL30" s="190">
        <f>SUMIFS('Consulta Contratos'!$Z:$Z,'Consulta Contratos'!$AM:$AM,'Performance Vendas'!AL$25,'Consulta Contratos'!$P:$P,'Performance Vendas'!$B30,'Consulta Contratos'!$H:$H,"Ativo")</f>
        <v>0</v>
      </c>
      <c r="AM30" s="190">
        <f>SUMIFS('Consulta Contratos'!$Z:$Z,'Consulta Contratos'!$AM:$AM,'Performance Vendas'!AM$25,'Consulta Contratos'!$P:$P,'Performance Vendas'!$B30,'Consulta Contratos'!$H:$H,"Ativo")</f>
        <v>0</v>
      </c>
      <c r="AN30" s="190">
        <f>SUMIFS('Consulta Contratos'!$Z:$Z,'Consulta Contratos'!$AM:$AM,'Performance Vendas'!AN$25,'Consulta Contratos'!$P:$P,'Performance Vendas'!$B30,'Consulta Contratos'!$H:$H,"Ativo")</f>
        <v>0</v>
      </c>
      <c r="AO30" s="190">
        <f>SUMIFS('Consulta Contratos'!$Z:$Z,'Consulta Contratos'!$AM:$AM,'Performance Vendas'!AO$25,'Consulta Contratos'!$P:$P,'Performance Vendas'!$B30,'Consulta Contratos'!$H:$H,"Ativo")</f>
        <v>0</v>
      </c>
      <c r="AP30" s="190">
        <f>SUMIFS('Consulta Contratos'!$Z:$Z,'Consulta Contratos'!$AM:$AM,'Performance Vendas'!AP$25,'Consulta Contratos'!$P:$P,'Performance Vendas'!$B30,'Consulta Contratos'!$H:$H,"Ativo")</f>
        <v>0</v>
      </c>
      <c r="AQ30" s="190">
        <f>SUMIFS('Consulta Contratos'!$Z:$Z,'Consulta Contratos'!$AM:$AM,'Performance Vendas'!AQ$25,'Consulta Contratos'!$P:$P,'Performance Vendas'!$B30,'Consulta Contratos'!$H:$H,"Ativo")</f>
        <v>0</v>
      </c>
      <c r="AR30" s="190">
        <f>SUMIFS('Consulta Contratos'!$Z:$Z,'Consulta Contratos'!$AM:$AM,'Performance Vendas'!AR$25,'Consulta Contratos'!$P:$P,'Performance Vendas'!$B30,'Consulta Contratos'!$H:$H,"Ativo")</f>
        <v>0</v>
      </c>
      <c r="AS30" s="190">
        <f>SUMIFS('Consulta Contratos'!$Z:$Z,'Consulta Contratos'!$AM:$AM,'Performance Vendas'!AS$25,'Consulta Contratos'!$P:$P,'Performance Vendas'!$B30,'Consulta Contratos'!$H:$H,"Ativo")</f>
        <v>0</v>
      </c>
      <c r="AT30" s="190">
        <f>SUMIFS('Consulta Contratos'!$Z:$Z,'Consulta Contratos'!$AM:$AM,'Performance Vendas'!AT$25,'Consulta Contratos'!$P:$P,'Performance Vendas'!$B30,'Consulta Contratos'!$H:$H,"Ativo")</f>
        <v>0</v>
      </c>
      <c r="AU30" s="190">
        <f>SUMIFS('Consulta Contratos'!$Z:$Z,'Consulta Contratos'!$AM:$AM,'Performance Vendas'!AU$25,'Consulta Contratos'!$P:$P,'Performance Vendas'!$B30,'Consulta Contratos'!$H:$H,"Ativo")</f>
        <v>0</v>
      </c>
      <c r="AV30" s="190">
        <f>SUMIFS('Consulta Contratos'!$Z:$Z,'Consulta Contratos'!$AM:$AM,'Performance Vendas'!AV$25,'Consulta Contratos'!$P:$P,'Performance Vendas'!$B30,'Consulta Contratos'!$H:$H,"Ativo")</f>
        <v>0</v>
      </c>
      <c r="AW30" s="191">
        <f t="shared" ref="AW30" si="67">SUM(AK30:AV30)</f>
        <v>0</v>
      </c>
      <c r="AX30" s="191">
        <f>AJ30+W30+J30+AW30</f>
        <v>30833541.18</v>
      </c>
      <c r="AY30" s="81">
        <f>AX30/AX42</f>
        <v>8.0495887305133434E-2</v>
      </c>
      <c r="AZ30" s="82">
        <f>SUMIFS('Consulta Contratos'!$Z:$Z,'Consulta Contratos'!$AM:$AM,'Performance Vendas'!AZ$25,'Consulta Contratos'!$P:$P,'Performance Vendas'!$B30,'Consulta Contratos'!$H:$H,"Ativo")</f>
        <v>0</v>
      </c>
      <c r="BA30" s="177"/>
      <c r="BB30" s="247"/>
    </row>
    <row r="31" spans="1:62" s="88" customFormat="1" ht="12.75">
      <c r="B31" s="500"/>
      <c r="C31" s="256" t="s">
        <v>71</v>
      </c>
      <c r="D31" s="330"/>
      <c r="E31" s="251">
        <f>SUMIFS('Consulta Contratos'!$AO:$AO,'Consulta Contratos'!$AM:$AM,'Performance Vendas'!E$25,'Consulta Contratos'!$P:$P,'Performance Vendas'!$B30,'Consulta Contratos'!$H:$H,"Ativo")</f>
        <v>4</v>
      </c>
      <c r="F31" s="251">
        <f>SUMIFS('Consulta Contratos'!$AO:$AO,'Consulta Contratos'!$AM:$AM,'Performance Vendas'!F$25,'Consulta Contratos'!$P:$P,'Performance Vendas'!$B30,'Consulta Contratos'!$H:$H,"Ativo")</f>
        <v>1</v>
      </c>
      <c r="G31" s="251">
        <f>SUMIFS('Consulta Contratos'!$AO:$AO,'Consulta Contratos'!$AM:$AM,'Performance Vendas'!G$25,'Consulta Contratos'!$P:$P,'Performance Vendas'!$B30,'Consulta Contratos'!$H:$H,"Ativo")</f>
        <v>1</v>
      </c>
      <c r="H31" s="251">
        <f>SUMIFS('Consulta Contratos'!$AO:$AO,'Consulta Contratos'!$AM:$AM,'Performance Vendas'!H$25,'Consulta Contratos'!$P:$P,'Performance Vendas'!$B30,'Consulta Contratos'!$H:$H,"Ativo")</f>
        <v>0</v>
      </c>
      <c r="I31" s="251">
        <f>SUMIFS('Consulta Contratos'!$AO:$AO,'Consulta Contratos'!$AM:$AM,'Performance Vendas'!I$25,'Consulta Contratos'!$P:$P,'Performance Vendas'!$B30,'Consulta Contratos'!$H:$H,"Ativo")</f>
        <v>1</v>
      </c>
      <c r="J31" s="252">
        <f>SUM(E31:I31)</f>
        <v>7</v>
      </c>
      <c r="K31" s="251">
        <f>SUMIFS('Consulta Contratos'!$AO:$AO,'Consulta Contratos'!$AM:$AM,'Performance Vendas'!K$25,'Consulta Contratos'!$P:$P,'Performance Vendas'!$B30,'Consulta Contratos'!$H:$H,"Ativo")</f>
        <v>0</v>
      </c>
      <c r="L31" s="251">
        <f>SUMIFS('Consulta Contratos'!$AO:$AO,'Consulta Contratos'!$AM:$AM,'Performance Vendas'!L$25,'Consulta Contratos'!$P:$P,'Performance Vendas'!$B30,'Consulta Contratos'!$H:$H,"Ativo")</f>
        <v>0</v>
      </c>
      <c r="M31" s="251">
        <f>SUMIFS('Consulta Contratos'!$AO:$AO,'Consulta Contratos'!$AM:$AM,'Performance Vendas'!M$25,'Consulta Contratos'!$P:$P,'Performance Vendas'!$B30,'Consulta Contratos'!$H:$H,"Ativo")</f>
        <v>0</v>
      </c>
      <c r="N31" s="251">
        <f>SUMIFS('Consulta Contratos'!$AO:$AO,'Consulta Contratos'!$AM:$AM,'Performance Vendas'!N$25,'Consulta Contratos'!$P:$P,'Performance Vendas'!$B30,'Consulta Contratos'!$H:$H,"Ativo")</f>
        <v>0</v>
      </c>
      <c r="O31" s="251">
        <f>SUMIFS('Consulta Contratos'!$AO:$AO,'Consulta Contratos'!$AM:$AM,'Performance Vendas'!O$25,'Consulta Contratos'!$P:$P,'Performance Vendas'!$B30,'Consulta Contratos'!$H:$H,"Ativo")</f>
        <v>0</v>
      </c>
      <c r="P31" s="251">
        <f>SUMIFS('Consulta Contratos'!$AO:$AO,'Consulta Contratos'!$AM:$AM,'Performance Vendas'!P$25,'Consulta Contratos'!$P:$P,'Performance Vendas'!$B30,'Consulta Contratos'!$H:$H,"Ativo")</f>
        <v>2</v>
      </c>
      <c r="Q31" s="251">
        <f>SUMIFS('Consulta Contratos'!$AO:$AO,'Consulta Contratos'!$AM:$AM,'Performance Vendas'!Q$25,'Consulta Contratos'!$P:$P,'Performance Vendas'!$B30,'Consulta Contratos'!$H:$H,"Ativo")</f>
        <v>0</v>
      </c>
      <c r="R31" s="251">
        <f>SUMIFS('Consulta Contratos'!$AO:$AO,'Consulta Contratos'!$AM:$AM,'Performance Vendas'!R$25,'Consulta Contratos'!$P:$P,'Performance Vendas'!$B30,'Consulta Contratos'!$H:$H,"Ativo")</f>
        <v>0</v>
      </c>
      <c r="S31" s="251">
        <f>SUMIFS('Consulta Contratos'!$AO:$AO,'Consulta Contratos'!$AM:$AM,'Performance Vendas'!S$25,'Consulta Contratos'!$P:$P,'Performance Vendas'!$B30,'Consulta Contratos'!$H:$H,"Ativo")</f>
        <v>0</v>
      </c>
      <c r="T31" s="251">
        <f>SUMIFS('Consulta Contratos'!$AO:$AO,'Consulta Contratos'!$AM:$AM,'Performance Vendas'!T$25,'Consulta Contratos'!$P:$P,'Performance Vendas'!$B30,'Consulta Contratos'!$H:$H,"Ativo")</f>
        <v>0</v>
      </c>
      <c r="U31" s="251">
        <f>SUMIFS('Consulta Contratos'!$AO:$AO,'Consulta Contratos'!$AM:$AM,'Performance Vendas'!U$25,'Consulta Contratos'!$P:$P,'Performance Vendas'!$B30,'Consulta Contratos'!$H:$H,"Ativo")</f>
        <v>0</v>
      </c>
      <c r="V31" s="251">
        <f>SUMIFS('Consulta Contratos'!$AO:$AO,'Consulta Contratos'!$AM:$AM,'Performance Vendas'!V$25,'Consulta Contratos'!$P:$P,'Performance Vendas'!$B30,'Consulta Contratos'!$H:$H,"Ativo")</f>
        <v>1</v>
      </c>
      <c r="W31" s="252">
        <f>SUM(K31:V31)</f>
        <v>3</v>
      </c>
      <c r="X31" s="251">
        <f>SUMIFS('Consulta Contratos'!$AO:$AO,'Consulta Contratos'!$AM:$AM,'Performance Vendas'!X$25,'Consulta Contratos'!$P:$P,'Performance Vendas'!$B30,'Consulta Contratos'!$H:$H,"Ativo")</f>
        <v>0</v>
      </c>
      <c r="Y31" s="251">
        <f>SUMIFS('Consulta Contratos'!$AO:$AO,'Consulta Contratos'!$AM:$AM,'Performance Vendas'!Y$25,'Consulta Contratos'!$P:$P,'Performance Vendas'!$B30,'Consulta Contratos'!$H:$H,"Ativo")</f>
        <v>0</v>
      </c>
      <c r="Z31" s="251">
        <f>SUMIFS('Consulta Contratos'!$AO:$AO,'Consulta Contratos'!$AM:$AM,'Performance Vendas'!Z$25,'Consulta Contratos'!$P:$P,'Performance Vendas'!$B30,'Consulta Contratos'!$H:$H,"Ativo")</f>
        <v>1</v>
      </c>
      <c r="AA31" s="251">
        <f>SUMIFS('Consulta Contratos'!$AO:$AO,'Consulta Contratos'!$AM:$AM,'Performance Vendas'!AA$25,'Consulta Contratos'!$P:$P,'Performance Vendas'!$B30,'Consulta Contratos'!$H:$H,"Ativo")</f>
        <v>1</v>
      </c>
      <c r="AB31" s="251">
        <f>SUMIFS('Consulta Contratos'!$AO:$AO,'Consulta Contratos'!$AM:$AM,'Performance Vendas'!AB$25,'Consulta Contratos'!$P:$P,'Performance Vendas'!$B30,'Consulta Contratos'!$H:$H,"Ativo")</f>
        <v>1</v>
      </c>
      <c r="AC31" s="251">
        <f>SUMIFS('Consulta Contratos'!$AO:$AO,'Consulta Contratos'!$AM:$AM,'Performance Vendas'!AC$25,'Consulta Contratos'!$P:$P,'Performance Vendas'!$B30,'Consulta Contratos'!$H:$H,"Ativo")</f>
        <v>0</v>
      </c>
      <c r="AD31" s="251">
        <f>SUMIFS('Consulta Contratos'!$AO:$AO,'Consulta Contratos'!$AM:$AM,'Performance Vendas'!AD$25,'Consulta Contratos'!$P:$P,'Performance Vendas'!$B30,'Consulta Contratos'!$H:$H,"Ativo")</f>
        <v>0</v>
      </c>
      <c r="AE31" s="251">
        <f>SUMIFS('Consulta Contratos'!$AO:$AO,'Consulta Contratos'!$AM:$AM,'Performance Vendas'!AE$25,'Consulta Contratos'!$P:$P,'Performance Vendas'!$B30,'Consulta Contratos'!$H:$H,"Ativo")</f>
        <v>0</v>
      </c>
      <c r="AF31" s="251">
        <f>SUMIFS('Consulta Contratos'!$AO:$AO,'Consulta Contratos'!$AM:$AM,'Performance Vendas'!AF$25,'Consulta Contratos'!$P:$P,'Performance Vendas'!$B30,'Consulta Contratos'!$H:$H,"Ativo")</f>
        <v>1</v>
      </c>
      <c r="AG31" s="251">
        <f>SUMIFS('Consulta Contratos'!$AO:$AO,'Consulta Contratos'!$AM:$AM,'Performance Vendas'!AG$25,'Consulta Contratos'!$P:$P,'Performance Vendas'!$B30,'Consulta Contratos'!$H:$H,"Ativo")</f>
        <v>0</v>
      </c>
      <c r="AH31" s="251">
        <f>SUMIFS('Consulta Contratos'!$AO:$AO,'Consulta Contratos'!$AM:$AM,'Performance Vendas'!AH$25,'Consulta Contratos'!$P:$P,'Performance Vendas'!$B30,'Consulta Contratos'!$H:$H,"Ativo")</f>
        <v>0</v>
      </c>
      <c r="AI31" s="251">
        <f>SUMIFS('Consulta Contratos'!$AO:$AO,'Consulta Contratos'!$AM:$AM,'Performance Vendas'!AI$25,'Consulta Contratos'!$P:$P,'Performance Vendas'!$B30,'Consulta Contratos'!$H:$H,"Ativo")</f>
        <v>1</v>
      </c>
      <c r="AJ31" s="252">
        <f>SUM(X31:AI31)</f>
        <v>5</v>
      </c>
      <c r="AK31" s="251">
        <f>SUMIFS('Consulta Contratos'!$AO:$AO,'Consulta Contratos'!$AM:$AM,'Performance Vendas'!AK$25,'Consulta Contratos'!$P:$P,'Performance Vendas'!$B30,'Consulta Contratos'!$H:$H,"Ativo")</f>
        <v>0</v>
      </c>
      <c r="AL31" s="251">
        <f>SUMIFS('Consulta Contratos'!$AO:$AO,'Consulta Contratos'!$AM:$AM,'Performance Vendas'!AL$25,'Consulta Contratos'!$P:$P,'Performance Vendas'!$B30,'Consulta Contratos'!$H:$H,"Ativo")</f>
        <v>0</v>
      </c>
      <c r="AM31" s="251">
        <f>SUMIFS('Consulta Contratos'!$AO:$AO,'Consulta Contratos'!$AM:$AM,'Performance Vendas'!AM$25,'Consulta Contratos'!$P:$P,'Performance Vendas'!$B30,'Consulta Contratos'!$H:$H,"Ativo")</f>
        <v>0</v>
      </c>
      <c r="AN31" s="251">
        <f>SUMIFS('Consulta Contratos'!$AO:$AO,'Consulta Contratos'!$AM:$AM,'Performance Vendas'!AN$25,'Consulta Contratos'!$P:$P,'Performance Vendas'!$B30,'Consulta Contratos'!$H:$H,"Ativo")</f>
        <v>0</v>
      </c>
      <c r="AO31" s="251">
        <f>SUMIFS('Consulta Contratos'!$AO:$AO,'Consulta Contratos'!$AM:$AM,'Performance Vendas'!AO$25,'Consulta Contratos'!$P:$P,'Performance Vendas'!$B30,'Consulta Contratos'!$H:$H,"Ativo")</f>
        <v>0</v>
      </c>
      <c r="AP31" s="251">
        <f>SUMIFS('Consulta Contratos'!$AO:$AO,'Consulta Contratos'!$AM:$AM,'Performance Vendas'!AP$25,'Consulta Contratos'!$P:$P,'Performance Vendas'!$B30,'Consulta Contratos'!$H:$H,"Ativo")</f>
        <v>0</v>
      </c>
      <c r="AQ31" s="251">
        <f>SUMIFS('Consulta Contratos'!$AO:$AO,'Consulta Contratos'!$AM:$AM,'Performance Vendas'!AQ$25,'Consulta Contratos'!$P:$P,'Performance Vendas'!$B30,'Consulta Contratos'!$H:$H,"Ativo")</f>
        <v>0</v>
      </c>
      <c r="AR31" s="251">
        <f>SUMIFS('Consulta Contratos'!$AO:$AO,'Consulta Contratos'!$AM:$AM,'Performance Vendas'!AR$25,'Consulta Contratos'!$P:$P,'Performance Vendas'!$B30,'Consulta Contratos'!$H:$H,"Ativo")</f>
        <v>0</v>
      </c>
      <c r="AS31" s="251">
        <f>SUMIFS('Consulta Contratos'!$AO:$AO,'Consulta Contratos'!$AM:$AM,'Performance Vendas'!AS$25,'Consulta Contratos'!$P:$P,'Performance Vendas'!$B30,'Consulta Contratos'!$H:$H,"Ativo")</f>
        <v>0</v>
      </c>
      <c r="AT31" s="251">
        <f>SUMIFS('Consulta Contratos'!$AO:$AO,'Consulta Contratos'!$AM:$AM,'Performance Vendas'!AT$25,'Consulta Contratos'!$P:$P,'Performance Vendas'!$B30,'Consulta Contratos'!$H:$H,"Ativo")</f>
        <v>0</v>
      </c>
      <c r="AU31" s="251">
        <f>SUMIFS('Consulta Contratos'!$AO:$AO,'Consulta Contratos'!$AM:$AM,'Performance Vendas'!AU$25,'Consulta Contratos'!$P:$P,'Performance Vendas'!$B30,'Consulta Contratos'!$H:$H,"Ativo")</f>
        <v>0</v>
      </c>
      <c r="AV31" s="251">
        <f>SUMIFS('Consulta Contratos'!$AO:$AO,'Consulta Contratos'!$AM:$AM,'Performance Vendas'!AV$25,'Consulta Contratos'!$P:$P,'Performance Vendas'!$B30,'Consulta Contratos'!$H:$H,"Ativo")</f>
        <v>0</v>
      </c>
      <c r="AW31" s="252">
        <f>SUM(AK31:AV31)</f>
        <v>0</v>
      </c>
      <c r="AX31" s="252">
        <f>AJ31+W31+J31+AW31</f>
        <v>15</v>
      </c>
      <c r="AY31" s="81"/>
      <c r="AZ31" s="83">
        <f>COUNTIFS('Consulta Contratos'!$AM:$AM,'Performance Vendas'!AZ$25,'Consulta Contratos'!$G:$G,"Assinado",'Consulta Contratos'!$P:$P,'Performance Vendas'!$B30)-COUNTIFS('Consulta Contratos'!$AM:$AM,'Performance Vendas'!AZ$25,'Consulta Contratos'!$H:$H,"Cancelado",'Consulta Contratos'!$G:$G,"Assinado",'Consulta Contratos'!$P:$P,'Performance Vendas'!$B30)-COUNTIFS('Consulta Contratos'!$AM:$AM,'Performance Vendas'!AZ$25,'Consulta Contratos'!$H:$H,"Cancelado Upgrade",'Consulta Contratos'!$G:$G,"Assinado",'Consulta Contratos'!$P:$P,'Performance Vendas'!$B30)</f>
        <v>0</v>
      </c>
    </row>
    <row r="32" spans="1:62" s="87" customFormat="1">
      <c r="B32" s="499" t="s">
        <v>83</v>
      </c>
      <c r="C32" s="117" t="s">
        <v>70</v>
      </c>
      <c r="D32" s="330"/>
      <c r="E32" s="82">
        <f>SUMIFS('Consulta Contratos'!$Z:$Z,'Consulta Contratos'!$AM:$AM,'Performance Vendas'!E$25,'Consulta Contratos'!$P:$P,'Performance Vendas'!$B32,'Consulta Contratos'!$H:$H,"Ativo")</f>
        <v>0</v>
      </c>
      <c r="F32" s="82">
        <f>SUMIFS('Consulta Contratos'!$Z:$Z,'Consulta Contratos'!$AM:$AM,'Performance Vendas'!F$25,'Consulta Contratos'!$P:$P,'Performance Vendas'!$B32,'Consulta Contratos'!$H:$H,"Ativo")</f>
        <v>0</v>
      </c>
      <c r="G32" s="82">
        <f>SUMIFS('Consulta Contratos'!$Z:$Z,'Consulta Contratos'!$AM:$AM,'Performance Vendas'!G$25,'Consulta Contratos'!$P:$P,'Performance Vendas'!$B32,'Consulta Contratos'!$H:$H,"Ativo")</f>
        <v>0</v>
      </c>
      <c r="H32" s="82">
        <f>SUMIFS('Consulta Contratos'!$Z:$Z,'Consulta Contratos'!$AM:$AM,'Performance Vendas'!H$25,'Consulta Contratos'!$P:$P,'Performance Vendas'!$B32,'Consulta Contratos'!$H:$H,"Ativo")</f>
        <v>0</v>
      </c>
      <c r="I32" s="82">
        <f>SUMIFS('Consulta Contratos'!$Z:$Z,'Consulta Contratos'!$AM:$AM,'Performance Vendas'!I$25,'Consulta Contratos'!$P:$P,'Performance Vendas'!$B32,'Consulta Contratos'!$H:$H,"Ativo")</f>
        <v>0</v>
      </c>
      <c r="J32" s="86">
        <f t="shared" ref="J32:J41" si="68">SUM(E32:I32)</f>
        <v>0</v>
      </c>
      <c r="K32" s="82">
        <f>SUMIFS('Consulta Contratos'!$Z:$Z,'Consulta Contratos'!$AM:$AM,'Performance Vendas'!K$25,'Consulta Contratos'!$P:$P,'Performance Vendas'!$B32,'Consulta Contratos'!$H:$H,"Ativo")</f>
        <v>0</v>
      </c>
      <c r="L32" s="82">
        <f>SUMIFS('Consulta Contratos'!$Z:$Z,'Consulta Contratos'!$AM:$AM,'Performance Vendas'!L$25,'Consulta Contratos'!$P:$P,'Performance Vendas'!$B32,'Consulta Contratos'!$H:$H,"Ativo")</f>
        <v>0</v>
      </c>
      <c r="M32" s="82">
        <f>SUMIFS('Consulta Contratos'!$Z:$Z,'Consulta Contratos'!$AM:$AM,'Performance Vendas'!M$25,'Consulta Contratos'!$P:$P,'Performance Vendas'!$B32,'Consulta Contratos'!$H:$H,"Ativo")</f>
        <v>0</v>
      </c>
      <c r="N32" s="82">
        <f>SUMIFS('Consulta Contratos'!$Z:$Z,'Consulta Contratos'!$AM:$AM,'Performance Vendas'!N$25,'Consulta Contratos'!$P:$P,'Performance Vendas'!$B32,'Consulta Contratos'!$H:$H,"Ativo")</f>
        <v>0</v>
      </c>
      <c r="O32" s="82">
        <f>SUMIFS('Consulta Contratos'!$Z:$Z,'Consulta Contratos'!$AM:$AM,'Performance Vendas'!O$25,'Consulta Contratos'!$P:$P,'Performance Vendas'!$B32,'Consulta Contratos'!$H:$H,"Ativo")</f>
        <v>2580000</v>
      </c>
      <c r="P32" s="82">
        <f>SUMIFS('Consulta Contratos'!$Z:$Z,'Consulta Contratos'!$AM:$AM,'Performance Vendas'!P$25,'Consulta Contratos'!$P:$P,'Performance Vendas'!$B32,'Consulta Contratos'!$H:$H,"Ativo")</f>
        <v>996000</v>
      </c>
      <c r="Q32" s="82">
        <f>SUMIFS('Consulta Contratos'!$Z:$Z,'Consulta Contratos'!$AM:$AM,'Performance Vendas'!Q$25,'Consulta Contratos'!$P:$P,'Performance Vendas'!$B32,'Consulta Contratos'!$H:$H,"Ativo")</f>
        <v>0</v>
      </c>
      <c r="R32" s="82">
        <f>SUMIFS('Consulta Contratos'!$Z:$Z,'Consulta Contratos'!$AM:$AM,'Performance Vendas'!R$25,'Consulta Contratos'!$P:$P,'Performance Vendas'!$B32,'Consulta Contratos'!$H:$H,"Ativo")</f>
        <v>1240999.96</v>
      </c>
      <c r="S32" s="82">
        <f>SUMIFS('Consulta Contratos'!$Z:$Z,'Consulta Contratos'!$AM:$AM,'Performance Vendas'!S$25,'Consulta Contratos'!$P:$P,'Performance Vendas'!$B32,'Consulta Contratos'!$H:$H,"Ativo")</f>
        <v>496400.02</v>
      </c>
      <c r="T32" s="82">
        <f>SUMIFS('Consulta Contratos'!$Z:$Z,'Consulta Contratos'!$AM:$AM,'Performance Vendas'!T$25,'Consulta Contratos'!$P:$P,'Performance Vendas'!$B32,'Consulta Contratos'!$H:$H,"Ativo")</f>
        <v>1400000</v>
      </c>
      <c r="U32" s="82">
        <f>SUMIFS('Consulta Contratos'!$Z:$Z,'Consulta Contratos'!$AM:$AM,'Performance Vendas'!U$25,'Consulta Contratos'!$P:$P,'Performance Vendas'!$B32,'Consulta Contratos'!$H:$H,"Ativo")</f>
        <v>0</v>
      </c>
      <c r="V32" s="82">
        <f>SUMIFS('Consulta Contratos'!$Z:$Z,'Consulta Contratos'!$AM:$AM,'Performance Vendas'!V$25,'Consulta Contratos'!$P:$P,'Performance Vendas'!$B32,'Consulta Contratos'!$H:$H,"Ativo")</f>
        <v>0</v>
      </c>
      <c r="W32" s="86">
        <f t="shared" ref="W32:W41" si="69">SUM(K32:V32)</f>
        <v>6713399.9800000004</v>
      </c>
      <c r="X32" s="82">
        <f>SUMIFS('Consulta Contratos'!$Z:$Z,'Consulta Contratos'!$AM:$AM,'Performance Vendas'!X$25,'Consulta Contratos'!$P:$P,'Performance Vendas'!$B32,'Consulta Contratos'!$H:$H,"Ativo")</f>
        <v>0</v>
      </c>
      <c r="Y32" s="82">
        <f>SUMIFS('Consulta Contratos'!$Z:$Z,'Consulta Contratos'!$AM:$AM,'Performance Vendas'!Y$25,'Consulta Contratos'!$P:$P,'Performance Vendas'!$B32,'Consulta Contratos'!$H:$H,"Ativo")</f>
        <v>0</v>
      </c>
      <c r="Z32" s="82">
        <f>SUMIFS('Consulta Contratos'!$Z:$Z,'Consulta Contratos'!$AM:$AM,'Performance Vendas'!Z$25,'Consulta Contratos'!$P:$P,'Performance Vendas'!$B32,'Consulta Contratos'!$H:$H,"Ativo")</f>
        <v>0</v>
      </c>
      <c r="AA32" s="82">
        <f>SUMIFS('Consulta Contratos'!$Z:$Z,'Consulta Contratos'!$AM:$AM,'Performance Vendas'!AA$25,'Consulta Contratos'!$P:$P,'Performance Vendas'!$B32,'Consulta Contratos'!$H:$H,"Ativo")</f>
        <v>0</v>
      </c>
      <c r="AB32" s="82">
        <f>SUMIFS('Consulta Contratos'!$Z:$Z,'Consulta Contratos'!$AM:$AM,'Performance Vendas'!AB$25,'Consulta Contratos'!$P:$P,'Performance Vendas'!$B32,'Consulta Contratos'!$H:$H,"Ativo")</f>
        <v>0</v>
      </c>
      <c r="AC32" s="82">
        <f>SUMIFS('Consulta Contratos'!$Z:$Z,'Consulta Contratos'!$AM:$AM,'Performance Vendas'!AC$25,'Consulta Contratos'!$P:$P,'Performance Vendas'!$B32,'Consulta Contratos'!$H:$H,"Ativo")</f>
        <v>0</v>
      </c>
      <c r="AD32" s="82">
        <f>SUMIFS('Consulta Contratos'!$Z:$Z,'Consulta Contratos'!$AM:$AM,'Performance Vendas'!AD$25,'Consulta Contratos'!$P:$P,'Performance Vendas'!$B32,'Consulta Contratos'!$H:$H,"Ativo")</f>
        <v>0</v>
      </c>
      <c r="AE32" s="82">
        <f>SUMIFS('Consulta Contratos'!$Z:$Z,'Consulta Contratos'!$AM:$AM,'Performance Vendas'!AE$25,'Consulta Contratos'!$P:$P,'Performance Vendas'!$B32,'Consulta Contratos'!$H:$H,"Ativo")</f>
        <v>0</v>
      </c>
      <c r="AF32" s="82">
        <f>SUMIFS('Consulta Contratos'!$Z:$Z,'Consulta Contratos'!$AM:$AM,'Performance Vendas'!AF$25,'Consulta Contratos'!$P:$P,'Performance Vendas'!$B32,'Consulta Contratos'!$H:$H,"Ativo")</f>
        <v>0</v>
      </c>
      <c r="AG32" s="82">
        <f>SUMIFS('Consulta Contratos'!$Z:$Z,'Consulta Contratos'!$AM:$AM,'Performance Vendas'!AG$25,'Consulta Contratos'!$P:$P,'Performance Vendas'!$B32,'Consulta Contratos'!$H:$H,"Ativo")</f>
        <v>0</v>
      </c>
      <c r="AH32" s="82">
        <f>SUMIFS('Consulta Contratos'!$Z:$Z,'Consulta Contratos'!$AM:$AM,'Performance Vendas'!AH$25,'Consulta Contratos'!$P:$P,'Performance Vendas'!$B32,'Consulta Contratos'!$H:$H,"Ativo")</f>
        <v>0</v>
      </c>
      <c r="AI32" s="82">
        <f>SUMIFS('Consulta Contratos'!$Z:$Z,'Consulta Contratos'!$AM:$AM,'Performance Vendas'!AI$25,'Consulta Contratos'!$P:$P,'Performance Vendas'!$B32,'Consulta Contratos'!$H:$H,"Ativo")</f>
        <v>0</v>
      </c>
      <c r="AJ32" s="86">
        <f t="shared" ref="AJ32:AJ41" si="70">SUM(X32:AI32)</f>
        <v>0</v>
      </c>
      <c r="AK32" s="82">
        <f>SUMIFS('Consulta Contratos'!$Z:$Z,'Consulta Contratos'!$AM:$AM,'Performance Vendas'!AK$25,'Consulta Contratos'!$P:$P,'Performance Vendas'!$B32,'Consulta Contratos'!$H:$H,"Ativo")</f>
        <v>0</v>
      </c>
      <c r="AL32" s="82">
        <f>SUMIFS('Consulta Contratos'!$Z:$Z,'Consulta Contratos'!$AM:$AM,'Performance Vendas'!AL$25,'Consulta Contratos'!$P:$P,'Performance Vendas'!$B32,'Consulta Contratos'!$H:$H,"Ativo")</f>
        <v>0</v>
      </c>
      <c r="AM32" s="82">
        <f>SUMIFS('Consulta Contratos'!$Z:$Z,'Consulta Contratos'!$AM:$AM,'Performance Vendas'!AM$25,'Consulta Contratos'!$P:$P,'Performance Vendas'!$B32,'Consulta Contratos'!$H:$H,"Ativo")</f>
        <v>0</v>
      </c>
      <c r="AN32" s="82">
        <f>SUMIFS('Consulta Contratos'!$Z:$Z,'Consulta Contratos'!$AM:$AM,'Performance Vendas'!AN$25,'Consulta Contratos'!$P:$P,'Performance Vendas'!$B32,'Consulta Contratos'!$H:$H,"Ativo")</f>
        <v>0</v>
      </c>
      <c r="AO32" s="82">
        <f>SUMIFS('Consulta Contratos'!$Z:$Z,'Consulta Contratos'!$AM:$AM,'Performance Vendas'!AO$25,'Consulta Contratos'!$P:$P,'Performance Vendas'!$B32,'Consulta Contratos'!$H:$H,"Ativo")</f>
        <v>0</v>
      </c>
      <c r="AP32" s="82">
        <f>SUMIFS('Consulta Contratos'!$Z:$Z,'Consulta Contratos'!$AM:$AM,'Performance Vendas'!AP$25,'Consulta Contratos'!$P:$P,'Performance Vendas'!$B32,'Consulta Contratos'!$H:$H,"Ativo")</f>
        <v>0</v>
      </c>
      <c r="AQ32" s="82">
        <f>SUMIFS('Consulta Contratos'!$Z:$Z,'Consulta Contratos'!$AM:$AM,'Performance Vendas'!AQ$25,'Consulta Contratos'!$P:$P,'Performance Vendas'!$B32,'Consulta Contratos'!$H:$H,"Ativo")</f>
        <v>0</v>
      </c>
      <c r="AR32" s="82">
        <f>SUMIFS('Consulta Contratos'!$Z:$Z,'Consulta Contratos'!$AM:$AM,'Performance Vendas'!AR$25,'Consulta Contratos'!$P:$P,'Performance Vendas'!$B32,'Consulta Contratos'!$H:$H,"Ativo")</f>
        <v>0</v>
      </c>
      <c r="AS32" s="82">
        <f>SUMIFS('Consulta Contratos'!$Z:$Z,'Consulta Contratos'!$AM:$AM,'Performance Vendas'!AS$25,'Consulta Contratos'!$P:$P,'Performance Vendas'!$B32,'Consulta Contratos'!$H:$H,"Ativo")</f>
        <v>0</v>
      </c>
      <c r="AT32" s="82">
        <f>SUMIFS('Consulta Contratos'!$Z:$Z,'Consulta Contratos'!$AM:$AM,'Performance Vendas'!AT$25,'Consulta Contratos'!$P:$P,'Performance Vendas'!$B32,'Consulta Contratos'!$H:$H,"Ativo")</f>
        <v>0</v>
      </c>
      <c r="AU32" s="82">
        <f>SUMIFS('Consulta Contratos'!$Z:$Z,'Consulta Contratos'!$AM:$AM,'Performance Vendas'!AU$25,'Consulta Contratos'!$P:$P,'Performance Vendas'!$B32,'Consulta Contratos'!$H:$H,"Ativo")</f>
        <v>0</v>
      </c>
      <c r="AV32" s="82">
        <f>SUMIFS('Consulta Contratos'!$Z:$Z,'Consulta Contratos'!$AM:$AM,'Performance Vendas'!AV$25,'Consulta Contratos'!$P:$P,'Performance Vendas'!$B32,'Consulta Contratos'!$H:$H,"Ativo")</f>
        <v>0</v>
      </c>
      <c r="AW32" s="86">
        <f t="shared" ref="AW32:AW41" si="71">SUM(AK32:AV32)</f>
        <v>0</v>
      </c>
      <c r="AX32" s="86">
        <f>AJ32+W32+J32+AW32</f>
        <v>6713399.9800000004</v>
      </c>
      <c r="AY32" s="81">
        <f>AX32/AX42</f>
        <v>1.752640363523646E-2</v>
      </c>
      <c r="AZ32" s="82">
        <f>SUMIFS('Consulta Contratos'!$Z:$Z,'Consulta Contratos'!$AM:$AM,'Performance Vendas'!AZ$25,'Consulta Contratos'!$P:$P,'Performance Vendas'!$B32,'Consulta Contratos'!$H:$H,"Ativo")</f>
        <v>0</v>
      </c>
    </row>
    <row r="33" spans="2:91" s="88" customFormat="1" ht="12.75">
      <c r="B33" s="500"/>
      <c r="C33" s="256" t="s">
        <v>71</v>
      </c>
      <c r="D33" s="330"/>
      <c r="E33" s="251">
        <f>SUMIFS('Consulta Contratos'!$AO:$AO,'Consulta Contratos'!$AM:$AM,'Performance Vendas'!E$25,'Consulta Contratos'!$P:$P,'Performance Vendas'!$B32,'Consulta Contratos'!$H:$H,"Ativo")</f>
        <v>0</v>
      </c>
      <c r="F33" s="251">
        <f>SUMIFS('Consulta Contratos'!$AO:$AO,'Consulta Contratos'!$AM:$AM,'Performance Vendas'!F$25,'Consulta Contratos'!$P:$P,'Performance Vendas'!$B32,'Consulta Contratos'!$H:$H,"Ativo")</f>
        <v>0</v>
      </c>
      <c r="G33" s="251">
        <f>SUMIFS('Consulta Contratos'!$AO:$AO,'Consulta Contratos'!$AM:$AM,'Performance Vendas'!G$25,'Consulta Contratos'!$P:$P,'Performance Vendas'!$B32,'Consulta Contratos'!$H:$H,"Ativo")</f>
        <v>0</v>
      </c>
      <c r="H33" s="251">
        <f>SUMIFS('Consulta Contratos'!$AO:$AO,'Consulta Contratos'!$AM:$AM,'Performance Vendas'!H$25,'Consulta Contratos'!$P:$P,'Performance Vendas'!$B32,'Consulta Contratos'!$H:$H,"Ativo")</f>
        <v>0</v>
      </c>
      <c r="I33" s="251">
        <f>SUMIFS('Consulta Contratos'!$AO:$AO,'Consulta Contratos'!$AM:$AM,'Performance Vendas'!I$25,'Consulta Contratos'!$P:$P,'Performance Vendas'!$B32,'Consulta Contratos'!$H:$H,"Ativo")</f>
        <v>0</v>
      </c>
      <c r="J33" s="252">
        <f t="shared" si="68"/>
        <v>0</v>
      </c>
      <c r="K33" s="251">
        <f>SUMIFS('Consulta Contratos'!$AO:$AO,'Consulta Contratos'!$AM:$AM,'Performance Vendas'!K$25,'Consulta Contratos'!$P:$P,'Performance Vendas'!$B32,'Consulta Contratos'!$H:$H,"Ativo")</f>
        <v>0</v>
      </c>
      <c r="L33" s="251">
        <f>SUMIFS('Consulta Contratos'!$AO:$AO,'Consulta Contratos'!$AM:$AM,'Performance Vendas'!L$25,'Consulta Contratos'!$P:$P,'Performance Vendas'!$B32,'Consulta Contratos'!$H:$H,"Ativo")</f>
        <v>0</v>
      </c>
      <c r="M33" s="251">
        <f>SUMIFS('Consulta Contratos'!$AO:$AO,'Consulta Contratos'!$AM:$AM,'Performance Vendas'!M$25,'Consulta Contratos'!$P:$P,'Performance Vendas'!$B32,'Consulta Contratos'!$H:$H,"Ativo")</f>
        <v>0</v>
      </c>
      <c r="N33" s="251">
        <f>SUMIFS('Consulta Contratos'!$AO:$AO,'Consulta Contratos'!$AM:$AM,'Performance Vendas'!N$25,'Consulta Contratos'!$P:$P,'Performance Vendas'!$B32,'Consulta Contratos'!$H:$H,"Ativo")</f>
        <v>0</v>
      </c>
      <c r="O33" s="251">
        <f>SUMIFS('Consulta Contratos'!$AO:$AO,'Consulta Contratos'!$AM:$AM,'Performance Vendas'!O$25,'Consulta Contratos'!$P:$P,'Performance Vendas'!$B32,'Consulta Contratos'!$H:$H,"Ativo")</f>
        <v>2</v>
      </c>
      <c r="P33" s="251">
        <f>SUMIFS('Consulta Contratos'!$AO:$AO,'Consulta Contratos'!$AM:$AM,'Performance Vendas'!P$25,'Consulta Contratos'!$P:$P,'Performance Vendas'!$B32,'Consulta Contratos'!$H:$H,"Ativo")</f>
        <v>1</v>
      </c>
      <c r="Q33" s="251">
        <f>SUMIFS('Consulta Contratos'!$AO:$AO,'Consulta Contratos'!$AM:$AM,'Performance Vendas'!Q$25,'Consulta Contratos'!$P:$P,'Performance Vendas'!$B32,'Consulta Contratos'!$H:$H,"Ativo")</f>
        <v>0</v>
      </c>
      <c r="R33" s="251">
        <f>SUMIFS('Consulta Contratos'!$AO:$AO,'Consulta Contratos'!$AM:$AM,'Performance Vendas'!R$25,'Consulta Contratos'!$P:$P,'Performance Vendas'!$B32,'Consulta Contratos'!$H:$H,"Ativo")</f>
        <v>3</v>
      </c>
      <c r="S33" s="251">
        <f>SUMIFS('Consulta Contratos'!$AO:$AO,'Consulta Contratos'!$AM:$AM,'Performance Vendas'!S$25,'Consulta Contratos'!$P:$P,'Performance Vendas'!$B32,'Consulta Contratos'!$H:$H,"Ativo")</f>
        <v>0</v>
      </c>
      <c r="T33" s="251">
        <f>SUMIFS('Consulta Contratos'!$AO:$AO,'Consulta Contratos'!$AM:$AM,'Performance Vendas'!T$25,'Consulta Contratos'!$P:$P,'Performance Vendas'!$B32,'Consulta Contratos'!$H:$H,"Ativo")</f>
        <v>1</v>
      </c>
      <c r="U33" s="251">
        <f>SUMIFS('Consulta Contratos'!$AO:$AO,'Consulta Contratos'!$AM:$AM,'Performance Vendas'!U$25,'Consulta Contratos'!$P:$P,'Performance Vendas'!$B32,'Consulta Contratos'!$H:$H,"Ativo")</f>
        <v>0</v>
      </c>
      <c r="V33" s="251">
        <f>SUMIFS('Consulta Contratos'!$AO:$AO,'Consulta Contratos'!$AM:$AM,'Performance Vendas'!V$25,'Consulta Contratos'!$P:$P,'Performance Vendas'!$B32,'Consulta Contratos'!$H:$H,"Ativo")</f>
        <v>0</v>
      </c>
      <c r="W33" s="252">
        <f t="shared" si="69"/>
        <v>7</v>
      </c>
      <c r="X33" s="251">
        <f>SUMIFS('Consulta Contratos'!$AO:$AO,'Consulta Contratos'!$AM:$AM,'Performance Vendas'!X$25,'Consulta Contratos'!$P:$P,'Performance Vendas'!$B32,'Consulta Contratos'!$H:$H,"Ativo")</f>
        <v>0</v>
      </c>
      <c r="Y33" s="251">
        <f>SUMIFS('Consulta Contratos'!$AO:$AO,'Consulta Contratos'!$AM:$AM,'Performance Vendas'!Y$25,'Consulta Contratos'!$P:$P,'Performance Vendas'!$B32,'Consulta Contratos'!$H:$H,"Ativo")</f>
        <v>0</v>
      </c>
      <c r="Z33" s="251">
        <f>SUMIFS('Consulta Contratos'!$AO:$AO,'Consulta Contratos'!$AM:$AM,'Performance Vendas'!Z$25,'Consulta Contratos'!$P:$P,'Performance Vendas'!$B32,'Consulta Contratos'!$H:$H,"Ativo")</f>
        <v>0</v>
      </c>
      <c r="AA33" s="251">
        <f>SUMIFS('Consulta Contratos'!$AO:$AO,'Consulta Contratos'!$AM:$AM,'Performance Vendas'!AA$25,'Consulta Contratos'!$P:$P,'Performance Vendas'!$B32,'Consulta Contratos'!$H:$H,"Ativo")</f>
        <v>0</v>
      </c>
      <c r="AB33" s="251">
        <f>SUMIFS('Consulta Contratos'!$AO:$AO,'Consulta Contratos'!$AM:$AM,'Performance Vendas'!AB$25,'Consulta Contratos'!$P:$P,'Performance Vendas'!$B32,'Consulta Contratos'!$H:$H,"Ativo")</f>
        <v>0</v>
      </c>
      <c r="AC33" s="251">
        <f>SUMIFS('Consulta Contratos'!$AO:$AO,'Consulta Contratos'!$AM:$AM,'Performance Vendas'!AC$25,'Consulta Contratos'!$P:$P,'Performance Vendas'!$B32,'Consulta Contratos'!$H:$H,"Ativo")</f>
        <v>0</v>
      </c>
      <c r="AD33" s="251">
        <f>SUMIFS('Consulta Contratos'!$AO:$AO,'Consulta Contratos'!$AM:$AM,'Performance Vendas'!AD$25,'Consulta Contratos'!$P:$P,'Performance Vendas'!$B32,'Consulta Contratos'!$H:$H,"Ativo")</f>
        <v>0</v>
      </c>
      <c r="AE33" s="251">
        <f>SUMIFS('Consulta Contratos'!$AO:$AO,'Consulta Contratos'!$AM:$AM,'Performance Vendas'!AE$25,'Consulta Contratos'!$P:$P,'Performance Vendas'!$B32,'Consulta Contratos'!$H:$H,"Ativo")</f>
        <v>0</v>
      </c>
      <c r="AF33" s="251">
        <f>SUMIFS('Consulta Contratos'!$AO:$AO,'Consulta Contratos'!$AM:$AM,'Performance Vendas'!AF$25,'Consulta Contratos'!$P:$P,'Performance Vendas'!$B32,'Consulta Contratos'!$H:$H,"Ativo")</f>
        <v>0</v>
      </c>
      <c r="AG33" s="251">
        <f>SUMIFS('Consulta Contratos'!$AO:$AO,'Consulta Contratos'!$AM:$AM,'Performance Vendas'!AG$25,'Consulta Contratos'!$P:$P,'Performance Vendas'!$B32,'Consulta Contratos'!$H:$H,"Ativo")</f>
        <v>0</v>
      </c>
      <c r="AH33" s="251">
        <f>SUMIFS('Consulta Contratos'!$AO:$AO,'Consulta Contratos'!$AM:$AM,'Performance Vendas'!AH$25,'Consulta Contratos'!$P:$P,'Performance Vendas'!$B32,'Consulta Contratos'!$H:$H,"Ativo")</f>
        <v>0</v>
      </c>
      <c r="AI33" s="251">
        <f>SUMIFS('Consulta Contratos'!$AO:$AO,'Consulta Contratos'!$AM:$AM,'Performance Vendas'!AI$25,'Consulta Contratos'!$P:$P,'Performance Vendas'!$B32,'Consulta Contratos'!$H:$H,"Ativo")</f>
        <v>0</v>
      </c>
      <c r="AJ33" s="252">
        <f t="shared" si="70"/>
        <v>0</v>
      </c>
      <c r="AK33" s="251">
        <f>SUMIFS('Consulta Contratos'!$AO:$AO,'Consulta Contratos'!$AM:$AM,'Performance Vendas'!AK$25,'Consulta Contratos'!$P:$P,'Performance Vendas'!$B32,'Consulta Contratos'!$H:$H,"Ativo")</f>
        <v>0</v>
      </c>
      <c r="AL33" s="251">
        <f>SUMIFS('Consulta Contratos'!$AO:$AO,'Consulta Contratos'!$AM:$AM,'Performance Vendas'!AL$25,'Consulta Contratos'!$P:$P,'Performance Vendas'!$B32,'Consulta Contratos'!$H:$H,"Ativo")</f>
        <v>0</v>
      </c>
      <c r="AM33" s="251">
        <f>SUMIFS('Consulta Contratos'!$AO:$AO,'Consulta Contratos'!$AM:$AM,'Performance Vendas'!AM$25,'Consulta Contratos'!$P:$P,'Performance Vendas'!$B32,'Consulta Contratos'!$H:$H,"Ativo")</f>
        <v>0</v>
      </c>
      <c r="AN33" s="251">
        <f>SUMIFS('Consulta Contratos'!$AO:$AO,'Consulta Contratos'!$AM:$AM,'Performance Vendas'!AN$25,'Consulta Contratos'!$P:$P,'Performance Vendas'!$B32,'Consulta Contratos'!$H:$H,"Ativo")</f>
        <v>0</v>
      </c>
      <c r="AO33" s="251">
        <f>SUMIFS('Consulta Contratos'!$AO:$AO,'Consulta Contratos'!$AM:$AM,'Performance Vendas'!AO$25,'Consulta Contratos'!$P:$P,'Performance Vendas'!$B32,'Consulta Contratos'!$H:$H,"Ativo")</f>
        <v>0</v>
      </c>
      <c r="AP33" s="251">
        <f>SUMIFS('Consulta Contratos'!$AO:$AO,'Consulta Contratos'!$AM:$AM,'Performance Vendas'!AP$25,'Consulta Contratos'!$P:$P,'Performance Vendas'!$B32,'Consulta Contratos'!$H:$H,"Ativo")</f>
        <v>0</v>
      </c>
      <c r="AQ33" s="251">
        <f>SUMIFS('Consulta Contratos'!$AO:$AO,'Consulta Contratos'!$AM:$AM,'Performance Vendas'!AQ$25,'Consulta Contratos'!$P:$P,'Performance Vendas'!$B32,'Consulta Contratos'!$H:$H,"Ativo")</f>
        <v>0</v>
      </c>
      <c r="AR33" s="251">
        <f>SUMIFS('Consulta Contratos'!$AO:$AO,'Consulta Contratos'!$AM:$AM,'Performance Vendas'!AR$25,'Consulta Contratos'!$P:$P,'Performance Vendas'!$B32,'Consulta Contratos'!$H:$H,"Ativo")</f>
        <v>0</v>
      </c>
      <c r="AS33" s="251">
        <f>SUMIFS('Consulta Contratos'!$AO:$AO,'Consulta Contratos'!$AM:$AM,'Performance Vendas'!AS$25,'Consulta Contratos'!$P:$P,'Performance Vendas'!$B32,'Consulta Contratos'!$H:$H,"Ativo")</f>
        <v>0</v>
      </c>
      <c r="AT33" s="251">
        <f>SUMIFS('Consulta Contratos'!$AO:$AO,'Consulta Contratos'!$AM:$AM,'Performance Vendas'!AT$25,'Consulta Contratos'!$P:$P,'Performance Vendas'!$B32,'Consulta Contratos'!$H:$H,"Ativo")</f>
        <v>0</v>
      </c>
      <c r="AU33" s="251">
        <f>SUMIFS('Consulta Contratos'!$AO:$AO,'Consulta Contratos'!$AM:$AM,'Performance Vendas'!AU$25,'Consulta Contratos'!$P:$P,'Performance Vendas'!$B32,'Consulta Contratos'!$H:$H,"Ativo")</f>
        <v>0</v>
      </c>
      <c r="AV33" s="251">
        <f>SUMIFS('Consulta Contratos'!$AO:$AO,'Consulta Contratos'!$AM:$AM,'Performance Vendas'!AV$25,'Consulta Contratos'!$P:$P,'Performance Vendas'!$B32,'Consulta Contratos'!$H:$H,"Ativo")</f>
        <v>0</v>
      </c>
      <c r="AW33" s="252">
        <f t="shared" si="71"/>
        <v>0</v>
      </c>
      <c r="AX33" s="252">
        <f>AJ33+W33+J33+AW33</f>
        <v>7</v>
      </c>
      <c r="AY33" s="81"/>
      <c r="AZ33" s="83">
        <f>COUNTIFS('Consulta Contratos'!$AM:$AM,'Performance Vendas'!AZ$25,'Consulta Contratos'!$G:$G,"Assinado",'Consulta Contratos'!$P:$P,'Performance Vendas'!$B32)-COUNTIFS('Consulta Contratos'!$AM:$AM,'Performance Vendas'!AZ$25,'Consulta Contratos'!$H:$H,"Cancelado",'Consulta Contratos'!$G:$G,"Assinado",'Consulta Contratos'!$P:$P,'Performance Vendas'!$B32)-COUNTIFS('Consulta Contratos'!$AM:$AM,'Performance Vendas'!AZ$25,'Consulta Contratos'!$H:$H,"Cancelado Upgrade",'Consulta Contratos'!$G:$G,"Assinado",'Consulta Contratos'!$P:$P,'Performance Vendas'!$B32)</f>
        <v>0</v>
      </c>
    </row>
    <row r="34" spans="2:91" s="87" customFormat="1">
      <c r="B34" s="499" t="s">
        <v>84</v>
      </c>
      <c r="C34" s="117" t="s">
        <v>70</v>
      </c>
      <c r="D34" s="330"/>
      <c r="E34" s="82">
        <f>SUMIFS('Consulta Contratos'!$Z:$Z,'Consulta Contratos'!$AM:$AM,'Performance Vendas'!E$25,'Consulta Contratos'!$P:$P,'Performance Vendas'!$B34,'Consulta Contratos'!$H:$H,"Ativo")</f>
        <v>0</v>
      </c>
      <c r="F34" s="82">
        <f>SUMIFS('Consulta Contratos'!$Z:$Z,'Consulta Contratos'!$AM:$AM,'Performance Vendas'!F$25,'Consulta Contratos'!$P:$P,'Performance Vendas'!$B34,'Consulta Contratos'!$H:$H,"Ativo")</f>
        <v>0</v>
      </c>
      <c r="G34" s="82">
        <f>SUMIFS('Consulta Contratos'!$Z:$Z,'Consulta Contratos'!$AM:$AM,'Performance Vendas'!G$25,'Consulta Contratos'!$P:$P,'Performance Vendas'!$B34,'Consulta Contratos'!$H:$H,"Ativo")</f>
        <v>0</v>
      </c>
      <c r="H34" s="82">
        <f>SUMIFS('Consulta Contratos'!$Z:$Z,'Consulta Contratos'!$AM:$AM,'Performance Vendas'!H$25,'Consulta Contratos'!$P:$P,'Performance Vendas'!$B34,'Consulta Contratos'!$H:$H,"Ativo")</f>
        <v>0</v>
      </c>
      <c r="I34" s="82">
        <f>SUMIFS('Consulta Contratos'!$Z:$Z,'Consulta Contratos'!$AM:$AM,'Performance Vendas'!I$25,'Consulta Contratos'!$P:$P,'Performance Vendas'!$B34,'Consulta Contratos'!$H:$H,"Ativo")</f>
        <v>0</v>
      </c>
      <c r="J34" s="86">
        <f t="shared" si="68"/>
        <v>0</v>
      </c>
      <c r="K34" s="82">
        <f>SUMIFS('Consulta Contratos'!$Z:$Z,'Consulta Contratos'!$AM:$AM,'Performance Vendas'!K$25,'Consulta Contratos'!$P:$P,'Performance Vendas'!$B34,'Consulta Contratos'!$H:$H,"Ativo")</f>
        <v>0</v>
      </c>
      <c r="L34" s="82">
        <f>SUMIFS('Consulta Contratos'!$Z:$Z,'Consulta Contratos'!$AM:$AM,'Performance Vendas'!L$25,'Consulta Contratos'!$P:$P,'Performance Vendas'!$B34,'Consulta Contratos'!$H:$H,"Ativo")</f>
        <v>0</v>
      </c>
      <c r="M34" s="82">
        <f>SUMIFS('Consulta Contratos'!$Z:$Z,'Consulta Contratos'!$AM:$AM,'Performance Vendas'!M$25,'Consulta Contratos'!$P:$P,'Performance Vendas'!$B34,'Consulta Contratos'!$H:$H,"Ativo")</f>
        <v>0</v>
      </c>
      <c r="N34" s="82">
        <f>SUMIFS('Consulta Contratos'!$Z:$Z,'Consulta Contratos'!$AM:$AM,'Performance Vendas'!N$25,'Consulta Contratos'!$P:$P,'Performance Vendas'!$B34,'Consulta Contratos'!$H:$H,"Ativo")</f>
        <v>0</v>
      </c>
      <c r="O34" s="82">
        <f>SUMIFS('Consulta Contratos'!$Z:$Z,'Consulta Contratos'!$AM:$AM,'Performance Vendas'!O$25,'Consulta Contratos'!$P:$P,'Performance Vendas'!$B34,'Consulta Contratos'!$H:$H,"Ativo")</f>
        <v>0</v>
      </c>
      <c r="P34" s="82">
        <f>SUMIFS('Consulta Contratos'!$Z:$Z,'Consulta Contratos'!$AM:$AM,'Performance Vendas'!P$25,'Consulta Contratos'!$P:$P,'Performance Vendas'!$B34,'Consulta Contratos'!$H:$H,"Ativo")</f>
        <v>0</v>
      </c>
      <c r="Q34" s="82">
        <f>SUMIFS('Consulta Contratos'!$Z:$Z,'Consulta Contratos'!$AM:$AM,'Performance Vendas'!Q$25,'Consulta Contratos'!$P:$P,'Performance Vendas'!$B34,'Consulta Contratos'!$H:$H,"Ativo")</f>
        <v>0</v>
      </c>
      <c r="R34" s="82">
        <f>SUMIFS('Consulta Contratos'!$Z:$Z,'Consulta Contratos'!$AM:$AM,'Performance Vendas'!R$25,'Consulta Contratos'!$P:$P,'Performance Vendas'!$B34,'Consulta Contratos'!$H:$H,"Ativo")</f>
        <v>0</v>
      </c>
      <c r="S34" s="82">
        <f>SUMIFS('Consulta Contratos'!$Z:$Z,'Consulta Contratos'!$AM:$AM,'Performance Vendas'!S$25,'Consulta Contratos'!$P:$P,'Performance Vendas'!$B34,'Consulta Contratos'!$H:$H,"Ativo")</f>
        <v>0</v>
      </c>
      <c r="T34" s="82">
        <f>SUMIFS('Consulta Contratos'!$Z:$Z,'Consulta Contratos'!$AM:$AM,'Performance Vendas'!T$25,'Consulta Contratos'!$P:$P,'Performance Vendas'!$B34,'Consulta Contratos'!$H:$H,"Ativo")</f>
        <v>0</v>
      </c>
      <c r="U34" s="82">
        <f>SUMIFS('Consulta Contratos'!$Z:$Z,'Consulta Contratos'!$AM:$AM,'Performance Vendas'!U$25,'Consulta Contratos'!$P:$P,'Performance Vendas'!$B34,'Consulta Contratos'!$H:$H,"Ativo")</f>
        <v>0</v>
      </c>
      <c r="V34" s="82">
        <f>SUMIFS('Consulta Contratos'!$Z:$Z,'Consulta Contratos'!$AM:$AM,'Performance Vendas'!V$25,'Consulta Contratos'!$P:$P,'Performance Vendas'!$B34,'Consulta Contratos'!$H:$H,"Ativo")</f>
        <v>0</v>
      </c>
      <c r="W34" s="86">
        <f t="shared" si="69"/>
        <v>0</v>
      </c>
      <c r="X34" s="82">
        <f>SUMIFS('Consulta Contratos'!$Z:$Z,'Consulta Contratos'!$AM:$AM,'Performance Vendas'!X$25,'Consulta Contratos'!$P:$P,'Performance Vendas'!$B34,'Consulta Contratos'!$H:$H,"Ativo")</f>
        <v>0</v>
      </c>
      <c r="Y34" s="82">
        <f>SUMIFS('Consulta Contratos'!$Z:$Z,'Consulta Contratos'!$AM:$AM,'Performance Vendas'!Y$25,'Consulta Contratos'!$P:$P,'Performance Vendas'!$B34,'Consulta Contratos'!$H:$H,"Ativo")</f>
        <v>0</v>
      </c>
      <c r="Z34" s="82">
        <f>SUMIFS('Consulta Contratos'!$Z:$Z,'Consulta Contratos'!$AM:$AM,'Performance Vendas'!Z$25,'Consulta Contratos'!$P:$P,'Performance Vendas'!$B34,'Consulta Contratos'!$H:$H,"Ativo")</f>
        <v>0</v>
      </c>
      <c r="AA34" s="82">
        <f>SUMIFS('Consulta Contratos'!$Z:$Z,'Consulta Contratos'!$AM:$AM,'Performance Vendas'!AA$25,'Consulta Contratos'!$P:$P,'Performance Vendas'!$B34,'Consulta Contratos'!$H:$H,"Ativo")</f>
        <v>0</v>
      </c>
      <c r="AB34" s="82">
        <f>SUMIFS('Consulta Contratos'!$Z:$Z,'Consulta Contratos'!$AM:$AM,'Performance Vendas'!AB$25,'Consulta Contratos'!$P:$P,'Performance Vendas'!$B34,'Consulta Contratos'!$H:$H,"Ativo")</f>
        <v>0</v>
      </c>
      <c r="AC34" s="82">
        <f>SUMIFS('Consulta Contratos'!$Z:$Z,'Consulta Contratos'!$AM:$AM,'Performance Vendas'!AC$25,'Consulta Contratos'!$P:$P,'Performance Vendas'!$B34,'Consulta Contratos'!$H:$H,"Ativo")</f>
        <v>0</v>
      </c>
      <c r="AD34" s="82">
        <f>SUMIFS('Consulta Contratos'!$Z:$Z,'Consulta Contratos'!$AM:$AM,'Performance Vendas'!AD$25,'Consulta Contratos'!$P:$P,'Performance Vendas'!$B34,'Consulta Contratos'!$H:$H,"Ativo")</f>
        <v>0</v>
      </c>
      <c r="AE34" s="82">
        <f>SUMIFS('Consulta Contratos'!$Z:$Z,'Consulta Contratos'!$AM:$AM,'Performance Vendas'!AE$25,'Consulta Contratos'!$P:$P,'Performance Vendas'!$B34,'Consulta Contratos'!$H:$H,"Ativo")</f>
        <v>0</v>
      </c>
      <c r="AF34" s="82">
        <f>SUMIFS('Consulta Contratos'!$Z:$Z,'Consulta Contratos'!$AM:$AM,'Performance Vendas'!AF$25,'Consulta Contratos'!$P:$P,'Performance Vendas'!$B34,'Consulta Contratos'!$H:$H,"Ativo")</f>
        <v>0</v>
      </c>
      <c r="AG34" s="82">
        <f>SUMIFS('Consulta Contratos'!$Z:$Z,'Consulta Contratos'!$AM:$AM,'Performance Vendas'!AG$25,'Consulta Contratos'!$P:$P,'Performance Vendas'!$B34,'Consulta Contratos'!$H:$H,"Ativo")</f>
        <v>0</v>
      </c>
      <c r="AH34" s="82">
        <f>SUMIFS('Consulta Contratos'!$Z:$Z,'Consulta Contratos'!$AM:$AM,'Performance Vendas'!AH$25,'Consulta Contratos'!$P:$P,'Performance Vendas'!$B34,'Consulta Contratos'!$H:$H,"Ativo")</f>
        <v>0</v>
      </c>
      <c r="AI34" s="82">
        <f>SUMIFS('Consulta Contratos'!$Z:$Z,'Consulta Contratos'!$AM:$AM,'Performance Vendas'!AI$25,'Consulta Contratos'!$P:$P,'Performance Vendas'!$B34,'Consulta Contratos'!$H:$H,"Ativo")</f>
        <v>0</v>
      </c>
      <c r="AJ34" s="86">
        <f t="shared" si="70"/>
        <v>0</v>
      </c>
      <c r="AK34" s="82">
        <f>SUMIFS('Consulta Contratos'!$Z:$Z,'Consulta Contratos'!$AM:$AM,'Performance Vendas'!AK$25,'Consulta Contratos'!$P:$P,'Performance Vendas'!$B34,'Consulta Contratos'!$H:$H,"Ativo")</f>
        <v>0</v>
      </c>
      <c r="AL34" s="82">
        <f>SUMIFS('Consulta Contratos'!$Z:$Z,'Consulta Contratos'!$AM:$AM,'Performance Vendas'!AL$25,'Consulta Contratos'!$P:$P,'Performance Vendas'!$B34,'Consulta Contratos'!$H:$H,"Ativo")</f>
        <v>0</v>
      </c>
      <c r="AM34" s="82">
        <f>SUMIFS('Consulta Contratos'!$Z:$Z,'Consulta Contratos'!$AM:$AM,'Performance Vendas'!AM$25,'Consulta Contratos'!$P:$P,'Performance Vendas'!$B34,'Consulta Contratos'!$H:$H,"Ativo")</f>
        <v>0</v>
      </c>
      <c r="AN34" s="82">
        <f>SUMIFS('Consulta Contratos'!$Z:$Z,'Consulta Contratos'!$AM:$AM,'Performance Vendas'!AN$25,'Consulta Contratos'!$P:$P,'Performance Vendas'!$B34,'Consulta Contratos'!$H:$H,"Ativo")</f>
        <v>0</v>
      </c>
      <c r="AO34" s="82">
        <f>SUMIFS('Consulta Contratos'!$Z:$Z,'Consulta Contratos'!$AM:$AM,'Performance Vendas'!AO$25,'Consulta Contratos'!$P:$P,'Performance Vendas'!$B34,'Consulta Contratos'!$H:$H,"Ativo")</f>
        <v>0</v>
      </c>
      <c r="AP34" s="82">
        <f>SUMIFS('Consulta Contratos'!$Z:$Z,'Consulta Contratos'!$AM:$AM,'Performance Vendas'!AP$25,'Consulta Contratos'!$P:$P,'Performance Vendas'!$B34,'Consulta Contratos'!$H:$H,"Ativo")</f>
        <v>0</v>
      </c>
      <c r="AQ34" s="82">
        <f>SUMIFS('Consulta Contratos'!$Z:$Z,'Consulta Contratos'!$AM:$AM,'Performance Vendas'!AQ$25,'Consulta Contratos'!$P:$P,'Performance Vendas'!$B34,'Consulta Contratos'!$H:$H,"Ativo")</f>
        <v>0</v>
      </c>
      <c r="AR34" s="82">
        <f>SUMIFS('Consulta Contratos'!$Z:$Z,'Consulta Contratos'!$AM:$AM,'Performance Vendas'!AR$25,'Consulta Contratos'!$P:$P,'Performance Vendas'!$B34,'Consulta Contratos'!$H:$H,"Ativo")</f>
        <v>0</v>
      </c>
      <c r="AS34" s="82">
        <f>SUMIFS('Consulta Contratos'!$Z:$Z,'Consulta Contratos'!$AM:$AM,'Performance Vendas'!AS$25,'Consulta Contratos'!$P:$P,'Performance Vendas'!$B34,'Consulta Contratos'!$H:$H,"Ativo")</f>
        <v>0</v>
      </c>
      <c r="AT34" s="82">
        <f>SUMIFS('Consulta Contratos'!$Z:$Z,'Consulta Contratos'!$AM:$AM,'Performance Vendas'!AT$25,'Consulta Contratos'!$P:$P,'Performance Vendas'!$B34,'Consulta Contratos'!$H:$H,"Ativo")</f>
        <v>0</v>
      </c>
      <c r="AU34" s="82">
        <f>SUMIFS('Consulta Contratos'!$Z:$Z,'Consulta Contratos'!$AM:$AM,'Performance Vendas'!AU$25,'Consulta Contratos'!$P:$P,'Performance Vendas'!$B34,'Consulta Contratos'!$H:$H,"Ativo")</f>
        <v>0</v>
      </c>
      <c r="AV34" s="82">
        <f>SUMIFS('Consulta Contratos'!$Z:$Z,'Consulta Contratos'!$AM:$AM,'Performance Vendas'!AV$25,'Consulta Contratos'!$P:$P,'Performance Vendas'!$B34,'Consulta Contratos'!$H:$H,"Ativo")</f>
        <v>0</v>
      </c>
      <c r="AW34" s="86">
        <f t="shared" si="71"/>
        <v>0</v>
      </c>
      <c r="AX34" s="86">
        <f>AJ34+W34+J34+AW34</f>
        <v>0</v>
      </c>
      <c r="AY34" s="81">
        <f>AX34/AX42</f>
        <v>0</v>
      </c>
      <c r="AZ34" s="82">
        <f>SUMIFS('Consulta Contratos'!$Z:$Z,'Consulta Contratos'!$AM:$AM,'Performance Vendas'!AZ$25,'Consulta Contratos'!$P:$P,'Performance Vendas'!$B34,'Consulta Contratos'!$H:$H,"Ativo")</f>
        <v>0</v>
      </c>
    </row>
    <row r="35" spans="2:91" s="88" customFormat="1" ht="12.75">
      <c r="B35" s="500"/>
      <c r="C35" s="256" t="s">
        <v>71</v>
      </c>
      <c r="D35" s="330"/>
      <c r="E35" s="251">
        <f>SUMIFS('Consulta Contratos'!$AO:$AO,'Consulta Contratos'!$AM:$AM,'Performance Vendas'!E$25,'Consulta Contratos'!$P:$P,'Performance Vendas'!$B34,'Consulta Contratos'!$H:$H,"Ativo")</f>
        <v>0</v>
      </c>
      <c r="F35" s="251">
        <f>SUMIFS('Consulta Contratos'!$AO:$AO,'Consulta Contratos'!$AM:$AM,'Performance Vendas'!F$25,'Consulta Contratos'!$P:$P,'Performance Vendas'!$B34,'Consulta Contratos'!$H:$H,"Ativo")</f>
        <v>0</v>
      </c>
      <c r="G35" s="251">
        <f>SUMIFS('Consulta Contratos'!$AO:$AO,'Consulta Contratos'!$AM:$AM,'Performance Vendas'!G$25,'Consulta Contratos'!$P:$P,'Performance Vendas'!$B34,'Consulta Contratos'!$H:$H,"Ativo")</f>
        <v>0</v>
      </c>
      <c r="H35" s="251">
        <f>SUMIFS('Consulta Contratos'!$AO:$AO,'Consulta Contratos'!$AM:$AM,'Performance Vendas'!H$25,'Consulta Contratos'!$P:$P,'Performance Vendas'!$B34,'Consulta Contratos'!$H:$H,"Ativo")</f>
        <v>0</v>
      </c>
      <c r="I35" s="251">
        <f>SUMIFS('Consulta Contratos'!$AO:$AO,'Consulta Contratos'!$AM:$AM,'Performance Vendas'!I$25,'Consulta Contratos'!$P:$P,'Performance Vendas'!$B34,'Consulta Contratos'!$H:$H,"Ativo")</f>
        <v>0</v>
      </c>
      <c r="J35" s="252">
        <f t="shared" si="68"/>
        <v>0</v>
      </c>
      <c r="K35" s="251">
        <f>SUMIFS('Consulta Contratos'!$AO:$AO,'Consulta Contratos'!$AM:$AM,'Performance Vendas'!K$25,'Consulta Contratos'!$P:$P,'Performance Vendas'!$B34,'Consulta Contratos'!$H:$H,"Ativo")</f>
        <v>0</v>
      </c>
      <c r="L35" s="251">
        <f>SUMIFS('Consulta Contratos'!$AO:$AO,'Consulta Contratos'!$AM:$AM,'Performance Vendas'!L$25,'Consulta Contratos'!$P:$P,'Performance Vendas'!$B34,'Consulta Contratos'!$H:$H,"Ativo")</f>
        <v>0</v>
      </c>
      <c r="M35" s="251">
        <f>SUMIFS('Consulta Contratos'!$AO:$AO,'Consulta Contratos'!$AM:$AM,'Performance Vendas'!M$25,'Consulta Contratos'!$P:$P,'Performance Vendas'!$B34,'Consulta Contratos'!$H:$H,"Ativo")</f>
        <v>0</v>
      </c>
      <c r="N35" s="251">
        <f>SUMIFS('Consulta Contratos'!$AO:$AO,'Consulta Contratos'!$AM:$AM,'Performance Vendas'!N$25,'Consulta Contratos'!$P:$P,'Performance Vendas'!$B34,'Consulta Contratos'!$H:$H,"Ativo")</f>
        <v>0</v>
      </c>
      <c r="O35" s="251">
        <f>SUMIFS('Consulta Contratos'!$AO:$AO,'Consulta Contratos'!$AM:$AM,'Performance Vendas'!O$25,'Consulta Contratos'!$P:$P,'Performance Vendas'!$B34,'Consulta Contratos'!$H:$H,"Ativo")</f>
        <v>0</v>
      </c>
      <c r="P35" s="251">
        <f>SUMIFS('Consulta Contratos'!$AO:$AO,'Consulta Contratos'!$AM:$AM,'Performance Vendas'!P$25,'Consulta Contratos'!$P:$P,'Performance Vendas'!$B34,'Consulta Contratos'!$H:$H,"Ativo")</f>
        <v>0</v>
      </c>
      <c r="Q35" s="251">
        <f>SUMIFS('Consulta Contratos'!$AO:$AO,'Consulta Contratos'!$AM:$AM,'Performance Vendas'!Q$25,'Consulta Contratos'!$P:$P,'Performance Vendas'!$B34,'Consulta Contratos'!$H:$H,"Ativo")</f>
        <v>0</v>
      </c>
      <c r="R35" s="251">
        <f>SUMIFS('Consulta Contratos'!$AO:$AO,'Consulta Contratos'!$AM:$AM,'Performance Vendas'!R$25,'Consulta Contratos'!$P:$P,'Performance Vendas'!$B34,'Consulta Contratos'!$H:$H,"Ativo")</f>
        <v>0</v>
      </c>
      <c r="S35" s="251">
        <f>SUMIFS('Consulta Contratos'!$AO:$AO,'Consulta Contratos'!$AM:$AM,'Performance Vendas'!S$25,'Consulta Contratos'!$P:$P,'Performance Vendas'!$B34,'Consulta Contratos'!$H:$H,"Ativo")</f>
        <v>0</v>
      </c>
      <c r="T35" s="251">
        <f>SUMIFS('Consulta Contratos'!$AO:$AO,'Consulta Contratos'!$AM:$AM,'Performance Vendas'!T$25,'Consulta Contratos'!$P:$P,'Performance Vendas'!$B34,'Consulta Contratos'!$H:$H,"Ativo")</f>
        <v>0</v>
      </c>
      <c r="U35" s="251">
        <f>SUMIFS('Consulta Contratos'!$AO:$AO,'Consulta Contratos'!$AM:$AM,'Performance Vendas'!U$25,'Consulta Contratos'!$P:$P,'Performance Vendas'!$B34,'Consulta Contratos'!$H:$H,"Ativo")</f>
        <v>0</v>
      </c>
      <c r="V35" s="251">
        <f>SUMIFS('Consulta Contratos'!$AO:$AO,'Consulta Contratos'!$AM:$AM,'Performance Vendas'!V$25,'Consulta Contratos'!$P:$P,'Performance Vendas'!$B34,'Consulta Contratos'!$H:$H,"Ativo")</f>
        <v>0</v>
      </c>
      <c r="W35" s="252">
        <f t="shared" si="69"/>
        <v>0</v>
      </c>
      <c r="X35" s="251">
        <f>SUMIFS('Consulta Contratos'!$AO:$AO,'Consulta Contratos'!$AM:$AM,'Performance Vendas'!X$25,'Consulta Contratos'!$P:$P,'Performance Vendas'!$B34,'Consulta Contratos'!$H:$H,"Ativo")</f>
        <v>0</v>
      </c>
      <c r="Y35" s="251">
        <f>SUMIFS('Consulta Contratos'!$AO:$AO,'Consulta Contratos'!$AM:$AM,'Performance Vendas'!Y$25,'Consulta Contratos'!$P:$P,'Performance Vendas'!$B34,'Consulta Contratos'!$H:$H,"Ativo")</f>
        <v>0</v>
      </c>
      <c r="Z35" s="251">
        <f>SUMIFS('Consulta Contratos'!$AO:$AO,'Consulta Contratos'!$AM:$AM,'Performance Vendas'!Z$25,'Consulta Contratos'!$P:$P,'Performance Vendas'!$B34,'Consulta Contratos'!$H:$H,"Ativo")</f>
        <v>0</v>
      </c>
      <c r="AA35" s="251">
        <f>SUMIFS('Consulta Contratos'!$AO:$AO,'Consulta Contratos'!$AM:$AM,'Performance Vendas'!AA$25,'Consulta Contratos'!$P:$P,'Performance Vendas'!$B34,'Consulta Contratos'!$H:$H,"Ativo")</f>
        <v>0</v>
      </c>
      <c r="AB35" s="251">
        <f>SUMIFS('Consulta Contratos'!$AO:$AO,'Consulta Contratos'!$AM:$AM,'Performance Vendas'!AB$25,'Consulta Contratos'!$P:$P,'Performance Vendas'!$B34,'Consulta Contratos'!$H:$H,"Ativo")</f>
        <v>0</v>
      </c>
      <c r="AC35" s="251">
        <f>SUMIFS('Consulta Contratos'!$AO:$AO,'Consulta Contratos'!$AM:$AM,'Performance Vendas'!AC$25,'Consulta Contratos'!$P:$P,'Performance Vendas'!$B34,'Consulta Contratos'!$H:$H,"Ativo")</f>
        <v>0</v>
      </c>
      <c r="AD35" s="251">
        <f>SUMIFS('Consulta Contratos'!$AO:$AO,'Consulta Contratos'!$AM:$AM,'Performance Vendas'!AD$25,'Consulta Contratos'!$P:$P,'Performance Vendas'!$B34,'Consulta Contratos'!$H:$H,"Ativo")</f>
        <v>0</v>
      </c>
      <c r="AE35" s="251">
        <f>SUMIFS('Consulta Contratos'!$AO:$AO,'Consulta Contratos'!$AM:$AM,'Performance Vendas'!AE$25,'Consulta Contratos'!$P:$P,'Performance Vendas'!$B34,'Consulta Contratos'!$H:$H,"Ativo")</f>
        <v>0</v>
      </c>
      <c r="AF35" s="251">
        <f>SUMIFS('Consulta Contratos'!$AO:$AO,'Consulta Contratos'!$AM:$AM,'Performance Vendas'!AF$25,'Consulta Contratos'!$P:$P,'Performance Vendas'!$B34,'Consulta Contratos'!$H:$H,"Ativo")</f>
        <v>0</v>
      </c>
      <c r="AG35" s="251">
        <f>SUMIFS('Consulta Contratos'!$AO:$AO,'Consulta Contratos'!$AM:$AM,'Performance Vendas'!AG$25,'Consulta Contratos'!$P:$P,'Performance Vendas'!$B34,'Consulta Contratos'!$H:$H,"Ativo")</f>
        <v>0</v>
      </c>
      <c r="AH35" s="251">
        <f>SUMIFS('Consulta Contratos'!$AO:$AO,'Consulta Contratos'!$AM:$AM,'Performance Vendas'!AH$25,'Consulta Contratos'!$P:$P,'Performance Vendas'!$B34,'Consulta Contratos'!$H:$H,"Ativo")</f>
        <v>0</v>
      </c>
      <c r="AI35" s="251">
        <f>SUMIFS('Consulta Contratos'!$AO:$AO,'Consulta Contratos'!$AM:$AM,'Performance Vendas'!AI$25,'Consulta Contratos'!$P:$P,'Performance Vendas'!$B34,'Consulta Contratos'!$H:$H,"Ativo")</f>
        <v>0</v>
      </c>
      <c r="AJ35" s="252">
        <f t="shared" si="70"/>
        <v>0</v>
      </c>
      <c r="AK35" s="251">
        <f>SUMIFS('Consulta Contratos'!$AO:$AO,'Consulta Contratos'!$AM:$AM,'Performance Vendas'!AK$25,'Consulta Contratos'!$P:$P,'Performance Vendas'!$B34,'Consulta Contratos'!$H:$H,"Ativo")</f>
        <v>0</v>
      </c>
      <c r="AL35" s="251">
        <f>SUMIFS('Consulta Contratos'!$AO:$AO,'Consulta Contratos'!$AM:$AM,'Performance Vendas'!AL$25,'Consulta Contratos'!$P:$P,'Performance Vendas'!$B34,'Consulta Contratos'!$H:$H,"Ativo")</f>
        <v>0</v>
      </c>
      <c r="AM35" s="251">
        <f>SUMIFS('Consulta Contratos'!$AO:$AO,'Consulta Contratos'!$AM:$AM,'Performance Vendas'!AM$25,'Consulta Contratos'!$P:$P,'Performance Vendas'!$B34,'Consulta Contratos'!$H:$H,"Ativo")</f>
        <v>0</v>
      </c>
      <c r="AN35" s="251">
        <f>SUMIFS('Consulta Contratos'!$AO:$AO,'Consulta Contratos'!$AM:$AM,'Performance Vendas'!AN$25,'Consulta Contratos'!$P:$P,'Performance Vendas'!$B34,'Consulta Contratos'!$H:$H,"Ativo")</f>
        <v>0</v>
      </c>
      <c r="AO35" s="251">
        <f>SUMIFS('Consulta Contratos'!$AO:$AO,'Consulta Contratos'!$AM:$AM,'Performance Vendas'!AO$25,'Consulta Contratos'!$P:$P,'Performance Vendas'!$B34,'Consulta Contratos'!$H:$H,"Ativo")</f>
        <v>0</v>
      </c>
      <c r="AP35" s="251">
        <f>SUMIFS('Consulta Contratos'!$AO:$AO,'Consulta Contratos'!$AM:$AM,'Performance Vendas'!AP$25,'Consulta Contratos'!$P:$P,'Performance Vendas'!$B34,'Consulta Contratos'!$H:$H,"Ativo")</f>
        <v>0</v>
      </c>
      <c r="AQ35" s="251">
        <f>SUMIFS('Consulta Contratos'!$AO:$AO,'Consulta Contratos'!$AM:$AM,'Performance Vendas'!AQ$25,'Consulta Contratos'!$P:$P,'Performance Vendas'!$B34,'Consulta Contratos'!$H:$H,"Ativo")</f>
        <v>0</v>
      </c>
      <c r="AR35" s="251">
        <f>SUMIFS('Consulta Contratos'!$AO:$AO,'Consulta Contratos'!$AM:$AM,'Performance Vendas'!AR$25,'Consulta Contratos'!$P:$P,'Performance Vendas'!$B34,'Consulta Contratos'!$H:$H,"Ativo")</f>
        <v>0</v>
      </c>
      <c r="AS35" s="251">
        <f>SUMIFS('Consulta Contratos'!$AO:$AO,'Consulta Contratos'!$AM:$AM,'Performance Vendas'!AS$25,'Consulta Contratos'!$P:$P,'Performance Vendas'!$B34,'Consulta Contratos'!$H:$H,"Ativo")</f>
        <v>0</v>
      </c>
      <c r="AT35" s="251">
        <f>SUMIFS('Consulta Contratos'!$AO:$AO,'Consulta Contratos'!$AM:$AM,'Performance Vendas'!AT$25,'Consulta Contratos'!$P:$P,'Performance Vendas'!$B34,'Consulta Contratos'!$H:$H,"Ativo")</f>
        <v>0</v>
      </c>
      <c r="AU35" s="251">
        <f>SUMIFS('Consulta Contratos'!$AO:$AO,'Consulta Contratos'!$AM:$AM,'Performance Vendas'!AU$25,'Consulta Contratos'!$P:$P,'Performance Vendas'!$B34,'Consulta Contratos'!$H:$H,"Ativo")</f>
        <v>0</v>
      </c>
      <c r="AV35" s="251">
        <f>SUMIFS('Consulta Contratos'!$AO:$AO,'Consulta Contratos'!$AM:$AM,'Performance Vendas'!AV$25,'Consulta Contratos'!$P:$P,'Performance Vendas'!$B34,'Consulta Contratos'!$H:$H,"Ativo")</f>
        <v>0</v>
      </c>
      <c r="AW35" s="252">
        <f t="shared" si="71"/>
        <v>0</v>
      </c>
      <c r="AX35" s="252">
        <f>AJ35+W35+J35+AW35</f>
        <v>0</v>
      </c>
      <c r="AY35" s="81"/>
      <c r="AZ35" s="83">
        <f>COUNTIFS('Consulta Contratos'!$AM:$AM,'Performance Vendas'!AZ$25,'Consulta Contratos'!$G:$G,"Assinado",'Consulta Contratos'!$P:$P,'Performance Vendas'!$B34)-COUNTIFS('Consulta Contratos'!$AM:$AM,'Performance Vendas'!AZ$25,'Consulta Contratos'!$H:$H,"Cancelado",'Consulta Contratos'!$G:$G,"Assinado",'Consulta Contratos'!$P:$P,'Performance Vendas'!$B34)-COUNTIFS('Consulta Contratos'!$AM:$AM,'Performance Vendas'!AZ$25,'Consulta Contratos'!$H:$H,"Cancelado Upgrade",'Consulta Contratos'!$G:$G,"Assinado",'Consulta Contratos'!$P:$P,'Performance Vendas'!$B34)</f>
        <v>0</v>
      </c>
    </row>
    <row r="36" spans="2:91" s="87" customFormat="1">
      <c r="B36" s="499" t="s">
        <v>85</v>
      </c>
      <c r="C36" s="117" t="s">
        <v>70</v>
      </c>
      <c r="D36" s="330"/>
      <c r="E36" s="82">
        <f>SUMIFS('Consulta Contratos'!$Z:$Z,'Consulta Contratos'!$AM:$AM,'Performance Vendas'!E$25,'Consulta Contratos'!$P:$P,'Performance Vendas'!$B36,'Consulta Contratos'!$H:$H,"Ativo")</f>
        <v>0</v>
      </c>
      <c r="F36" s="82">
        <f>SUMIFS('Consulta Contratos'!$Z:$Z,'Consulta Contratos'!$AM:$AM,'Performance Vendas'!F$25,'Consulta Contratos'!$P:$P,'Performance Vendas'!$B36,'Consulta Contratos'!$H:$H,"Ativo")</f>
        <v>0</v>
      </c>
      <c r="G36" s="82">
        <f>SUMIFS('Consulta Contratos'!$Z:$Z,'Consulta Contratos'!$AM:$AM,'Performance Vendas'!G$25,'Consulta Contratos'!$P:$P,'Performance Vendas'!$B36,'Consulta Contratos'!$H:$H,"Ativo")</f>
        <v>0</v>
      </c>
      <c r="H36" s="82">
        <f>SUMIFS('Consulta Contratos'!$Z:$Z,'Consulta Contratos'!$AM:$AM,'Performance Vendas'!H$25,'Consulta Contratos'!$P:$P,'Performance Vendas'!$B36,'Consulta Contratos'!$H:$H,"Ativo")</f>
        <v>0</v>
      </c>
      <c r="I36" s="82">
        <f>SUMIFS('Consulta Contratos'!$Z:$Z,'Consulta Contratos'!$AM:$AM,'Performance Vendas'!I$25,'Consulta Contratos'!$P:$P,'Performance Vendas'!$B36,'Consulta Contratos'!$H:$H,"Ativo")</f>
        <v>0</v>
      </c>
      <c r="J36" s="86">
        <f t="shared" si="68"/>
        <v>0</v>
      </c>
      <c r="K36" s="82">
        <f>SUMIFS('Consulta Contratos'!$Z:$Z,'Consulta Contratos'!$AM:$AM,'Performance Vendas'!K$25,'Consulta Contratos'!$P:$P,'Performance Vendas'!$B36,'Consulta Contratos'!$H:$H,"Ativo")</f>
        <v>361549.19</v>
      </c>
      <c r="L36" s="82">
        <f>SUMIFS('Consulta Contratos'!$Z:$Z,'Consulta Contratos'!$AM:$AM,'Performance Vendas'!L$25,'Consulta Contratos'!$P:$P,'Performance Vendas'!$B36,'Consulta Contratos'!$H:$H,"Ativo")</f>
        <v>0</v>
      </c>
      <c r="M36" s="82">
        <f>SUMIFS('Consulta Contratos'!$Z:$Z,'Consulta Contratos'!$AM:$AM,'Performance Vendas'!M$25,'Consulta Contratos'!$P:$P,'Performance Vendas'!$B36,'Consulta Contratos'!$H:$H,"Ativo")</f>
        <v>0</v>
      </c>
      <c r="N36" s="82">
        <f>SUMIFS('Consulta Contratos'!$Z:$Z,'Consulta Contratos'!$AM:$AM,'Performance Vendas'!N$25,'Consulta Contratos'!$P:$P,'Performance Vendas'!$B36,'Consulta Contratos'!$H:$H,"Ativo")</f>
        <v>0</v>
      </c>
      <c r="O36" s="82">
        <f>SUMIFS('Consulta Contratos'!$Z:$Z,'Consulta Contratos'!$AM:$AM,'Performance Vendas'!O$25,'Consulta Contratos'!$P:$P,'Performance Vendas'!$B36,'Consulta Contratos'!$H:$H,"Ativo")</f>
        <v>1083000</v>
      </c>
      <c r="P36" s="82">
        <f>SUMIFS('Consulta Contratos'!$Z:$Z,'Consulta Contratos'!$AM:$AM,'Performance Vendas'!P$25,'Consulta Contratos'!$P:$P,'Performance Vendas'!$B36,'Consulta Contratos'!$H:$H,"Ativo")</f>
        <v>2625000</v>
      </c>
      <c r="Q36" s="82">
        <f>SUMIFS('Consulta Contratos'!$Z:$Z,'Consulta Contratos'!$AM:$AM,'Performance Vendas'!Q$25,'Consulta Contratos'!$P:$P,'Performance Vendas'!$B36,'Consulta Contratos'!$H:$H,"Ativo")</f>
        <v>0</v>
      </c>
      <c r="R36" s="82">
        <f>SUMIFS('Consulta Contratos'!$Z:$Z,'Consulta Contratos'!$AM:$AM,'Performance Vendas'!R$25,'Consulta Contratos'!$P:$P,'Performance Vendas'!$B36,'Consulta Contratos'!$H:$H,"Ativo")</f>
        <v>0</v>
      </c>
      <c r="S36" s="82">
        <f>SUMIFS('Consulta Contratos'!$Z:$Z,'Consulta Contratos'!$AM:$AM,'Performance Vendas'!S$25,'Consulta Contratos'!$P:$P,'Performance Vendas'!$B36,'Consulta Contratos'!$H:$H,"Ativo")</f>
        <v>0</v>
      </c>
      <c r="T36" s="82">
        <f>SUMIFS('Consulta Contratos'!$Z:$Z,'Consulta Contratos'!$AM:$AM,'Performance Vendas'!T$25,'Consulta Contratos'!$P:$P,'Performance Vendas'!$B36,'Consulta Contratos'!$H:$H,"Ativo")</f>
        <v>1180000</v>
      </c>
      <c r="U36" s="82">
        <f>SUMIFS('Consulta Contratos'!$Z:$Z,'Consulta Contratos'!$AM:$AM,'Performance Vendas'!U$25,'Consulta Contratos'!$P:$P,'Performance Vendas'!$B36,'Consulta Contratos'!$H:$H,"Ativo")</f>
        <v>227239.98</v>
      </c>
      <c r="V36" s="82">
        <f>SUMIFS('Consulta Contratos'!$Z:$Z,'Consulta Contratos'!$AM:$AM,'Performance Vendas'!V$25,'Consulta Contratos'!$P:$P,'Performance Vendas'!$B36,'Consulta Contratos'!$H:$H,"Ativo")</f>
        <v>775000</v>
      </c>
      <c r="W36" s="86">
        <f t="shared" si="69"/>
        <v>6251789.1699999999</v>
      </c>
      <c r="X36" s="82">
        <f>SUMIFS('Consulta Contratos'!$Z:$Z,'Consulta Contratos'!$AM:$AM,'Performance Vendas'!X$25,'Consulta Contratos'!$P:$P,'Performance Vendas'!$B36,'Consulta Contratos'!$H:$H,"Ativo")</f>
        <v>362191.96</v>
      </c>
      <c r="Y36" s="82">
        <f>SUMIFS('Consulta Contratos'!$Z:$Z,'Consulta Contratos'!$AM:$AM,'Performance Vendas'!Y$25,'Consulta Contratos'!$P:$P,'Performance Vendas'!$B36,'Consulta Contratos'!$H:$H,"Ativo")</f>
        <v>789304.23</v>
      </c>
      <c r="Z36" s="82">
        <f>SUMIFS('Consulta Contratos'!$Z:$Z,'Consulta Contratos'!$AM:$AM,'Performance Vendas'!Z$25,'Consulta Contratos'!$P:$P,'Performance Vendas'!$B36,'Consulta Contratos'!$H:$H,"Ativo")</f>
        <v>320000</v>
      </c>
      <c r="AA36" s="82">
        <f>SUMIFS('Consulta Contratos'!$Z:$Z,'Consulta Contratos'!$AM:$AM,'Performance Vendas'!AA$25,'Consulta Contratos'!$P:$P,'Performance Vendas'!$B36,'Consulta Contratos'!$H:$H,"Ativo")</f>
        <v>3998670</v>
      </c>
      <c r="AB36" s="82">
        <f>SUMIFS('Consulta Contratos'!$Z:$Z,'Consulta Contratos'!$AM:$AM,'Performance Vendas'!AB$25,'Consulta Contratos'!$P:$P,'Performance Vendas'!$B36,'Consulta Contratos'!$H:$H,"Ativo")</f>
        <v>339166.28</v>
      </c>
      <c r="AC36" s="82">
        <f>SUMIFS('Consulta Contratos'!$Z:$Z,'Consulta Contratos'!$AM:$AM,'Performance Vendas'!AC$25,'Consulta Contratos'!$P:$P,'Performance Vendas'!$B36,'Consulta Contratos'!$H:$H,"Ativo")</f>
        <v>751000</v>
      </c>
      <c r="AD36" s="82">
        <f>SUMIFS('Consulta Contratos'!$Z:$Z,'Consulta Contratos'!$AM:$AM,'Performance Vendas'!AD$25,'Consulta Contratos'!$P:$P,'Performance Vendas'!$B36,'Consulta Contratos'!$H:$H,"Ativo")</f>
        <v>3455000</v>
      </c>
      <c r="AE36" s="82">
        <f>SUMIFS('Consulta Contratos'!$Z:$Z,'Consulta Contratos'!$AM:$AM,'Performance Vendas'!AE$25,'Consulta Contratos'!$P:$P,'Performance Vendas'!$B36,'Consulta Contratos'!$H:$H,"Ativo")</f>
        <v>782400</v>
      </c>
      <c r="AF36" s="82">
        <f>SUMIFS('Consulta Contratos'!$Z:$Z,'Consulta Contratos'!$AM:$AM,'Performance Vendas'!AF$25,'Consulta Contratos'!$P:$P,'Performance Vendas'!$B36,'Consulta Contratos'!$H:$H,"Ativo")</f>
        <v>1882400.31</v>
      </c>
      <c r="AG36" s="82">
        <f>SUMIFS('Consulta Contratos'!$Z:$Z,'Consulta Contratos'!$AM:$AM,'Performance Vendas'!AG$25,'Consulta Contratos'!$P:$P,'Performance Vendas'!$B36,'Consulta Contratos'!$H:$H,"Ativo")</f>
        <v>2640000</v>
      </c>
      <c r="AH36" s="82">
        <f>SUMIFS('Consulta Contratos'!$Z:$Z,'Consulta Contratos'!$AM:$AM,'Performance Vendas'!AH$25,'Consulta Contratos'!$P:$P,'Performance Vendas'!$B36,'Consulta Contratos'!$H:$H,"Ativo")</f>
        <v>837099.92</v>
      </c>
      <c r="AI36" s="82">
        <f>SUMIFS('Consulta Contratos'!$Z:$Z,'Consulta Contratos'!$AM:$AM,'Performance Vendas'!AI$25,'Consulta Contratos'!$P:$P,'Performance Vendas'!$B36,'Consulta Contratos'!$H:$H,"Ativo")</f>
        <v>929150</v>
      </c>
      <c r="AJ36" s="86">
        <f t="shared" si="70"/>
        <v>17086382.699999999</v>
      </c>
      <c r="AK36" s="82">
        <f>SUMIFS('Consulta Contratos'!$Z:$Z,'Consulta Contratos'!$AM:$AM,'Performance Vendas'!AK$25,'Consulta Contratos'!$P:$P,'Performance Vendas'!$B36,'Consulta Contratos'!$H:$H,"Ativo")</f>
        <v>0</v>
      </c>
      <c r="AL36" s="82">
        <f>SUMIFS('Consulta Contratos'!$Z:$Z,'Consulta Contratos'!$AM:$AM,'Performance Vendas'!AL$25,'Consulta Contratos'!$P:$P,'Performance Vendas'!$B36,'Consulta Contratos'!$H:$H,"Ativo")</f>
        <v>787576.48</v>
      </c>
      <c r="AM36" s="82">
        <f>SUMIFS('Consulta Contratos'!$Z:$Z,'Consulta Contratos'!$AM:$AM,'Performance Vendas'!AM$25,'Consulta Contratos'!$P:$P,'Performance Vendas'!$B36,'Consulta Contratos'!$H:$H,"Ativo")</f>
        <v>0</v>
      </c>
      <c r="AN36" s="82">
        <f>SUMIFS('Consulta Contratos'!$Z:$Z,'Consulta Contratos'!$AM:$AM,'Performance Vendas'!AN$25,'Consulta Contratos'!$P:$P,'Performance Vendas'!$B36,'Consulta Contratos'!$H:$H,"Ativo")</f>
        <v>0</v>
      </c>
      <c r="AO36" s="82">
        <f>SUMIFS('Consulta Contratos'!$Z:$Z,'Consulta Contratos'!$AM:$AM,'Performance Vendas'!AO$25,'Consulta Contratos'!$P:$P,'Performance Vendas'!$B36,'Consulta Contratos'!$H:$H,"Ativo")</f>
        <v>0</v>
      </c>
      <c r="AP36" s="82">
        <f>SUMIFS('Consulta Contratos'!$Z:$Z,'Consulta Contratos'!$AM:$AM,'Performance Vendas'!AP$25,'Consulta Contratos'!$P:$P,'Performance Vendas'!$B36,'Consulta Contratos'!$H:$H,"Ativo")</f>
        <v>0</v>
      </c>
      <c r="AQ36" s="82">
        <f>SUMIFS('Consulta Contratos'!$Z:$Z,'Consulta Contratos'!$AM:$AM,'Performance Vendas'!AQ$25,'Consulta Contratos'!$P:$P,'Performance Vendas'!$B36,'Consulta Contratos'!$H:$H,"Ativo")</f>
        <v>0</v>
      </c>
      <c r="AR36" s="82">
        <f>SUMIFS('Consulta Contratos'!$Z:$Z,'Consulta Contratos'!$AM:$AM,'Performance Vendas'!AR$25,'Consulta Contratos'!$P:$P,'Performance Vendas'!$B36,'Consulta Contratos'!$H:$H,"Ativo")</f>
        <v>0</v>
      </c>
      <c r="AS36" s="82">
        <f>SUMIFS('Consulta Contratos'!$Z:$Z,'Consulta Contratos'!$AM:$AM,'Performance Vendas'!AS$25,'Consulta Contratos'!$P:$P,'Performance Vendas'!$B36,'Consulta Contratos'!$H:$H,"Ativo")</f>
        <v>0</v>
      </c>
      <c r="AT36" s="82">
        <f>SUMIFS('Consulta Contratos'!$Z:$Z,'Consulta Contratos'!$AM:$AM,'Performance Vendas'!AT$25,'Consulta Contratos'!$P:$P,'Performance Vendas'!$B36,'Consulta Contratos'!$H:$H,"Ativo")</f>
        <v>0</v>
      </c>
      <c r="AU36" s="82">
        <f>SUMIFS('Consulta Contratos'!$Z:$Z,'Consulta Contratos'!$AM:$AM,'Performance Vendas'!AU$25,'Consulta Contratos'!$P:$P,'Performance Vendas'!$B36,'Consulta Contratos'!$H:$H,"Ativo")</f>
        <v>0</v>
      </c>
      <c r="AV36" s="82">
        <f>SUMIFS('Consulta Contratos'!$Z:$Z,'Consulta Contratos'!$AM:$AM,'Performance Vendas'!AV$25,'Consulta Contratos'!$P:$P,'Performance Vendas'!$B36,'Consulta Contratos'!$H:$H,"Ativo")</f>
        <v>0</v>
      </c>
      <c r="AW36" s="86">
        <f t="shared" si="71"/>
        <v>787576.48</v>
      </c>
      <c r="AX36" s="86">
        <f>AJ36+W36+J36+AW36</f>
        <v>24125748.349999998</v>
      </c>
      <c r="AY36" s="81">
        <f>AX36/AX42</f>
        <v>6.2984122031150003E-2</v>
      </c>
      <c r="AZ36" s="82">
        <f>SUMIFS('Consulta Contratos'!$Z:$Z,'Consulta Contratos'!$AM:$AM,'Performance Vendas'!AZ$25,'Consulta Contratos'!$P:$P,'Performance Vendas'!$B36,'Consulta Contratos'!$H:$H,"Ativo")</f>
        <v>0</v>
      </c>
    </row>
    <row r="37" spans="2:91" s="88" customFormat="1" ht="12.75">
      <c r="B37" s="500"/>
      <c r="C37" s="256" t="s">
        <v>71</v>
      </c>
      <c r="D37" s="330"/>
      <c r="E37" s="251">
        <f>SUMIFS('Consulta Contratos'!$AO:$AO,'Consulta Contratos'!$AM:$AM,'Performance Vendas'!E$25,'Consulta Contratos'!$P:$P,'Performance Vendas'!$B36,'Consulta Contratos'!$H:$H,"Ativo")</f>
        <v>0</v>
      </c>
      <c r="F37" s="251">
        <f>SUMIFS('Consulta Contratos'!$AO:$AO,'Consulta Contratos'!$AM:$AM,'Performance Vendas'!F$25,'Consulta Contratos'!$P:$P,'Performance Vendas'!$B36,'Consulta Contratos'!$H:$H,"Ativo")</f>
        <v>0</v>
      </c>
      <c r="G37" s="251">
        <f>SUMIFS('Consulta Contratos'!$AO:$AO,'Consulta Contratos'!$AM:$AM,'Performance Vendas'!G$25,'Consulta Contratos'!$P:$P,'Performance Vendas'!$B36,'Consulta Contratos'!$H:$H,"Ativo")</f>
        <v>0</v>
      </c>
      <c r="H37" s="251">
        <f>SUMIFS('Consulta Contratos'!$AO:$AO,'Consulta Contratos'!$AM:$AM,'Performance Vendas'!H$25,'Consulta Contratos'!$P:$P,'Performance Vendas'!$B36,'Consulta Contratos'!$H:$H,"Ativo")</f>
        <v>0</v>
      </c>
      <c r="I37" s="251">
        <f>SUMIFS('Consulta Contratos'!$AO:$AO,'Consulta Contratos'!$AM:$AM,'Performance Vendas'!I$25,'Consulta Contratos'!$P:$P,'Performance Vendas'!$B36,'Consulta Contratos'!$H:$H,"Ativo")</f>
        <v>0</v>
      </c>
      <c r="J37" s="252">
        <f t="shared" si="68"/>
        <v>0</v>
      </c>
      <c r="K37" s="251">
        <f>SUMIFS('Consulta Contratos'!$AO:$AO,'Consulta Contratos'!$AM:$AM,'Performance Vendas'!K$25,'Consulta Contratos'!$P:$P,'Performance Vendas'!$B36,'Consulta Contratos'!$H:$H,"Ativo")</f>
        <v>1</v>
      </c>
      <c r="L37" s="251">
        <f>SUMIFS('Consulta Contratos'!$AO:$AO,'Consulta Contratos'!$AM:$AM,'Performance Vendas'!L$25,'Consulta Contratos'!$P:$P,'Performance Vendas'!$B36,'Consulta Contratos'!$H:$H,"Ativo")</f>
        <v>0</v>
      </c>
      <c r="M37" s="251">
        <f>SUMIFS('Consulta Contratos'!$AO:$AO,'Consulta Contratos'!$AM:$AM,'Performance Vendas'!M$25,'Consulta Contratos'!$P:$P,'Performance Vendas'!$B36,'Consulta Contratos'!$H:$H,"Ativo")</f>
        <v>0</v>
      </c>
      <c r="N37" s="251">
        <f>SUMIFS('Consulta Contratos'!$AO:$AO,'Consulta Contratos'!$AM:$AM,'Performance Vendas'!N$25,'Consulta Contratos'!$P:$P,'Performance Vendas'!$B36,'Consulta Contratos'!$H:$H,"Ativo")</f>
        <v>0</v>
      </c>
      <c r="O37" s="251">
        <f>SUMIFS('Consulta Contratos'!$AO:$AO,'Consulta Contratos'!$AM:$AM,'Performance Vendas'!O$25,'Consulta Contratos'!$P:$P,'Performance Vendas'!$B36,'Consulta Contratos'!$H:$H,"Ativo")</f>
        <v>2</v>
      </c>
      <c r="P37" s="251">
        <f>SUMIFS('Consulta Contratos'!$AO:$AO,'Consulta Contratos'!$AM:$AM,'Performance Vendas'!P$25,'Consulta Contratos'!$P:$P,'Performance Vendas'!$B36,'Consulta Contratos'!$H:$H,"Ativo")</f>
        <v>2</v>
      </c>
      <c r="Q37" s="251">
        <f>SUMIFS('Consulta Contratos'!$AO:$AO,'Consulta Contratos'!$AM:$AM,'Performance Vendas'!Q$25,'Consulta Contratos'!$P:$P,'Performance Vendas'!$B36,'Consulta Contratos'!$H:$H,"Ativo")</f>
        <v>0</v>
      </c>
      <c r="R37" s="251">
        <f>SUMIFS('Consulta Contratos'!$AO:$AO,'Consulta Contratos'!$AM:$AM,'Performance Vendas'!R$25,'Consulta Contratos'!$P:$P,'Performance Vendas'!$B36,'Consulta Contratos'!$H:$H,"Ativo")</f>
        <v>0</v>
      </c>
      <c r="S37" s="251">
        <f>SUMIFS('Consulta Contratos'!$AO:$AO,'Consulta Contratos'!$AM:$AM,'Performance Vendas'!S$25,'Consulta Contratos'!$P:$P,'Performance Vendas'!$B36,'Consulta Contratos'!$H:$H,"Ativo")</f>
        <v>0</v>
      </c>
      <c r="T37" s="251">
        <f>SUMIFS('Consulta Contratos'!$AO:$AO,'Consulta Contratos'!$AM:$AM,'Performance Vendas'!T$25,'Consulta Contratos'!$P:$P,'Performance Vendas'!$B36,'Consulta Contratos'!$H:$H,"Ativo")</f>
        <v>1</v>
      </c>
      <c r="U37" s="251">
        <f>SUMIFS('Consulta Contratos'!$AO:$AO,'Consulta Contratos'!$AM:$AM,'Performance Vendas'!U$25,'Consulta Contratos'!$P:$P,'Performance Vendas'!$B36,'Consulta Contratos'!$H:$H,"Ativo")</f>
        <v>1</v>
      </c>
      <c r="V37" s="251">
        <f>SUMIFS('Consulta Contratos'!$AO:$AO,'Consulta Contratos'!$AM:$AM,'Performance Vendas'!V$25,'Consulta Contratos'!$P:$P,'Performance Vendas'!$B36,'Consulta Contratos'!$H:$H,"Ativo")</f>
        <v>1</v>
      </c>
      <c r="W37" s="252">
        <f t="shared" si="69"/>
        <v>8</v>
      </c>
      <c r="X37" s="251">
        <f>SUMIFS('Consulta Contratos'!$AO:$AO,'Consulta Contratos'!$AM:$AM,'Performance Vendas'!X$25,'Consulta Contratos'!$P:$P,'Performance Vendas'!$B36,'Consulta Contratos'!$H:$H,"Ativo")</f>
        <v>1</v>
      </c>
      <c r="Y37" s="251">
        <f>SUMIFS('Consulta Contratos'!$AO:$AO,'Consulta Contratos'!$AM:$AM,'Performance Vendas'!Y$25,'Consulta Contratos'!$P:$P,'Performance Vendas'!$B36,'Consulta Contratos'!$H:$H,"Ativo")</f>
        <v>2</v>
      </c>
      <c r="Z37" s="251">
        <f>SUMIFS('Consulta Contratos'!$AO:$AO,'Consulta Contratos'!$AM:$AM,'Performance Vendas'!Z$25,'Consulta Contratos'!$P:$P,'Performance Vendas'!$B36,'Consulta Contratos'!$H:$H,"Ativo")</f>
        <v>1</v>
      </c>
      <c r="AA37" s="251">
        <f>SUMIFS('Consulta Contratos'!$AO:$AO,'Consulta Contratos'!$AM:$AM,'Performance Vendas'!AA$25,'Consulta Contratos'!$P:$P,'Performance Vendas'!$B36,'Consulta Contratos'!$H:$H,"Ativo")</f>
        <v>2</v>
      </c>
      <c r="AB37" s="251">
        <f>SUMIFS('Consulta Contratos'!$AO:$AO,'Consulta Contratos'!$AM:$AM,'Performance Vendas'!AB$25,'Consulta Contratos'!$P:$P,'Performance Vendas'!$B36,'Consulta Contratos'!$H:$H,"Ativo")</f>
        <v>1</v>
      </c>
      <c r="AC37" s="251">
        <f>SUMIFS('Consulta Contratos'!$AO:$AO,'Consulta Contratos'!$AM:$AM,'Performance Vendas'!AC$25,'Consulta Contratos'!$P:$P,'Performance Vendas'!$B36,'Consulta Contratos'!$H:$H,"Ativo")</f>
        <v>2</v>
      </c>
      <c r="AD37" s="251">
        <f>SUMIFS('Consulta Contratos'!$AO:$AO,'Consulta Contratos'!$AM:$AM,'Performance Vendas'!AD$25,'Consulta Contratos'!$P:$P,'Performance Vendas'!$B36,'Consulta Contratos'!$H:$H,"Ativo")</f>
        <v>2</v>
      </c>
      <c r="AE37" s="251">
        <f>SUMIFS('Consulta Contratos'!$AO:$AO,'Consulta Contratos'!$AM:$AM,'Performance Vendas'!AE$25,'Consulta Contratos'!$P:$P,'Performance Vendas'!$B36,'Consulta Contratos'!$H:$H,"Ativo")</f>
        <v>1</v>
      </c>
      <c r="AF37" s="251">
        <f>SUMIFS('Consulta Contratos'!$AO:$AO,'Consulta Contratos'!$AM:$AM,'Performance Vendas'!AF$25,'Consulta Contratos'!$P:$P,'Performance Vendas'!$B36,'Consulta Contratos'!$H:$H,"Ativo")</f>
        <v>2</v>
      </c>
      <c r="AG37" s="251">
        <f>SUMIFS('Consulta Contratos'!$AO:$AO,'Consulta Contratos'!$AM:$AM,'Performance Vendas'!AG$25,'Consulta Contratos'!$P:$P,'Performance Vendas'!$B36,'Consulta Contratos'!$H:$H,"Ativo")</f>
        <v>1</v>
      </c>
      <c r="AH37" s="251">
        <f>SUMIFS('Consulta Contratos'!$AO:$AO,'Consulta Contratos'!$AM:$AM,'Performance Vendas'!AH$25,'Consulta Contratos'!$P:$P,'Performance Vendas'!$B36,'Consulta Contratos'!$H:$H,"Ativo")</f>
        <v>1</v>
      </c>
      <c r="AI37" s="251">
        <f>SUMIFS('Consulta Contratos'!$AO:$AO,'Consulta Contratos'!$AM:$AM,'Performance Vendas'!AI$25,'Consulta Contratos'!$P:$P,'Performance Vendas'!$B36,'Consulta Contratos'!$H:$H,"Ativo")</f>
        <v>2</v>
      </c>
      <c r="AJ37" s="252">
        <f t="shared" si="70"/>
        <v>18</v>
      </c>
      <c r="AK37" s="251">
        <f>SUMIFS('Consulta Contratos'!$AO:$AO,'Consulta Contratos'!$AM:$AM,'Performance Vendas'!AK$25,'Consulta Contratos'!$P:$P,'Performance Vendas'!$B36,'Consulta Contratos'!$H:$H,"Ativo")</f>
        <v>0</v>
      </c>
      <c r="AL37" s="251">
        <f>SUMIFS('Consulta Contratos'!$AO:$AO,'Consulta Contratos'!$AM:$AM,'Performance Vendas'!AL$25,'Consulta Contratos'!$P:$P,'Performance Vendas'!$B36,'Consulta Contratos'!$H:$H,"Ativo")</f>
        <v>2</v>
      </c>
      <c r="AM37" s="251">
        <f>SUMIFS('Consulta Contratos'!$AO:$AO,'Consulta Contratos'!$AM:$AM,'Performance Vendas'!AM$25,'Consulta Contratos'!$P:$P,'Performance Vendas'!$B36,'Consulta Contratos'!$H:$H,"Ativo")</f>
        <v>0</v>
      </c>
      <c r="AN37" s="251">
        <f>SUMIFS('Consulta Contratos'!$AO:$AO,'Consulta Contratos'!$AM:$AM,'Performance Vendas'!AN$25,'Consulta Contratos'!$P:$P,'Performance Vendas'!$B36,'Consulta Contratos'!$H:$H,"Ativo")</f>
        <v>0</v>
      </c>
      <c r="AO37" s="251">
        <f>SUMIFS('Consulta Contratos'!$AO:$AO,'Consulta Contratos'!$AM:$AM,'Performance Vendas'!AO$25,'Consulta Contratos'!$P:$P,'Performance Vendas'!$B36,'Consulta Contratos'!$H:$H,"Ativo")</f>
        <v>0</v>
      </c>
      <c r="AP37" s="251">
        <f>SUMIFS('Consulta Contratos'!$AO:$AO,'Consulta Contratos'!$AM:$AM,'Performance Vendas'!AP$25,'Consulta Contratos'!$P:$P,'Performance Vendas'!$B36,'Consulta Contratos'!$H:$H,"Ativo")</f>
        <v>0</v>
      </c>
      <c r="AQ37" s="251">
        <f>SUMIFS('Consulta Contratos'!$AO:$AO,'Consulta Contratos'!$AM:$AM,'Performance Vendas'!AQ$25,'Consulta Contratos'!$P:$P,'Performance Vendas'!$B36,'Consulta Contratos'!$H:$H,"Ativo")</f>
        <v>0</v>
      </c>
      <c r="AR37" s="251">
        <f>SUMIFS('Consulta Contratos'!$AO:$AO,'Consulta Contratos'!$AM:$AM,'Performance Vendas'!AR$25,'Consulta Contratos'!$P:$P,'Performance Vendas'!$B36,'Consulta Contratos'!$H:$H,"Ativo")</f>
        <v>0</v>
      </c>
      <c r="AS37" s="251">
        <f>SUMIFS('Consulta Contratos'!$AO:$AO,'Consulta Contratos'!$AM:$AM,'Performance Vendas'!AS$25,'Consulta Contratos'!$P:$P,'Performance Vendas'!$B36,'Consulta Contratos'!$H:$H,"Ativo")</f>
        <v>0</v>
      </c>
      <c r="AT37" s="251">
        <f>SUMIFS('Consulta Contratos'!$AO:$AO,'Consulta Contratos'!$AM:$AM,'Performance Vendas'!AT$25,'Consulta Contratos'!$P:$P,'Performance Vendas'!$B36,'Consulta Contratos'!$H:$H,"Ativo")</f>
        <v>0</v>
      </c>
      <c r="AU37" s="251">
        <f>SUMIFS('Consulta Contratos'!$AO:$AO,'Consulta Contratos'!$AM:$AM,'Performance Vendas'!AU$25,'Consulta Contratos'!$P:$P,'Performance Vendas'!$B36,'Consulta Contratos'!$H:$H,"Ativo")</f>
        <v>0</v>
      </c>
      <c r="AV37" s="251">
        <f>SUMIFS('Consulta Contratos'!$AO:$AO,'Consulta Contratos'!$AM:$AM,'Performance Vendas'!AV$25,'Consulta Contratos'!$P:$P,'Performance Vendas'!$B36,'Consulta Contratos'!$H:$H,"Ativo")</f>
        <v>0</v>
      </c>
      <c r="AW37" s="252">
        <f t="shared" si="71"/>
        <v>2</v>
      </c>
      <c r="AX37" s="252">
        <f>AJ37+W37+J37+AW37</f>
        <v>28</v>
      </c>
      <c r="AY37" s="81"/>
      <c r="AZ37" s="83">
        <f>COUNTIFS('Consulta Contratos'!$AM:$AM,'Performance Vendas'!AZ$25,'Consulta Contratos'!$G:$G,"Assinado",'Consulta Contratos'!$P:$P,'Performance Vendas'!$B36)-COUNTIFS('Consulta Contratos'!$AM:$AM,'Performance Vendas'!AZ$25,'Consulta Contratos'!$H:$H,"Cancelado",'Consulta Contratos'!$G:$G,"Assinado",'Consulta Contratos'!$P:$P,'Performance Vendas'!$B36)-COUNTIFS('Consulta Contratos'!$AM:$AM,'Performance Vendas'!AZ$25,'Consulta Contratos'!$H:$H,"Cancelado Upgrade",'Consulta Contratos'!$G:$G,"Assinado",'Consulta Contratos'!$P:$P,'Performance Vendas'!$B36)</f>
        <v>0</v>
      </c>
    </row>
    <row r="38" spans="2:91" s="87" customFormat="1">
      <c r="B38" s="499" t="s">
        <v>86</v>
      </c>
      <c r="C38" s="117" t="s">
        <v>70</v>
      </c>
      <c r="D38" s="330"/>
      <c r="E38" s="82">
        <f>SUMIFS('Consulta Contratos'!$Z:$Z,'Consulta Contratos'!$AM:$AM,'Performance Vendas'!E$25,'Consulta Contratos'!$P:$P,'Performance Vendas'!$B38,'Consulta Contratos'!$H:$H,"Ativo")</f>
        <v>0</v>
      </c>
      <c r="F38" s="82">
        <f>SUMIFS('Consulta Contratos'!$Z:$Z,'Consulta Contratos'!$AM:$AM,'Performance Vendas'!F$25,'Consulta Contratos'!$P:$P,'Performance Vendas'!$B38,'Consulta Contratos'!$H:$H,"Ativo")</f>
        <v>0</v>
      </c>
      <c r="G38" s="82">
        <f>SUMIFS('Consulta Contratos'!$Z:$Z,'Consulta Contratos'!$AM:$AM,'Performance Vendas'!G$25,'Consulta Contratos'!$P:$P,'Performance Vendas'!$B38,'Consulta Contratos'!$H:$H,"Ativo")</f>
        <v>0</v>
      </c>
      <c r="H38" s="82">
        <f>SUMIFS('Consulta Contratos'!$Z:$Z,'Consulta Contratos'!$AM:$AM,'Performance Vendas'!H$25,'Consulta Contratos'!$P:$P,'Performance Vendas'!$B38,'Consulta Contratos'!$H:$H,"Ativo")</f>
        <v>0</v>
      </c>
      <c r="I38" s="82">
        <f>SUMIFS('Consulta Contratos'!$Z:$Z,'Consulta Contratos'!$AM:$AM,'Performance Vendas'!I$25,'Consulta Contratos'!$P:$P,'Performance Vendas'!$B38,'Consulta Contratos'!$H:$H,"Ativo")</f>
        <v>0</v>
      </c>
      <c r="J38" s="86">
        <f t="shared" si="68"/>
        <v>0</v>
      </c>
      <c r="K38" s="82">
        <f>SUMIFS('Consulta Contratos'!$Z:$Z,'Consulta Contratos'!$AM:$AM,'Performance Vendas'!K$25,'Consulta Contratos'!$P:$P,'Performance Vendas'!$B38,'Consulta Contratos'!$H:$H,"Ativo")</f>
        <v>0</v>
      </c>
      <c r="L38" s="82">
        <f>SUMIFS('Consulta Contratos'!$Z:$Z,'Consulta Contratos'!$AM:$AM,'Performance Vendas'!L$25,'Consulta Contratos'!$P:$P,'Performance Vendas'!$B38,'Consulta Contratos'!$H:$H,"Ativo")</f>
        <v>0</v>
      </c>
      <c r="M38" s="82">
        <f>SUMIFS('Consulta Contratos'!$Z:$Z,'Consulta Contratos'!$AM:$AM,'Performance Vendas'!M$25,'Consulta Contratos'!$P:$P,'Performance Vendas'!$B38,'Consulta Contratos'!$H:$H,"Ativo")</f>
        <v>0</v>
      </c>
      <c r="N38" s="82">
        <f>SUMIFS('Consulta Contratos'!$Z:$Z,'Consulta Contratos'!$AM:$AM,'Performance Vendas'!N$25,'Consulta Contratos'!$P:$P,'Performance Vendas'!$B38,'Consulta Contratos'!$H:$H,"Ativo")</f>
        <v>0</v>
      </c>
      <c r="O38" s="82">
        <f>SUMIFS('Consulta Contratos'!$Z:$Z,'Consulta Contratos'!$AM:$AM,'Performance Vendas'!O$25,'Consulta Contratos'!$P:$P,'Performance Vendas'!$B38,'Consulta Contratos'!$H:$H,"Ativo")</f>
        <v>0</v>
      </c>
      <c r="P38" s="82">
        <f>SUMIFS('Consulta Contratos'!$Z:$Z,'Consulta Contratos'!$AM:$AM,'Performance Vendas'!P$25,'Consulta Contratos'!$P:$P,'Performance Vendas'!$B38,'Consulta Contratos'!$H:$H,"Ativo")</f>
        <v>366700</v>
      </c>
      <c r="Q38" s="82">
        <f>SUMIFS('Consulta Contratos'!$Z:$Z,'Consulta Contratos'!$AM:$AM,'Performance Vendas'!Q$25,'Consulta Contratos'!$P:$P,'Performance Vendas'!$B38,'Consulta Contratos'!$H:$H,"Ativo")</f>
        <v>0</v>
      </c>
      <c r="R38" s="82">
        <f>SUMIFS('Consulta Contratos'!$Z:$Z,'Consulta Contratos'!$AM:$AM,'Performance Vendas'!R$25,'Consulta Contratos'!$P:$P,'Performance Vendas'!$B38,'Consulta Contratos'!$H:$H,"Ativo")</f>
        <v>0</v>
      </c>
      <c r="S38" s="82">
        <f>SUMIFS('Consulta Contratos'!$Z:$Z,'Consulta Contratos'!$AM:$AM,'Performance Vendas'!S$25,'Consulta Contratos'!$P:$P,'Performance Vendas'!$B38,'Consulta Contratos'!$H:$H,"Ativo")</f>
        <v>0</v>
      </c>
      <c r="T38" s="82">
        <f>SUMIFS('Consulta Contratos'!$Z:$Z,'Consulta Contratos'!$AM:$AM,'Performance Vendas'!T$25,'Consulta Contratos'!$P:$P,'Performance Vendas'!$B38,'Consulta Contratos'!$H:$H,"Ativo")</f>
        <v>0</v>
      </c>
      <c r="U38" s="82">
        <f>SUMIFS('Consulta Contratos'!$Z:$Z,'Consulta Contratos'!$AM:$AM,'Performance Vendas'!U$25,'Consulta Contratos'!$P:$P,'Performance Vendas'!$B38,'Consulta Contratos'!$H:$H,"Ativo")</f>
        <v>1322145.1000000001</v>
      </c>
      <c r="V38" s="82">
        <f>SUMIFS('Consulta Contratos'!$Z:$Z,'Consulta Contratos'!$AM:$AM,'Performance Vendas'!V$25,'Consulta Contratos'!$P:$P,'Performance Vendas'!$B38,'Consulta Contratos'!$H:$H,"Ativo")</f>
        <v>11895601</v>
      </c>
      <c r="W38" s="86">
        <f t="shared" si="69"/>
        <v>13584446.1</v>
      </c>
      <c r="X38" s="82">
        <f>SUMIFS('Consulta Contratos'!$Z:$Z,'Consulta Contratos'!$AM:$AM,'Performance Vendas'!X$25,'Consulta Contratos'!$P:$P,'Performance Vendas'!$B38,'Consulta Contratos'!$H:$H,"Ativo")</f>
        <v>10357000</v>
      </c>
      <c r="Y38" s="82">
        <f>SUMIFS('Consulta Contratos'!$Z:$Z,'Consulta Contratos'!$AM:$AM,'Performance Vendas'!Y$25,'Consulta Contratos'!$P:$P,'Performance Vendas'!$B38,'Consulta Contratos'!$H:$H,"Ativo")</f>
        <v>747560</v>
      </c>
      <c r="Z38" s="82">
        <f>SUMIFS('Consulta Contratos'!$Z:$Z,'Consulta Contratos'!$AM:$AM,'Performance Vendas'!Z$25,'Consulta Contratos'!$P:$P,'Performance Vendas'!$B38,'Consulta Contratos'!$H:$H,"Ativo")</f>
        <v>0</v>
      </c>
      <c r="AA38" s="82">
        <f>SUMIFS('Consulta Contratos'!$Z:$Z,'Consulta Contratos'!$AM:$AM,'Performance Vendas'!AA$25,'Consulta Contratos'!$P:$P,'Performance Vendas'!$B38,'Consulta Contratos'!$H:$H,"Ativo")</f>
        <v>630000</v>
      </c>
      <c r="AB38" s="82">
        <f>SUMIFS('Consulta Contratos'!$Z:$Z,'Consulta Contratos'!$AM:$AM,'Performance Vendas'!AB$25,'Consulta Contratos'!$P:$P,'Performance Vendas'!$B38,'Consulta Contratos'!$H:$H,"Ativo")</f>
        <v>0</v>
      </c>
      <c r="AC38" s="82">
        <f>SUMIFS('Consulta Contratos'!$Z:$Z,'Consulta Contratos'!$AM:$AM,'Performance Vendas'!AC$25,'Consulta Contratos'!$P:$P,'Performance Vendas'!$B38,'Consulta Contratos'!$H:$H,"Ativo")</f>
        <v>0</v>
      </c>
      <c r="AD38" s="82">
        <f>SUMIFS('Consulta Contratos'!$Z:$Z,'Consulta Contratos'!$AM:$AM,'Performance Vendas'!AD$25,'Consulta Contratos'!$P:$P,'Performance Vendas'!$B38,'Consulta Contratos'!$H:$H,"Ativo")</f>
        <v>1003998.26</v>
      </c>
      <c r="AE38" s="82">
        <f>SUMIFS('Consulta Contratos'!$Z:$Z,'Consulta Contratos'!$AM:$AM,'Performance Vendas'!AE$25,'Consulta Contratos'!$P:$P,'Performance Vendas'!$B38,'Consulta Contratos'!$H:$H,"Ativo")</f>
        <v>1403700</v>
      </c>
      <c r="AF38" s="82">
        <f>SUMIFS('Consulta Contratos'!$Z:$Z,'Consulta Contratos'!$AM:$AM,'Performance Vendas'!AF$25,'Consulta Contratos'!$P:$P,'Performance Vendas'!$B38,'Consulta Contratos'!$H:$H,"Ativo")</f>
        <v>2034739.9999999998</v>
      </c>
      <c r="AG38" s="82">
        <f>SUMIFS('Consulta Contratos'!$Z:$Z,'Consulta Contratos'!$AM:$AM,'Performance Vendas'!AG$25,'Consulta Contratos'!$P:$P,'Performance Vendas'!$B38,'Consulta Contratos'!$H:$H,"Ativo")</f>
        <v>0</v>
      </c>
      <c r="AH38" s="82">
        <f>SUMIFS('Consulta Contratos'!$Z:$Z,'Consulta Contratos'!$AM:$AM,'Performance Vendas'!AH$25,'Consulta Contratos'!$P:$P,'Performance Vendas'!$B38,'Consulta Contratos'!$H:$H,"Ativo")</f>
        <v>0</v>
      </c>
      <c r="AI38" s="82">
        <f>SUMIFS('Consulta Contratos'!$Z:$Z,'Consulta Contratos'!$AM:$AM,'Performance Vendas'!AI$25,'Consulta Contratos'!$P:$P,'Performance Vendas'!$B38,'Consulta Contratos'!$H:$H,"Ativo")</f>
        <v>1259600</v>
      </c>
      <c r="AJ38" s="86">
        <f t="shared" si="70"/>
        <v>17436598.259999998</v>
      </c>
      <c r="AK38" s="82">
        <f>SUMIFS('Consulta Contratos'!$Z:$Z,'Consulta Contratos'!$AM:$AM,'Performance Vendas'!AK$25,'Consulta Contratos'!$P:$P,'Performance Vendas'!$B38,'Consulta Contratos'!$H:$H,"Ativo")</f>
        <v>2079840</v>
      </c>
      <c r="AL38" s="82">
        <f>SUMIFS('Consulta Contratos'!$Z:$Z,'Consulta Contratos'!$AM:$AM,'Performance Vendas'!AL$25,'Consulta Contratos'!$P:$P,'Performance Vendas'!$B38,'Consulta Contratos'!$H:$H,"Ativo")</f>
        <v>1234000</v>
      </c>
      <c r="AM38" s="82">
        <f>SUMIFS('Consulta Contratos'!$Z:$Z,'Consulta Contratos'!$AM:$AM,'Performance Vendas'!AM$25,'Consulta Contratos'!$P:$P,'Performance Vendas'!$B38,'Consulta Contratos'!$H:$H,"Ativo")</f>
        <v>0</v>
      </c>
      <c r="AN38" s="82">
        <f>SUMIFS('Consulta Contratos'!$Z:$Z,'Consulta Contratos'!$AM:$AM,'Performance Vendas'!AN$25,'Consulta Contratos'!$P:$P,'Performance Vendas'!$B38,'Consulta Contratos'!$H:$H,"Ativo")</f>
        <v>0</v>
      </c>
      <c r="AO38" s="82">
        <f>SUMIFS('Consulta Contratos'!$Z:$Z,'Consulta Contratos'!$AM:$AM,'Performance Vendas'!AO$25,'Consulta Contratos'!$P:$P,'Performance Vendas'!$B38,'Consulta Contratos'!$H:$H,"Ativo")</f>
        <v>0</v>
      </c>
      <c r="AP38" s="82">
        <f>SUMIFS('Consulta Contratos'!$Z:$Z,'Consulta Contratos'!$AM:$AM,'Performance Vendas'!AP$25,'Consulta Contratos'!$P:$P,'Performance Vendas'!$B38,'Consulta Contratos'!$H:$H,"Ativo")</f>
        <v>0</v>
      </c>
      <c r="AQ38" s="82">
        <f>SUMIFS('Consulta Contratos'!$Z:$Z,'Consulta Contratos'!$AM:$AM,'Performance Vendas'!AQ$25,'Consulta Contratos'!$P:$P,'Performance Vendas'!$B38,'Consulta Contratos'!$H:$H,"Ativo")</f>
        <v>0</v>
      </c>
      <c r="AR38" s="82">
        <f>SUMIFS('Consulta Contratos'!$Z:$Z,'Consulta Contratos'!$AM:$AM,'Performance Vendas'!AR$25,'Consulta Contratos'!$P:$P,'Performance Vendas'!$B38,'Consulta Contratos'!$H:$H,"Ativo")</f>
        <v>0</v>
      </c>
      <c r="AS38" s="82">
        <f>SUMIFS('Consulta Contratos'!$Z:$Z,'Consulta Contratos'!$AM:$AM,'Performance Vendas'!AS$25,'Consulta Contratos'!$P:$P,'Performance Vendas'!$B38,'Consulta Contratos'!$H:$H,"Ativo")</f>
        <v>0</v>
      </c>
      <c r="AT38" s="82">
        <f>SUMIFS('Consulta Contratos'!$Z:$Z,'Consulta Contratos'!$AM:$AM,'Performance Vendas'!AT$25,'Consulta Contratos'!$P:$P,'Performance Vendas'!$B38,'Consulta Contratos'!$H:$H,"Ativo")</f>
        <v>0</v>
      </c>
      <c r="AU38" s="82">
        <f>SUMIFS('Consulta Contratos'!$Z:$Z,'Consulta Contratos'!$AM:$AM,'Performance Vendas'!AU$25,'Consulta Contratos'!$P:$P,'Performance Vendas'!$B38,'Consulta Contratos'!$H:$H,"Ativo")</f>
        <v>0</v>
      </c>
      <c r="AV38" s="82">
        <f>SUMIFS('Consulta Contratos'!$Z:$Z,'Consulta Contratos'!$AM:$AM,'Performance Vendas'!AV$25,'Consulta Contratos'!$P:$P,'Performance Vendas'!$B38,'Consulta Contratos'!$H:$H,"Ativo")</f>
        <v>0</v>
      </c>
      <c r="AW38" s="86">
        <f t="shared" si="71"/>
        <v>3313840</v>
      </c>
      <c r="AX38" s="86">
        <f>AJ38+W38+J38+AW38</f>
        <v>34334884.359999999</v>
      </c>
      <c r="AY38" s="81">
        <f>AX38/AX42</f>
        <v>8.9636703288238667E-2</v>
      </c>
      <c r="AZ38" s="82">
        <f>SUMIFS('Consulta Contratos'!$Z:$Z,'Consulta Contratos'!$AM:$AM,'Performance Vendas'!AZ$25,'Consulta Contratos'!$P:$P,'Performance Vendas'!$B38,'Consulta Contratos'!$H:$H,"Ativo")</f>
        <v>0</v>
      </c>
    </row>
    <row r="39" spans="2:91" s="88" customFormat="1" ht="12.75">
      <c r="B39" s="500"/>
      <c r="C39" s="256" t="s">
        <v>71</v>
      </c>
      <c r="D39" s="330"/>
      <c r="E39" s="251">
        <f>SUMIFS('Consulta Contratos'!$AO:$AO,'Consulta Contratos'!$AM:$AM,'Performance Vendas'!E$25,'Consulta Contratos'!$P:$P,'Performance Vendas'!$B38,'Consulta Contratos'!$H:$H,"Ativo")</f>
        <v>0</v>
      </c>
      <c r="F39" s="251">
        <f>SUMIFS('Consulta Contratos'!$AO:$AO,'Consulta Contratos'!$AM:$AM,'Performance Vendas'!F$25,'Consulta Contratos'!$P:$P,'Performance Vendas'!$B38,'Consulta Contratos'!$H:$H,"Ativo")</f>
        <v>0</v>
      </c>
      <c r="G39" s="251">
        <f>SUMIFS('Consulta Contratos'!$AO:$AO,'Consulta Contratos'!$AM:$AM,'Performance Vendas'!G$25,'Consulta Contratos'!$P:$P,'Performance Vendas'!$B38,'Consulta Contratos'!$H:$H,"Ativo")</f>
        <v>0</v>
      </c>
      <c r="H39" s="251">
        <f>SUMIFS('Consulta Contratos'!$AO:$AO,'Consulta Contratos'!$AM:$AM,'Performance Vendas'!H$25,'Consulta Contratos'!$P:$P,'Performance Vendas'!$B38,'Consulta Contratos'!$H:$H,"Ativo")</f>
        <v>0</v>
      </c>
      <c r="I39" s="251">
        <f>SUMIFS('Consulta Contratos'!$AO:$AO,'Consulta Contratos'!$AM:$AM,'Performance Vendas'!I$25,'Consulta Contratos'!$P:$P,'Performance Vendas'!$B38,'Consulta Contratos'!$H:$H,"Ativo")</f>
        <v>0</v>
      </c>
      <c r="J39" s="252">
        <f t="shared" si="68"/>
        <v>0</v>
      </c>
      <c r="K39" s="251">
        <f>SUMIFS('Consulta Contratos'!$AO:$AO,'Consulta Contratos'!$AM:$AM,'Performance Vendas'!K$25,'Consulta Contratos'!$P:$P,'Performance Vendas'!$B38,'Consulta Contratos'!$H:$H,"Ativo")</f>
        <v>0</v>
      </c>
      <c r="L39" s="251">
        <f>SUMIFS('Consulta Contratos'!$AO:$AO,'Consulta Contratos'!$AM:$AM,'Performance Vendas'!L$25,'Consulta Contratos'!$P:$P,'Performance Vendas'!$B38,'Consulta Contratos'!$H:$H,"Ativo")</f>
        <v>0</v>
      </c>
      <c r="M39" s="251">
        <f>SUMIFS('Consulta Contratos'!$AO:$AO,'Consulta Contratos'!$AM:$AM,'Performance Vendas'!M$25,'Consulta Contratos'!$P:$P,'Performance Vendas'!$B38,'Consulta Contratos'!$H:$H,"Ativo")</f>
        <v>0</v>
      </c>
      <c r="N39" s="251">
        <f>SUMIFS('Consulta Contratos'!$AO:$AO,'Consulta Contratos'!$AM:$AM,'Performance Vendas'!N$25,'Consulta Contratos'!$P:$P,'Performance Vendas'!$B38,'Consulta Contratos'!$H:$H,"Ativo")</f>
        <v>0</v>
      </c>
      <c r="O39" s="251">
        <f>SUMIFS('Consulta Contratos'!$AO:$AO,'Consulta Contratos'!$AM:$AM,'Performance Vendas'!O$25,'Consulta Contratos'!$P:$P,'Performance Vendas'!$B38,'Consulta Contratos'!$H:$H,"Ativo")</f>
        <v>0</v>
      </c>
      <c r="P39" s="251">
        <f>SUMIFS('Consulta Contratos'!$AO:$AO,'Consulta Contratos'!$AM:$AM,'Performance Vendas'!P$25,'Consulta Contratos'!$P:$P,'Performance Vendas'!$B38,'Consulta Contratos'!$H:$H,"Ativo")</f>
        <v>1</v>
      </c>
      <c r="Q39" s="251">
        <f>SUMIFS('Consulta Contratos'!$AO:$AO,'Consulta Contratos'!$AM:$AM,'Performance Vendas'!Q$25,'Consulta Contratos'!$P:$P,'Performance Vendas'!$B38,'Consulta Contratos'!$H:$H,"Ativo")</f>
        <v>0</v>
      </c>
      <c r="R39" s="251">
        <f>SUMIFS('Consulta Contratos'!$AO:$AO,'Consulta Contratos'!$AM:$AM,'Performance Vendas'!R$25,'Consulta Contratos'!$P:$P,'Performance Vendas'!$B38,'Consulta Contratos'!$H:$H,"Ativo")</f>
        <v>0</v>
      </c>
      <c r="S39" s="251">
        <f>SUMIFS('Consulta Contratos'!$AO:$AO,'Consulta Contratos'!$AM:$AM,'Performance Vendas'!S$25,'Consulta Contratos'!$P:$P,'Performance Vendas'!$B38,'Consulta Contratos'!$H:$H,"Ativo")</f>
        <v>0</v>
      </c>
      <c r="T39" s="251">
        <f>SUMIFS('Consulta Contratos'!$AO:$AO,'Consulta Contratos'!$AM:$AM,'Performance Vendas'!T$25,'Consulta Contratos'!$P:$P,'Performance Vendas'!$B38,'Consulta Contratos'!$H:$H,"Ativo")</f>
        <v>0</v>
      </c>
      <c r="U39" s="251">
        <f>SUMIFS('Consulta Contratos'!$AO:$AO,'Consulta Contratos'!$AM:$AM,'Performance Vendas'!U$25,'Consulta Contratos'!$P:$P,'Performance Vendas'!$B38,'Consulta Contratos'!$H:$H,"Ativo")</f>
        <v>5</v>
      </c>
      <c r="V39" s="251">
        <f>SUMIFS('Consulta Contratos'!$AO:$AO,'Consulta Contratos'!$AM:$AM,'Performance Vendas'!V$25,'Consulta Contratos'!$P:$P,'Performance Vendas'!$B38,'Consulta Contratos'!$H:$H,"Ativo")</f>
        <v>5</v>
      </c>
      <c r="W39" s="252">
        <f t="shared" si="69"/>
        <v>11</v>
      </c>
      <c r="X39" s="251">
        <f>SUMIFS('Consulta Contratos'!$AO:$AO,'Consulta Contratos'!$AM:$AM,'Performance Vendas'!X$25,'Consulta Contratos'!$P:$P,'Performance Vendas'!$B38,'Consulta Contratos'!$H:$H,"Ativo")</f>
        <v>1</v>
      </c>
      <c r="Y39" s="251">
        <f>SUMIFS('Consulta Contratos'!$AO:$AO,'Consulta Contratos'!$AM:$AM,'Performance Vendas'!Y$25,'Consulta Contratos'!$P:$P,'Performance Vendas'!$B38,'Consulta Contratos'!$H:$H,"Ativo")</f>
        <v>2</v>
      </c>
      <c r="Z39" s="251">
        <f>SUMIFS('Consulta Contratos'!$AO:$AO,'Consulta Contratos'!$AM:$AM,'Performance Vendas'!Z$25,'Consulta Contratos'!$P:$P,'Performance Vendas'!$B38,'Consulta Contratos'!$H:$H,"Ativo")</f>
        <v>0</v>
      </c>
      <c r="AA39" s="251">
        <f>SUMIFS('Consulta Contratos'!$AO:$AO,'Consulta Contratos'!$AM:$AM,'Performance Vendas'!AA$25,'Consulta Contratos'!$P:$P,'Performance Vendas'!$B38,'Consulta Contratos'!$H:$H,"Ativo")</f>
        <v>2</v>
      </c>
      <c r="AB39" s="251">
        <f>SUMIFS('Consulta Contratos'!$AO:$AO,'Consulta Contratos'!$AM:$AM,'Performance Vendas'!AB$25,'Consulta Contratos'!$P:$P,'Performance Vendas'!$B38,'Consulta Contratos'!$H:$H,"Ativo")</f>
        <v>0</v>
      </c>
      <c r="AC39" s="251">
        <f>SUMIFS('Consulta Contratos'!$AO:$AO,'Consulta Contratos'!$AM:$AM,'Performance Vendas'!AC$25,'Consulta Contratos'!$P:$P,'Performance Vendas'!$B38,'Consulta Contratos'!$H:$H,"Ativo")</f>
        <v>0</v>
      </c>
      <c r="AD39" s="251">
        <f>SUMIFS('Consulta Contratos'!$AO:$AO,'Consulta Contratos'!$AM:$AM,'Performance Vendas'!AD$25,'Consulta Contratos'!$P:$P,'Performance Vendas'!$B38,'Consulta Contratos'!$H:$H,"Ativo")</f>
        <v>1</v>
      </c>
      <c r="AE39" s="251">
        <f>SUMIFS('Consulta Contratos'!$AO:$AO,'Consulta Contratos'!$AM:$AM,'Performance Vendas'!AE$25,'Consulta Contratos'!$P:$P,'Performance Vendas'!$B38,'Consulta Contratos'!$H:$H,"Ativo")</f>
        <v>2</v>
      </c>
      <c r="AF39" s="251">
        <f>SUMIFS('Consulta Contratos'!$AO:$AO,'Consulta Contratos'!$AM:$AM,'Performance Vendas'!AF$25,'Consulta Contratos'!$P:$P,'Performance Vendas'!$B38,'Consulta Contratos'!$H:$H,"Ativo")</f>
        <v>3</v>
      </c>
      <c r="AG39" s="251">
        <f>SUMIFS('Consulta Contratos'!$AO:$AO,'Consulta Contratos'!$AM:$AM,'Performance Vendas'!AG$25,'Consulta Contratos'!$P:$P,'Performance Vendas'!$B38,'Consulta Contratos'!$H:$H,"Ativo")</f>
        <v>0</v>
      </c>
      <c r="AH39" s="251">
        <f>SUMIFS('Consulta Contratos'!$AO:$AO,'Consulta Contratos'!$AM:$AM,'Performance Vendas'!AH$25,'Consulta Contratos'!$P:$P,'Performance Vendas'!$B38,'Consulta Contratos'!$H:$H,"Ativo")</f>
        <v>0</v>
      </c>
      <c r="AI39" s="251">
        <f>SUMIFS('Consulta Contratos'!$AO:$AO,'Consulta Contratos'!$AM:$AM,'Performance Vendas'!AI$25,'Consulta Contratos'!$P:$P,'Performance Vendas'!$B38,'Consulta Contratos'!$H:$H,"Ativo")</f>
        <v>1</v>
      </c>
      <c r="AJ39" s="252">
        <f t="shared" si="70"/>
        <v>12</v>
      </c>
      <c r="AK39" s="251">
        <f>SUMIFS('Consulta Contratos'!$AO:$AO,'Consulta Contratos'!$AM:$AM,'Performance Vendas'!AK$25,'Consulta Contratos'!$P:$P,'Performance Vendas'!$B38,'Consulta Contratos'!$H:$H,"Ativo")</f>
        <v>4</v>
      </c>
      <c r="AL39" s="251">
        <f>SUMIFS('Consulta Contratos'!$AO:$AO,'Consulta Contratos'!$AM:$AM,'Performance Vendas'!AL$25,'Consulta Contratos'!$P:$P,'Performance Vendas'!$B38,'Consulta Contratos'!$H:$H,"Ativo")</f>
        <v>2</v>
      </c>
      <c r="AM39" s="251">
        <f>SUMIFS('Consulta Contratos'!$AO:$AO,'Consulta Contratos'!$AM:$AM,'Performance Vendas'!AM$25,'Consulta Contratos'!$P:$P,'Performance Vendas'!$B38,'Consulta Contratos'!$H:$H,"Ativo")</f>
        <v>0</v>
      </c>
      <c r="AN39" s="251">
        <f>SUMIFS('Consulta Contratos'!$AO:$AO,'Consulta Contratos'!$AM:$AM,'Performance Vendas'!AN$25,'Consulta Contratos'!$P:$P,'Performance Vendas'!$B38,'Consulta Contratos'!$H:$H,"Ativo")</f>
        <v>0</v>
      </c>
      <c r="AO39" s="251">
        <f>SUMIFS('Consulta Contratos'!$AO:$AO,'Consulta Contratos'!$AM:$AM,'Performance Vendas'!AO$25,'Consulta Contratos'!$P:$P,'Performance Vendas'!$B38,'Consulta Contratos'!$H:$H,"Ativo")</f>
        <v>0</v>
      </c>
      <c r="AP39" s="251">
        <f>SUMIFS('Consulta Contratos'!$AO:$AO,'Consulta Contratos'!$AM:$AM,'Performance Vendas'!AP$25,'Consulta Contratos'!$P:$P,'Performance Vendas'!$B38,'Consulta Contratos'!$H:$H,"Ativo")</f>
        <v>0</v>
      </c>
      <c r="AQ39" s="251">
        <f>SUMIFS('Consulta Contratos'!$AO:$AO,'Consulta Contratos'!$AM:$AM,'Performance Vendas'!AQ$25,'Consulta Contratos'!$P:$P,'Performance Vendas'!$B38,'Consulta Contratos'!$H:$H,"Ativo")</f>
        <v>0</v>
      </c>
      <c r="AR39" s="251">
        <f>SUMIFS('Consulta Contratos'!$AO:$AO,'Consulta Contratos'!$AM:$AM,'Performance Vendas'!AR$25,'Consulta Contratos'!$P:$P,'Performance Vendas'!$B38,'Consulta Contratos'!$H:$H,"Ativo")</f>
        <v>0</v>
      </c>
      <c r="AS39" s="251">
        <f>SUMIFS('Consulta Contratos'!$AO:$AO,'Consulta Contratos'!$AM:$AM,'Performance Vendas'!AS$25,'Consulta Contratos'!$P:$P,'Performance Vendas'!$B38,'Consulta Contratos'!$H:$H,"Ativo")</f>
        <v>0</v>
      </c>
      <c r="AT39" s="251">
        <f>SUMIFS('Consulta Contratos'!$AO:$AO,'Consulta Contratos'!$AM:$AM,'Performance Vendas'!AT$25,'Consulta Contratos'!$P:$P,'Performance Vendas'!$B38,'Consulta Contratos'!$H:$H,"Ativo")</f>
        <v>0</v>
      </c>
      <c r="AU39" s="251">
        <f>SUMIFS('Consulta Contratos'!$AO:$AO,'Consulta Contratos'!$AM:$AM,'Performance Vendas'!AU$25,'Consulta Contratos'!$P:$P,'Performance Vendas'!$B38,'Consulta Contratos'!$H:$H,"Ativo")</f>
        <v>0</v>
      </c>
      <c r="AV39" s="251">
        <f>SUMIFS('Consulta Contratos'!$AO:$AO,'Consulta Contratos'!$AM:$AM,'Performance Vendas'!AV$25,'Consulta Contratos'!$P:$P,'Performance Vendas'!$B38,'Consulta Contratos'!$H:$H,"Ativo")</f>
        <v>0</v>
      </c>
      <c r="AW39" s="252">
        <f t="shared" si="71"/>
        <v>6</v>
      </c>
      <c r="AX39" s="252">
        <f>AJ39+W39+J39+AW39</f>
        <v>29</v>
      </c>
      <c r="AY39" s="81"/>
      <c r="AZ39" s="83">
        <f>COUNTIFS('Consulta Contratos'!$AM:$AM,'Performance Vendas'!AZ$25,'Consulta Contratos'!$G:$G,"Assinado",'Consulta Contratos'!$P:$P,'Performance Vendas'!$B38)-COUNTIFS('Consulta Contratos'!$AM:$AM,'Performance Vendas'!AZ$25,'Consulta Contratos'!$H:$H,"Cancelado",'Consulta Contratos'!$G:$G,"Assinado",'Consulta Contratos'!$P:$P,'Performance Vendas'!$B38)-COUNTIFS('Consulta Contratos'!$AM:$AM,'Performance Vendas'!AZ$25,'Consulta Contratos'!$H:$H,"Cancelado Upgrade",'Consulta Contratos'!$G:$G,"Assinado",'Consulta Contratos'!$P:$P,'Performance Vendas'!$B38)</f>
        <v>0</v>
      </c>
    </row>
    <row r="40" spans="2:91" s="87" customFormat="1">
      <c r="B40" s="521" t="s">
        <v>87</v>
      </c>
      <c r="C40" s="117" t="s">
        <v>70</v>
      </c>
      <c r="D40" s="330"/>
      <c r="E40" s="82">
        <f>SUMIFS('Consulta Contratos'!$Z:$Z,'Consulta Contratos'!$AM:$AM,'Performance Vendas'!E$25,'Consulta Contratos'!$P:$P,'Performance Vendas'!$B40,'Consulta Contratos'!$H:$H,"Ativo")</f>
        <v>0</v>
      </c>
      <c r="F40" s="82">
        <f>SUMIFS('Consulta Contratos'!$Z:$Z,'Consulta Contratos'!$AM:$AM,'Performance Vendas'!F$25,'Consulta Contratos'!$P:$P,'Performance Vendas'!$B40,'Consulta Contratos'!$H:$H,"Ativo")</f>
        <v>0</v>
      </c>
      <c r="G40" s="82">
        <f>SUMIFS('Consulta Contratos'!$Z:$Z,'Consulta Contratos'!$AM:$AM,'Performance Vendas'!G$25,'Consulta Contratos'!$P:$P,'Performance Vendas'!$B40,'Consulta Contratos'!$H:$H,"Ativo")</f>
        <v>0</v>
      </c>
      <c r="H40" s="82">
        <f>SUMIFS('Consulta Contratos'!$Z:$Z,'Consulta Contratos'!$AM:$AM,'Performance Vendas'!H$25,'Consulta Contratos'!$P:$P,'Performance Vendas'!$B40,'Consulta Contratos'!$H:$H,"Ativo")</f>
        <v>0</v>
      </c>
      <c r="I40" s="82">
        <f>SUMIFS('Consulta Contratos'!$Z:$Z,'Consulta Contratos'!$AM:$AM,'Performance Vendas'!I$25,'Consulta Contratos'!$P:$P,'Performance Vendas'!$B40,'Consulta Contratos'!$H:$H,"Ativo")</f>
        <v>0</v>
      </c>
      <c r="J40" s="86">
        <f t="shared" si="68"/>
        <v>0</v>
      </c>
      <c r="K40" s="82">
        <f>SUMIFS('Consulta Contratos'!$Z:$Z,'Consulta Contratos'!$AM:$AM,'Performance Vendas'!K$25,'Consulta Contratos'!$P:$P,'Performance Vendas'!$B40,'Consulta Contratos'!$H:$H,"Ativo")</f>
        <v>0</v>
      </c>
      <c r="L40" s="82">
        <f>SUMIFS('Consulta Contratos'!$Z:$Z,'Consulta Contratos'!$AM:$AM,'Performance Vendas'!L$25,'Consulta Contratos'!$P:$P,'Performance Vendas'!$B40,'Consulta Contratos'!$H:$H,"Ativo")</f>
        <v>0</v>
      </c>
      <c r="M40" s="82">
        <f>SUMIFS('Consulta Contratos'!$Z:$Z,'Consulta Contratos'!$AM:$AM,'Performance Vendas'!M$25,'Consulta Contratos'!$P:$P,'Performance Vendas'!$B40,'Consulta Contratos'!$H:$H,"Ativo")</f>
        <v>0</v>
      </c>
      <c r="N40" s="82">
        <f>SUMIFS('Consulta Contratos'!$Z:$Z,'Consulta Contratos'!$AM:$AM,'Performance Vendas'!N$25,'Consulta Contratos'!$P:$P,'Performance Vendas'!$B40,'Consulta Contratos'!$H:$H,"Ativo")</f>
        <v>0</v>
      </c>
      <c r="O40" s="82">
        <f>SUMIFS('Consulta Contratos'!$Z:$Z,'Consulta Contratos'!$AM:$AM,'Performance Vendas'!O$25,'Consulta Contratos'!$P:$P,'Performance Vendas'!$B40,'Consulta Contratos'!$H:$H,"Ativo")</f>
        <v>0</v>
      </c>
      <c r="P40" s="82">
        <f>SUMIFS('Consulta Contratos'!$Z:$Z,'Consulta Contratos'!$AM:$AM,'Performance Vendas'!P$25,'Consulta Contratos'!$P:$P,'Performance Vendas'!$B40,'Consulta Contratos'!$H:$H,"Ativo")</f>
        <v>0</v>
      </c>
      <c r="Q40" s="82">
        <f>SUMIFS('Consulta Contratos'!$Z:$Z,'Consulta Contratos'!$AM:$AM,'Performance Vendas'!Q$25,'Consulta Contratos'!$P:$P,'Performance Vendas'!$B40,'Consulta Contratos'!$H:$H,"Ativo")</f>
        <v>0</v>
      </c>
      <c r="R40" s="82">
        <f>SUMIFS('Consulta Contratos'!$Z:$Z,'Consulta Contratos'!$AM:$AM,'Performance Vendas'!R$25,'Consulta Contratos'!$P:$P,'Performance Vendas'!$B40,'Consulta Contratos'!$H:$H,"Ativo")</f>
        <v>0</v>
      </c>
      <c r="S40" s="82">
        <f>SUMIFS('Consulta Contratos'!$Z:$Z,'Consulta Contratos'!$AM:$AM,'Performance Vendas'!S$25,'Consulta Contratos'!$P:$P,'Performance Vendas'!$B40,'Consulta Contratos'!$H:$H,"Ativo")</f>
        <v>0</v>
      </c>
      <c r="T40" s="82">
        <f>SUMIFS('Consulta Contratos'!$Z:$Z,'Consulta Contratos'!$AM:$AM,'Performance Vendas'!T$25,'Consulta Contratos'!$P:$P,'Performance Vendas'!$B40,'Consulta Contratos'!$H:$H,"Ativo")</f>
        <v>0</v>
      </c>
      <c r="U40" s="82">
        <f>SUMIFS('Consulta Contratos'!$Z:$Z,'Consulta Contratos'!$AM:$AM,'Performance Vendas'!U$25,'Consulta Contratos'!$P:$P,'Performance Vendas'!$B40,'Consulta Contratos'!$H:$H,"Ativo")</f>
        <v>0</v>
      </c>
      <c r="V40" s="82">
        <f>SUMIFS('Consulta Contratos'!$Z:$Z,'Consulta Contratos'!$AM:$AM,'Performance Vendas'!V$25,'Consulta Contratos'!$P:$P,'Performance Vendas'!$B40,'Consulta Contratos'!$H:$H,"Ativo")</f>
        <v>0</v>
      </c>
      <c r="W40" s="86">
        <f t="shared" si="69"/>
        <v>0</v>
      </c>
      <c r="X40" s="82">
        <f>SUMIFS('Consulta Contratos'!$Z:$Z,'Consulta Contratos'!$AM:$AM,'Performance Vendas'!X$25,'Consulta Contratos'!$P:$P,'Performance Vendas'!$B40,'Consulta Contratos'!$H:$H,"Ativo")</f>
        <v>0</v>
      </c>
      <c r="Y40" s="82">
        <f>SUMIFS('Consulta Contratos'!$Z:$Z,'Consulta Contratos'!$AM:$AM,'Performance Vendas'!Y$25,'Consulta Contratos'!$P:$P,'Performance Vendas'!$B40,'Consulta Contratos'!$H:$H,"Ativo")</f>
        <v>0</v>
      </c>
      <c r="Z40" s="82">
        <f>SUMIFS('Consulta Contratos'!$Z:$Z,'Consulta Contratos'!$AM:$AM,'Performance Vendas'!Z$25,'Consulta Contratos'!$P:$P,'Performance Vendas'!$B40,'Consulta Contratos'!$H:$H,"Ativo")</f>
        <v>0</v>
      </c>
      <c r="AA40" s="82">
        <f>SUMIFS('Consulta Contratos'!$Z:$Z,'Consulta Contratos'!$AM:$AM,'Performance Vendas'!AA$25,'Consulta Contratos'!$P:$P,'Performance Vendas'!$B40,'Consulta Contratos'!$H:$H,"Ativo")</f>
        <v>0</v>
      </c>
      <c r="AB40" s="82">
        <f>SUMIFS('Consulta Contratos'!$Z:$Z,'Consulta Contratos'!$AM:$AM,'Performance Vendas'!AB$25,'Consulta Contratos'!$P:$P,'Performance Vendas'!$B40,'Consulta Contratos'!$H:$H,"Ativo")</f>
        <v>0</v>
      </c>
      <c r="AC40" s="82">
        <f>SUMIFS('Consulta Contratos'!$Z:$Z,'Consulta Contratos'!$AM:$AM,'Performance Vendas'!AC$25,'Consulta Contratos'!$P:$P,'Performance Vendas'!$B40,'Consulta Contratos'!$H:$H,"Ativo")</f>
        <v>0</v>
      </c>
      <c r="AD40" s="82">
        <f>SUMIFS('Consulta Contratos'!$Z:$Z,'Consulta Contratos'!$AM:$AM,'Performance Vendas'!AD$25,'Consulta Contratos'!$P:$P,'Performance Vendas'!$B40,'Consulta Contratos'!$H:$H,"Ativo")</f>
        <v>0</v>
      </c>
      <c r="AE40" s="82">
        <f>SUMIFS('Consulta Contratos'!$Z:$Z,'Consulta Contratos'!$AM:$AM,'Performance Vendas'!AE$25,'Consulta Contratos'!$P:$P,'Performance Vendas'!$B40,'Consulta Contratos'!$H:$H,"Ativo")</f>
        <v>0</v>
      </c>
      <c r="AF40" s="82">
        <f>SUMIFS('Consulta Contratos'!$Z:$Z,'Consulta Contratos'!$AM:$AM,'Performance Vendas'!AF$25,'Consulta Contratos'!$P:$P,'Performance Vendas'!$B40,'Consulta Contratos'!$H:$H,"Ativo")</f>
        <v>0</v>
      </c>
      <c r="AG40" s="82">
        <f>SUMIFS('Consulta Contratos'!$Z:$Z,'Consulta Contratos'!$AM:$AM,'Performance Vendas'!AG$25,'Consulta Contratos'!$P:$P,'Performance Vendas'!$B40,'Consulta Contratos'!$H:$H,"Ativo")</f>
        <v>0</v>
      </c>
      <c r="AH40" s="82">
        <f>SUMIFS('Consulta Contratos'!$Z:$Z,'Consulta Contratos'!$AM:$AM,'Performance Vendas'!AH$25,'Consulta Contratos'!$P:$P,'Performance Vendas'!$B40,'Consulta Contratos'!$H:$H,"Ativo")</f>
        <v>0</v>
      </c>
      <c r="AI40" s="82">
        <f>SUMIFS('Consulta Contratos'!$Z:$Z,'Consulta Contratos'!$AM:$AM,'Performance Vendas'!AI$25,'Consulta Contratos'!$P:$P,'Performance Vendas'!$B40,'Consulta Contratos'!$H:$H,"Ativo")</f>
        <v>0</v>
      </c>
      <c r="AJ40" s="86">
        <f t="shared" si="70"/>
        <v>0</v>
      </c>
      <c r="AK40" s="82">
        <f>SUMIFS('Consulta Contratos'!$Z:$Z,'Consulta Contratos'!$AM:$AM,'Performance Vendas'!AK$25,'Consulta Contratos'!$P:$P,'Performance Vendas'!$B40,'Consulta Contratos'!$H:$H,"Ativo")</f>
        <v>0</v>
      </c>
      <c r="AL40" s="82">
        <f>SUMIFS('Consulta Contratos'!$Z:$Z,'Consulta Contratos'!$AM:$AM,'Performance Vendas'!AL$25,'Consulta Contratos'!$P:$P,'Performance Vendas'!$B40,'Consulta Contratos'!$H:$H,"Ativo")</f>
        <v>0</v>
      </c>
      <c r="AM40" s="82">
        <f>SUMIFS('Consulta Contratos'!$Z:$Z,'Consulta Contratos'!$AM:$AM,'Performance Vendas'!AM$25,'Consulta Contratos'!$P:$P,'Performance Vendas'!$B40,'Consulta Contratos'!$H:$H,"Ativo")</f>
        <v>0</v>
      </c>
      <c r="AN40" s="82">
        <f>SUMIFS('Consulta Contratos'!$Z:$Z,'Consulta Contratos'!$AM:$AM,'Performance Vendas'!AN$25,'Consulta Contratos'!$P:$P,'Performance Vendas'!$B40,'Consulta Contratos'!$H:$H,"Ativo")</f>
        <v>0</v>
      </c>
      <c r="AO40" s="82">
        <f>SUMIFS('Consulta Contratos'!$Z:$Z,'Consulta Contratos'!$AM:$AM,'Performance Vendas'!AO$25,'Consulta Contratos'!$P:$P,'Performance Vendas'!$B40,'Consulta Contratos'!$H:$H,"Ativo")</f>
        <v>0</v>
      </c>
      <c r="AP40" s="82">
        <f>SUMIFS('Consulta Contratos'!$Z:$Z,'Consulta Contratos'!$AM:$AM,'Performance Vendas'!AP$25,'Consulta Contratos'!$P:$P,'Performance Vendas'!$B40,'Consulta Contratos'!$H:$H,"Ativo")</f>
        <v>0</v>
      </c>
      <c r="AQ40" s="82">
        <f>SUMIFS('Consulta Contratos'!$Z:$Z,'Consulta Contratos'!$AM:$AM,'Performance Vendas'!AQ$25,'Consulta Contratos'!$P:$P,'Performance Vendas'!$B40,'Consulta Contratos'!$H:$H,"Ativo")</f>
        <v>0</v>
      </c>
      <c r="AR40" s="82">
        <f>SUMIFS('Consulta Contratos'!$Z:$Z,'Consulta Contratos'!$AM:$AM,'Performance Vendas'!AR$25,'Consulta Contratos'!$P:$P,'Performance Vendas'!$B40,'Consulta Contratos'!$H:$H,"Ativo")</f>
        <v>0</v>
      </c>
      <c r="AS40" s="82">
        <f>SUMIFS('Consulta Contratos'!$Z:$Z,'Consulta Contratos'!$AM:$AM,'Performance Vendas'!AS$25,'Consulta Contratos'!$P:$P,'Performance Vendas'!$B40,'Consulta Contratos'!$H:$H,"Ativo")</f>
        <v>0</v>
      </c>
      <c r="AT40" s="82">
        <f>SUMIFS('Consulta Contratos'!$Z:$Z,'Consulta Contratos'!$AM:$AM,'Performance Vendas'!AT$25,'Consulta Contratos'!$P:$P,'Performance Vendas'!$B40,'Consulta Contratos'!$H:$H,"Ativo")</f>
        <v>0</v>
      </c>
      <c r="AU40" s="82">
        <f>SUMIFS('Consulta Contratos'!$Z:$Z,'Consulta Contratos'!$AM:$AM,'Performance Vendas'!AU$25,'Consulta Contratos'!$P:$P,'Performance Vendas'!$B40,'Consulta Contratos'!$H:$H,"Ativo")</f>
        <v>0</v>
      </c>
      <c r="AV40" s="82">
        <f>SUMIFS('Consulta Contratos'!$Z:$Z,'Consulta Contratos'!$AM:$AM,'Performance Vendas'!AV$25,'Consulta Contratos'!$P:$P,'Performance Vendas'!$B40,'Consulta Contratos'!$H:$H,"Ativo")</f>
        <v>0</v>
      </c>
      <c r="AW40" s="86">
        <f t="shared" si="71"/>
        <v>0</v>
      </c>
      <c r="AX40" s="86">
        <f>AJ40+W40+J40+AW40</f>
        <v>0</v>
      </c>
      <c r="AY40" s="81">
        <f>AX40/AX42</f>
        <v>0</v>
      </c>
      <c r="AZ40" s="82">
        <f>SUMIFS('Consulta Contratos'!$Z:$Z,'Consulta Contratos'!$AM:$AM,'Performance Vendas'!AZ$25,'Consulta Contratos'!$P:$P,'Performance Vendas'!$B40,'Consulta Contratos'!$H:$H,"Ativo")</f>
        <v>0</v>
      </c>
    </row>
    <row r="41" spans="2:91" s="88" customFormat="1" ht="12.75">
      <c r="B41" s="521"/>
      <c r="C41" s="256" t="s">
        <v>71</v>
      </c>
      <c r="D41" s="330"/>
      <c r="E41" s="254">
        <f>SUMIFS('Consulta Contratos'!$AO:$AO,'Consulta Contratos'!$AM:$AM,'Performance Vendas'!E$25,'Consulta Contratos'!$P:$P,'Performance Vendas'!$B40,'Consulta Contratos'!$H:$H,"Ativo")</f>
        <v>0</v>
      </c>
      <c r="F41" s="254">
        <f>SUMIFS('Consulta Contratos'!$AO:$AO,'Consulta Contratos'!$AM:$AM,'Performance Vendas'!F$25,'Consulta Contratos'!$P:$P,'Performance Vendas'!$B40,'Consulta Contratos'!$H:$H,"Ativo")</f>
        <v>0</v>
      </c>
      <c r="G41" s="254">
        <f>SUMIFS('Consulta Contratos'!$AO:$AO,'Consulta Contratos'!$AM:$AM,'Performance Vendas'!G$25,'Consulta Contratos'!$P:$P,'Performance Vendas'!$B40,'Consulta Contratos'!$H:$H,"Ativo")</f>
        <v>0</v>
      </c>
      <c r="H41" s="254">
        <f>SUMIFS('Consulta Contratos'!$AO:$AO,'Consulta Contratos'!$AM:$AM,'Performance Vendas'!H$25,'Consulta Contratos'!$P:$P,'Performance Vendas'!$B40,'Consulta Contratos'!$H:$H,"Ativo")</f>
        <v>0</v>
      </c>
      <c r="I41" s="254">
        <f>SUMIFS('Consulta Contratos'!$AO:$AO,'Consulta Contratos'!$AM:$AM,'Performance Vendas'!I$25,'Consulta Contratos'!$P:$P,'Performance Vendas'!$B40,'Consulta Contratos'!$H:$H,"Ativo")</f>
        <v>0</v>
      </c>
      <c r="J41" s="255">
        <f t="shared" si="68"/>
        <v>0</v>
      </c>
      <c r="K41" s="254">
        <f>SUMIFS('Consulta Contratos'!$AO:$AO,'Consulta Contratos'!$AM:$AM,'Performance Vendas'!K$25,'Consulta Contratos'!$P:$P,'Performance Vendas'!$B40,'Consulta Contratos'!$H:$H,"Ativo")</f>
        <v>0</v>
      </c>
      <c r="L41" s="254">
        <f>SUMIFS('Consulta Contratos'!$AO:$AO,'Consulta Contratos'!$AM:$AM,'Performance Vendas'!L$25,'Consulta Contratos'!$P:$P,'Performance Vendas'!$B40,'Consulta Contratos'!$H:$H,"Ativo")</f>
        <v>0</v>
      </c>
      <c r="M41" s="254">
        <f>SUMIFS('Consulta Contratos'!$AO:$AO,'Consulta Contratos'!$AM:$AM,'Performance Vendas'!M$25,'Consulta Contratos'!$P:$P,'Performance Vendas'!$B40,'Consulta Contratos'!$H:$H,"Ativo")</f>
        <v>0</v>
      </c>
      <c r="N41" s="254">
        <f>SUMIFS('Consulta Contratos'!$AO:$AO,'Consulta Contratos'!$AM:$AM,'Performance Vendas'!N$25,'Consulta Contratos'!$P:$P,'Performance Vendas'!$B40,'Consulta Contratos'!$H:$H,"Ativo")</f>
        <v>0</v>
      </c>
      <c r="O41" s="254">
        <f>SUMIFS('Consulta Contratos'!$AO:$AO,'Consulta Contratos'!$AM:$AM,'Performance Vendas'!O$25,'Consulta Contratos'!$P:$P,'Performance Vendas'!$B40,'Consulta Contratos'!$H:$H,"Ativo")</f>
        <v>0</v>
      </c>
      <c r="P41" s="254">
        <f>SUMIFS('Consulta Contratos'!$AO:$AO,'Consulta Contratos'!$AM:$AM,'Performance Vendas'!P$25,'Consulta Contratos'!$P:$P,'Performance Vendas'!$B40,'Consulta Contratos'!$H:$H,"Ativo")</f>
        <v>0</v>
      </c>
      <c r="Q41" s="254">
        <f>SUMIFS('Consulta Contratos'!$AO:$AO,'Consulta Contratos'!$AM:$AM,'Performance Vendas'!Q$25,'Consulta Contratos'!$P:$P,'Performance Vendas'!$B40,'Consulta Contratos'!$H:$H,"Ativo")</f>
        <v>0</v>
      </c>
      <c r="R41" s="254">
        <f>SUMIFS('Consulta Contratos'!$AO:$AO,'Consulta Contratos'!$AM:$AM,'Performance Vendas'!R$25,'Consulta Contratos'!$P:$P,'Performance Vendas'!$B40,'Consulta Contratos'!$H:$H,"Ativo")</f>
        <v>0</v>
      </c>
      <c r="S41" s="254">
        <f>SUMIFS('Consulta Contratos'!$AO:$AO,'Consulta Contratos'!$AM:$AM,'Performance Vendas'!S$25,'Consulta Contratos'!$P:$P,'Performance Vendas'!$B40,'Consulta Contratos'!$H:$H,"Ativo")</f>
        <v>0</v>
      </c>
      <c r="T41" s="254">
        <f>SUMIFS('Consulta Contratos'!$AO:$AO,'Consulta Contratos'!$AM:$AM,'Performance Vendas'!T$25,'Consulta Contratos'!$P:$P,'Performance Vendas'!$B40,'Consulta Contratos'!$H:$H,"Ativo")</f>
        <v>0</v>
      </c>
      <c r="U41" s="254">
        <f>SUMIFS('Consulta Contratos'!$AO:$AO,'Consulta Contratos'!$AM:$AM,'Performance Vendas'!U$25,'Consulta Contratos'!$P:$P,'Performance Vendas'!$B40,'Consulta Contratos'!$H:$H,"Ativo")</f>
        <v>0</v>
      </c>
      <c r="V41" s="254">
        <f>SUMIFS('Consulta Contratos'!$AO:$AO,'Consulta Contratos'!$AM:$AM,'Performance Vendas'!V$25,'Consulta Contratos'!$P:$P,'Performance Vendas'!$B40,'Consulta Contratos'!$H:$H,"Ativo")</f>
        <v>0</v>
      </c>
      <c r="W41" s="255">
        <f t="shared" si="69"/>
        <v>0</v>
      </c>
      <c r="X41" s="254">
        <f>SUMIFS('Consulta Contratos'!$AO:$AO,'Consulta Contratos'!$AM:$AM,'Performance Vendas'!X$25,'Consulta Contratos'!$P:$P,'Performance Vendas'!$B40,'Consulta Contratos'!$H:$H,"Ativo")</f>
        <v>0</v>
      </c>
      <c r="Y41" s="254">
        <f>SUMIFS('Consulta Contratos'!$AO:$AO,'Consulta Contratos'!$AM:$AM,'Performance Vendas'!Y$25,'Consulta Contratos'!$P:$P,'Performance Vendas'!$B40,'Consulta Contratos'!$H:$H,"Ativo")</f>
        <v>0</v>
      </c>
      <c r="Z41" s="254">
        <f>SUMIFS('Consulta Contratos'!$AO:$AO,'Consulta Contratos'!$AM:$AM,'Performance Vendas'!Z$25,'Consulta Contratos'!$P:$P,'Performance Vendas'!$B40,'Consulta Contratos'!$H:$H,"Ativo")</f>
        <v>0</v>
      </c>
      <c r="AA41" s="254">
        <f>SUMIFS('Consulta Contratos'!$AO:$AO,'Consulta Contratos'!$AM:$AM,'Performance Vendas'!AA$25,'Consulta Contratos'!$P:$P,'Performance Vendas'!$B40,'Consulta Contratos'!$H:$H,"Ativo")</f>
        <v>0</v>
      </c>
      <c r="AB41" s="254">
        <f>SUMIFS('Consulta Contratos'!$AO:$AO,'Consulta Contratos'!$AM:$AM,'Performance Vendas'!AB$25,'Consulta Contratos'!$P:$P,'Performance Vendas'!$B40,'Consulta Contratos'!$H:$H,"Ativo")</f>
        <v>0</v>
      </c>
      <c r="AC41" s="254">
        <f>SUMIFS('Consulta Contratos'!$AO:$AO,'Consulta Contratos'!$AM:$AM,'Performance Vendas'!AC$25,'Consulta Contratos'!$P:$P,'Performance Vendas'!$B40,'Consulta Contratos'!$H:$H,"Ativo")</f>
        <v>0</v>
      </c>
      <c r="AD41" s="254">
        <f>SUMIFS('Consulta Contratos'!$AO:$AO,'Consulta Contratos'!$AM:$AM,'Performance Vendas'!AD$25,'Consulta Contratos'!$P:$P,'Performance Vendas'!$B40,'Consulta Contratos'!$H:$H,"Ativo")</f>
        <v>0</v>
      </c>
      <c r="AE41" s="254">
        <f>SUMIFS('Consulta Contratos'!$AO:$AO,'Consulta Contratos'!$AM:$AM,'Performance Vendas'!AE$25,'Consulta Contratos'!$P:$P,'Performance Vendas'!$B40,'Consulta Contratos'!$H:$H,"Ativo")</f>
        <v>0</v>
      </c>
      <c r="AF41" s="254">
        <f>SUMIFS('Consulta Contratos'!$AO:$AO,'Consulta Contratos'!$AM:$AM,'Performance Vendas'!AF$25,'Consulta Contratos'!$P:$P,'Performance Vendas'!$B40,'Consulta Contratos'!$H:$H,"Ativo")</f>
        <v>0</v>
      </c>
      <c r="AG41" s="254">
        <f>SUMIFS('Consulta Contratos'!$AO:$AO,'Consulta Contratos'!$AM:$AM,'Performance Vendas'!AG$25,'Consulta Contratos'!$P:$P,'Performance Vendas'!$B40,'Consulta Contratos'!$H:$H,"Ativo")</f>
        <v>0</v>
      </c>
      <c r="AH41" s="254">
        <f>SUMIFS('Consulta Contratos'!$AO:$AO,'Consulta Contratos'!$AM:$AM,'Performance Vendas'!AH$25,'Consulta Contratos'!$P:$P,'Performance Vendas'!$B40,'Consulta Contratos'!$H:$H,"Ativo")</f>
        <v>0</v>
      </c>
      <c r="AI41" s="254">
        <f>SUMIFS('Consulta Contratos'!$AO:$AO,'Consulta Contratos'!$AM:$AM,'Performance Vendas'!AI$25,'Consulta Contratos'!$P:$P,'Performance Vendas'!$B40,'Consulta Contratos'!$H:$H,"Ativo")</f>
        <v>0</v>
      </c>
      <c r="AJ41" s="255">
        <f t="shared" si="70"/>
        <v>0</v>
      </c>
      <c r="AK41" s="254">
        <f>SUMIFS('Consulta Contratos'!$AO:$AO,'Consulta Contratos'!$AM:$AM,'Performance Vendas'!AK$25,'Consulta Contratos'!$P:$P,'Performance Vendas'!$B40,'Consulta Contratos'!$H:$H,"Ativo")</f>
        <v>0</v>
      </c>
      <c r="AL41" s="254">
        <f>SUMIFS('Consulta Contratos'!$AO:$AO,'Consulta Contratos'!$AM:$AM,'Performance Vendas'!AL$25,'Consulta Contratos'!$P:$P,'Performance Vendas'!$B40,'Consulta Contratos'!$H:$H,"Ativo")</f>
        <v>0</v>
      </c>
      <c r="AM41" s="254">
        <f>SUMIFS('Consulta Contratos'!$AO:$AO,'Consulta Contratos'!$AM:$AM,'Performance Vendas'!AM$25,'Consulta Contratos'!$P:$P,'Performance Vendas'!$B40,'Consulta Contratos'!$H:$H,"Ativo")</f>
        <v>0</v>
      </c>
      <c r="AN41" s="254">
        <f>SUMIFS('Consulta Contratos'!$AO:$AO,'Consulta Contratos'!$AM:$AM,'Performance Vendas'!AN$25,'Consulta Contratos'!$P:$P,'Performance Vendas'!$B40,'Consulta Contratos'!$H:$H,"Ativo")</f>
        <v>0</v>
      </c>
      <c r="AO41" s="254">
        <f>SUMIFS('Consulta Contratos'!$AO:$AO,'Consulta Contratos'!$AM:$AM,'Performance Vendas'!AO$25,'Consulta Contratos'!$P:$P,'Performance Vendas'!$B40,'Consulta Contratos'!$H:$H,"Ativo")</f>
        <v>0</v>
      </c>
      <c r="AP41" s="254">
        <f>SUMIFS('Consulta Contratos'!$AO:$AO,'Consulta Contratos'!$AM:$AM,'Performance Vendas'!AP$25,'Consulta Contratos'!$P:$P,'Performance Vendas'!$B40,'Consulta Contratos'!$H:$H,"Ativo")</f>
        <v>0</v>
      </c>
      <c r="AQ41" s="254">
        <f>SUMIFS('Consulta Contratos'!$AO:$AO,'Consulta Contratos'!$AM:$AM,'Performance Vendas'!AQ$25,'Consulta Contratos'!$P:$P,'Performance Vendas'!$B40,'Consulta Contratos'!$H:$H,"Ativo")</f>
        <v>0</v>
      </c>
      <c r="AR41" s="254">
        <f>SUMIFS('Consulta Contratos'!$AO:$AO,'Consulta Contratos'!$AM:$AM,'Performance Vendas'!AR$25,'Consulta Contratos'!$P:$P,'Performance Vendas'!$B40,'Consulta Contratos'!$H:$H,"Ativo")</f>
        <v>0</v>
      </c>
      <c r="AS41" s="254">
        <f>SUMIFS('Consulta Contratos'!$AO:$AO,'Consulta Contratos'!$AM:$AM,'Performance Vendas'!AS$25,'Consulta Contratos'!$P:$P,'Performance Vendas'!$B40,'Consulta Contratos'!$H:$H,"Ativo")</f>
        <v>0</v>
      </c>
      <c r="AT41" s="254">
        <f>SUMIFS('Consulta Contratos'!$AO:$AO,'Consulta Contratos'!$AM:$AM,'Performance Vendas'!AT$25,'Consulta Contratos'!$P:$P,'Performance Vendas'!$B40,'Consulta Contratos'!$H:$H,"Ativo")</f>
        <v>0</v>
      </c>
      <c r="AU41" s="254">
        <f>SUMIFS('Consulta Contratos'!$AO:$AO,'Consulta Contratos'!$AM:$AM,'Performance Vendas'!AU$25,'Consulta Contratos'!$P:$P,'Performance Vendas'!$B40,'Consulta Contratos'!$H:$H,"Ativo")</f>
        <v>0</v>
      </c>
      <c r="AV41" s="254">
        <f>SUMIFS('Consulta Contratos'!$AO:$AO,'Consulta Contratos'!$AM:$AM,'Performance Vendas'!AV$25,'Consulta Contratos'!$P:$P,'Performance Vendas'!$B40,'Consulta Contratos'!$H:$H,"Ativo")</f>
        <v>0</v>
      </c>
      <c r="AW41" s="255">
        <f t="shared" si="71"/>
        <v>0</v>
      </c>
      <c r="AX41" s="255">
        <f>AJ41+W41+J41+AW41</f>
        <v>0</v>
      </c>
      <c r="AY41" s="81"/>
      <c r="AZ41" s="83">
        <f>COUNTIFS('Consulta Contratos'!$AM:$AM,'Performance Vendas'!AZ$25,'Consulta Contratos'!$G:$G,"Assinado",'Consulta Contratos'!$P:$P,'Performance Vendas'!$B40)-COUNTIFS('Consulta Contratos'!$AM:$AM,'Performance Vendas'!AZ$25,'Consulta Contratos'!$H:$H,"Cancelado",'Consulta Contratos'!$G:$G,"Assinado",'Consulta Contratos'!$P:$P,'Performance Vendas'!$B40)-COUNTIFS('Consulta Contratos'!$AM:$AM,'Performance Vendas'!AZ$25,'Consulta Contratos'!$H:$H,"Cancelado Upgrade",'Consulta Contratos'!$G:$G,"Assinado",'Consulta Contratos'!$P:$P,'Performance Vendas'!$B40)</f>
        <v>0</v>
      </c>
    </row>
    <row r="42" spans="2:91">
      <c r="B42" s="519" t="s">
        <v>74</v>
      </c>
      <c r="C42" s="122" t="s">
        <v>70</v>
      </c>
      <c r="D42" s="330"/>
      <c r="E42" s="449">
        <f t="shared" ref="E42:AJ42" si="72">SUM(E26,E28,E30,E32,E34,E36,E38,E40)</f>
        <v>14243001</v>
      </c>
      <c r="F42" s="449">
        <f t="shared" si="72"/>
        <v>6370748.2999999998</v>
      </c>
      <c r="G42" s="449">
        <f t="shared" si="72"/>
        <v>14288721.359999999</v>
      </c>
      <c r="H42" s="449">
        <f t="shared" si="72"/>
        <v>10992566</v>
      </c>
      <c r="I42" s="449">
        <f t="shared" si="72"/>
        <v>13847740</v>
      </c>
      <c r="J42" s="90">
        <f t="shared" si="72"/>
        <v>59742776.660000004</v>
      </c>
      <c r="K42" s="449">
        <f t="shared" si="72"/>
        <v>15029384.189999999</v>
      </c>
      <c r="L42" s="449">
        <f t="shared" si="72"/>
        <v>4347825</v>
      </c>
      <c r="M42" s="449">
        <f t="shared" si="72"/>
        <v>12491340</v>
      </c>
      <c r="N42" s="449">
        <f t="shared" si="72"/>
        <v>13804596.76</v>
      </c>
      <c r="O42" s="449">
        <f t="shared" si="72"/>
        <v>9937311.1999999993</v>
      </c>
      <c r="P42" s="449">
        <f t="shared" si="72"/>
        <v>15080733.300000001</v>
      </c>
      <c r="Q42" s="449">
        <f t="shared" si="72"/>
        <v>13602758.629999999</v>
      </c>
      <c r="R42" s="449">
        <f t="shared" si="72"/>
        <v>11696029.219999999</v>
      </c>
      <c r="S42" s="449">
        <f t="shared" si="72"/>
        <v>20703802.829999998</v>
      </c>
      <c r="T42" s="449">
        <f t="shared" si="72"/>
        <v>25034491.490000002</v>
      </c>
      <c r="U42" s="449">
        <f t="shared" si="72"/>
        <v>14262217.1</v>
      </c>
      <c r="V42" s="449">
        <f t="shared" si="72"/>
        <v>24137646</v>
      </c>
      <c r="W42" s="90">
        <f t="shared" si="72"/>
        <v>180128135.71999994</v>
      </c>
      <c r="X42" s="449">
        <f t="shared" si="72"/>
        <v>16584821.960000001</v>
      </c>
      <c r="Y42" s="449">
        <f t="shared" si="72"/>
        <v>4083584.23</v>
      </c>
      <c r="Z42" s="449">
        <f t="shared" si="72"/>
        <v>11381784</v>
      </c>
      <c r="AA42" s="449">
        <f t="shared" si="72"/>
        <v>10862520</v>
      </c>
      <c r="AB42" s="449">
        <f t="shared" si="72"/>
        <v>1405406.28</v>
      </c>
      <c r="AC42" s="449">
        <f t="shared" si="72"/>
        <v>2130000</v>
      </c>
      <c r="AD42" s="449">
        <f t="shared" si="72"/>
        <v>11736970.66</v>
      </c>
      <c r="AE42" s="449">
        <f t="shared" si="72"/>
        <v>21660841.460000001</v>
      </c>
      <c r="AF42" s="449">
        <f t="shared" si="72"/>
        <v>18628123.139999997</v>
      </c>
      <c r="AG42" s="449">
        <f t="shared" si="72"/>
        <v>3246000</v>
      </c>
      <c r="AH42" s="449">
        <f t="shared" si="72"/>
        <v>8056699.7200000007</v>
      </c>
      <c r="AI42" s="449">
        <f t="shared" si="72"/>
        <v>17236514.850000001</v>
      </c>
      <c r="AJ42" s="90">
        <f t="shared" si="72"/>
        <v>127013266.30000001</v>
      </c>
      <c r="AK42" s="449">
        <f t="shared" ref="AK42:AW42" si="73">SUM(AK26,AK28,AK30,AK32,AK34,AK36,AK38,AK40)</f>
        <v>9348451.8100000005</v>
      </c>
      <c r="AL42" s="449">
        <f t="shared" si="73"/>
        <v>6484295.3100000005</v>
      </c>
      <c r="AM42" s="449">
        <f t="shared" si="73"/>
        <v>328000</v>
      </c>
      <c r="AN42" s="449">
        <f t="shared" si="73"/>
        <v>0</v>
      </c>
      <c r="AO42" s="449">
        <f t="shared" si="73"/>
        <v>0</v>
      </c>
      <c r="AP42" s="449">
        <f t="shared" si="73"/>
        <v>0</v>
      </c>
      <c r="AQ42" s="449">
        <f t="shared" si="73"/>
        <v>0</v>
      </c>
      <c r="AR42" s="449">
        <f t="shared" si="73"/>
        <v>0</v>
      </c>
      <c r="AS42" s="449">
        <f t="shared" si="73"/>
        <v>0</v>
      </c>
      <c r="AT42" s="449">
        <f t="shared" si="73"/>
        <v>0</v>
      </c>
      <c r="AU42" s="449">
        <f t="shared" si="73"/>
        <v>0</v>
      </c>
      <c r="AV42" s="449">
        <f t="shared" si="73"/>
        <v>0</v>
      </c>
      <c r="AW42" s="90">
        <f t="shared" si="73"/>
        <v>16160747.119999999</v>
      </c>
      <c r="AX42" s="303">
        <f>AJ42+W42+J42+AW42</f>
        <v>383044925.80000001</v>
      </c>
      <c r="AY42" s="91"/>
      <c r="AZ42" s="449">
        <f>SUM(AZ26,AZ28,AZ30,AZ32,AZ34,AZ36,AZ38,AZ40)</f>
        <v>1498219.6800000002</v>
      </c>
    </row>
    <row r="43" spans="2:91">
      <c r="B43" s="520"/>
      <c r="C43" s="253" t="s">
        <v>71</v>
      </c>
      <c r="D43" s="330"/>
      <c r="E43" s="253">
        <f t="shared" ref="E43:AJ43" si="74">SUM(E27,E29,E31,E33,E35,E37,E39,E41)</f>
        <v>7</v>
      </c>
      <c r="F43" s="253">
        <f t="shared" si="74"/>
        <v>12</v>
      </c>
      <c r="G43" s="253">
        <f t="shared" si="74"/>
        <v>10</v>
      </c>
      <c r="H43" s="253">
        <f t="shared" si="74"/>
        <v>11</v>
      </c>
      <c r="I43" s="253">
        <f t="shared" si="74"/>
        <v>18</v>
      </c>
      <c r="J43" s="253">
        <f t="shared" si="74"/>
        <v>58</v>
      </c>
      <c r="K43" s="253">
        <f t="shared" si="74"/>
        <v>16</v>
      </c>
      <c r="L43" s="253">
        <f t="shared" si="74"/>
        <v>8</v>
      </c>
      <c r="M43" s="253">
        <f t="shared" si="74"/>
        <v>8</v>
      </c>
      <c r="N43" s="253">
        <f t="shared" si="74"/>
        <v>6</v>
      </c>
      <c r="O43" s="253">
        <f t="shared" si="74"/>
        <v>15</v>
      </c>
      <c r="P43" s="253">
        <f t="shared" si="74"/>
        <v>18</v>
      </c>
      <c r="Q43" s="253">
        <f t="shared" si="74"/>
        <v>16</v>
      </c>
      <c r="R43" s="253">
        <f t="shared" si="74"/>
        <v>20</v>
      </c>
      <c r="S43" s="253">
        <f t="shared" si="74"/>
        <v>19</v>
      </c>
      <c r="T43" s="253">
        <f t="shared" si="74"/>
        <v>27</v>
      </c>
      <c r="U43" s="253">
        <f t="shared" si="74"/>
        <v>28</v>
      </c>
      <c r="V43" s="253">
        <f t="shared" si="74"/>
        <v>16</v>
      </c>
      <c r="W43" s="253">
        <f t="shared" si="74"/>
        <v>197</v>
      </c>
      <c r="X43" s="253">
        <f t="shared" si="74"/>
        <v>10</v>
      </c>
      <c r="Y43" s="253">
        <f t="shared" si="74"/>
        <v>10</v>
      </c>
      <c r="Z43" s="253">
        <f t="shared" si="74"/>
        <v>7</v>
      </c>
      <c r="AA43" s="253">
        <f t="shared" si="74"/>
        <v>13</v>
      </c>
      <c r="AB43" s="253">
        <f t="shared" si="74"/>
        <v>3</v>
      </c>
      <c r="AC43" s="253">
        <f t="shared" si="74"/>
        <v>4</v>
      </c>
      <c r="AD43" s="253">
        <f t="shared" si="74"/>
        <v>15</v>
      </c>
      <c r="AE43" s="253">
        <f t="shared" si="74"/>
        <v>21</v>
      </c>
      <c r="AF43" s="253">
        <f t="shared" si="74"/>
        <v>21</v>
      </c>
      <c r="AG43" s="253">
        <f t="shared" si="74"/>
        <v>2</v>
      </c>
      <c r="AH43" s="253">
        <f t="shared" si="74"/>
        <v>9</v>
      </c>
      <c r="AI43" s="253">
        <f t="shared" si="74"/>
        <v>10</v>
      </c>
      <c r="AJ43" s="253">
        <f t="shared" si="74"/>
        <v>125</v>
      </c>
      <c r="AK43" s="253">
        <f t="shared" ref="AK43:AW43" si="75">SUM(AK27,AK29,AK31,AK33,AK35,AK37,AK39,AK41)</f>
        <v>14</v>
      </c>
      <c r="AL43" s="253">
        <f t="shared" si="75"/>
        <v>13</v>
      </c>
      <c r="AM43" s="253">
        <f t="shared" si="75"/>
        <v>1</v>
      </c>
      <c r="AN43" s="253">
        <f t="shared" si="75"/>
        <v>0</v>
      </c>
      <c r="AO43" s="253">
        <f t="shared" si="75"/>
        <v>0</v>
      </c>
      <c r="AP43" s="253">
        <f t="shared" si="75"/>
        <v>0</v>
      </c>
      <c r="AQ43" s="253">
        <f t="shared" si="75"/>
        <v>0</v>
      </c>
      <c r="AR43" s="253">
        <f t="shared" si="75"/>
        <v>0</v>
      </c>
      <c r="AS43" s="253">
        <f t="shared" si="75"/>
        <v>0</v>
      </c>
      <c r="AT43" s="253">
        <f t="shared" si="75"/>
        <v>0</v>
      </c>
      <c r="AU43" s="253">
        <f t="shared" si="75"/>
        <v>0</v>
      </c>
      <c r="AV43" s="253">
        <f t="shared" si="75"/>
        <v>0</v>
      </c>
      <c r="AW43" s="253">
        <f t="shared" si="75"/>
        <v>28</v>
      </c>
      <c r="AX43" s="250">
        <f>AJ43+W43+J43+AW43</f>
        <v>408</v>
      </c>
      <c r="AY43" s="91"/>
      <c r="AZ43" s="449">
        <f>SUM(AZ27,AZ29,AZ31,AZ33,AZ35,AZ37,AZ39,AZ41)</f>
        <v>0</v>
      </c>
    </row>
    <row r="44" spans="2:91">
      <c r="B44" s="517" t="s">
        <v>88</v>
      </c>
      <c r="C44" s="518"/>
      <c r="D44" s="330"/>
      <c r="E44" s="163">
        <f>SUMIFS('Consulta Contratos'!$AL:$AL,'Consulta Contratos'!$AT:$AT,1,'Consulta Contratos'!$H:$H,"ATIVO",'Consulta Contratos'!$AM:$AM,'Performance Vendas'!E$25)</f>
        <v>18000</v>
      </c>
      <c r="F44" s="163">
        <f>SUMIFS('Consulta Contratos'!$AL:$AL,'Consulta Contratos'!$AT:$AT,1,'Consulta Contratos'!$H:$H,"ATIVO",'Consulta Contratos'!$AM:$AM,'Performance Vendas'!F$25)</f>
        <v>697673.3</v>
      </c>
      <c r="G44" s="163">
        <f>SUMIFS('Consulta Contratos'!$AL:$AL,'Consulta Contratos'!$AT:$AT,1,'Consulta Contratos'!$H:$H,"ATIVO",'Consulta Contratos'!$AM:$AM,'Performance Vendas'!G$25)</f>
        <v>348301.63999999966</v>
      </c>
      <c r="H44" s="163">
        <f>SUMIFS('Consulta Contratos'!$AL:$AL,'Consulta Contratos'!$AT:$AT,1,'Consulta Contratos'!$H:$H,"ATIVO",'Consulta Contratos'!$AM:$AM,'Performance Vendas'!H$25)</f>
        <v>1000</v>
      </c>
      <c r="I44" s="163">
        <f>SUMIFS('Consulta Contratos'!$AL:$AL,'Consulta Contratos'!$AT:$AT,1,'Consulta Contratos'!$H:$H,"ATIVO",'Consulta Contratos'!$AM:$AM,'Performance Vendas'!I$25)</f>
        <v>1299180</v>
      </c>
      <c r="J44" s="164">
        <f t="shared" si="56"/>
        <v>2364154.9399999995</v>
      </c>
      <c r="K44" s="163">
        <f>SUMIFS('Consulta Contratos'!$AL:$AL,'Consulta Contratos'!$AT:$AT,1,'Consulta Contratos'!$H:$H,"ATIVO",'Consulta Contratos'!$AM:$AM,'Performance Vendas'!K$25)</f>
        <v>1543615.4</v>
      </c>
      <c r="L44" s="163">
        <f>SUMIFS('Consulta Contratos'!$AL:$AL,'Consulta Contratos'!$AT:$AT,1,'Consulta Contratos'!$H:$H,"ATIVO",'Consulta Contratos'!$AM:$AM,'Performance Vendas'!L$25)</f>
        <v>285329.25</v>
      </c>
      <c r="M44" s="163">
        <f>SUMIFS('Consulta Contratos'!$AL:$AL,'Consulta Contratos'!$AT:$AT,1,'Consulta Contratos'!$H:$H,"ATIVO",'Consulta Contratos'!$AM:$AM,'Performance Vendas'!M$25)</f>
        <v>3951255.4930000002</v>
      </c>
      <c r="N44" s="163">
        <f>SUMIFS('Consulta Contratos'!$AL:$AL,'Consulta Contratos'!$AT:$AT,1,'Consulta Contratos'!$H:$H,"ATIVO",'Consulta Contratos'!$AM:$AM,'Performance Vendas'!N$25)</f>
        <v>1761403.24</v>
      </c>
      <c r="O44" s="163">
        <f>SUMIFS('Consulta Contratos'!$AL:$AL,'Consulta Contratos'!$AT:$AT,1,'Consulta Contratos'!$H:$H,"ATIVO",'Consulta Contratos'!$AM:$AM,'Performance Vendas'!O$25)</f>
        <v>1163982.00875</v>
      </c>
      <c r="P44" s="163">
        <f>SUMIFS('Consulta Contratos'!$AL:$AL,'Consulta Contratos'!$AT:$AT,1,'Consulta Contratos'!$H:$H,"ATIVO",'Consulta Contratos'!$AM:$AM,'Performance Vendas'!P$25)</f>
        <v>1948466.166</v>
      </c>
      <c r="Q44" s="163">
        <f>SUMIFS('Consulta Contratos'!$AL:$AL,'Consulta Contratos'!$AT:$AT,1,'Consulta Contratos'!$H:$H,"ATIVO",'Consulta Contratos'!$AM:$AM,'Performance Vendas'!Q$25)</f>
        <v>1760210.5329999998</v>
      </c>
      <c r="R44" s="163">
        <f>SUMIFS('Consulta Contratos'!$AL:$AL,'Consulta Contratos'!$AT:$AT,1,'Consulta Contratos'!$H:$H,"ATIVO",'Consulta Contratos'!$AM:$AM,'Performance Vendas'!R$25)</f>
        <v>1989784.1700000002</v>
      </c>
      <c r="S44" s="163">
        <f>SUMIFS('Consulta Contratos'!$AL:$AL,'Consulta Contratos'!$AT:$AT,1,'Consulta Contratos'!$H:$H,"ATIVO",'Consulta Contratos'!$AM:$AM,'Performance Vendas'!S$25)</f>
        <v>3251888.4220000003</v>
      </c>
      <c r="T44" s="163">
        <f>SUMIFS('Consulta Contratos'!$AL:$AL,'Consulta Contratos'!$AT:$AT,1,'Consulta Contratos'!$H:$H,"ATIVO",'Consulta Contratos'!$AM:$AM,'Performance Vendas'!T$25)</f>
        <v>2776798.4160000016</v>
      </c>
      <c r="U44" s="163">
        <f>SUMIFS('Consulta Contratos'!$AL:$AL,'Consulta Contratos'!$AT:$AT,1,'Consulta Contratos'!$H:$H,"ATIVO",'Consulta Contratos'!$AM:$AM,'Performance Vendas'!U$25)</f>
        <v>1875785.2749999999</v>
      </c>
      <c r="V44" s="163">
        <f>SUMIFS('Consulta Contratos'!$AL:$AL,'Consulta Contratos'!$AT:$AT,1,'Consulta Contratos'!$H:$H,"ATIVO",'Consulta Contratos'!$AM:$AM,'Performance Vendas'!V$25)</f>
        <v>3691585.5880000014</v>
      </c>
      <c r="W44" s="164">
        <f>SUM(K44:V44)</f>
        <v>26000103.961750001</v>
      </c>
      <c r="X44" s="163">
        <f>SUMIFS('Consulta Contratos'!$AL:$AL,'Consulta Contratos'!$AT:$AT,1,'Consulta Contratos'!$H:$H,"ATIVO",'Consulta Contratos'!$AM:$AM,'Performance Vendas'!X$25)</f>
        <v>2609069.6040000003</v>
      </c>
      <c r="Y44" s="163">
        <f>SUMIFS('Consulta Contratos'!$AL:$AL,'Consulta Contratos'!$AT:$AT,1,'Consulta Contratos'!$H:$H,"ATIVO",'Consulta Contratos'!$AM:$AM,'Performance Vendas'!Y$25)</f>
        <v>446481.48</v>
      </c>
      <c r="Z44" s="163">
        <f>SUMIFS('Consulta Contratos'!$AL:$AL,'Consulta Contratos'!$AT:$AT,1,'Consulta Contratos'!$H:$H,"ATIVO",'Consulta Contratos'!$AM:$AM,'Performance Vendas'!Z$25)</f>
        <v>1056095.1599999999</v>
      </c>
      <c r="AA44" s="163">
        <f>SUMIFS('Consulta Contratos'!$AL:$AL,'Consulta Contratos'!$AT:$AT,1,'Consulta Contratos'!$H:$H,"ATIVO",'Consulta Contratos'!$AM:$AM,'Performance Vendas'!AA$25)</f>
        <v>2971884.6900000004</v>
      </c>
      <c r="AB44" s="163">
        <f>SUMIFS('Consulta Contratos'!$AL:$AL,'Consulta Contratos'!$AT:$AT,1,'Consulta Contratos'!$H:$H,"ATIVO",'Consulta Contratos'!$AM:$AM,'Performance Vendas'!AB$25)</f>
        <v>252049.49</v>
      </c>
      <c r="AC44" s="163">
        <f>SUMIFS('Consulta Contratos'!$AL:$AL,'Consulta Contratos'!$AT:$AT,1,'Consulta Contratos'!$H:$H,"ATIVO",'Consulta Contratos'!$AM:$AM,'Performance Vendas'!AC$25)</f>
        <v>222582.47999999998</v>
      </c>
      <c r="AD44" s="163">
        <f>SUMIFS('Consulta Contratos'!$AL:$AL,'Consulta Contratos'!$AT:$AT,1,'Consulta Contratos'!$H:$H,"ATIVO",'Consulta Contratos'!$AM:$AM,'Performance Vendas'!AD$25)</f>
        <v>951126.05</v>
      </c>
      <c r="AE44" s="163">
        <f>SUMIFS('Consulta Contratos'!$AL:$AL,'Consulta Contratos'!$AT:$AT,1,'Consulta Contratos'!$H:$H,"ATIVO",'Consulta Contratos'!$AM:$AM,'Performance Vendas'!AE$25)</f>
        <v>1340808.6399999994</v>
      </c>
      <c r="AF44" s="163">
        <f>SUMIFS('Consulta Contratos'!$AL:$AL,'Consulta Contratos'!$AT:$AT,1,'Consulta Contratos'!$H:$H,"ATIVO",'Consulta Contratos'!$AM:$AM,'Performance Vendas'!AF$25)</f>
        <v>1739310.9300000002</v>
      </c>
      <c r="AG44" s="163">
        <f>SUMIFS('Consulta Contratos'!$AL:$AL,'Consulta Contratos'!$AT:$AT,1,'Consulta Contratos'!$H:$H,"ATIVO",'Consulta Contratos'!$AM:$AM,'Performance Vendas'!AG$25)</f>
        <v>418333.76000000024</v>
      </c>
      <c r="AH44" s="163">
        <f>SUMIFS('Consulta Contratos'!$AL:$AL,'Consulta Contratos'!$AT:$AT,1,'Consulta Contratos'!$H:$H,"ATIVO",'Consulta Contratos'!$AM:$AM,'Performance Vendas'!AH$25)</f>
        <v>941863.88000000012</v>
      </c>
      <c r="AI44" s="163">
        <f>SUMIFS('Consulta Contratos'!$AL:$AL,'Consulta Contratos'!$AT:$AT,1,'Consulta Contratos'!$H:$H,"ATIVO",'Consulta Contratos'!$AM:$AM,'Performance Vendas'!AI$25)</f>
        <v>1515010.7500000005</v>
      </c>
      <c r="AJ44" s="164">
        <f t="shared" si="58"/>
        <v>14464616.914000001</v>
      </c>
      <c r="AK44" s="163">
        <f>SUMIFS('Consulta Contratos'!$AL:$AL,'Consulta Contratos'!$AT:$AT,1,'Consulta Contratos'!$H:$H,"ATIVO",'Consulta Contratos'!$AM:$AM,'Performance Vendas'!AK$25)</f>
        <v>631770.4099999998</v>
      </c>
      <c r="AL44" s="163">
        <f>SUMIFS('Consulta Contratos'!$AL:$AL,'Consulta Contratos'!$AT:$AT,1,'Consulta Contratos'!$H:$H,"ATIVO",'Consulta Contratos'!$AM:$AM,'Performance Vendas'!AL$25)</f>
        <v>452802.90000000014</v>
      </c>
      <c r="AM44" s="163">
        <f>SUMIFS('Consulta Contratos'!$AL:$AL,'Consulta Contratos'!$AT:$AT,1,'Consulta Contratos'!$H:$H,"ATIVO",'Consulta Contratos'!$AM:$AM,'Performance Vendas'!AM$25)</f>
        <v>74817.880000000019</v>
      </c>
      <c r="AN44" s="163">
        <f>SUMIFS('Consulta Contratos'!$AL:$AL,'Consulta Contratos'!$AT:$AT,1,'Consulta Contratos'!$H:$H,"ATIVO",'Consulta Contratos'!$AM:$AM,'Performance Vendas'!AN$25)</f>
        <v>0</v>
      </c>
      <c r="AO44" s="163">
        <f>SUMIFS('Consulta Contratos'!$AL:$AL,'Consulta Contratos'!$AT:$AT,1,'Consulta Contratos'!$H:$H,"ATIVO",'Consulta Contratos'!$AM:$AM,'Performance Vendas'!AO$25)</f>
        <v>0</v>
      </c>
      <c r="AP44" s="163">
        <f>SUMIFS('Consulta Contratos'!$AL:$AL,'Consulta Contratos'!$AT:$AT,1,'Consulta Contratos'!$H:$H,"ATIVO",'Consulta Contratos'!$AM:$AM,'Performance Vendas'!AP$25)</f>
        <v>0</v>
      </c>
      <c r="AQ44" s="163">
        <f>SUMIFS('Consulta Contratos'!$AL:$AL,'Consulta Contratos'!$AT:$AT,1,'Consulta Contratos'!$H:$H,"ATIVO",'Consulta Contratos'!$AM:$AM,'Performance Vendas'!AQ$25)</f>
        <v>0</v>
      </c>
      <c r="AR44" s="163">
        <f>SUMIFS('Consulta Contratos'!$AL:$AL,'Consulta Contratos'!$AT:$AT,1,'Consulta Contratos'!$H:$H,"ATIVO",'Consulta Contratos'!$AM:$AM,'Performance Vendas'!AR$25)</f>
        <v>0</v>
      </c>
      <c r="AS44" s="163">
        <f>SUMIFS('Consulta Contratos'!$AL:$AL,'Consulta Contratos'!$AT:$AT,1,'Consulta Contratos'!$H:$H,"ATIVO",'Consulta Contratos'!$AM:$AM,'Performance Vendas'!AS$25)</f>
        <v>0</v>
      </c>
      <c r="AT44" s="163">
        <f>SUMIFS('Consulta Contratos'!$AL:$AL,'Consulta Contratos'!$AT:$AT,1,'Consulta Contratos'!$H:$H,"ATIVO",'Consulta Contratos'!$AM:$AM,'Performance Vendas'!AT$25)</f>
        <v>0</v>
      </c>
      <c r="AU44" s="163">
        <f>SUMIFS('Consulta Contratos'!$AL:$AL,'Consulta Contratos'!$AT:$AT,1,'Consulta Contratos'!$H:$H,"ATIVO",'Consulta Contratos'!$AM:$AM,'Performance Vendas'!AU$25)</f>
        <v>0</v>
      </c>
      <c r="AV44" s="163">
        <f>SUMIFS('Consulta Contratos'!$AL:$AL,'Consulta Contratos'!$AT:$AT,1,'Consulta Contratos'!$H:$H,"ATIVO",'Consulta Contratos'!$AM:$AM,'Performance Vendas'!AV$25)</f>
        <v>0</v>
      </c>
      <c r="AW44" s="164">
        <f t="shared" ref="AW44:AW45" si="76">SUM(AK44:AV44)</f>
        <v>1159391.1900000002</v>
      </c>
      <c r="AX44" s="165">
        <f>AJ44+W44+J44+AW44</f>
        <v>43988267.00575</v>
      </c>
      <c r="AY44" s="7"/>
      <c r="AZ44" s="5">
        <f>SUMIFS('Consulta Contratos'!$AL:$AL,'Consulta Contratos'!$AT:$AT,1,'Consulta Contratos'!$H:$H,"ATIVO",'Consulta Contratos'!$AM:$AM,'Performance Vendas'!AZ$25)</f>
        <v>161654.30999999997</v>
      </c>
    </row>
    <row r="45" spans="2:91">
      <c r="B45" s="515" t="s">
        <v>75</v>
      </c>
      <c r="C45" s="516"/>
      <c r="D45" s="330"/>
      <c r="E45" s="166">
        <f t="shared" ref="E45:I45" si="77">E42+E44</f>
        <v>14261001</v>
      </c>
      <c r="F45" s="166">
        <f t="shared" si="77"/>
        <v>7068421.5999999996</v>
      </c>
      <c r="G45" s="166">
        <f t="shared" si="77"/>
        <v>14637023</v>
      </c>
      <c r="H45" s="166">
        <f t="shared" si="77"/>
        <v>10993566</v>
      </c>
      <c r="I45" s="166">
        <f t="shared" si="77"/>
        <v>15146920</v>
      </c>
      <c r="J45" s="167">
        <f t="shared" si="56"/>
        <v>62106931.600000001</v>
      </c>
      <c r="K45" s="166">
        <f t="shared" ref="K45:AI45" si="78">K42+K44</f>
        <v>16572999.59</v>
      </c>
      <c r="L45" s="166">
        <f t="shared" si="78"/>
        <v>4633154.25</v>
      </c>
      <c r="M45" s="166">
        <f t="shared" si="78"/>
        <v>16442595.493000001</v>
      </c>
      <c r="N45" s="166">
        <f t="shared" si="78"/>
        <v>15566000</v>
      </c>
      <c r="O45" s="166">
        <f t="shared" si="78"/>
        <v>11101293.208749998</v>
      </c>
      <c r="P45" s="166">
        <f t="shared" si="78"/>
        <v>17029199.466000002</v>
      </c>
      <c r="Q45" s="166">
        <f t="shared" si="78"/>
        <v>15362969.162999999</v>
      </c>
      <c r="R45" s="166">
        <f t="shared" si="78"/>
        <v>13685813.389999999</v>
      </c>
      <c r="S45" s="166">
        <f t="shared" si="78"/>
        <v>23955691.251999997</v>
      </c>
      <c r="T45" s="166">
        <f t="shared" si="78"/>
        <v>27811289.906000003</v>
      </c>
      <c r="U45" s="166">
        <f t="shared" si="78"/>
        <v>16138002.375</v>
      </c>
      <c r="V45" s="166">
        <f t="shared" si="78"/>
        <v>27829231.588</v>
      </c>
      <c r="W45" s="167">
        <f t="shared" si="78"/>
        <v>206128239.68174994</v>
      </c>
      <c r="X45" s="166">
        <f t="shared" si="78"/>
        <v>19193891.564000003</v>
      </c>
      <c r="Y45" s="166">
        <f t="shared" si="78"/>
        <v>4530065.71</v>
      </c>
      <c r="Z45" s="166">
        <f t="shared" si="78"/>
        <v>12437879.16</v>
      </c>
      <c r="AA45" s="166">
        <f t="shared" si="78"/>
        <v>13834404.690000001</v>
      </c>
      <c r="AB45" s="166">
        <f t="shared" si="78"/>
        <v>1657455.77</v>
      </c>
      <c r="AC45" s="166">
        <f t="shared" si="78"/>
        <v>2352582.48</v>
      </c>
      <c r="AD45" s="166">
        <f t="shared" si="78"/>
        <v>12688096.710000001</v>
      </c>
      <c r="AE45" s="166">
        <f t="shared" si="78"/>
        <v>23001650.100000001</v>
      </c>
      <c r="AF45" s="166">
        <f t="shared" si="78"/>
        <v>20367434.069999997</v>
      </c>
      <c r="AG45" s="166">
        <f t="shared" si="78"/>
        <v>3664333.7600000002</v>
      </c>
      <c r="AH45" s="166">
        <f t="shared" si="78"/>
        <v>8998563.6000000015</v>
      </c>
      <c r="AI45" s="166">
        <f t="shared" si="78"/>
        <v>18751525.600000001</v>
      </c>
      <c r="AJ45" s="167">
        <f t="shared" si="58"/>
        <v>141477883.21399999</v>
      </c>
      <c r="AK45" s="166">
        <f t="shared" ref="AK45:AW45" si="79">AK42+AK44</f>
        <v>9980222.2200000007</v>
      </c>
      <c r="AL45" s="166">
        <f t="shared" si="79"/>
        <v>6937098.2100000009</v>
      </c>
      <c r="AM45" s="166">
        <f t="shared" si="79"/>
        <v>402817.88</v>
      </c>
      <c r="AN45" s="166">
        <f t="shared" si="79"/>
        <v>0</v>
      </c>
      <c r="AO45" s="166">
        <f t="shared" si="79"/>
        <v>0</v>
      </c>
      <c r="AP45" s="166">
        <f t="shared" si="79"/>
        <v>0</v>
      </c>
      <c r="AQ45" s="166">
        <f t="shared" si="79"/>
        <v>0</v>
      </c>
      <c r="AR45" s="166">
        <f t="shared" si="79"/>
        <v>0</v>
      </c>
      <c r="AS45" s="166">
        <f t="shared" si="79"/>
        <v>0</v>
      </c>
      <c r="AT45" s="166">
        <f t="shared" si="79"/>
        <v>0</v>
      </c>
      <c r="AU45" s="166">
        <f t="shared" si="79"/>
        <v>0</v>
      </c>
      <c r="AV45" s="166">
        <f t="shared" si="79"/>
        <v>0</v>
      </c>
      <c r="AW45" s="167">
        <f t="shared" si="76"/>
        <v>17320138.309999999</v>
      </c>
      <c r="AX45" s="168">
        <f>AJ45+W45+J45+AW45</f>
        <v>427033192.80574995</v>
      </c>
      <c r="AY45" s="91"/>
      <c r="AZ45" s="449">
        <f t="shared" ref="AZ45" si="80">AZ42+AZ44</f>
        <v>1659873.9900000002</v>
      </c>
    </row>
    <row r="46" spans="2:91">
      <c r="B46" s="394" t="s">
        <v>89</v>
      </c>
      <c r="C46" s="89" t="s">
        <v>90</v>
      </c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220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220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220"/>
      <c r="AP46" s="220"/>
      <c r="AQ46" s="97"/>
      <c r="AR46" s="99"/>
      <c r="AS46" s="449"/>
      <c r="AT46" s="449"/>
      <c r="AU46" s="449"/>
      <c r="AV46" s="449"/>
      <c r="AW46" s="220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220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220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220"/>
      <c r="CK46" s="220"/>
      <c r="CL46" s="97"/>
      <c r="CM46" s="99"/>
    </row>
    <row r="47" spans="2:91">
      <c r="B47" s="394" t="s">
        <v>91</v>
      </c>
      <c r="C47" s="89" t="s">
        <v>92</v>
      </c>
      <c r="D47" s="330"/>
      <c r="E47" s="94"/>
      <c r="F47" s="94"/>
      <c r="G47" s="94"/>
      <c r="H47" s="94"/>
      <c r="I47" s="94"/>
      <c r="J47" s="220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220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220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220"/>
      <c r="AX47" s="220"/>
      <c r="AY47" s="97"/>
      <c r="AZ47" s="99"/>
    </row>
    <row r="48" spans="2:91">
      <c r="B48" s="395"/>
      <c r="C48" s="395"/>
      <c r="D48" s="330"/>
      <c r="E48" s="94"/>
      <c r="F48" s="94"/>
      <c r="G48" s="94"/>
      <c r="H48" s="94"/>
      <c r="I48" s="94"/>
      <c r="J48" s="220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220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220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220"/>
      <c r="AX48" s="220"/>
      <c r="AY48" s="97"/>
      <c r="AZ48" s="99"/>
    </row>
    <row r="49" spans="2:52">
      <c r="B49" s="394" t="s">
        <v>93</v>
      </c>
      <c r="C49" s="89" t="s">
        <v>94</v>
      </c>
      <c r="D49"/>
      <c r="E49" s="94"/>
      <c r="F49" s="94"/>
      <c r="G49" s="94"/>
      <c r="H49" s="94"/>
      <c r="I49" s="94"/>
      <c r="J49" s="220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220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220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220"/>
      <c r="AX49" s="220"/>
      <c r="AY49" s="97"/>
      <c r="AZ49" s="99"/>
    </row>
    <row r="50" spans="2:52">
      <c r="B50" s="89" t="s">
        <v>95</v>
      </c>
      <c r="C50" s="396">
        <v>259607390.60000002</v>
      </c>
      <c r="D50"/>
      <c r="E50" s="94"/>
      <c r="F50" s="94"/>
      <c r="G50" s="94"/>
      <c r="H50" s="94"/>
      <c r="I50" s="94"/>
      <c r="J50" s="397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220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220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220"/>
      <c r="AX50" s="220"/>
      <c r="AY50" s="97"/>
      <c r="AZ50" s="99"/>
    </row>
    <row r="51" spans="2:52">
      <c r="B51" s="89" t="s">
        <v>96</v>
      </c>
      <c r="C51" s="396">
        <v>44134342.18</v>
      </c>
      <c r="D51"/>
      <c r="E51" s="94"/>
      <c r="F51" s="94"/>
      <c r="G51" s="94"/>
      <c r="H51" s="94"/>
      <c r="I51" s="94"/>
      <c r="J51" s="397">
        <f>C51/C61</f>
        <v>0.1148939436422186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220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220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220"/>
      <c r="AX51" s="220"/>
      <c r="AY51" s="97"/>
      <c r="AZ51" s="99"/>
    </row>
    <row r="52" spans="2:52">
      <c r="B52" s="89" t="s">
        <v>84</v>
      </c>
      <c r="C52" s="396">
        <v>22498675.939999998</v>
      </c>
      <c r="D52"/>
      <c r="E52" s="94"/>
      <c r="F52" s="94"/>
      <c r="G52" s="94"/>
      <c r="H52" s="94"/>
      <c r="I52" s="94"/>
      <c r="J52" s="397">
        <f>C52/C61</f>
        <v>5.8570298724114782E-2</v>
      </c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220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220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220"/>
      <c r="AX52" s="220"/>
      <c r="AY52" s="97"/>
      <c r="AZ52" s="99"/>
    </row>
    <row r="53" spans="2:52" ht="18" customHeight="1">
      <c r="B53" s="89" t="s">
        <v>97</v>
      </c>
      <c r="C53" s="396">
        <v>14766690.219999999</v>
      </c>
      <c r="D53"/>
      <c r="E53" s="94"/>
      <c r="F53" s="94"/>
      <c r="G53" s="94"/>
      <c r="H53" s="94"/>
      <c r="I53" s="94"/>
      <c r="J53" s="397">
        <f>C53/C61</f>
        <v>3.8441793626361472E-2</v>
      </c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220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220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220"/>
      <c r="AX53" s="220"/>
      <c r="AY53" s="97"/>
      <c r="AZ53" s="99"/>
    </row>
    <row r="54" spans="2:52">
      <c r="B54" s="89" t="s">
        <v>98</v>
      </c>
      <c r="C54" s="396">
        <v>12653240</v>
      </c>
      <c r="D54"/>
      <c r="E54" s="94"/>
      <c r="F54" s="94"/>
      <c r="G54" s="94"/>
      <c r="H54" s="94"/>
      <c r="I54" s="94"/>
      <c r="J54" s="397">
        <f>C54/C61</f>
        <v>3.2939896045630059E-2</v>
      </c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220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220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220"/>
      <c r="AX54" s="220"/>
      <c r="AY54" s="97"/>
      <c r="AZ54" s="99"/>
    </row>
    <row r="55" spans="2:52">
      <c r="B55" s="89" t="s">
        <v>99</v>
      </c>
      <c r="C55" s="396">
        <v>8087401.0700000003</v>
      </c>
      <c r="D55"/>
      <c r="E55" s="94"/>
      <c r="F55" s="94"/>
      <c r="G55" s="94"/>
      <c r="H55" s="94"/>
      <c r="I55" s="94"/>
      <c r="J55" s="397">
        <f>C55/C61</f>
        <v>2.1053749911099238E-2</v>
      </c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220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220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220"/>
      <c r="AX55" s="220"/>
      <c r="AY55" s="97"/>
      <c r="AZ55" s="99"/>
    </row>
    <row r="56" spans="2:52">
      <c r="B56" s="89" t="s">
        <v>100</v>
      </c>
      <c r="C56" s="396">
        <v>5332145.0999999996</v>
      </c>
      <c r="D56"/>
      <c r="E56" s="94"/>
      <c r="F56" s="94"/>
      <c r="G56" s="94"/>
      <c r="H56" s="94"/>
      <c r="I56" s="94"/>
      <c r="J56" s="397">
        <f>C56/C61</f>
        <v>1.3881053808685814E-2</v>
      </c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220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220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220"/>
      <c r="AX56" s="220"/>
      <c r="AY56" s="97"/>
      <c r="AZ56" s="99"/>
    </row>
    <row r="57" spans="2:52">
      <c r="B57" s="89" t="s">
        <v>101</v>
      </c>
      <c r="C57" s="396">
        <v>5188699.5999999996</v>
      </c>
      <c r="D57"/>
      <c r="E57" s="94"/>
      <c r="F57" s="94"/>
      <c r="G57" s="94"/>
      <c r="H57" s="94"/>
      <c r="I57" s="94"/>
      <c r="J57" s="397">
        <f>C57/C61</f>
        <v>1.3507625354138724E-2</v>
      </c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220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220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220"/>
      <c r="AX57" s="220"/>
      <c r="AY57" s="97"/>
      <c r="AZ57" s="99"/>
    </row>
    <row r="58" spans="2:52">
      <c r="B58" s="89" t="s">
        <v>102</v>
      </c>
      <c r="C58" s="396">
        <v>4727510.2300000004</v>
      </c>
      <c r="D58"/>
      <c r="E58" s="94"/>
      <c r="F58" s="94"/>
      <c r="G58" s="94"/>
      <c r="H58" s="94"/>
      <c r="I58" s="94"/>
      <c r="J58" s="397">
        <f>C58/C61</f>
        <v>1.2307021405652045E-2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220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220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220"/>
      <c r="AX58" s="220"/>
      <c r="AY58" s="97"/>
      <c r="AZ58" s="99"/>
    </row>
    <row r="59" spans="2:52">
      <c r="B59" s="89" t="s">
        <v>103</v>
      </c>
      <c r="C59" s="396">
        <v>3626000.12</v>
      </c>
      <c r="D59"/>
      <c r="E59" s="94"/>
      <c r="F59" s="94"/>
      <c r="G59" s="94"/>
      <c r="H59" s="94"/>
      <c r="I59" s="94"/>
      <c r="J59" s="397">
        <f>C59/C61</f>
        <v>9.4394848287270398E-3</v>
      </c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220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220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220"/>
      <c r="AX59" s="220"/>
      <c r="AY59" s="97"/>
      <c r="AZ59" s="99"/>
    </row>
    <row r="60" spans="2:52">
      <c r="B60" s="89" t="s">
        <v>104</v>
      </c>
      <c r="C60" s="396">
        <v>3509050.42</v>
      </c>
      <c r="D60"/>
      <c r="E60" s="94"/>
      <c r="F60" s="94"/>
      <c r="G60" s="94"/>
      <c r="H60" s="94"/>
      <c r="I60" s="94"/>
      <c r="J60" s="397">
        <f>C60/C61</f>
        <v>9.1350322963663459E-3</v>
      </c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220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220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220"/>
      <c r="AX60" s="220"/>
      <c r="AY60" s="97"/>
      <c r="AZ60" s="99"/>
    </row>
    <row r="61" spans="2:52">
      <c r="B61" s="89" t="s">
        <v>105</v>
      </c>
      <c r="C61" s="396">
        <v>384131145.48000008</v>
      </c>
      <c r="D61"/>
      <c r="E61" s="94"/>
      <c r="F61" s="94"/>
      <c r="G61" s="94"/>
      <c r="H61" s="94"/>
      <c r="I61" s="94"/>
      <c r="J61" s="220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220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220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220"/>
      <c r="AX61" s="220"/>
      <c r="AY61" s="97"/>
      <c r="AZ61" s="99"/>
    </row>
    <row r="62" spans="2:52">
      <c r="B62"/>
      <c r="C62" s="245"/>
      <c r="D62" s="330"/>
      <c r="E62" s="94"/>
      <c r="F62" s="94"/>
      <c r="G62" s="94"/>
      <c r="H62" s="94"/>
      <c r="I62" s="94"/>
      <c r="J62" s="220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220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220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220"/>
      <c r="AX62" s="220"/>
      <c r="AY62" s="97"/>
      <c r="AZ62" s="99"/>
    </row>
    <row r="63" spans="2:52" ht="15.75">
      <c r="B63" s="217" t="s">
        <v>106</v>
      </c>
      <c r="C63" s="217"/>
      <c r="D63" s="330"/>
      <c r="E63" s="223"/>
      <c r="F63" s="223"/>
      <c r="G63" s="223"/>
      <c r="H63" s="223"/>
      <c r="I63" s="223"/>
      <c r="J63" s="22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220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220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220"/>
      <c r="AX63" s="220"/>
      <c r="AY63" s="97"/>
    </row>
    <row r="64" spans="2:52" ht="15.75">
      <c r="B64" s="219" t="s">
        <v>107</v>
      </c>
      <c r="C64" s="219"/>
      <c r="D64" s="330"/>
      <c r="E64" s="223"/>
      <c r="F64" s="223"/>
      <c r="G64" s="223"/>
      <c r="H64" s="223"/>
      <c r="I64" s="223"/>
      <c r="J64" s="22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220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220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220"/>
      <c r="AX64" s="220"/>
      <c r="AY64" s="97"/>
    </row>
    <row r="65" spans="2:51" s="136" customFormat="1">
      <c r="B65" s="134"/>
      <c r="C65" s="135"/>
      <c r="D65" s="330"/>
      <c r="E65" s="156">
        <v>44804</v>
      </c>
      <c r="F65" s="156">
        <v>44834</v>
      </c>
      <c r="G65" s="156">
        <v>44865</v>
      </c>
      <c r="H65" s="156">
        <v>44895</v>
      </c>
      <c r="I65" s="156">
        <f>EOMONTH(H65,1)</f>
        <v>44926</v>
      </c>
      <c r="J65" s="127" t="str">
        <f>$J$5</f>
        <v>2022</v>
      </c>
      <c r="K65" s="156">
        <f t="shared" ref="K65:AJ65" si="81">K5</f>
        <v>44957</v>
      </c>
      <c r="L65" s="156">
        <f t="shared" si="81"/>
        <v>44985</v>
      </c>
      <c r="M65" s="156">
        <f t="shared" si="81"/>
        <v>45016</v>
      </c>
      <c r="N65" s="156">
        <f t="shared" si="81"/>
        <v>45046</v>
      </c>
      <c r="O65" s="156">
        <f t="shared" si="81"/>
        <v>45077</v>
      </c>
      <c r="P65" s="156">
        <f t="shared" si="81"/>
        <v>45107</v>
      </c>
      <c r="Q65" s="156">
        <f t="shared" si="81"/>
        <v>45138</v>
      </c>
      <c r="R65" s="156">
        <f t="shared" si="81"/>
        <v>45169</v>
      </c>
      <c r="S65" s="156">
        <f t="shared" si="81"/>
        <v>45199</v>
      </c>
      <c r="T65" s="156">
        <f t="shared" si="81"/>
        <v>45230</v>
      </c>
      <c r="U65" s="156">
        <f t="shared" si="81"/>
        <v>45260</v>
      </c>
      <c r="V65" s="156">
        <f t="shared" si="81"/>
        <v>45291</v>
      </c>
      <c r="W65" s="127" t="str">
        <f t="shared" si="81"/>
        <v>2023</v>
      </c>
      <c r="X65" s="156">
        <f t="shared" si="81"/>
        <v>45322</v>
      </c>
      <c r="Y65" s="156">
        <f t="shared" si="81"/>
        <v>45351</v>
      </c>
      <c r="Z65" s="156">
        <f t="shared" si="81"/>
        <v>45382</v>
      </c>
      <c r="AA65" s="156">
        <f t="shared" si="81"/>
        <v>45412</v>
      </c>
      <c r="AB65" s="156">
        <f t="shared" si="81"/>
        <v>45443</v>
      </c>
      <c r="AC65" s="156">
        <f t="shared" si="81"/>
        <v>45473</v>
      </c>
      <c r="AD65" s="156">
        <f t="shared" si="81"/>
        <v>45504</v>
      </c>
      <c r="AE65" s="156">
        <f t="shared" si="81"/>
        <v>45535</v>
      </c>
      <c r="AF65" s="156">
        <f t="shared" si="81"/>
        <v>45565</v>
      </c>
      <c r="AG65" s="156">
        <f t="shared" si="81"/>
        <v>45596</v>
      </c>
      <c r="AH65" s="156">
        <f t="shared" si="81"/>
        <v>45626</v>
      </c>
      <c r="AI65" s="156">
        <f t="shared" si="81"/>
        <v>45657</v>
      </c>
      <c r="AJ65" s="127" t="str">
        <f t="shared" si="81"/>
        <v>2024</v>
      </c>
      <c r="AK65" s="156">
        <f t="shared" ref="AK65:AW65" si="82">AK5</f>
        <v>45688</v>
      </c>
      <c r="AL65" s="156">
        <f t="shared" si="82"/>
        <v>45716</v>
      </c>
      <c r="AM65" s="156">
        <f t="shared" si="82"/>
        <v>45747</v>
      </c>
      <c r="AN65" s="156">
        <f t="shared" si="82"/>
        <v>45777</v>
      </c>
      <c r="AO65" s="156">
        <f t="shared" si="82"/>
        <v>45808</v>
      </c>
      <c r="AP65" s="156">
        <f t="shared" si="82"/>
        <v>45838</v>
      </c>
      <c r="AQ65" s="156">
        <f t="shared" si="82"/>
        <v>45869</v>
      </c>
      <c r="AR65" s="156">
        <f t="shared" si="82"/>
        <v>45900</v>
      </c>
      <c r="AS65" s="156">
        <f t="shared" si="82"/>
        <v>45930</v>
      </c>
      <c r="AT65" s="156">
        <f t="shared" si="82"/>
        <v>45961</v>
      </c>
      <c r="AU65" s="156">
        <f t="shared" si="82"/>
        <v>45991</v>
      </c>
      <c r="AV65" s="156">
        <f t="shared" si="82"/>
        <v>46022</v>
      </c>
      <c r="AW65" s="127" t="str">
        <f t="shared" si="82"/>
        <v>2025</v>
      </c>
      <c r="AX65" s="127" t="s">
        <v>74</v>
      </c>
      <c r="AY65" s="129"/>
    </row>
    <row r="66" spans="2:51" s="87" customFormat="1">
      <c r="B66" s="465" t="s">
        <v>108</v>
      </c>
      <c r="C66" s="109" t="s">
        <v>70</v>
      </c>
      <c r="D66" s="330"/>
      <c r="E66" s="131">
        <f>SUMIFS('Consulta Contratos'!$Z:$Z,'Consulta Contratos'!$AM:$AM,'Performance Vendas'!E65,'Consulta Contratos'!$G:$G,"Assinado")</f>
        <v>14576001</v>
      </c>
      <c r="F66" s="131">
        <f>SUMIFS('Consulta Contratos'!$Z:$Z,'Consulta Contratos'!$AM:$AM,'Performance Vendas'!F65,'Consulta Contratos'!$G:$G,"Assinado")</f>
        <v>7421748.2999999998</v>
      </c>
      <c r="G66" s="131">
        <f>SUMIFS('Consulta Contratos'!$Z:$Z,'Consulta Contratos'!$AM:$AM,'Performance Vendas'!G65,'Consulta Contratos'!$G:$G,"Assinado")</f>
        <v>21732301.359999999</v>
      </c>
      <c r="H66" s="131">
        <f>SUMIFS('Consulta Contratos'!$Z:$Z,'Consulta Contratos'!$AM:$AM,'Performance Vendas'!H65,'Consulta Contratos'!$G:$G,"Assinado")</f>
        <v>22512932.77</v>
      </c>
      <c r="I66" s="131">
        <f>SUMIFS('Consulta Contratos'!$Z:$Z,'Consulta Contratos'!$AM:$AM,'Performance Vendas'!I65,'Consulta Contratos'!$G:$G,"Assinado")</f>
        <v>19473278</v>
      </c>
      <c r="J66" s="130">
        <f t="shared" ref="J66:J70" si="83">SUM(E66:I66)</f>
        <v>85716261.429999992</v>
      </c>
      <c r="K66" s="131">
        <f>SUMIFS('Consulta Contratos'!$Z:$Z,'Consulta Contratos'!$AM:$AM,'Performance Vendas'!K65,'Consulta Contratos'!$G:$G,"Assinado")</f>
        <v>24555384.189999998</v>
      </c>
      <c r="L66" s="131">
        <f>SUMIFS('Consulta Contratos'!$Z:$Z,'Consulta Contratos'!$AM:$AM,'Performance Vendas'!L65,'Consulta Contratos'!$G:$G,"Assinado")</f>
        <v>4347825</v>
      </c>
      <c r="M66" s="131">
        <f>SUMIFS('Consulta Contratos'!$Z:$Z,'Consulta Contratos'!$AM:$AM,'Performance Vendas'!M65,'Consulta Contratos'!$G:$G,"Assinado")</f>
        <v>14985060</v>
      </c>
      <c r="N66" s="131">
        <f>SUMIFS('Consulta Contratos'!$Z:$Z,'Consulta Contratos'!$AM:$AM,'Performance Vendas'!N65,'Consulta Contratos'!$G:$G,"Assinado")</f>
        <v>17176596.759999998</v>
      </c>
      <c r="O66" s="131">
        <f>SUMIFS('Consulta Contratos'!$Z:$Z,'Consulta Contratos'!$AM:$AM,'Performance Vendas'!O65,'Consulta Contratos'!$G:$G,"Assinado")</f>
        <v>11120311.199999999</v>
      </c>
      <c r="P66" s="131">
        <f>SUMIFS('Consulta Contratos'!$Z:$Z,'Consulta Contratos'!$AM:$AM,'Performance Vendas'!P65,'Consulta Contratos'!$G:$G,"Assinado")</f>
        <v>17064813.300000001</v>
      </c>
      <c r="Q66" s="131">
        <f>SUMIFS('Consulta Contratos'!$Z:$Z,'Consulta Contratos'!$AM:$AM,'Performance Vendas'!Q65,'Consulta Contratos'!$G:$G,"Assinado")</f>
        <v>13602758.629999999</v>
      </c>
      <c r="R66" s="131">
        <f>SUMIFS('Consulta Contratos'!$Z:$Z,'Consulta Contratos'!$AM:$AM,'Performance Vendas'!R65,'Consulta Contratos'!$G:$G,"Assinado")</f>
        <v>13627629.219999999</v>
      </c>
      <c r="S66" s="131">
        <f>SUMIFS('Consulta Contratos'!$Z:$Z,'Consulta Contratos'!$AM:$AM,'Performance Vendas'!S65,'Consulta Contratos'!$G:$G,"Assinado")</f>
        <v>21761102.830000006</v>
      </c>
      <c r="T66" s="131">
        <f>SUMIFS('Consulta Contratos'!$Z:$Z,'Consulta Contratos'!$AM:$AM,'Performance Vendas'!T65,'Consulta Contratos'!$G:$G,"Assinado")</f>
        <v>26515491.489999998</v>
      </c>
      <c r="U66" s="131">
        <f>SUMIFS('Consulta Contratos'!$Z:$Z,'Consulta Contratos'!$AM:$AM,'Performance Vendas'!U65,'Consulta Contratos'!$G:$G,"Assinado")</f>
        <v>15256957.1</v>
      </c>
      <c r="V66" s="131">
        <f>SUMIFS('Consulta Contratos'!$Z:$Z,'Consulta Contratos'!$AM:$AM,'Performance Vendas'!V65,'Consulta Contratos'!$G:$G,"Assinado")</f>
        <v>24930846</v>
      </c>
      <c r="W66" s="130">
        <f t="shared" ref="W66:W70" si="84">SUM(K66:V66)</f>
        <v>204944775.72</v>
      </c>
      <c r="X66" s="131">
        <f>SUMIFS('Consulta Contratos'!$Z:$Z,'Consulta Contratos'!$AM:$AM,'Performance Vendas'!X65,'Consulta Contratos'!$G:$G,"Assinado")</f>
        <v>16584821.960000001</v>
      </c>
      <c r="Y66" s="131">
        <f>SUMIFS('Consulta Contratos'!$Z:$Z,'Consulta Contratos'!$AM:$AM,'Performance Vendas'!Y65,'Consulta Contratos'!$G:$G,"Assinado")</f>
        <v>4933584.2300000004</v>
      </c>
      <c r="Z66" s="131">
        <f>SUMIFS('Consulta Contratos'!$Z:$Z,'Consulta Contratos'!$AM:$AM,'Performance Vendas'!Z65,'Consulta Contratos'!$G:$G,"Assinado")</f>
        <v>11381784</v>
      </c>
      <c r="AA66" s="131">
        <f>SUMIFS('Consulta Contratos'!$Z:$Z,'Consulta Contratos'!$AM:$AM,'Performance Vendas'!AA65,'Consulta Contratos'!$G:$G,"Assinado")</f>
        <v>10862520</v>
      </c>
      <c r="AB66" s="131">
        <f>SUMIFS('Consulta Contratos'!$Z:$Z,'Consulta Contratos'!$AM:$AM,'Performance Vendas'!AB65,'Consulta Contratos'!$G:$G,"Assinado")</f>
        <v>1405406.28</v>
      </c>
      <c r="AC66" s="131">
        <f>SUMIFS('Consulta Contratos'!$Z:$Z,'Consulta Contratos'!$AM:$AM,'Performance Vendas'!AC65,'Consulta Contratos'!$G:$G,"Assinado")</f>
        <v>2130000</v>
      </c>
      <c r="AD66" s="131">
        <f>SUMIFS('Consulta Contratos'!$Z:$Z,'Consulta Contratos'!$AM:$AM,'Performance Vendas'!AD65,'Consulta Contratos'!$G:$G,"Assinado")</f>
        <v>11736970.66</v>
      </c>
      <c r="AE66" s="131">
        <f>SUMIFS('Consulta Contratos'!$Z:$Z,'Consulta Contratos'!$AM:$AM,'Performance Vendas'!AE65,'Consulta Contratos'!$G:$G,"Assinado")</f>
        <v>22360841.460000001</v>
      </c>
      <c r="AF66" s="131">
        <f>SUMIFS('Consulta Contratos'!$Z:$Z,'Consulta Contratos'!$AM:$AM,'Performance Vendas'!AF65,'Consulta Contratos'!$G:$G,"Assinado")</f>
        <v>19284653.140000001</v>
      </c>
      <c r="AG66" s="131">
        <f>SUMIFS('Consulta Contratos'!$Z:$Z,'Consulta Contratos'!$AM:$AM,'Performance Vendas'!AG65,'Consulta Contratos'!$G:$G,"Assinado")</f>
        <v>3246000</v>
      </c>
      <c r="AH66" s="131">
        <f>SUMIFS('Consulta Contratos'!$Z:$Z,'Consulta Contratos'!$AM:$AM,'Performance Vendas'!AH65,'Consulta Contratos'!$G:$G,"Assinado")</f>
        <v>8545779.7200000007</v>
      </c>
      <c r="AI66" s="131">
        <f>SUMIFS('Consulta Contratos'!$Z:$Z,'Consulta Contratos'!$AM:$AM,'Performance Vendas'!AI65,'Consulta Contratos'!$G:$G,"Assinado")</f>
        <v>17236514.850000001</v>
      </c>
      <c r="AJ66" s="130">
        <f t="shared" ref="AJ66:AJ70" si="85">SUM(X66:AI66)</f>
        <v>129708876.30000001</v>
      </c>
      <c r="AK66" s="131">
        <f>SUMIFS('Consulta Contratos'!$Z:$Z,'Consulta Contratos'!$AM:$AM,'Performance Vendas'!AK65,'Consulta Contratos'!$G:$G,"Assinado")</f>
        <v>9348451.8099999987</v>
      </c>
      <c r="AL66" s="131">
        <f>SUMIFS('Consulta Contratos'!$Z:$Z,'Consulta Contratos'!$AM:$AM,'Performance Vendas'!AL65,'Consulta Contratos'!$G:$G,"Assinado")</f>
        <v>6484295.3100000005</v>
      </c>
      <c r="AM66" s="131">
        <f>SUMIFS('Consulta Contratos'!$Z:$Z,'Consulta Contratos'!$AM:$AM,'Performance Vendas'!AM65,'Consulta Contratos'!$G:$G,"Assinado")</f>
        <v>328000</v>
      </c>
      <c r="AN66" s="131">
        <f>SUMIFS('Consulta Contratos'!$Z:$Z,'Consulta Contratos'!$AM:$AM,'Performance Vendas'!AN65,'Consulta Contratos'!$G:$G,"Assinado")</f>
        <v>0</v>
      </c>
      <c r="AO66" s="131">
        <f>SUMIFS('Consulta Contratos'!$Z:$Z,'Consulta Contratos'!$AM:$AM,'Performance Vendas'!AO65,'Consulta Contratos'!$G:$G,"Assinado")</f>
        <v>0</v>
      </c>
      <c r="AP66" s="131">
        <f>SUMIFS('Consulta Contratos'!$Z:$Z,'Consulta Contratos'!$AM:$AM,'Performance Vendas'!AP65,'Consulta Contratos'!$G:$G,"Assinado")</f>
        <v>0</v>
      </c>
      <c r="AQ66" s="131">
        <f>SUMIFS('Consulta Contratos'!$Z:$Z,'Consulta Contratos'!$AM:$AM,'Performance Vendas'!AQ65,'Consulta Contratos'!$G:$G,"Assinado")</f>
        <v>0</v>
      </c>
      <c r="AR66" s="131">
        <f>SUMIFS('Consulta Contratos'!$Z:$Z,'Consulta Contratos'!$AM:$AM,'Performance Vendas'!AR65,'Consulta Contratos'!$G:$G,"Assinado")</f>
        <v>0</v>
      </c>
      <c r="AS66" s="131">
        <f>SUMIFS('Consulta Contratos'!$Z:$Z,'Consulta Contratos'!$AM:$AM,'Performance Vendas'!AS65,'Consulta Contratos'!$G:$G,"Assinado")</f>
        <v>0</v>
      </c>
      <c r="AT66" s="131">
        <f>SUMIFS('Consulta Contratos'!$Z:$Z,'Consulta Contratos'!$AM:$AM,'Performance Vendas'!AT65,'Consulta Contratos'!$G:$G,"Assinado")</f>
        <v>0</v>
      </c>
      <c r="AU66" s="131">
        <f>SUMIFS('Consulta Contratos'!$Z:$Z,'Consulta Contratos'!$AM:$AM,'Performance Vendas'!AU65,'Consulta Contratos'!$G:$G,"Assinado")</f>
        <v>0</v>
      </c>
      <c r="AV66" s="131">
        <f>SUMIFS('Consulta Contratos'!$Z:$Z,'Consulta Contratos'!$AM:$AM,'Performance Vendas'!AV65,'Consulta Contratos'!$G:$G,"Assinado")</f>
        <v>0</v>
      </c>
      <c r="AW66" s="130">
        <f t="shared" ref="AW66:AW70" si="86">SUM(AK66:AV66)</f>
        <v>16160747.119999999</v>
      </c>
      <c r="AX66" s="130">
        <f>AJ66+W66+J66+AW66</f>
        <v>436530660.56999999</v>
      </c>
      <c r="AY66" s="124"/>
    </row>
    <row r="67" spans="2:51" s="133" customFormat="1">
      <c r="B67" s="466"/>
      <c r="C67" s="256" t="s">
        <v>71</v>
      </c>
      <c r="D67" s="330"/>
      <c r="E67" s="257">
        <f>SUMIFS('Consulta Contratos'!$AO:$AO,'Consulta Contratos'!$AM:$AM,'Performance Vendas'!E65,'Consulta Contratos'!$G:$G,"Assinado")</f>
        <v>8</v>
      </c>
      <c r="F67" s="257">
        <f>SUMIFS('Consulta Contratos'!$AO:$AO,'Consulta Contratos'!$AM:$AM,'Performance Vendas'!F65,'Consulta Contratos'!$G:$G,"Assinado")</f>
        <v>14</v>
      </c>
      <c r="G67" s="257">
        <f>SUMIFS('Consulta Contratos'!$AO:$AO,'Consulta Contratos'!$AM:$AM,'Performance Vendas'!G65,'Consulta Contratos'!$G:$G,"Assinado")</f>
        <v>15</v>
      </c>
      <c r="H67" s="257">
        <f>SUMIFS('Consulta Contratos'!$AO:$AO,'Consulta Contratos'!$AM:$AM,'Performance Vendas'!H65,'Consulta Contratos'!$G:$G,"Assinado")</f>
        <v>22</v>
      </c>
      <c r="I67" s="257">
        <f>SUMIFS('Consulta Contratos'!$AO:$AO,'Consulta Contratos'!$AM:$AM,'Performance Vendas'!I65,'Consulta Contratos'!$G:$G,"Assinado")</f>
        <v>28</v>
      </c>
      <c r="J67" s="257">
        <f>SUM(E67:I67)</f>
        <v>87</v>
      </c>
      <c r="K67" s="257">
        <f>SUMIFS('Consulta Contratos'!$AO:$AO,'Consulta Contratos'!$AM:$AM,'Performance Vendas'!K65,'Consulta Contratos'!$G:$G,"Assinado")</f>
        <v>27</v>
      </c>
      <c r="L67" s="257">
        <f>SUMIFS('Consulta Contratos'!$AO:$AO,'Consulta Contratos'!$AM:$AM,'Performance Vendas'!L65,'Consulta Contratos'!$G:$G,"Assinado")</f>
        <v>8</v>
      </c>
      <c r="M67" s="257">
        <f>SUMIFS('Consulta Contratos'!$AO:$AO,'Consulta Contratos'!$AM:$AM,'Performance Vendas'!M65,'Consulta Contratos'!$G:$G,"Assinado")</f>
        <v>10</v>
      </c>
      <c r="N67" s="257">
        <f>SUMIFS('Consulta Contratos'!$AO:$AO,'Consulta Contratos'!$AM:$AM,'Performance Vendas'!N65,'Consulta Contratos'!$G:$G,"Assinado")</f>
        <v>7</v>
      </c>
      <c r="O67" s="257">
        <f>SUMIFS('Consulta Contratos'!$AO:$AO,'Consulta Contratos'!$AM:$AM,'Performance Vendas'!O65,'Consulta Contratos'!$G:$G,"Assinado")</f>
        <v>16</v>
      </c>
      <c r="P67" s="257">
        <f>SUMIFS('Consulta Contratos'!$AO:$AO,'Consulta Contratos'!$AM:$AM,'Performance Vendas'!P65,'Consulta Contratos'!$G:$G,"Assinado")</f>
        <v>23</v>
      </c>
      <c r="Q67" s="257">
        <f>SUMIFS('Consulta Contratos'!$AO:$AO,'Consulta Contratos'!$AM:$AM,'Performance Vendas'!Q65,'Consulta Contratos'!$G:$G,"Assinado")</f>
        <v>16</v>
      </c>
      <c r="R67" s="257">
        <f>SUMIFS('Consulta Contratos'!$AO:$AO,'Consulta Contratos'!$AM:$AM,'Performance Vendas'!R65,'Consulta Contratos'!$G:$G,"Assinado")</f>
        <v>23</v>
      </c>
      <c r="S67" s="257">
        <f>SUMIFS('Consulta Contratos'!$AO:$AO,'Consulta Contratos'!$AM:$AM,'Performance Vendas'!S65,'Consulta Contratos'!$G:$G,"Assinado")</f>
        <v>21</v>
      </c>
      <c r="T67" s="257">
        <f>SUMIFS('Consulta Contratos'!$AO:$AO,'Consulta Contratos'!$AM:$AM,'Performance Vendas'!T65,'Consulta Contratos'!$G:$G,"Assinado")</f>
        <v>29</v>
      </c>
      <c r="U67" s="257">
        <f>SUMIFS('Consulta Contratos'!$AO:$AO,'Consulta Contratos'!$AM:$AM,'Performance Vendas'!U65,'Consulta Contratos'!$G:$G,"Assinado")</f>
        <v>31</v>
      </c>
      <c r="V67" s="257">
        <f>SUMIFS('Consulta Contratos'!$AO:$AO,'Consulta Contratos'!$AM:$AM,'Performance Vendas'!V65,'Consulta Contratos'!$G:$G,"Assinado")</f>
        <v>17</v>
      </c>
      <c r="W67" s="257">
        <f>SUM(K67:V67)</f>
        <v>228</v>
      </c>
      <c r="X67" s="257">
        <f>SUMIFS('Consulta Contratos'!$AO:$AO,'Consulta Contratos'!$AM:$AM,'Performance Vendas'!X65,'Consulta Contratos'!$G:$G,"Assinado")</f>
        <v>10</v>
      </c>
      <c r="Y67" s="257">
        <f>SUMIFS('Consulta Contratos'!$AO:$AO,'Consulta Contratos'!$AM:$AM,'Performance Vendas'!Y65,'Consulta Contratos'!$G:$G,"Assinado")</f>
        <v>12</v>
      </c>
      <c r="Z67" s="257">
        <f>SUMIFS('Consulta Contratos'!$AO:$AO,'Consulta Contratos'!$AM:$AM,'Performance Vendas'!Z65,'Consulta Contratos'!$G:$G,"Assinado")</f>
        <v>7</v>
      </c>
      <c r="AA67" s="257">
        <f>SUMIFS('Consulta Contratos'!$AO:$AO,'Consulta Contratos'!$AM:$AM,'Performance Vendas'!AA65,'Consulta Contratos'!$G:$G,"Assinado")</f>
        <v>13</v>
      </c>
      <c r="AB67" s="257">
        <f>SUMIFS('Consulta Contratos'!$AO:$AO,'Consulta Contratos'!$AM:$AM,'Performance Vendas'!AB65,'Consulta Contratos'!$G:$G,"Assinado")</f>
        <v>3</v>
      </c>
      <c r="AC67" s="257">
        <f>SUMIFS('Consulta Contratos'!$AO:$AO,'Consulta Contratos'!$AM:$AM,'Performance Vendas'!AC65,'Consulta Contratos'!$G:$G,"Assinado")</f>
        <v>4</v>
      </c>
      <c r="AD67" s="257">
        <f>SUMIFS('Consulta Contratos'!$AO:$AO,'Consulta Contratos'!$AM:$AM,'Performance Vendas'!AD65,'Consulta Contratos'!$G:$G,"Assinado")</f>
        <v>15</v>
      </c>
      <c r="AE67" s="257">
        <f>SUMIFS('Consulta Contratos'!$AO:$AO,'Consulta Contratos'!$AM:$AM,'Performance Vendas'!AE65,'Consulta Contratos'!$G:$G,"Assinado")</f>
        <v>22</v>
      </c>
      <c r="AF67" s="257">
        <f>SUMIFS('Consulta Contratos'!$AO:$AO,'Consulta Contratos'!$AM:$AM,'Performance Vendas'!AF65,'Consulta Contratos'!$G:$G,"Assinado")</f>
        <v>21</v>
      </c>
      <c r="AG67" s="257">
        <f>SUMIFS('Consulta Contratos'!$AO:$AO,'Consulta Contratos'!$AM:$AM,'Performance Vendas'!AG65,'Consulta Contratos'!$G:$G,"Assinado")</f>
        <v>2</v>
      </c>
      <c r="AH67" s="257">
        <f>SUMIFS('Consulta Contratos'!$AO:$AO,'Consulta Contratos'!$AM:$AM,'Performance Vendas'!AH65,'Consulta Contratos'!$G:$G,"Assinado")</f>
        <v>10</v>
      </c>
      <c r="AI67" s="257">
        <f>SUMIFS('Consulta Contratos'!$AO:$AO,'Consulta Contratos'!$AM:$AM,'Performance Vendas'!AI65,'Consulta Contratos'!$G:$G,"Assinado")</f>
        <v>10</v>
      </c>
      <c r="AJ67" s="257">
        <f>SUM(X67:AI67)</f>
        <v>129</v>
      </c>
      <c r="AK67" s="257">
        <f>SUMIFS('Consulta Contratos'!$AO:$AO,'Consulta Contratos'!$AM:$AM,'Performance Vendas'!AK65,'Consulta Contratos'!$G:$G,"Assinado")</f>
        <v>14</v>
      </c>
      <c r="AL67" s="257">
        <f>SUMIFS('Consulta Contratos'!$AO:$AO,'Consulta Contratos'!$AM:$AM,'Performance Vendas'!AL65,'Consulta Contratos'!$G:$G,"Assinado")</f>
        <v>13</v>
      </c>
      <c r="AM67" s="257">
        <f>SUMIFS('Consulta Contratos'!$AO:$AO,'Consulta Contratos'!$AM:$AM,'Performance Vendas'!AM65,'Consulta Contratos'!$G:$G,"Assinado")</f>
        <v>1</v>
      </c>
      <c r="AN67" s="257">
        <f>SUMIFS('Consulta Contratos'!$AO:$AO,'Consulta Contratos'!$AM:$AM,'Performance Vendas'!AN65,'Consulta Contratos'!$G:$G,"Assinado")</f>
        <v>0</v>
      </c>
      <c r="AO67" s="257">
        <f>SUMIFS('Consulta Contratos'!$AO:$AO,'Consulta Contratos'!$AM:$AM,'Performance Vendas'!AO65,'Consulta Contratos'!$G:$G,"Assinado")</f>
        <v>0</v>
      </c>
      <c r="AP67" s="257">
        <f>SUMIFS('Consulta Contratos'!$AO:$AO,'Consulta Contratos'!$AM:$AM,'Performance Vendas'!AP65,'Consulta Contratos'!$G:$G,"Assinado")</f>
        <v>0</v>
      </c>
      <c r="AQ67" s="257">
        <f>SUMIFS('Consulta Contratos'!$AO:$AO,'Consulta Contratos'!$AM:$AM,'Performance Vendas'!AQ65,'Consulta Contratos'!$G:$G,"Assinado")</f>
        <v>0</v>
      </c>
      <c r="AR67" s="257">
        <f>SUMIFS('Consulta Contratos'!$AO:$AO,'Consulta Contratos'!$AM:$AM,'Performance Vendas'!AR65,'Consulta Contratos'!$G:$G,"Assinado")</f>
        <v>0</v>
      </c>
      <c r="AS67" s="257">
        <f>SUMIFS('Consulta Contratos'!$AO:$AO,'Consulta Contratos'!$AM:$AM,'Performance Vendas'!AS65,'Consulta Contratos'!$G:$G,"Assinado")</f>
        <v>0</v>
      </c>
      <c r="AT67" s="257">
        <f>SUMIFS('Consulta Contratos'!$AO:$AO,'Consulta Contratos'!$AM:$AM,'Performance Vendas'!AT65,'Consulta Contratos'!$G:$G,"Assinado")</f>
        <v>0</v>
      </c>
      <c r="AU67" s="257">
        <f>SUMIFS('Consulta Contratos'!$AO:$AO,'Consulta Contratos'!$AM:$AM,'Performance Vendas'!AU65,'Consulta Contratos'!$G:$G,"Assinado")</f>
        <v>0</v>
      </c>
      <c r="AV67" s="257">
        <f>SUMIFS('Consulta Contratos'!$AO:$AO,'Consulta Contratos'!$AM:$AM,'Performance Vendas'!AV65,'Consulta Contratos'!$G:$G,"Assinado")</f>
        <v>0</v>
      </c>
      <c r="AW67" s="257">
        <f>SUM(AK67:AV67)</f>
        <v>28</v>
      </c>
      <c r="AX67" s="258">
        <f>AJ67+W67+J67+AW67</f>
        <v>472</v>
      </c>
      <c r="AY67" s="132"/>
    </row>
    <row r="68" spans="2:51" s="144" customFormat="1">
      <c r="B68" s="465" t="s">
        <v>109</v>
      </c>
      <c r="C68" s="140" t="s">
        <v>70</v>
      </c>
      <c r="D68" s="330"/>
      <c r="E68" s="141">
        <f>-SUMIFS('Consulta Contratos'!$Z:$Z,'Consulta Contratos'!$AM:$AM,'Performance Vendas'!E65,'Consulta Contratos'!$H:$H,"Cancelado Upgrade",'Consulta Contratos'!$G:$G,"Assinado")</f>
        <v>0</v>
      </c>
      <c r="F68" s="141">
        <f>-SUMIFS('Consulta Contratos'!$Z:$Z,'Consulta Contratos'!$AM:$AM,'Performance Vendas'!F65,'Consulta Contratos'!$H:$H,"Cancelado Upgrade",'Consulta Contratos'!$G:$G,"Assinado")</f>
        <v>-711000</v>
      </c>
      <c r="G68" s="141">
        <f>-SUMIFS('Consulta Contratos'!$Z:$Z,'Consulta Contratos'!$AM:$AM,'Performance Vendas'!G65,'Consulta Contratos'!$H:$H,"Cancelado Upgrade",'Consulta Contratos'!$G:$G,"Assinado")</f>
        <v>0</v>
      </c>
      <c r="H68" s="141">
        <f>-SUMIFS('Consulta Contratos'!$Z:$Z,'Consulta Contratos'!$AM:$AM,'Performance Vendas'!H65,'Consulta Contratos'!$H:$H,"Cancelado Upgrade",'Consulta Contratos'!$G:$G,"Assinado")</f>
        <v>-696000</v>
      </c>
      <c r="I68" s="141">
        <f>-SUMIFS('Consulta Contratos'!$Z:$Z,'Consulta Contratos'!$AM:$AM,'Performance Vendas'!I65,'Consulta Contratos'!$H:$H,"Cancelado Upgrade",'Consulta Contratos'!$G:$G,"Assinado")</f>
        <v>0</v>
      </c>
      <c r="J68" s="142">
        <f t="shared" si="83"/>
        <v>-1407000</v>
      </c>
      <c r="K68" s="141">
        <f>-SUMIFS('Consulta Contratos'!$Z:$Z,'Consulta Contratos'!$AM:$AM,'Performance Vendas'!K65,'Consulta Contratos'!$H:$H,"Cancelado Upgrade",'Consulta Contratos'!$G:$G,"Assinado")</f>
        <v>-1300000</v>
      </c>
      <c r="L68" s="141">
        <f>-SUMIFS('Consulta Contratos'!$Z:$Z,'Consulta Contratos'!$AM:$AM,'Performance Vendas'!L65,'Consulta Contratos'!$H:$H,"Cancelado Upgrade",'Consulta Contratos'!$G:$G,"Assinado")</f>
        <v>0</v>
      </c>
      <c r="M68" s="141">
        <f>-SUMIFS('Consulta Contratos'!$Z:$Z,'Consulta Contratos'!$AM:$AM,'Performance Vendas'!M65,'Consulta Contratos'!$H:$H,"Cancelado Upgrade",'Consulta Contratos'!$G:$G,"Assinado")</f>
        <v>-400000</v>
      </c>
      <c r="N68" s="141">
        <f>-SUMIFS('Consulta Contratos'!$Z:$Z,'Consulta Contratos'!$AM:$AM,'Performance Vendas'!N65,'Consulta Contratos'!$H:$H,"Cancelado Upgrade",'Consulta Contratos'!$G:$G,"Assinado")</f>
        <v>-390000</v>
      </c>
      <c r="O68" s="141">
        <f>-SUMIFS('Consulta Contratos'!$Z:$Z,'Consulta Contratos'!$AM:$AM,'Performance Vendas'!O65,'Consulta Contratos'!$H:$H,"Cancelado Upgrade",'Consulta Contratos'!$G:$G,"Assinado")</f>
        <v>-1183000</v>
      </c>
      <c r="P68" s="141">
        <f>-SUMIFS('Consulta Contratos'!$Z:$Z,'Consulta Contratos'!$AM:$AM,'Performance Vendas'!P65,'Consulta Contratos'!$H:$H,"Cancelado Upgrade",'Consulta Contratos'!$G:$G,"Assinado")</f>
        <v>0</v>
      </c>
      <c r="Q68" s="141">
        <f>-SUMIFS('Consulta Contratos'!$Z:$Z,'Consulta Contratos'!$AM:$AM,'Performance Vendas'!Q65,'Consulta Contratos'!$H:$H,"Cancelado Upgrade",'Consulta Contratos'!$G:$G,"Assinado")</f>
        <v>0</v>
      </c>
      <c r="R68" s="141">
        <f>-SUMIFS('Consulta Contratos'!$Z:$Z,'Consulta Contratos'!$AM:$AM,'Performance Vendas'!R65,'Consulta Contratos'!$H:$H,"Cancelado Upgrade",'Consulta Contratos'!$G:$G,"Assinado")</f>
        <v>-1561600</v>
      </c>
      <c r="S68" s="141">
        <f>-SUMIFS('Consulta Contratos'!$Z:$Z,'Consulta Contratos'!$AM:$AM,'Performance Vendas'!S65,'Consulta Contratos'!$H:$H,"Cancelado Upgrade",'Consulta Contratos'!$G:$G,"Assinado")</f>
        <v>-682300</v>
      </c>
      <c r="T68" s="141">
        <f>-SUMIFS('Consulta Contratos'!$Z:$Z,'Consulta Contratos'!$AM:$AM,'Performance Vendas'!T65,'Consulta Contratos'!$H:$H,"Cancelado Upgrade",'Consulta Contratos'!$G:$G,"Assinado")</f>
        <v>-683000</v>
      </c>
      <c r="U68" s="141">
        <f>-SUMIFS('Consulta Contratos'!$Z:$Z,'Consulta Contratos'!$AM:$AM,'Performance Vendas'!U65,'Consulta Contratos'!$H:$H,"Cancelado Upgrade",'Consulta Contratos'!$G:$G,"Assinado")</f>
        <v>0</v>
      </c>
      <c r="V68" s="141">
        <f>-SUMIFS('Consulta Contratos'!$Z:$Z,'Consulta Contratos'!$AM:$AM,'Performance Vendas'!V65,'Consulta Contratos'!$H:$H,"Cancelado Upgrade",'Consulta Contratos'!$G:$G,"Assinado")</f>
        <v>-398200</v>
      </c>
      <c r="W68" s="142">
        <f t="shared" si="84"/>
        <v>-6598100</v>
      </c>
      <c r="X68" s="141">
        <f>-SUMIFS('Consulta Contratos'!$Z:$Z,'Consulta Contratos'!$AM:$AM,'Performance Vendas'!X65,'Consulta Contratos'!$H:$H,"Cancelado Upgrade",'Consulta Contratos'!$G:$G,"Assinado")</f>
        <v>0</v>
      </c>
      <c r="Y68" s="141">
        <f>-SUMIFS('Consulta Contratos'!$Z:$Z,'Consulta Contratos'!$AM:$AM,'Performance Vendas'!Y65,'Consulta Contratos'!$H:$H,"Cancelado Upgrade",'Consulta Contratos'!$G:$G,"Assinado")</f>
        <v>0</v>
      </c>
      <c r="Z68" s="141">
        <f>-SUMIFS('Consulta Contratos'!$Z:$Z,'Consulta Contratos'!$AM:$AM,'Performance Vendas'!Z65,'Consulta Contratos'!$H:$H,"Cancelado Upgrade",'Consulta Contratos'!$G:$G,"Assinado")</f>
        <v>0</v>
      </c>
      <c r="AA68" s="141">
        <f>-SUMIFS('Consulta Contratos'!$Z:$Z,'Consulta Contratos'!$AM:$AM,'Performance Vendas'!AA65,'Consulta Contratos'!$H:$H,"Cancelado Upgrade",'Consulta Contratos'!$G:$G,"Assinado")</f>
        <v>0</v>
      </c>
      <c r="AB68" s="141">
        <f>-SUMIFS('Consulta Contratos'!$Z:$Z,'Consulta Contratos'!$AM:$AM,'Performance Vendas'!AB65,'Consulta Contratos'!$H:$H,"Cancelado Upgrade",'Consulta Contratos'!$G:$G,"Assinado")</f>
        <v>0</v>
      </c>
      <c r="AC68" s="141">
        <f>-SUMIFS('Consulta Contratos'!$Z:$Z,'Consulta Contratos'!$AM:$AM,'Performance Vendas'!AC65,'Consulta Contratos'!$H:$H,"Cancelado Upgrade",'Consulta Contratos'!$G:$G,"Assinado")</f>
        <v>0</v>
      </c>
      <c r="AD68" s="141">
        <f>-SUMIFS('Consulta Contratos'!$Z:$Z,'Consulta Contratos'!$AM:$AM,'Performance Vendas'!AD65,'Consulta Contratos'!$H:$H,"Cancelado Upgrade",'Consulta Contratos'!$G:$G,"Assinado")</f>
        <v>0</v>
      </c>
      <c r="AE68" s="141">
        <f>-SUMIFS('Consulta Contratos'!$Z:$Z,'Consulta Contratos'!$AM:$AM,'Performance Vendas'!AE65,'Consulta Contratos'!$H:$H,"Cancelado Upgrade",'Consulta Contratos'!$G:$G,"Assinado")</f>
        <v>-700000</v>
      </c>
      <c r="AF68" s="141">
        <f>-SUMIFS('Consulta Contratos'!$Z:$Z,'Consulta Contratos'!$AM:$AM,'Performance Vendas'!AF65,'Consulta Contratos'!$H:$H,"Cancelado Upgrade",'Consulta Contratos'!$G:$G,"Assinado")</f>
        <v>-656530</v>
      </c>
      <c r="AG68" s="141">
        <f>-SUMIFS('Consulta Contratos'!$Z:$Z,'Consulta Contratos'!$AM:$AM,'Performance Vendas'!AG65,'Consulta Contratos'!$H:$H,"Cancelado Upgrade",'Consulta Contratos'!$G:$G,"Assinado")</f>
        <v>0</v>
      </c>
      <c r="AH68" s="141">
        <f>-SUMIFS('Consulta Contratos'!$Z:$Z,'Consulta Contratos'!$AM:$AM,'Performance Vendas'!AH65,'Consulta Contratos'!$H:$H,"Cancelado Upgrade",'Consulta Contratos'!$G:$G,"Assinado")</f>
        <v>-489080</v>
      </c>
      <c r="AI68" s="141">
        <f>-SUMIFS('Consulta Contratos'!$Z:$Z,'Consulta Contratos'!$AM:$AM,'Performance Vendas'!AI65,'Consulta Contratos'!$H:$H,"Cancelado Upgrade",'Consulta Contratos'!$G:$G,"Assinado")</f>
        <v>0</v>
      </c>
      <c r="AJ68" s="142">
        <f t="shared" si="85"/>
        <v>-1845610</v>
      </c>
      <c r="AK68" s="141">
        <f>-SUMIFS('Consulta Contratos'!$Z:$Z,'Consulta Contratos'!$AM:$AM,'Performance Vendas'!AK65,'Consulta Contratos'!$H:$H,"Cancelado Upgrade",'Consulta Contratos'!$G:$G,"Assinado")</f>
        <v>0</v>
      </c>
      <c r="AL68" s="141">
        <f>-SUMIFS('Consulta Contratos'!$Z:$Z,'Consulta Contratos'!$AM:$AM,'Performance Vendas'!AL65,'Consulta Contratos'!$H:$H,"Cancelado Upgrade",'Consulta Contratos'!$G:$G,"Assinado")</f>
        <v>0</v>
      </c>
      <c r="AM68" s="141">
        <f>-SUMIFS('Consulta Contratos'!$Z:$Z,'Consulta Contratos'!$AM:$AM,'Performance Vendas'!AM65,'Consulta Contratos'!$H:$H,"Cancelado Upgrade",'Consulta Contratos'!$G:$G,"Assinado")</f>
        <v>0</v>
      </c>
      <c r="AN68" s="141">
        <f>-SUMIFS('Consulta Contratos'!$Z:$Z,'Consulta Contratos'!$AM:$AM,'Performance Vendas'!AN65,'Consulta Contratos'!$H:$H,"Cancelado Upgrade",'Consulta Contratos'!$G:$G,"Assinado")</f>
        <v>0</v>
      </c>
      <c r="AO68" s="141">
        <f>-SUMIFS('Consulta Contratos'!$Z:$Z,'Consulta Contratos'!$AM:$AM,'Performance Vendas'!AO65,'Consulta Contratos'!$H:$H,"Cancelado Upgrade",'Consulta Contratos'!$G:$G,"Assinado")</f>
        <v>0</v>
      </c>
      <c r="AP68" s="141">
        <f>-SUMIFS('Consulta Contratos'!$Z:$Z,'Consulta Contratos'!$AM:$AM,'Performance Vendas'!AP65,'Consulta Contratos'!$H:$H,"Cancelado Upgrade",'Consulta Contratos'!$G:$G,"Assinado")</f>
        <v>0</v>
      </c>
      <c r="AQ68" s="141">
        <f>-SUMIFS('Consulta Contratos'!$Z:$Z,'Consulta Contratos'!$AM:$AM,'Performance Vendas'!AQ65,'Consulta Contratos'!$H:$H,"Cancelado Upgrade",'Consulta Contratos'!$G:$G,"Assinado")</f>
        <v>0</v>
      </c>
      <c r="AR68" s="141">
        <f>-SUMIFS('Consulta Contratos'!$Z:$Z,'Consulta Contratos'!$AM:$AM,'Performance Vendas'!AR65,'Consulta Contratos'!$H:$H,"Cancelado Upgrade",'Consulta Contratos'!$G:$G,"Assinado")</f>
        <v>0</v>
      </c>
      <c r="AS68" s="141">
        <f>-SUMIFS('Consulta Contratos'!$Z:$Z,'Consulta Contratos'!$AM:$AM,'Performance Vendas'!AS65,'Consulta Contratos'!$H:$H,"Cancelado Upgrade",'Consulta Contratos'!$G:$G,"Assinado")</f>
        <v>0</v>
      </c>
      <c r="AT68" s="141">
        <f>-SUMIFS('Consulta Contratos'!$Z:$Z,'Consulta Contratos'!$AM:$AM,'Performance Vendas'!AT65,'Consulta Contratos'!$H:$H,"Cancelado Upgrade",'Consulta Contratos'!$G:$G,"Assinado")</f>
        <v>0</v>
      </c>
      <c r="AU68" s="141">
        <f>-SUMIFS('Consulta Contratos'!$Z:$Z,'Consulta Contratos'!$AM:$AM,'Performance Vendas'!AU65,'Consulta Contratos'!$H:$H,"Cancelado Upgrade",'Consulta Contratos'!$G:$G,"Assinado")</f>
        <v>0</v>
      </c>
      <c r="AV68" s="141">
        <f>-SUMIFS('Consulta Contratos'!$Z:$Z,'Consulta Contratos'!$AM:$AM,'Performance Vendas'!AV65,'Consulta Contratos'!$H:$H,"Cancelado Upgrade",'Consulta Contratos'!$G:$G,"Assinado")</f>
        <v>0</v>
      </c>
      <c r="AW68" s="142">
        <f t="shared" ref="AW68:AW72" si="87">SUM(AK68:AV68)</f>
        <v>0</v>
      </c>
      <c r="AX68" s="142">
        <f>AJ68+W68+J68+AW68</f>
        <v>-9850710</v>
      </c>
      <c r="AY68" s="143"/>
    </row>
    <row r="69" spans="2:51" s="133" customFormat="1">
      <c r="B69" s="466"/>
      <c r="C69" s="256" t="s">
        <v>71</v>
      </c>
      <c r="D69" s="330"/>
      <c r="E69" s="257">
        <f>-SUMIFS('Consulta Contratos'!$AO:$AO,'Consulta Contratos'!$AM:$AM,'Performance Vendas'!E65,'Consulta Contratos'!$H:$H,"Cancelado Upgrade",'Consulta Contratos'!$G:$G,"Assinado")</f>
        <v>0</v>
      </c>
      <c r="F69" s="257">
        <f>-SUMIFS('Consulta Contratos'!$AO:$AO,'Consulta Contratos'!$AM:$AM,'Performance Vendas'!F65,'Consulta Contratos'!$H:$H,"Cancelado Upgrade",'Consulta Contratos'!$G:$G,"Assinado")</f>
        <v>-1</v>
      </c>
      <c r="G69" s="257">
        <f>-SUMIFS('Consulta Contratos'!$AO:$AO,'Consulta Contratos'!$AM:$AM,'Performance Vendas'!G65,'Consulta Contratos'!$H:$H,"Cancelado Upgrade",'Consulta Contratos'!$G:$G,"Assinado")</f>
        <v>0</v>
      </c>
      <c r="H69" s="257">
        <f>-SUMIFS('Consulta Contratos'!$AO:$AO,'Consulta Contratos'!$AM:$AM,'Performance Vendas'!H65,'Consulta Contratos'!$H:$H,"Cancelado Upgrade",'Consulta Contratos'!$G:$G,"Assinado")</f>
        <v>-1</v>
      </c>
      <c r="I69" s="257">
        <f>-SUMIFS('Consulta Contratos'!$AO:$AO,'Consulta Contratos'!$AM:$AM,'Performance Vendas'!I65,'Consulta Contratos'!$H:$H,"Cancelado Upgrade",'Consulta Contratos'!$G:$G,"Assinado")</f>
        <v>0</v>
      </c>
      <c r="J69" s="257">
        <f>SUM(E69:I69)</f>
        <v>-2</v>
      </c>
      <c r="K69" s="257">
        <f>-SUMIFS('Consulta Contratos'!$AO:$AO,'Consulta Contratos'!$AM:$AM,'Performance Vendas'!K65,'Consulta Contratos'!$H:$H,"Cancelado Upgrade",'Consulta Contratos'!$G:$G,"Assinado")</f>
        <v>-1</v>
      </c>
      <c r="L69" s="257">
        <f>-SUMIFS('Consulta Contratos'!$AO:$AO,'Consulta Contratos'!$AM:$AM,'Performance Vendas'!L65,'Consulta Contratos'!$H:$H,"Cancelado Upgrade",'Consulta Contratos'!$G:$G,"Assinado")</f>
        <v>0</v>
      </c>
      <c r="M69" s="257">
        <f>-SUMIFS('Consulta Contratos'!$AO:$AO,'Consulta Contratos'!$AM:$AM,'Performance Vendas'!M65,'Consulta Contratos'!$H:$H,"Cancelado Upgrade",'Consulta Contratos'!$G:$G,"Assinado")</f>
        <v>0</v>
      </c>
      <c r="N69" s="257">
        <f>-SUMIFS('Consulta Contratos'!$AO:$AO,'Consulta Contratos'!$AM:$AM,'Performance Vendas'!N65,'Consulta Contratos'!$H:$H,"Cancelado Upgrade",'Consulta Contratos'!$G:$G,"Assinado")</f>
        <v>0</v>
      </c>
      <c r="O69" s="257">
        <f>-SUMIFS('Consulta Contratos'!$AO:$AO,'Consulta Contratos'!$AM:$AM,'Performance Vendas'!O65,'Consulta Contratos'!$H:$H,"Cancelado Upgrade",'Consulta Contratos'!$G:$G,"Assinado")</f>
        <v>-1</v>
      </c>
      <c r="P69" s="257">
        <f>-SUMIFS('Consulta Contratos'!$AO:$AO,'Consulta Contratos'!$AM:$AM,'Performance Vendas'!P65,'Consulta Contratos'!$H:$H,"Cancelado Upgrade",'Consulta Contratos'!$G:$G,"Assinado")</f>
        <v>0</v>
      </c>
      <c r="Q69" s="257">
        <f>-SUMIFS('Consulta Contratos'!$AO:$AO,'Consulta Contratos'!$AM:$AM,'Performance Vendas'!Q65,'Consulta Contratos'!$H:$H,"Cancelado Upgrade",'Consulta Contratos'!$G:$G,"Assinado")</f>
        <v>0</v>
      </c>
      <c r="R69" s="257">
        <f>-SUMIFS('Consulta Contratos'!$AO:$AO,'Consulta Contratos'!$AM:$AM,'Performance Vendas'!R65,'Consulta Contratos'!$H:$H,"Cancelado Upgrade",'Consulta Contratos'!$G:$G,"Assinado")</f>
        <v>-2</v>
      </c>
      <c r="S69" s="257">
        <f>-SUMIFS('Consulta Contratos'!$AO:$AO,'Consulta Contratos'!$AM:$AM,'Performance Vendas'!S65,'Consulta Contratos'!$H:$H,"Cancelado Upgrade",'Consulta Contratos'!$G:$G,"Assinado")</f>
        <v>-1</v>
      </c>
      <c r="T69" s="257">
        <f>-SUMIFS('Consulta Contratos'!$AO:$AO,'Consulta Contratos'!$AM:$AM,'Performance Vendas'!T65,'Consulta Contratos'!$H:$H,"Cancelado Upgrade",'Consulta Contratos'!$G:$G,"Assinado")</f>
        <v>0</v>
      </c>
      <c r="U69" s="257">
        <f>-SUMIFS('Consulta Contratos'!$AO:$AO,'Consulta Contratos'!$AM:$AM,'Performance Vendas'!U65,'Consulta Contratos'!$H:$H,"Cancelado Upgrade",'Consulta Contratos'!$G:$G,"Assinado")</f>
        <v>0</v>
      </c>
      <c r="V69" s="257">
        <f>-SUMIFS('Consulta Contratos'!$AO:$AO,'Consulta Contratos'!$AM:$AM,'Performance Vendas'!V65,'Consulta Contratos'!$H:$H,"Cancelado Upgrade",'Consulta Contratos'!$G:$G,"Assinado")</f>
        <v>0</v>
      </c>
      <c r="W69" s="257">
        <f>SUM(K69:V69)</f>
        <v>-5</v>
      </c>
      <c r="X69" s="257">
        <f>-SUMIFS('Consulta Contratos'!$AO:$AO,'Consulta Contratos'!$AM:$AM,'Performance Vendas'!X65,'Consulta Contratos'!$H:$H,"Cancelado Upgrade",'Consulta Contratos'!$G:$G,"Assinado")</f>
        <v>0</v>
      </c>
      <c r="Y69" s="257">
        <f>-SUMIFS('Consulta Contratos'!$AO:$AO,'Consulta Contratos'!$AM:$AM,'Performance Vendas'!Y65,'Consulta Contratos'!$H:$H,"Cancelado Upgrade",'Consulta Contratos'!$G:$G,"Assinado")</f>
        <v>0</v>
      </c>
      <c r="Z69" s="257">
        <f>-SUMIFS('Consulta Contratos'!$AO:$AO,'Consulta Contratos'!$AM:$AM,'Performance Vendas'!Z65,'Consulta Contratos'!$H:$H,"Cancelado Upgrade",'Consulta Contratos'!$G:$G,"Assinado")</f>
        <v>0</v>
      </c>
      <c r="AA69" s="257">
        <f>-SUMIFS('Consulta Contratos'!$AO:$AO,'Consulta Contratos'!$AM:$AM,'Performance Vendas'!AA65,'Consulta Contratos'!$H:$H,"Cancelado Upgrade",'Consulta Contratos'!$G:$G,"Assinado")</f>
        <v>0</v>
      </c>
      <c r="AB69" s="257">
        <f>-SUMIFS('Consulta Contratos'!$AO:$AO,'Consulta Contratos'!$AM:$AM,'Performance Vendas'!AB65,'Consulta Contratos'!$H:$H,"Cancelado Upgrade",'Consulta Contratos'!$G:$G,"Assinado")</f>
        <v>0</v>
      </c>
      <c r="AC69" s="257">
        <f>-SUMIFS('Consulta Contratos'!$AO:$AO,'Consulta Contratos'!$AM:$AM,'Performance Vendas'!AC65,'Consulta Contratos'!$H:$H,"Cancelado Upgrade",'Consulta Contratos'!$G:$G,"Assinado")</f>
        <v>0</v>
      </c>
      <c r="AD69" s="257">
        <f>-SUMIFS('Consulta Contratos'!$AO:$AO,'Consulta Contratos'!$AM:$AM,'Performance Vendas'!AD65,'Consulta Contratos'!$H:$H,"Cancelado Upgrade",'Consulta Contratos'!$G:$G,"Assinado")</f>
        <v>0</v>
      </c>
      <c r="AE69" s="257">
        <f>-SUMIFS('Consulta Contratos'!$AO:$AO,'Consulta Contratos'!$AM:$AM,'Performance Vendas'!AE65,'Consulta Contratos'!$H:$H,"Cancelado Upgrade",'Consulta Contratos'!$G:$G,"Assinado")</f>
        <v>-1</v>
      </c>
      <c r="AF69" s="257">
        <f>-SUMIFS('Consulta Contratos'!$AO:$AO,'Consulta Contratos'!$AM:$AM,'Performance Vendas'!AF65,'Consulta Contratos'!$H:$H,"Cancelado Upgrade",'Consulta Contratos'!$G:$G,"Assinado")</f>
        <v>0</v>
      </c>
      <c r="AG69" s="257">
        <f>-SUMIFS('Consulta Contratos'!$AO:$AO,'Consulta Contratos'!$AM:$AM,'Performance Vendas'!AG65,'Consulta Contratos'!$H:$H,"Cancelado Upgrade",'Consulta Contratos'!$G:$G,"Assinado")</f>
        <v>0</v>
      </c>
      <c r="AH69" s="257">
        <f>-SUMIFS('Consulta Contratos'!$AO:$AO,'Consulta Contratos'!$AM:$AM,'Performance Vendas'!AH65,'Consulta Contratos'!$H:$H,"Cancelado Upgrade",'Consulta Contratos'!$G:$G,"Assinado")</f>
        <v>-1</v>
      </c>
      <c r="AI69" s="257">
        <f>-SUMIFS('Consulta Contratos'!$AO:$AO,'Consulta Contratos'!$AM:$AM,'Performance Vendas'!AI65,'Consulta Contratos'!$H:$H,"Cancelado Upgrade",'Consulta Contratos'!$G:$G,"Assinado")</f>
        <v>0</v>
      </c>
      <c r="AJ69" s="257"/>
      <c r="AK69" s="257">
        <f>-SUMIFS('Consulta Contratos'!$AO:$AO,'Consulta Contratos'!$AM:$AM,'Performance Vendas'!AK65,'Consulta Contratos'!$H:$H,"Cancelado Upgrade",'Consulta Contratos'!$G:$G,"Assinado")</f>
        <v>0</v>
      </c>
      <c r="AL69" s="257">
        <f>-SUMIFS('Consulta Contratos'!$AO:$AO,'Consulta Contratos'!$AM:$AM,'Performance Vendas'!AL65,'Consulta Contratos'!$H:$H,"Cancelado Upgrade",'Consulta Contratos'!$G:$G,"Assinado")</f>
        <v>0</v>
      </c>
      <c r="AM69" s="257">
        <f>-SUMIFS('Consulta Contratos'!$AO:$AO,'Consulta Contratos'!$AM:$AM,'Performance Vendas'!AM65,'Consulta Contratos'!$H:$H,"Cancelado Upgrade",'Consulta Contratos'!$G:$G,"Assinado")</f>
        <v>0</v>
      </c>
      <c r="AN69" s="257">
        <f>-SUMIFS('Consulta Contratos'!$AO:$AO,'Consulta Contratos'!$AM:$AM,'Performance Vendas'!AN65,'Consulta Contratos'!$H:$H,"Cancelado Upgrade",'Consulta Contratos'!$G:$G,"Assinado")</f>
        <v>0</v>
      </c>
      <c r="AO69" s="257">
        <f>-SUMIFS('Consulta Contratos'!$AO:$AO,'Consulta Contratos'!$AM:$AM,'Performance Vendas'!AO65,'Consulta Contratos'!$H:$H,"Cancelado Upgrade",'Consulta Contratos'!$G:$G,"Assinado")</f>
        <v>0</v>
      </c>
      <c r="AP69" s="257">
        <f>-SUMIFS('Consulta Contratos'!$AO:$AO,'Consulta Contratos'!$AM:$AM,'Performance Vendas'!AP65,'Consulta Contratos'!$H:$H,"Cancelado Upgrade",'Consulta Contratos'!$G:$G,"Assinado")</f>
        <v>0</v>
      </c>
      <c r="AQ69" s="257">
        <f>-SUMIFS('Consulta Contratos'!$AO:$AO,'Consulta Contratos'!$AM:$AM,'Performance Vendas'!AQ65,'Consulta Contratos'!$H:$H,"Cancelado Upgrade",'Consulta Contratos'!$G:$G,"Assinado")</f>
        <v>0</v>
      </c>
      <c r="AR69" s="257">
        <f>-SUMIFS('Consulta Contratos'!$AO:$AO,'Consulta Contratos'!$AM:$AM,'Performance Vendas'!AR65,'Consulta Contratos'!$H:$H,"Cancelado Upgrade",'Consulta Contratos'!$G:$G,"Assinado")</f>
        <v>0</v>
      </c>
      <c r="AS69" s="257">
        <f>-SUMIFS('Consulta Contratos'!$AO:$AO,'Consulta Contratos'!$AM:$AM,'Performance Vendas'!AS65,'Consulta Contratos'!$H:$H,"Cancelado Upgrade",'Consulta Contratos'!$G:$G,"Assinado")</f>
        <v>0</v>
      </c>
      <c r="AT69" s="257">
        <f>-SUMIFS('Consulta Contratos'!$AO:$AO,'Consulta Contratos'!$AM:$AM,'Performance Vendas'!AT65,'Consulta Contratos'!$H:$H,"Cancelado Upgrade",'Consulta Contratos'!$G:$G,"Assinado")</f>
        <v>0</v>
      </c>
      <c r="AU69" s="257">
        <f>-SUMIFS('Consulta Contratos'!$AO:$AO,'Consulta Contratos'!$AM:$AM,'Performance Vendas'!AU65,'Consulta Contratos'!$H:$H,"Cancelado Upgrade",'Consulta Contratos'!$G:$G,"Assinado")</f>
        <v>0</v>
      </c>
      <c r="AV69" s="257">
        <f>-SUMIFS('Consulta Contratos'!$AO:$AO,'Consulta Contratos'!$AM:$AM,'Performance Vendas'!AV65,'Consulta Contratos'!$H:$H,"Cancelado Upgrade",'Consulta Contratos'!$G:$G,"Assinado")</f>
        <v>0</v>
      </c>
      <c r="AW69" s="257"/>
      <c r="AX69" s="258">
        <f>AJ69+W69+J69+AW69</f>
        <v>-7</v>
      </c>
      <c r="AY69" s="132"/>
    </row>
    <row r="70" spans="2:51" s="144" customFormat="1">
      <c r="B70" s="465" t="s">
        <v>110</v>
      </c>
      <c r="C70" s="140" t="s">
        <v>70</v>
      </c>
      <c r="D70" s="330"/>
      <c r="E70" s="141">
        <f>-SUMIFS('Consulta Contratos'!$Z:$Z,'Consulta Contratos'!$AM:$AM,'Performance Vendas'!E65,'Consulta Contratos'!$H:$H,"Cancelado",'Consulta Contratos'!$G:$G,"Assinado")</f>
        <v>-333000</v>
      </c>
      <c r="F70" s="141">
        <f>-SUMIFS('Consulta Contratos'!$Z:$Z,'Consulta Contratos'!$AM:$AM,'Performance Vendas'!F65,'Consulta Contratos'!$H:$H,"Cancelado",'Consulta Contratos'!$G:$G,"Assinado")</f>
        <v>-340000</v>
      </c>
      <c r="G70" s="141">
        <f>-SUMIFS('Consulta Contratos'!$Z:$Z,'Consulta Contratos'!$AM:$AM,'Performance Vendas'!G65,'Consulta Contratos'!$H:$H,"Cancelado",'Consulta Contratos'!$G:$G,"Assinado")</f>
        <v>-7443580</v>
      </c>
      <c r="H70" s="141">
        <f>-SUMIFS('Consulta Contratos'!$Z:$Z,'Consulta Contratos'!$AM:$AM,'Performance Vendas'!H65,'Consulta Contratos'!$H:$H,"Cancelado",'Consulta Contratos'!$G:$G,"Assinado")</f>
        <v>-10824366.77</v>
      </c>
      <c r="I70" s="141">
        <f>-SUMIFS('Consulta Contratos'!$Z:$Z,'Consulta Contratos'!$AM:$AM,'Performance Vendas'!I65,'Consulta Contratos'!$H:$H,"Cancelado",'Consulta Contratos'!$G:$G,"Assinado")</f>
        <v>-5625538</v>
      </c>
      <c r="J70" s="142">
        <f t="shared" si="83"/>
        <v>-24566484.77</v>
      </c>
      <c r="K70" s="141">
        <f>-SUMIFS('Consulta Contratos'!$Z:$Z,'Consulta Contratos'!$AM:$AM,'Performance Vendas'!K65,'Consulta Contratos'!$H:$H,"Cancelado",'Consulta Contratos'!$G:$G,"Assinado")</f>
        <v>-8226000</v>
      </c>
      <c r="L70" s="141">
        <f>-SUMIFS('Consulta Contratos'!$Z:$Z,'Consulta Contratos'!$AM:$AM,'Performance Vendas'!L65,'Consulta Contratos'!$H:$H,"Cancelado",'Consulta Contratos'!$G:$G,"Assinado")</f>
        <v>0</v>
      </c>
      <c r="M70" s="141">
        <f>-SUMIFS('Consulta Contratos'!$Z:$Z,'Consulta Contratos'!$AM:$AM,'Performance Vendas'!M65,'Consulta Contratos'!$H:$H,"Cancelado",'Consulta Contratos'!$G:$G,"Assinado")</f>
        <v>-2093720</v>
      </c>
      <c r="N70" s="141">
        <f>-SUMIFS('Consulta Contratos'!$Z:$Z,'Consulta Contratos'!$AM:$AM,'Performance Vendas'!N65,'Consulta Contratos'!$H:$H,"Cancelado",'Consulta Contratos'!$G:$G,"Assinado")</f>
        <v>-2982000</v>
      </c>
      <c r="O70" s="141">
        <f>-SUMIFS('Consulta Contratos'!$Z:$Z,'Consulta Contratos'!$AM:$AM,'Performance Vendas'!O65,'Consulta Contratos'!$H:$H,"Cancelado",'Consulta Contratos'!$G:$G,"Assinado")</f>
        <v>0</v>
      </c>
      <c r="P70" s="141">
        <f>-SUMIFS('Consulta Contratos'!$Z:$Z,'Consulta Contratos'!$AM:$AM,'Performance Vendas'!P65,'Consulta Contratos'!$H:$H,"Cancelado",'Consulta Contratos'!$G:$G,"Assinado")</f>
        <v>-1984080</v>
      </c>
      <c r="Q70" s="141">
        <f>-SUMIFS('Consulta Contratos'!$Z:$Z,'Consulta Contratos'!$AM:$AM,'Performance Vendas'!Q65,'Consulta Contratos'!$H:$H,"Cancelado",'Consulta Contratos'!$G:$G,"Assinado")</f>
        <v>0</v>
      </c>
      <c r="R70" s="141">
        <f>-SUMIFS('Consulta Contratos'!$Z:$Z,'Consulta Contratos'!$AM:$AM,'Performance Vendas'!R65,'Consulta Contratos'!$H:$H,"Cancelado",'Consulta Contratos'!$G:$G,"Assinado")</f>
        <v>-370000</v>
      </c>
      <c r="S70" s="141">
        <f>-SUMIFS('Consulta Contratos'!$Z:$Z,'Consulta Contratos'!$AM:$AM,'Performance Vendas'!S65,'Consulta Contratos'!$H:$H,"Cancelado",'Consulta Contratos'!$G:$G,"Assinado")</f>
        <v>-375000</v>
      </c>
      <c r="T70" s="141">
        <f>-SUMIFS('Consulta Contratos'!$Z:$Z,'Consulta Contratos'!$AM:$AM,'Performance Vendas'!T65,'Consulta Contratos'!$H:$H,"Cancelado",'Consulta Contratos'!$G:$G,"Assinado")</f>
        <v>-798000</v>
      </c>
      <c r="U70" s="141">
        <f>-SUMIFS('Consulta Contratos'!$Z:$Z,'Consulta Contratos'!$AM:$AM,'Performance Vendas'!U65,'Consulta Contratos'!$H:$H,"Cancelado",'Consulta Contratos'!$G:$G,"Assinado")</f>
        <v>-994740</v>
      </c>
      <c r="V70" s="141">
        <f>-SUMIFS('Consulta Contratos'!$Z:$Z,'Consulta Contratos'!$AM:$AM,'Performance Vendas'!V65,'Consulta Contratos'!$H:$H,"Cancelado",'Consulta Contratos'!$G:$G,"Assinado")</f>
        <v>-395000</v>
      </c>
      <c r="W70" s="142">
        <f t="shared" si="84"/>
        <v>-18218540</v>
      </c>
      <c r="X70" s="141">
        <f>-SUMIFS('Consulta Contratos'!$Z:$Z,'Consulta Contratos'!$AM:$AM,'Performance Vendas'!X65,'Consulta Contratos'!$H:$H,"Cancelado",'Consulta Contratos'!$G:$G,"Assinado")</f>
        <v>0</v>
      </c>
      <c r="Y70" s="141">
        <f>-SUMIFS('Consulta Contratos'!$Z:$Z,'Consulta Contratos'!$AM:$AM,'Performance Vendas'!Y65,'Consulta Contratos'!$H:$H,"Cancelado",'Consulta Contratos'!$G:$G,"Assinado")</f>
        <v>-850000</v>
      </c>
      <c r="Z70" s="141">
        <f>-SUMIFS('Consulta Contratos'!$Z:$Z,'Consulta Contratos'!$AM:$AM,'Performance Vendas'!Z65,'Consulta Contratos'!$H:$H,"Cancelado",'Consulta Contratos'!$G:$G,"Assinado")</f>
        <v>0</v>
      </c>
      <c r="AA70" s="141">
        <f>-SUMIFS('Consulta Contratos'!$Z:$Z,'Consulta Contratos'!$AM:$AM,'Performance Vendas'!AA65,'Consulta Contratos'!$H:$H,"Cancelado",'Consulta Contratos'!$G:$G,"Assinado")</f>
        <v>0</v>
      </c>
      <c r="AB70" s="141">
        <f>-SUMIFS('Consulta Contratos'!$Z:$Z,'Consulta Contratos'!$AM:$AM,'Performance Vendas'!AB65,'Consulta Contratos'!$H:$H,"Cancelado",'Consulta Contratos'!$G:$G,"Assinado")</f>
        <v>0</v>
      </c>
      <c r="AC70" s="141">
        <f>-SUMIFS('Consulta Contratos'!$Z:$Z,'Consulta Contratos'!$AM:$AM,'Performance Vendas'!AC65,'Consulta Contratos'!$H:$H,"Cancelado",'Consulta Contratos'!$G:$G,"Assinado")</f>
        <v>0</v>
      </c>
      <c r="AD70" s="141">
        <f>-SUMIFS('Consulta Contratos'!$Z:$Z,'Consulta Contratos'!$AM:$AM,'Performance Vendas'!AD65,'Consulta Contratos'!$H:$H,"Cancelado",'Consulta Contratos'!$G:$G,"Assinado")</f>
        <v>0</v>
      </c>
      <c r="AE70" s="141">
        <f>-SUMIFS('Consulta Contratos'!$Z:$Z,'Consulta Contratos'!$AM:$AM,'Performance Vendas'!AE65,'Consulta Contratos'!$H:$H,"Cancelado",'Consulta Contratos'!$G:$G,"Assinado")</f>
        <v>0</v>
      </c>
      <c r="AF70" s="141">
        <f>-SUMIFS('Consulta Contratos'!$Z:$Z,'Consulta Contratos'!$AM:$AM,'Performance Vendas'!AF65,'Consulta Contratos'!$H:$H,"Cancelado",'Consulta Contratos'!$G:$G,"Assinado")</f>
        <v>0</v>
      </c>
      <c r="AG70" s="141">
        <f>-SUMIFS('Consulta Contratos'!$Z:$Z,'Consulta Contratos'!$AM:$AM,'Performance Vendas'!AG65,'Consulta Contratos'!$H:$H,"Cancelado",'Consulta Contratos'!$G:$G,"Assinado")</f>
        <v>0</v>
      </c>
      <c r="AH70" s="141">
        <f>-SUMIFS('Consulta Contratos'!$Z:$Z,'Consulta Contratos'!$AM:$AM,'Performance Vendas'!AH65,'Consulta Contratos'!$H:$H,"Cancelado",'Consulta Contratos'!$G:$G,"Assinado")</f>
        <v>0</v>
      </c>
      <c r="AI70" s="141">
        <f>-SUMIFS('Consulta Contratos'!$Z:$Z,'Consulta Contratos'!$AM:$AM,'Performance Vendas'!AI65,'Consulta Contratos'!$H:$H,"Cancelado",'Consulta Contratos'!$G:$G,"Assinado")</f>
        <v>0</v>
      </c>
      <c r="AJ70" s="142">
        <f t="shared" si="85"/>
        <v>-850000</v>
      </c>
      <c r="AK70" s="141">
        <f>-SUMIFS('Consulta Contratos'!$Z:$Z,'Consulta Contratos'!$AM:$AM,'Performance Vendas'!AK65,'Consulta Contratos'!$H:$H,"Cancelado",'Consulta Contratos'!$G:$G,"Assinado")</f>
        <v>0</v>
      </c>
      <c r="AL70" s="141">
        <f>-SUMIFS('Consulta Contratos'!$Z:$Z,'Consulta Contratos'!$AM:$AM,'Performance Vendas'!AL65,'Consulta Contratos'!$H:$H,"Cancelado",'Consulta Contratos'!$G:$G,"Assinado")</f>
        <v>0</v>
      </c>
      <c r="AM70" s="141">
        <f>-SUMIFS('Consulta Contratos'!$Z:$Z,'Consulta Contratos'!$AM:$AM,'Performance Vendas'!AM65,'Consulta Contratos'!$H:$H,"Cancelado",'Consulta Contratos'!$G:$G,"Assinado")</f>
        <v>0</v>
      </c>
      <c r="AN70" s="141">
        <f>-SUMIFS('Consulta Contratos'!$Z:$Z,'Consulta Contratos'!$AM:$AM,'Performance Vendas'!AN65,'Consulta Contratos'!$H:$H,"Cancelado",'Consulta Contratos'!$G:$G,"Assinado")</f>
        <v>0</v>
      </c>
      <c r="AO70" s="141">
        <f>-SUMIFS('Consulta Contratos'!$Z:$Z,'Consulta Contratos'!$AM:$AM,'Performance Vendas'!AO65,'Consulta Contratos'!$H:$H,"Cancelado",'Consulta Contratos'!$G:$G,"Assinado")</f>
        <v>0</v>
      </c>
      <c r="AP70" s="141">
        <f>-SUMIFS('Consulta Contratos'!$Z:$Z,'Consulta Contratos'!$AM:$AM,'Performance Vendas'!AP65,'Consulta Contratos'!$H:$H,"Cancelado",'Consulta Contratos'!$G:$G,"Assinado")</f>
        <v>0</v>
      </c>
      <c r="AQ70" s="141">
        <f>-SUMIFS('Consulta Contratos'!$Z:$Z,'Consulta Contratos'!$AM:$AM,'Performance Vendas'!AQ65,'Consulta Contratos'!$H:$H,"Cancelado",'Consulta Contratos'!$G:$G,"Assinado")</f>
        <v>0</v>
      </c>
      <c r="AR70" s="141">
        <f>-SUMIFS('Consulta Contratos'!$Z:$Z,'Consulta Contratos'!$AM:$AM,'Performance Vendas'!AR65,'Consulta Contratos'!$H:$H,"Cancelado",'Consulta Contratos'!$G:$G,"Assinado")</f>
        <v>0</v>
      </c>
      <c r="AS70" s="141">
        <f>-SUMIFS('Consulta Contratos'!$Z:$Z,'Consulta Contratos'!$AM:$AM,'Performance Vendas'!AS65,'Consulta Contratos'!$H:$H,"Cancelado",'Consulta Contratos'!$G:$G,"Assinado")</f>
        <v>0</v>
      </c>
      <c r="AT70" s="141">
        <f>-SUMIFS('Consulta Contratos'!$Z:$Z,'Consulta Contratos'!$AM:$AM,'Performance Vendas'!AT65,'Consulta Contratos'!$H:$H,"Cancelado",'Consulta Contratos'!$G:$G,"Assinado")</f>
        <v>0</v>
      </c>
      <c r="AU70" s="141">
        <f>-SUMIFS('Consulta Contratos'!$Z:$Z,'Consulta Contratos'!$AM:$AM,'Performance Vendas'!AU65,'Consulta Contratos'!$H:$H,"Cancelado",'Consulta Contratos'!$G:$G,"Assinado")</f>
        <v>0</v>
      </c>
      <c r="AV70" s="141">
        <f>-SUMIFS('Consulta Contratos'!$Z:$Z,'Consulta Contratos'!$AM:$AM,'Performance Vendas'!AV65,'Consulta Contratos'!$H:$H,"Cancelado",'Consulta Contratos'!$G:$G,"Assinado")</f>
        <v>0</v>
      </c>
      <c r="AW70" s="142">
        <f t="shared" ref="AW70:AW74" si="88">SUM(AK70:AV70)</f>
        <v>0</v>
      </c>
      <c r="AX70" s="142">
        <f>AJ70+W70+J70+AW70</f>
        <v>-43635024.769999996</v>
      </c>
      <c r="AY70" s="143"/>
    </row>
    <row r="71" spans="2:51" s="133" customFormat="1">
      <c r="B71" s="466" t="s">
        <v>110</v>
      </c>
      <c r="C71" s="256" t="s">
        <v>71</v>
      </c>
      <c r="D71" s="330"/>
      <c r="E71" s="257">
        <f>-SUMIFS('Consulta Contratos'!$AO:$AO,'Consulta Contratos'!$AM:$AM,'Performance Vendas'!E65,'Consulta Contratos'!$H:$H,"Cancelado",'Consulta Contratos'!$G:$G,"Assinado")</f>
        <v>-1</v>
      </c>
      <c r="F71" s="257">
        <f>-SUMIFS('Consulta Contratos'!$AO:$AO,'Consulta Contratos'!$AM:$AM,'Performance Vendas'!F65,'Consulta Contratos'!$H:$H,"Cancelado",'Consulta Contratos'!$G:$G,"Assinado")</f>
        <v>-1</v>
      </c>
      <c r="G71" s="257">
        <f>-SUMIFS('Consulta Contratos'!$AO:$AO,'Consulta Contratos'!$AM:$AM,'Performance Vendas'!G65,'Consulta Contratos'!$H:$H,"Cancelado",'Consulta Contratos'!$G:$G,"Assinado")</f>
        <v>-5</v>
      </c>
      <c r="H71" s="257">
        <f>-SUMIFS('Consulta Contratos'!$AO:$AO,'Consulta Contratos'!$AM:$AM,'Performance Vendas'!H65,'Consulta Contratos'!$H:$H,"Cancelado",'Consulta Contratos'!$G:$G,"Assinado")</f>
        <v>-10</v>
      </c>
      <c r="I71" s="257">
        <f>-SUMIFS('Consulta Contratos'!$AO:$AO,'Consulta Contratos'!$AM:$AM,'Performance Vendas'!I65,'Consulta Contratos'!$H:$H,"Cancelado",'Consulta Contratos'!$G:$G,"Assinado")</f>
        <v>-10</v>
      </c>
      <c r="J71" s="257">
        <f t="shared" ref="J71" si="89">SUM(E71:I71)</f>
        <v>-27</v>
      </c>
      <c r="K71" s="257">
        <f>-SUMIFS('Consulta Contratos'!$AO:$AO,'Consulta Contratos'!$AM:$AM,'Performance Vendas'!K65,'Consulta Contratos'!$H:$H,"Cancelado",'Consulta Contratos'!$G:$G,"Assinado")</f>
        <v>-10</v>
      </c>
      <c r="L71" s="257">
        <f>-SUMIFS('Consulta Contratos'!$AO:$AO,'Consulta Contratos'!$AM:$AM,'Performance Vendas'!L65,'Consulta Contratos'!$H:$H,"Cancelado",'Consulta Contratos'!$G:$G,"Assinado")</f>
        <v>0</v>
      </c>
      <c r="M71" s="257">
        <f>-SUMIFS('Consulta Contratos'!$AO:$AO,'Consulta Contratos'!$AM:$AM,'Performance Vendas'!M65,'Consulta Contratos'!$H:$H,"Cancelado",'Consulta Contratos'!$G:$G,"Assinado")</f>
        <v>-2</v>
      </c>
      <c r="N71" s="257">
        <f>-SUMIFS('Consulta Contratos'!$AO:$AO,'Consulta Contratos'!$AM:$AM,'Performance Vendas'!N65,'Consulta Contratos'!$H:$H,"Cancelado",'Consulta Contratos'!$G:$G,"Assinado")</f>
        <v>-1</v>
      </c>
      <c r="O71" s="257">
        <f>-SUMIFS('Consulta Contratos'!$AO:$AO,'Consulta Contratos'!$AM:$AM,'Performance Vendas'!O65,'Consulta Contratos'!$H:$H,"Cancelado",'Consulta Contratos'!$G:$G,"Assinado")</f>
        <v>0</v>
      </c>
      <c r="P71" s="257">
        <f>-SUMIFS('Consulta Contratos'!$AO:$AO,'Consulta Contratos'!$AM:$AM,'Performance Vendas'!P65,'Consulta Contratos'!$H:$H,"Cancelado",'Consulta Contratos'!$G:$G,"Assinado")</f>
        <v>-5</v>
      </c>
      <c r="Q71" s="257">
        <f>-SUMIFS('Consulta Contratos'!$AO:$AO,'Consulta Contratos'!$AM:$AM,'Performance Vendas'!Q65,'Consulta Contratos'!$H:$H,"Cancelado",'Consulta Contratos'!$G:$G,"Assinado")</f>
        <v>0</v>
      </c>
      <c r="R71" s="257">
        <f>-SUMIFS('Consulta Contratos'!$AO:$AO,'Consulta Contratos'!$AM:$AM,'Performance Vendas'!R65,'Consulta Contratos'!$H:$H,"Cancelado",'Consulta Contratos'!$G:$G,"Assinado")</f>
        <v>-1</v>
      </c>
      <c r="S71" s="257">
        <f>-SUMIFS('Consulta Contratos'!$AO:$AO,'Consulta Contratos'!$AM:$AM,'Performance Vendas'!S65,'Consulta Contratos'!$H:$H,"Cancelado",'Consulta Contratos'!$G:$G,"Assinado")</f>
        <v>-1</v>
      </c>
      <c r="T71" s="257">
        <f>-SUMIFS('Consulta Contratos'!$AO:$AO,'Consulta Contratos'!$AM:$AM,'Performance Vendas'!T65,'Consulta Contratos'!$H:$H,"Cancelado",'Consulta Contratos'!$G:$G,"Assinado")</f>
        <v>-2</v>
      </c>
      <c r="U71" s="257">
        <f>-SUMIFS('Consulta Contratos'!$AO:$AO,'Consulta Contratos'!$AM:$AM,'Performance Vendas'!U65,'Consulta Contratos'!$H:$H,"Cancelado",'Consulta Contratos'!$G:$G,"Assinado")</f>
        <v>-3</v>
      </c>
      <c r="V71" s="257">
        <f>-SUMIFS('Consulta Contratos'!$AO:$AO,'Consulta Contratos'!$AM:$AM,'Performance Vendas'!V65,'Consulta Contratos'!$H:$H,"Cancelado",'Consulta Contratos'!$G:$G,"Assinado")</f>
        <v>-1</v>
      </c>
      <c r="W71" s="257">
        <f t="shared" ref="W71" si="90">SUM(K71:V71)</f>
        <v>-26</v>
      </c>
      <c r="X71" s="257">
        <f>-SUMIFS('Consulta Contratos'!$AO:$AO,'Consulta Contratos'!$AM:$AM,'Performance Vendas'!X65,'Consulta Contratos'!$H:$H,"Cancelado",'Consulta Contratos'!$G:$G,"Assinado")</f>
        <v>0</v>
      </c>
      <c r="Y71" s="257">
        <f>-SUMIFS('Consulta Contratos'!$AO:$AO,'Consulta Contratos'!$AM:$AM,'Performance Vendas'!Y65,'Consulta Contratos'!$H:$H,"Cancelado",'Consulta Contratos'!$G:$G,"Assinado")</f>
        <v>-2</v>
      </c>
      <c r="Z71" s="257">
        <f>-SUMIFS('Consulta Contratos'!$AO:$AO,'Consulta Contratos'!$AM:$AM,'Performance Vendas'!Z65,'Consulta Contratos'!$H:$H,"Cancelado",'Consulta Contratos'!$G:$G,"Assinado")</f>
        <v>0</v>
      </c>
      <c r="AA71" s="257">
        <f>-SUMIFS('Consulta Contratos'!$AO:$AO,'Consulta Contratos'!$AM:$AM,'Performance Vendas'!AA65,'Consulta Contratos'!$H:$H,"Cancelado",'Consulta Contratos'!$G:$G,"Assinado")</f>
        <v>0</v>
      </c>
      <c r="AB71" s="257">
        <f>-SUMIFS('Consulta Contratos'!$AO:$AO,'Consulta Contratos'!$AM:$AM,'Performance Vendas'!AB65,'Consulta Contratos'!$H:$H,"Cancelado",'Consulta Contratos'!$G:$G,"Assinado")</f>
        <v>0</v>
      </c>
      <c r="AC71" s="257">
        <f>-SUMIFS('Consulta Contratos'!$AO:$AO,'Consulta Contratos'!$AM:$AM,'Performance Vendas'!AC65,'Consulta Contratos'!$H:$H,"Cancelado",'Consulta Contratos'!$G:$G,"Assinado")</f>
        <v>0</v>
      </c>
      <c r="AD71" s="257">
        <f>-SUMIFS('Consulta Contratos'!$AO:$AO,'Consulta Contratos'!$AM:$AM,'Performance Vendas'!AD65,'Consulta Contratos'!$H:$H,"Cancelado",'Consulta Contratos'!$G:$G,"Assinado")</f>
        <v>0</v>
      </c>
      <c r="AE71" s="257">
        <f>-SUMIFS('Consulta Contratos'!$AO:$AO,'Consulta Contratos'!$AM:$AM,'Performance Vendas'!AE65,'Consulta Contratos'!$H:$H,"Cancelado",'Consulta Contratos'!$G:$G,"Assinado")</f>
        <v>0</v>
      </c>
      <c r="AF71" s="257">
        <f>-SUMIFS('Consulta Contratos'!$AO:$AO,'Consulta Contratos'!$AM:$AM,'Performance Vendas'!AF65,'Consulta Contratos'!$H:$H,"Cancelado",'Consulta Contratos'!$G:$G,"Assinado")</f>
        <v>0</v>
      </c>
      <c r="AG71" s="257">
        <f>-SUMIFS('Consulta Contratos'!$AO:$AO,'Consulta Contratos'!$AM:$AM,'Performance Vendas'!AG65,'Consulta Contratos'!$H:$H,"Cancelado",'Consulta Contratos'!$G:$G,"Assinado")</f>
        <v>0</v>
      </c>
      <c r="AH71" s="257">
        <f>-SUMIFS('Consulta Contratos'!$AO:$AO,'Consulta Contratos'!$AM:$AM,'Performance Vendas'!AH65,'Consulta Contratos'!$H:$H,"Cancelado",'Consulta Contratos'!$G:$G,"Assinado")</f>
        <v>0</v>
      </c>
      <c r="AI71" s="257">
        <f>-SUMIFS('Consulta Contratos'!$AO:$AO,'Consulta Contratos'!$AM:$AM,'Performance Vendas'!AI65,'Consulta Contratos'!$H:$H,"Cancelado",'Consulta Contratos'!$G:$G,"Assinado")</f>
        <v>0</v>
      </c>
      <c r="AJ71" s="257">
        <f>SUM(X71:AI71)</f>
        <v>-2</v>
      </c>
      <c r="AK71" s="257">
        <f>-SUMIFS('Consulta Contratos'!$AO:$AO,'Consulta Contratos'!$AM:$AM,'Performance Vendas'!AK65,'Consulta Contratos'!$H:$H,"Cancelado",'Consulta Contratos'!$G:$G,"Assinado")</f>
        <v>0</v>
      </c>
      <c r="AL71" s="257">
        <f>-SUMIFS('Consulta Contratos'!$AO:$AO,'Consulta Contratos'!$AM:$AM,'Performance Vendas'!AL65,'Consulta Contratos'!$H:$H,"Cancelado",'Consulta Contratos'!$G:$G,"Assinado")</f>
        <v>0</v>
      </c>
      <c r="AM71" s="257">
        <f>-SUMIFS('Consulta Contratos'!$AO:$AO,'Consulta Contratos'!$AM:$AM,'Performance Vendas'!AM65,'Consulta Contratos'!$H:$H,"Cancelado",'Consulta Contratos'!$G:$G,"Assinado")</f>
        <v>0</v>
      </c>
      <c r="AN71" s="257">
        <f>-SUMIFS('Consulta Contratos'!$AO:$AO,'Consulta Contratos'!$AM:$AM,'Performance Vendas'!AN65,'Consulta Contratos'!$H:$H,"Cancelado",'Consulta Contratos'!$G:$G,"Assinado")</f>
        <v>0</v>
      </c>
      <c r="AO71" s="257">
        <f>-SUMIFS('Consulta Contratos'!$AO:$AO,'Consulta Contratos'!$AM:$AM,'Performance Vendas'!AO65,'Consulta Contratos'!$H:$H,"Cancelado",'Consulta Contratos'!$G:$G,"Assinado")</f>
        <v>0</v>
      </c>
      <c r="AP71" s="257">
        <f>-SUMIFS('Consulta Contratos'!$AO:$AO,'Consulta Contratos'!$AM:$AM,'Performance Vendas'!AP65,'Consulta Contratos'!$H:$H,"Cancelado",'Consulta Contratos'!$G:$G,"Assinado")</f>
        <v>0</v>
      </c>
      <c r="AQ71" s="257">
        <f>-SUMIFS('Consulta Contratos'!$AO:$AO,'Consulta Contratos'!$AM:$AM,'Performance Vendas'!AQ65,'Consulta Contratos'!$H:$H,"Cancelado",'Consulta Contratos'!$G:$G,"Assinado")</f>
        <v>0</v>
      </c>
      <c r="AR71" s="257">
        <f>-SUMIFS('Consulta Contratos'!$AO:$AO,'Consulta Contratos'!$AM:$AM,'Performance Vendas'!AR65,'Consulta Contratos'!$H:$H,"Cancelado",'Consulta Contratos'!$G:$G,"Assinado")</f>
        <v>0</v>
      </c>
      <c r="AS71" s="257">
        <f>-SUMIFS('Consulta Contratos'!$AO:$AO,'Consulta Contratos'!$AM:$AM,'Performance Vendas'!AS65,'Consulta Contratos'!$H:$H,"Cancelado",'Consulta Contratos'!$G:$G,"Assinado")</f>
        <v>0</v>
      </c>
      <c r="AT71" s="257">
        <f>-SUMIFS('Consulta Contratos'!$AO:$AO,'Consulta Contratos'!$AM:$AM,'Performance Vendas'!AT65,'Consulta Contratos'!$H:$H,"Cancelado",'Consulta Contratos'!$G:$G,"Assinado")</f>
        <v>0</v>
      </c>
      <c r="AU71" s="257">
        <f>-SUMIFS('Consulta Contratos'!$AO:$AO,'Consulta Contratos'!$AM:$AM,'Performance Vendas'!AU65,'Consulta Contratos'!$H:$H,"Cancelado",'Consulta Contratos'!$G:$G,"Assinado")</f>
        <v>0</v>
      </c>
      <c r="AV71" s="257">
        <f>-SUMIFS('Consulta Contratos'!$AO:$AO,'Consulta Contratos'!$AM:$AM,'Performance Vendas'!AV65,'Consulta Contratos'!$H:$H,"Cancelado",'Consulta Contratos'!$G:$G,"Assinado")</f>
        <v>0</v>
      </c>
      <c r="AW71" s="257">
        <f>SUM(AK71:AV71)</f>
        <v>0</v>
      </c>
      <c r="AX71" s="258">
        <f>AJ71+W71+J71+AW71</f>
        <v>-55</v>
      </c>
      <c r="AY71" s="132"/>
    </row>
    <row r="72" spans="2:51">
      <c r="B72" s="460" t="s">
        <v>111</v>
      </c>
      <c r="C72" s="467"/>
      <c r="D72" s="330"/>
      <c r="E72" s="449">
        <f>E66+E68+E70</f>
        <v>14243001</v>
      </c>
      <c r="F72" s="449">
        <f t="shared" ref="F72:AJ72" si="91">F66+F68+F70</f>
        <v>6370748.2999999998</v>
      </c>
      <c r="G72" s="449">
        <f t="shared" si="91"/>
        <v>14288721.359999999</v>
      </c>
      <c r="H72" s="449">
        <f t="shared" si="91"/>
        <v>10992566</v>
      </c>
      <c r="I72" s="449">
        <f t="shared" si="91"/>
        <v>13847740</v>
      </c>
      <c r="J72" s="90">
        <f t="shared" si="91"/>
        <v>59742776.659999996</v>
      </c>
      <c r="K72" s="449">
        <f t="shared" si="91"/>
        <v>15029384.189999998</v>
      </c>
      <c r="L72" s="449">
        <f t="shared" si="91"/>
        <v>4347825</v>
      </c>
      <c r="M72" s="449">
        <f t="shared" si="91"/>
        <v>12491340</v>
      </c>
      <c r="N72" s="449">
        <f t="shared" si="91"/>
        <v>13804596.759999998</v>
      </c>
      <c r="O72" s="449">
        <f t="shared" si="91"/>
        <v>9937311.1999999993</v>
      </c>
      <c r="P72" s="449">
        <f t="shared" si="91"/>
        <v>15080733.300000001</v>
      </c>
      <c r="Q72" s="449">
        <f t="shared" si="91"/>
        <v>13602758.629999999</v>
      </c>
      <c r="R72" s="449">
        <f t="shared" si="91"/>
        <v>11696029.219999999</v>
      </c>
      <c r="S72" s="449">
        <f t="shared" si="91"/>
        <v>20703802.830000006</v>
      </c>
      <c r="T72" s="449">
        <f t="shared" si="91"/>
        <v>25034491.489999998</v>
      </c>
      <c r="U72" s="449">
        <f t="shared" si="91"/>
        <v>14262217.1</v>
      </c>
      <c r="V72" s="449">
        <f t="shared" si="91"/>
        <v>24137646</v>
      </c>
      <c r="W72" s="90">
        <f t="shared" si="91"/>
        <v>180128135.72</v>
      </c>
      <c r="X72" s="449">
        <f t="shared" si="91"/>
        <v>16584821.960000001</v>
      </c>
      <c r="Y72" s="449">
        <f t="shared" si="91"/>
        <v>4083584.2300000004</v>
      </c>
      <c r="Z72" s="449">
        <f t="shared" si="91"/>
        <v>11381784</v>
      </c>
      <c r="AA72" s="449">
        <f t="shared" si="91"/>
        <v>10862520</v>
      </c>
      <c r="AB72" s="449">
        <f t="shared" si="91"/>
        <v>1405406.28</v>
      </c>
      <c r="AC72" s="449">
        <f t="shared" si="91"/>
        <v>2130000</v>
      </c>
      <c r="AD72" s="449">
        <f t="shared" si="91"/>
        <v>11736970.66</v>
      </c>
      <c r="AE72" s="449">
        <f t="shared" si="91"/>
        <v>21660841.460000001</v>
      </c>
      <c r="AF72" s="449">
        <f t="shared" si="91"/>
        <v>18628123.140000001</v>
      </c>
      <c r="AG72" s="449">
        <f t="shared" si="91"/>
        <v>3246000</v>
      </c>
      <c r="AH72" s="449">
        <f t="shared" si="91"/>
        <v>8056699.7200000007</v>
      </c>
      <c r="AI72" s="449">
        <f t="shared" si="91"/>
        <v>17236514.850000001</v>
      </c>
      <c r="AJ72" s="90">
        <f t="shared" si="91"/>
        <v>127013266.30000001</v>
      </c>
      <c r="AK72" s="449">
        <f t="shared" ref="AK72:AW72" si="92">AK66+AK68+AK70</f>
        <v>9348451.8099999987</v>
      </c>
      <c r="AL72" s="449">
        <f t="shared" si="92"/>
        <v>6484295.3100000005</v>
      </c>
      <c r="AM72" s="449">
        <f t="shared" si="92"/>
        <v>328000</v>
      </c>
      <c r="AN72" s="449">
        <f t="shared" si="92"/>
        <v>0</v>
      </c>
      <c r="AO72" s="449">
        <f t="shared" si="92"/>
        <v>0</v>
      </c>
      <c r="AP72" s="449">
        <f t="shared" si="92"/>
        <v>0</v>
      </c>
      <c r="AQ72" s="449">
        <f t="shared" si="92"/>
        <v>0</v>
      </c>
      <c r="AR72" s="449">
        <f t="shared" si="92"/>
        <v>0</v>
      </c>
      <c r="AS72" s="449">
        <f t="shared" si="92"/>
        <v>0</v>
      </c>
      <c r="AT72" s="449">
        <f t="shared" si="92"/>
        <v>0</v>
      </c>
      <c r="AU72" s="449">
        <f t="shared" si="92"/>
        <v>0</v>
      </c>
      <c r="AV72" s="449">
        <f t="shared" si="92"/>
        <v>0</v>
      </c>
      <c r="AW72" s="90">
        <f t="shared" si="92"/>
        <v>16160747.119999999</v>
      </c>
      <c r="AX72" s="90">
        <f>AJ72+W72+J72+AW72</f>
        <v>383044925.79999995</v>
      </c>
      <c r="AY72" s="126"/>
    </row>
    <row r="73" spans="2:51">
      <c r="B73" s="468"/>
      <c r="C73" s="469"/>
      <c r="D73" s="330"/>
      <c r="E73" s="449">
        <f>E67+E69+E71</f>
        <v>7</v>
      </c>
      <c r="F73" s="449">
        <f t="shared" ref="F73:AJ73" si="93">F67+F69+F71</f>
        <v>12</v>
      </c>
      <c r="G73" s="449">
        <f t="shared" si="93"/>
        <v>10</v>
      </c>
      <c r="H73" s="449">
        <f t="shared" si="93"/>
        <v>11</v>
      </c>
      <c r="I73" s="449">
        <f t="shared" si="93"/>
        <v>18</v>
      </c>
      <c r="J73" s="90">
        <f t="shared" si="93"/>
        <v>58</v>
      </c>
      <c r="K73" s="449">
        <f t="shared" si="93"/>
        <v>16</v>
      </c>
      <c r="L73" s="449">
        <f t="shared" si="93"/>
        <v>8</v>
      </c>
      <c r="M73" s="449">
        <f t="shared" si="93"/>
        <v>8</v>
      </c>
      <c r="N73" s="449">
        <f t="shared" si="93"/>
        <v>6</v>
      </c>
      <c r="O73" s="449">
        <f t="shared" si="93"/>
        <v>15</v>
      </c>
      <c r="P73" s="449">
        <f t="shared" si="93"/>
        <v>18</v>
      </c>
      <c r="Q73" s="449">
        <f t="shared" si="93"/>
        <v>16</v>
      </c>
      <c r="R73" s="449">
        <f t="shared" si="93"/>
        <v>20</v>
      </c>
      <c r="S73" s="449">
        <f t="shared" si="93"/>
        <v>19</v>
      </c>
      <c r="T73" s="449">
        <f t="shared" si="93"/>
        <v>27</v>
      </c>
      <c r="U73" s="449">
        <f t="shared" si="93"/>
        <v>28</v>
      </c>
      <c r="V73" s="449">
        <f t="shared" si="93"/>
        <v>16</v>
      </c>
      <c r="W73" s="90">
        <f t="shared" si="93"/>
        <v>197</v>
      </c>
      <c r="X73" s="449">
        <f t="shared" si="93"/>
        <v>10</v>
      </c>
      <c r="Y73" s="449">
        <f t="shared" si="93"/>
        <v>10</v>
      </c>
      <c r="Z73" s="449">
        <f t="shared" si="93"/>
        <v>7</v>
      </c>
      <c r="AA73" s="449">
        <f t="shared" si="93"/>
        <v>13</v>
      </c>
      <c r="AB73" s="449">
        <f t="shared" si="93"/>
        <v>3</v>
      </c>
      <c r="AC73" s="449">
        <f t="shared" si="93"/>
        <v>4</v>
      </c>
      <c r="AD73" s="449">
        <f t="shared" si="93"/>
        <v>15</v>
      </c>
      <c r="AE73" s="449">
        <f t="shared" si="93"/>
        <v>21</v>
      </c>
      <c r="AF73" s="449">
        <f t="shared" si="93"/>
        <v>21</v>
      </c>
      <c r="AG73" s="449">
        <f t="shared" si="93"/>
        <v>2</v>
      </c>
      <c r="AH73" s="449">
        <f t="shared" si="93"/>
        <v>9</v>
      </c>
      <c r="AI73" s="449">
        <f t="shared" si="93"/>
        <v>10</v>
      </c>
      <c r="AJ73" s="90">
        <f t="shared" si="93"/>
        <v>127</v>
      </c>
      <c r="AK73" s="449">
        <f t="shared" ref="AK73:AW73" si="94">AK67+AK69+AK71</f>
        <v>14</v>
      </c>
      <c r="AL73" s="449">
        <f t="shared" si="94"/>
        <v>13</v>
      </c>
      <c r="AM73" s="449">
        <f t="shared" si="94"/>
        <v>1</v>
      </c>
      <c r="AN73" s="449">
        <f t="shared" si="94"/>
        <v>0</v>
      </c>
      <c r="AO73" s="449">
        <f t="shared" si="94"/>
        <v>0</v>
      </c>
      <c r="AP73" s="449">
        <f t="shared" si="94"/>
        <v>0</v>
      </c>
      <c r="AQ73" s="449">
        <f t="shared" si="94"/>
        <v>0</v>
      </c>
      <c r="AR73" s="449">
        <f t="shared" si="94"/>
        <v>0</v>
      </c>
      <c r="AS73" s="449">
        <f t="shared" si="94"/>
        <v>0</v>
      </c>
      <c r="AT73" s="449">
        <f t="shared" si="94"/>
        <v>0</v>
      </c>
      <c r="AU73" s="449">
        <f t="shared" si="94"/>
        <v>0</v>
      </c>
      <c r="AV73" s="449">
        <f t="shared" si="94"/>
        <v>0</v>
      </c>
      <c r="AW73" s="90">
        <f t="shared" si="94"/>
        <v>28</v>
      </c>
      <c r="AX73" s="90">
        <f>AJ73+W73+J73+AW73</f>
        <v>410</v>
      </c>
      <c r="AY73" s="126"/>
    </row>
    <row r="74" spans="2:51" s="87" customFormat="1">
      <c r="B74" s="470" t="s">
        <v>112</v>
      </c>
      <c r="C74" s="471"/>
      <c r="D74" s="330"/>
      <c r="E74" s="137">
        <f>E68/E66</f>
        <v>0</v>
      </c>
      <c r="F74" s="137">
        <f t="shared" ref="F74:AX74" si="95">F68/F66</f>
        <v>-9.5799530145747464E-2</v>
      </c>
      <c r="G74" s="137">
        <f t="shared" si="95"/>
        <v>0</v>
      </c>
      <c r="H74" s="137">
        <f t="shared" si="95"/>
        <v>-3.0915563383526242E-2</v>
      </c>
      <c r="I74" s="137">
        <f t="shared" si="95"/>
        <v>0</v>
      </c>
      <c r="J74" s="145">
        <f t="shared" si="95"/>
        <v>-1.6414621642697559E-2</v>
      </c>
      <c r="K74" s="137">
        <f t="shared" si="95"/>
        <v>-5.2941545933108049E-2</v>
      </c>
      <c r="L74" s="137">
        <f t="shared" si="95"/>
        <v>0</v>
      </c>
      <c r="M74" s="137">
        <f t="shared" si="95"/>
        <v>-2.6693253146800881E-2</v>
      </c>
      <c r="N74" s="137">
        <f t="shared" si="95"/>
        <v>-2.270531266753683E-2</v>
      </c>
      <c r="O74" s="137">
        <f t="shared" si="95"/>
        <v>-0.10638191492338812</v>
      </c>
      <c r="P74" s="137">
        <f t="shared" si="95"/>
        <v>0</v>
      </c>
      <c r="Q74" s="137">
        <f t="shared" si="95"/>
        <v>0</v>
      </c>
      <c r="R74" s="137">
        <f t="shared" si="95"/>
        <v>-0.11459073143171415</v>
      </c>
      <c r="S74" s="137">
        <f t="shared" si="95"/>
        <v>-3.1354109455306492E-2</v>
      </c>
      <c r="T74" s="137">
        <f t="shared" si="95"/>
        <v>-2.5758526869380689E-2</v>
      </c>
      <c r="U74" s="137">
        <f t="shared" si="95"/>
        <v>0</v>
      </c>
      <c r="V74" s="137">
        <f t="shared" si="95"/>
        <v>-1.5972181609881991E-2</v>
      </c>
      <c r="W74" s="145">
        <f t="shared" si="95"/>
        <v>-3.2194526436792256E-2</v>
      </c>
      <c r="X74" s="137">
        <f t="shared" si="95"/>
        <v>0</v>
      </c>
      <c r="Y74" s="137">
        <f t="shared" si="95"/>
        <v>0</v>
      </c>
      <c r="Z74" s="137">
        <f t="shared" si="95"/>
        <v>0</v>
      </c>
      <c r="AA74" s="137">
        <f t="shared" si="95"/>
        <v>0</v>
      </c>
      <c r="AB74" s="137">
        <f t="shared" si="95"/>
        <v>0</v>
      </c>
      <c r="AC74" s="137">
        <f t="shared" si="95"/>
        <v>0</v>
      </c>
      <c r="AD74" s="137">
        <f t="shared" ref="AD74" si="96">AD68/AD66</f>
        <v>0</v>
      </c>
      <c r="AE74" s="137">
        <f t="shared" si="95"/>
        <v>-3.1304725327630852E-2</v>
      </c>
      <c r="AF74" s="137">
        <f t="shared" si="95"/>
        <v>-3.4044169487198774E-2</v>
      </c>
      <c r="AG74" s="137">
        <f>IFERROR(AG68/AG66,0)</f>
        <v>0</v>
      </c>
      <c r="AH74" s="137">
        <f t="shared" ref="AH74" si="97">IFERROR(AH68/AH66,0)</f>
        <v>-5.723058819962188E-2</v>
      </c>
      <c r="AI74" s="137">
        <f t="shared" si="95"/>
        <v>0</v>
      </c>
      <c r="AJ74" s="138">
        <f t="shared" si="95"/>
        <v>-1.4228864304793918E-2</v>
      </c>
      <c r="AK74" s="137">
        <f>IFERROR(AK68/AK66,0)</f>
        <v>0</v>
      </c>
      <c r="AL74" s="137">
        <f t="shared" ref="AL74:AW74" si="98">IFERROR(AL68/AL66,0)</f>
        <v>0</v>
      </c>
      <c r="AM74" s="137">
        <f t="shared" si="98"/>
        <v>0</v>
      </c>
      <c r="AN74" s="137">
        <f t="shared" si="98"/>
        <v>0</v>
      </c>
      <c r="AO74" s="137">
        <f t="shared" si="98"/>
        <v>0</v>
      </c>
      <c r="AP74" s="137">
        <f t="shared" si="98"/>
        <v>0</v>
      </c>
      <c r="AQ74" s="137">
        <f t="shared" si="98"/>
        <v>0</v>
      </c>
      <c r="AR74" s="137">
        <f t="shared" si="98"/>
        <v>0</v>
      </c>
      <c r="AS74" s="137">
        <f t="shared" si="98"/>
        <v>0</v>
      </c>
      <c r="AT74" s="137">
        <f t="shared" si="98"/>
        <v>0</v>
      </c>
      <c r="AU74" s="137">
        <f t="shared" si="98"/>
        <v>0</v>
      </c>
      <c r="AV74" s="137">
        <f t="shared" si="98"/>
        <v>0</v>
      </c>
      <c r="AW74" s="138">
        <f t="shared" si="98"/>
        <v>0</v>
      </c>
      <c r="AX74" s="145">
        <f t="shared" si="95"/>
        <v>-2.2565906337798664E-2</v>
      </c>
      <c r="AY74" s="124"/>
    </row>
    <row r="75" spans="2:51" s="87" customFormat="1">
      <c r="B75" s="458" t="s">
        <v>4</v>
      </c>
      <c r="C75" s="459"/>
      <c r="D75" s="330"/>
      <c r="E75" s="139">
        <f t="shared" ref="E75:AJ75" si="99">E70/(E66+E68)</f>
        <v>-2.2845772307507388E-2</v>
      </c>
      <c r="F75" s="139">
        <f t="shared" si="99"/>
        <v>-5.0664990668775348E-2</v>
      </c>
      <c r="G75" s="139">
        <f t="shared" si="99"/>
        <v>-0.3425122759295291</v>
      </c>
      <c r="H75" s="139">
        <f t="shared" si="99"/>
        <v>-0.49614521363352948</v>
      </c>
      <c r="I75" s="139">
        <f t="shared" si="99"/>
        <v>-0.28888500436341535</v>
      </c>
      <c r="J75" s="146">
        <f t="shared" si="99"/>
        <v>-0.29138536328416276</v>
      </c>
      <c r="K75" s="139">
        <f t="shared" si="99"/>
        <v>-0.35372453676930637</v>
      </c>
      <c r="L75" s="139">
        <f t="shared" si="99"/>
        <v>0</v>
      </c>
      <c r="M75" s="139">
        <f t="shared" si="99"/>
        <v>-0.14355237482739186</v>
      </c>
      <c r="N75" s="139">
        <f t="shared" si="99"/>
        <v>-0.17764172468273434</v>
      </c>
      <c r="O75" s="139">
        <f t="shared" si="99"/>
        <v>0</v>
      </c>
      <c r="P75" s="139">
        <f t="shared" si="99"/>
        <v>-0.11626731363067418</v>
      </c>
      <c r="Q75" s="139">
        <f t="shared" si="99"/>
        <v>0</v>
      </c>
      <c r="R75" s="139">
        <f t="shared" si="99"/>
        <v>-3.0664603346617789E-2</v>
      </c>
      <c r="S75" s="139">
        <f t="shared" si="99"/>
        <v>-1.7790384161015461E-2</v>
      </c>
      <c r="T75" s="139">
        <f t="shared" si="99"/>
        <v>-3.0891329251338893E-2</v>
      </c>
      <c r="U75" s="139">
        <f t="shared" si="99"/>
        <v>-6.519910841199128E-2</v>
      </c>
      <c r="V75" s="139">
        <f t="shared" si="99"/>
        <v>-1.6100994568625005E-2</v>
      </c>
      <c r="W75" s="146">
        <f t="shared" si="99"/>
        <v>-9.1852005756418942E-2</v>
      </c>
      <c r="X75" s="139">
        <f t="shared" si="99"/>
        <v>0</v>
      </c>
      <c r="Y75" s="139">
        <f t="shared" si="99"/>
        <v>-0.17228853514476228</v>
      </c>
      <c r="Z75" s="139">
        <f t="shared" si="99"/>
        <v>0</v>
      </c>
      <c r="AA75" s="139">
        <f t="shared" si="99"/>
        <v>0</v>
      </c>
      <c r="AB75" s="139">
        <f t="shared" si="99"/>
        <v>0</v>
      </c>
      <c r="AC75" s="139">
        <f t="shared" si="99"/>
        <v>0</v>
      </c>
      <c r="AD75" s="139">
        <f t="shared" si="99"/>
        <v>0</v>
      </c>
      <c r="AE75" s="139">
        <f t="shared" si="99"/>
        <v>0</v>
      </c>
      <c r="AF75" s="139">
        <f t="shared" si="99"/>
        <v>0</v>
      </c>
      <c r="AG75" s="139">
        <f t="shared" si="99"/>
        <v>0</v>
      </c>
      <c r="AH75" s="139">
        <f t="shared" ref="AH75" si="100">AH70/(AH66+AH68)</f>
        <v>0</v>
      </c>
      <c r="AI75" s="139">
        <f t="shared" si="99"/>
        <v>0</v>
      </c>
      <c r="AJ75" s="300">
        <f t="shared" si="99"/>
        <v>-6.6477263141837941E-3</v>
      </c>
      <c r="AK75" s="139">
        <f>IFERROR(AK70/(AK66+AK68),0)</f>
        <v>0</v>
      </c>
      <c r="AL75" s="139">
        <f t="shared" ref="AL75:AW75" si="101">IFERROR(AL70/(AL66+AL68),0)</f>
        <v>0</v>
      </c>
      <c r="AM75" s="139">
        <f t="shared" si="101"/>
        <v>0</v>
      </c>
      <c r="AN75" s="139">
        <f t="shared" si="101"/>
        <v>0</v>
      </c>
      <c r="AO75" s="139">
        <f t="shared" si="101"/>
        <v>0</v>
      </c>
      <c r="AP75" s="139">
        <f t="shared" si="101"/>
        <v>0</v>
      </c>
      <c r="AQ75" s="139">
        <f t="shared" si="101"/>
        <v>0</v>
      </c>
      <c r="AR75" s="139">
        <f t="shared" si="101"/>
        <v>0</v>
      </c>
      <c r="AS75" s="139">
        <f t="shared" si="101"/>
        <v>0</v>
      </c>
      <c r="AT75" s="139">
        <f t="shared" si="101"/>
        <v>0</v>
      </c>
      <c r="AU75" s="139">
        <f t="shared" si="101"/>
        <v>0</v>
      </c>
      <c r="AV75" s="139">
        <f t="shared" si="101"/>
        <v>0</v>
      </c>
      <c r="AW75" s="300">
        <f t="shared" si="101"/>
        <v>0</v>
      </c>
      <c r="AX75" s="146">
        <f>AX70/(AX66+AX68)</f>
        <v>-0.10226640532724386</v>
      </c>
      <c r="AY75" s="124"/>
    </row>
    <row r="76" spans="2:51">
      <c r="B76" s="94"/>
      <c r="C76" s="187"/>
      <c r="D76" s="330"/>
      <c r="E76" s="94"/>
      <c r="G76" s="188"/>
      <c r="H76" s="188"/>
      <c r="I76" s="188"/>
      <c r="J76" s="189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9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  <c r="AI76" s="188"/>
      <c r="AJ76" s="189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9"/>
      <c r="AX76" s="189"/>
      <c r="AY76" s="97"/>
    </row>
    <row r="77" spans="2:51" ht="15.75">
      <c r="B77" s="217" t="s">
        <v>113</v>
      </c>
      <c r="C77" s="217"/>
      <c r="D77" s="218"/>
      <c r="E77" s="223"/>
      <c r="F77" s="223"/>
      <c r="G77" s="223"/>
      <c r="H77" s="223"/>
      <c r="I77" s="223"/>
      <c r="J77" s="22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220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220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220"/>
      <c r="AX77" s="220"/>
      <c r="AY77" s="97"/>
    </row>
    <row r="78" spans="2:51" ht="15.75">
      <c r="B78" s="219" t="s">
        <v>114</v>
      </c>
      <c r="C78" s="219"/>
      <c r="D78" s="218"/>
      <c r="E78" s="223"/>
      <c r="F78" s="223"/>
      <c r="G78" s="223"/>
      <c r="H78" s="223"/>
      <c r="I78" s="223"/>
      <c r="J78" s="22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220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220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220"/>
      <c r="AX78" s="220"/>
      <c r="AY78" s="97"/>
    </row>
    <row r="79" spans="2:51">
      <c r="B79" s="99"/>
      <c r="C79" s="111"/>
      <c r="D79" s="14"/>
      <c r="E79" s="156">
        <v>44804</v>
      </c>
      <c r="F79" s="156">
        <v>44834</v>
      </c>
      <c r="G79" s="156">
        <v>44865</v>
      </c>
      <c r="H79" s="156">
        <v>44895</v>
      </c>
      <c r="I79" s="156">
        <v>44926</v>
      </c>
      <c r="J79" s="127" t="str">
        <f t="shared" ref="J79:AJ79" si="102">J5</f>
        <v>2022</v>
      </c>
      <c r="K79" s="156">
        <f t="shared" si="102"/>
        <v>44957</v>
      </c>
      <c r="L79" s="156">
        <f t="shared" si="102"/>
        <v>44985</v>
      </c>
      <c r="M79" s="156">
        <f t="shared" si="102"/>
        <v>45016</v>
      </c>
      <c r="N79" s="156">
        <f t="shared" si="102"/>
        <v>45046</v>
      </c>
      <c r="O79" s="156">
        <f t="shared" si="102"/>
        <v>45077</v>
      </c>
      <c r="P79" s="156">
        <f t="shared" si="102"/>
        <v>45107</v>
      </c>
      <c r="Q79" s="156">
        <f t="shared" si="102"/>
        <v>45138</v>
      </c>
      <c r="R79" s="156">
        <f t="shared" si="102"/>
        <v>45169</v>
      </c>
      <c r="S79" s="156">
        <f t="shared" si="102"/>
        <v>45199</v>
      </c>
      <c r="T79" s="156">
        <f t="shared" si="102"/>
        <v>45230</v>
      </c>
      <c r="U79" s="156">
        <f t="shared" si="102"/>
        <v>45260</v>
      </c>
      <c r="V79" s="156">
        <f t="shared" si="102"/>
        <v>45291</v>
      </c>
      <c r="W79" s="127" t="str">
        <f t="shared" si="102"/>
        <v>2023</v>
      </c>
      <c r="X79" s="156">
        <f t="shared" si="102"/>
        <v>45322</v>
      </c>
      <c r="Y79" s="156">
        <f t="shared" si="102"/>
        <v>45351</v>
      </c>
      <c r="Z79" s="156">
        <f t="shared" si="102"/>
        <v>45382</v>
      </c>
      <c r="AA79" s="156">
        <f t="shared" si="102"/>
        <v>45412</v>
      </c>
      <c r="AB79" s="156">
        <f t="shared" si="102"/>
        <v>45443</v>
      </c>
      <c r="AC79" s="156">
        <f t="shared" si="102"/>
        <v>45473</v>
      </c>
      <c r="AD79" s="156">
        <f t="shared" si="102"/>
        <v>45504</v>
      </c>
      <c r="AE79" s="156">
        <f t="shared" si="102"/>
        <v>45535</v>
      </c>
      <c r="AF79" s="156">
        <f t="shared" si="102"/>
        <v>45565</v>
      </c>
      <c r="AG79" s="156">
        <f t="shared" si="102"/>
        <v>45596</v>
      </c>
      <c r="AH79" s="156">
        <f t="shared" si="102"/>
        <v>45626</v>
      </c>
      <c r="AI79" s="156">
        <f t="shared" si="102"/>
        <v>45657</v>
      </c>
      <c r="AJ79" s="127" t="str">
        <f t="shared" si="102"/>
        <v>2024</v>
      </c>
      <c r="AK79" s="156">
        <f t="shared" ref="AK79:AW79" si="103">AK5</f>
        <v>45688</v>
      </c>
      <c r="AL79" s="156">
        <f t="shared" si="103"/>
        <v>45716</v>
      </c>
      <c r="AM79" s="156">
        <f t="shared" si="103"/>
        <v>45747</v>
      </c>
      <c r="AN79" s="156">
        <f t="shared" si="103"/>
        <v>45777</v>
      </c>
      <c r="AO79" s="156">
        <f t="shared" si="103"/>
        <v>45808</v>
      </c>
      <c r="AP79" s="156">
        <f t="shared" si="103"/>
        <v>45838</v>
      </c>
      <c r="AQ79" s="156">
        <f t="shared" si="103"/>
        <v>45869</v>
      </c>
      <c r="AR79" s="156">
        <f t="shared" si="103"/>
        <v>45900</v>
      </c>
      <c r="AS79" s="156">
        <f t="shared" si="103"/>
        <v>45930</v>
      </c>
      <c r="AT79" s="156">
        <f t="shared" si="103"/>
        <v>45961</v>
      </c>
      <c r="AU79" s="156">
        <f t="shared" si="103"/>
        <v>45991</v>
      </c>
      <c r="AV79" s="156">
        <f t="shared" si="103"/>
        <v>46022</v>
      </c>
      <c r="AW79" s="127" t="str">
        <f t="shared" si="103"/>
        <v>2025</v>
      </c>
      <c r="AX79" s="127" t="s">
        <v>45</v>
      </c>
      <c r="AY79" s="124"/>
    </row>
    <row r="80" spans="2:51">
      <c r="B80" s="489" t="s">
        <v>108</v>
      </c>
      <c r="C80" s="490"/>
      <c r="D80" s="2"/>
      <c r="E80" s="228">
        <f>SUMIFS('Consulta Contratos'!$Z:$Z,'Consulta Contratos'!$AM:$AM,'Performance Vendas'!E65,'Consulta Contratos'!$G:$G,"Assinado")</f>
        <v>14576001</v>
      </c>
      <c r="F80" s="228">
        <f>SUMIFS('Consulta Contratos'!$Z:$Z,'Consulta Contratos'!$AM:$AM,'Performance Vendas'!F65,'Consulta Contratos'!$G:$G,"Assinado")</f>
        <v>7421748.2999999998</v>
      </c>
      <c r="G80" s="228">
        <f>SUMIFS('Consulta Contratos'!$Z:$Z,'Consulta Contratos'!$AM:$AM,'Performance Vendas'!G65,'Consulta Contratos'!$G:$G,"Assinado")</f>
        <v>21732301.359999999</v>
      </c>
      <c r="H80" s="228">
        <f>SUMIFS('Consulta Contratos'!$Z:$Z,'Consulta Contratos'!$AM:$AM,'Performance Vendas'!H65,'Consulta Contratos'!$G:$G,"Assinado")</f>
        <v>22512932.77</v>
      </c>
      <c r="I80" s="228">
        <f>SUMIFS('Consulta Contratos'!$Z:$Z,'Consulta Contratos'!$AM:$AM,'Performance Vendas'!I65,'Consulta Contratos'!$G:$G,"Assinado")</f>
        <v>19473278</v>
      </c>
      <c r="J80" s="9">
        <f t="shared" ref="J80:J82" si="104">SUM(E80:I80)</f>
        <v>85716261.429999992</v>
      </c>
      <c r="K80" s="228">
        <f>SUMIFS('Consulta Contratos'!$Z:$Z,'Consulta Contratos'!$AM:$AM,'Performance Vendas'!K65,'Consulta Contratos'!$G:$G,"Assinado")</f>
        <v>24555384.189999998</v>
      </c>
      <c r="L80" s="228">
        <f>SUMIFS('Consulta Contratos'!$Z:$Z,'Consulta Contratos'!$AM:$AM,'Performance Vendas'!L65,'Consulta Contratos'!$G:$G,"Assinado")</f>
        <v>4347825</v>
      </c>
      <c r="M80" s="228">
        <f>SUMIFS('Consulta Contratos'!$Z:$Z,'Consulta Contratos'!$AM:$AM,'Performance Vendas'!M65,'Consulta Contratos'!$G:$G,"Assinado")</f>
        <v>14985060</v>
      </c>
      <c r="N80" s="228">
        <f>SUMIFS('Consulta Contratos'!$Z:$Z,'Consulta Contratos'!$AM:$AM,'Performance Vendas'!N65,'Consulta Contratos'!$G:$G,"Assinado")</f>
        <v>17176596.759999998</v>
      </c>
      <c r="O80" s="228">
        <f>SUMIFS('Consulta Contratos'!$Z:$Z,'Consulta Contratos'!$AM:$AM,'Performance Vendas'!O65,'Consulta Contratos'!$G:$G,"Assinado")</f>
        <v>11120311.199999999</v>
      </c>
      <c r="P80" s="228">
        <f>SUMIFS('Consulta Contratos'!$Z:$Z,'Consulta Contratos'!$AM:$AM,'Performance Vendas'!P65,'Consulta Contratos'!$G:$G,"Assinado")</f>
        <v>17064813.300000001</v>
      </c>
      <c r="Q80" s="228">
        <f>SUMIFS('Consulta Contratos'!$Z:$Z,'Consulta Contratos'!$AM:$AM,'Performance Vendas'!Q65,'Consulta Contratos'!$G:$G,"Assinado")</f>
        <v>13602758.629999999</v>
      </c>
      <c r="R80" s="228">
        <f>SUMIFS('Consulta Contratos'!$Z:$Z,'Consulta Contratos'!$AM:$AM,'Performance Vendas'!R65,'Consulta Contratos'!$G:$G,"Assinado")</f>
        <v>13627629.219999999</v>
      </c>
      <c r="S80" s="228">
        <f>SUMIFS('Consulta Contratos'!$Z:$Z,'Consulta Contratos'!$AM:$AM,'Performance Vendas'!S65,'Consulta Contratos'!$G:$G,"Assinado")</f>
        <v>21761102.830000006</v>
      </c>
      <c r="T80" s="228">
        <f>SUMIFS('Consulta Contratos'!$Z:$Z,'Consulta Contratos'!$AM:$AM,'Performance Vendas'!T65,'Consulta Contratos'!$G:$G,"Assinado")</f>
        <v>26515491.489999998</v>
      </c>
      <c r="U80" s="228">
        <f>SUMIFS('Consulta Contratos'!$Z:$Z,'Consulta Contratos'!$AM:$AM,'Performance Vendas'!U65,'Consulta Contratos'!$G:$G,"Assinado")</f>
        <v>15256957.1</v>
      </c>
      <c r="V80" s="228">
        <f>SUMIFS('Consulta Contratos'!$Z:$Z,'Consulta Contratos'!$AM:$AM,'Performance Vendas'!V65,'Consulta Contratos'!$G:$G,"Assinado")</f>
        <v>24930846</v>
      </c>
      <c r="W80" s="9">
        <f t="shared" ref="W80:W82" si="105">SUM(K80:V80)</f>
        <v>204944775.72</v>
      </c>
      <c r="X80" s="228">
        <f>SUMIFS('Consulta Contratos'!$Z:$Z,'Consulta Contratos'!$AM:$AM,'Performance Vendas'!X65,'Consulta Contratos'!$G:$G,"Assinado")</f>
        <v>16584821.960000001</v>
      </c>
      <c r="Y80" s="228">
        <f>SUMIFS('Consulta Contratos'!$Z:$Z,'Consulta Contratos'!$AM:$AM,'Performance Vendas'!Y65,'Consulta Contratos'!$G:$G,"Assinado")</f>
        <v>4933584.2300000004</v>
      </c>
      <c r="Z80" s="228">
        <f>SUMIFS('Consulta Contratos'!$Z:$Z,'Consulta Contratos'!$AM:$AM,'Performance Vendas'!Z65,'Consulta Contratos'!$G:$G,"Assinado")</f>
        <v>11381784</v>
      </c>
      <c r="AA80" s="228">
        <f>SUMIFS('Consulta Contratos'!$Z:$Z,'Consulta Contratos'!$AM:$AM,'Performance Vendas'!AA65,'Consulta Contratos'!$G:$G,"Assinado")</f>
        <v>10862520</v>
      </c>
      <c r="AB80" s="228">
        <f>SUMIFS('Consulta Contratos'!$Z:$Z,'Consulta Contratos'!$AM:$AM,'Performance Vendas'!AB65,'Consulta Contratos'!$G:$G,"Assinado")</f>
        <v>1405406.28</v>
      </c>
      <c r="AC80" s="228">
        <f>SUMIFS('Consulta Contratos'!$Z:$Z,'Consulta Contratos'!$AM:$AM,'Performance Vendas'!AC65,'Consulta Contratos'!$G:$G,"Assinado")</f>
        <v>2130000</v>
      </c>
      <c r="AD80" s="228">
        <f>SUMIFS('Consulta Contratos'!$Z:$Z,'Consulta Contratos'!$AM:$AM,'Performance Vendas'!AD65,'Consulta Contratos'!$G:$G,"Assinado")</f>
        <v>11736970.66</v>
      </c>
      <c r="AE80" s="228">
        <f>SUMIFS('Consulta Contratos'!$Z:$Z,'Consulta Contratos'!$AM:$AM,'Performance Vendas'!AE65,'Consulta Contratos'!$G:$G,"Assinado")</f>
        <v>22360841.460000001</v>
      </c>
      <c r="AF80" s="228">
        <f>SUMIFS('Consulta Contratos'!$Z:$Z,'Consulta Contratos'!$AM:$AM,'Performance Vendas'!AF65,'Consulta Contratos'!$G:$G,"Assinado")</f>
        <v>19284653.140000001</v>
      </c>
      <c r="AG80" s="228">
        <f>SUMIFS('Consulta Contratos'!$Z:$Z,'Consulta Contratos'!$AM:$AM,'Performance Vendas'!AG65,'Consulta Contratos'!$G:$G,"Assinado")</f>
        <v>3246000</v>
      </c>
      <c r="AH80" s="228">
        <f>SUMIFS('Consulta Contratos'!$Z:$Z,'Consulta Contratos'!$AM:$AM,'Performance Vendas'!AH65,'Consulta Contratos'!$G:$G,"Assinado")</f>
        <v>8545779.7200000007</v>
      </c>
      <c r="AI80" s="228">
        <f>SUMIFS('Consulta Contratos'!$Z:$Z,'Consulta Contratos'!$AM:$AM,'Performance Vendas'!AI65,'Consulta Contratos'!$G:$G,"Assinado")</f>
        <v>17236514.850000001</v>
      </c>
      <c r="AJ80" s="9">
        <f t="shared" ref="AJ80:AJ82" si="106">SUM(X80:AI80)</f>
        <v>129708876.30000001</v>
      </c>
      <c r="AK80" s="228">
        <f>SUMIFS('Consulta Contratos'!$Z:$Z,'Consulta Contratos'!$AM:$AM,'Performance Vendas'!AK65,'Consulta Contratos'!$G:$G,"Assinado")</f>
        <v>9348451.8099999987</v>
      </c>
      <c r="AL80" s="228">
        <f>SUMIFS('Consulta Contratos'!$Z:$Z,'Consulta Contratos'!$AM:$AM,'Performance Vendas'!AL65,'Consulta Contratos'!$G:$G,"Assinado")</f>
        <v>6484295.3100000005</v>
      </c>
      <c r="AM80" s="228">
        <f>SUMIFS('Consulta Contratos'!$Z:$Z,'Consulta Contratos'!$AM:$AM,'Performance Vendas'!AM65,'Consulta Contratos'!$G:$G,"Assinado")</f>
        <v>328000</v>
      </c>
      <c r="AN80" s="228">
        <f>SUMIFS('Consulta Contratos'!$Z:$Z,'Consulta Contratos'!$AM:$AM,'Performance Vendas'!AN65,'Consulta Contratos'!$G:$G,"Assinado")</f>
        <v>0</v>
      </c>
      <c r="AO80" s="228">
        <f>SUMIFS('Consulta Contratos'!$Z:$Z,'Consulta Contratos'!$AM:$AM,'Performance Vendas'!AO65,'Consulta Contratos'!$G:$G,"Assinado")</f>
        <v>0</v>
      </c>
      <c r="AP80" s="228">
        <f>SUMIFS('Consulta Contratos'!$Z:$Z,'Consulta Contratos'!$AM:$AM,'Performance Vendas'!AP65,'Consulta Contratos'!$G:$G,"Assinado")</f>
        <v>0</v>
      </c>
      <c r="AQ80" s="228">
        <f>SUMIFS('Consulta Contratos'!$Z:$Z,'Consulta Contratos'!$AM:$AM,'Performance Vendas'!AQ65,'Consulta Contratos'!$G:$G,"Assinado")</f>
        <v>0</v>
      </c>
      <c r="AR80" s="228">
        <f>SUMIFS('Consulta Contratos'!$Z:$Z,'Consulta Contratos'!$AM:$AM,'Performance Vendas'!AR65,'Consulta Contratos'!$G:$G,"Assinado")</f>
        <v>0</v>
      </c>
      <c r="AS80" s="228">
        <f>SUMIFS('Consulta Contratos'!$Z:$Z,'Consulta Contratos'!$AM:$AM,'Performance Vendas'!AS65,'Consulta Contratos'!$G:$G,"Assinado")</f>
        <v>0</v>
      </c>
      <c r="AT80" s="228">
        <f>SUMIFS('Consulta Contratos'!$Z:$Z,'Consulta Contratos'!$AM:$AM,'Performance Vendas'!AT65,'Consulta Contratos'!$G:$G,"Assinado")</f>
        <v>0</v>
      </c>
      <c r="AU80" s="228">
        <f>SUMIFS('Consulta Contratos'!$Z:$Z,'Consulta Contratos'!$AM:$AM,'Performance Vendas'!AU65,'Consulta Contratos'!$G:$G,"Assinado")</f>
        <v>0</v>
      </c>
      <c r="AV80" s="228">
        <f>SUMIFS('Consulta Contratos'!$Z:$Z,'Consulta Contratos'!$AM:$AM,'Performance Vendas'!AV65,'Consulta Contratos'!$G:$G,"Assinado")</f>
        <v>0</v>
      </c>
      <c r="AW80" s="9">
        <f t="shared" ref="AW80:AW82" si="107">SUM(AK80:AV80)</f>
        <v>16160747.119999999</v>
      </c>
      <c r="AX80" s="9">
        <f>AJ80+W80+J80+AW80</f>
        <v>436530660.56999999</v>
      </c>
      <c r="AY80" s="124"/>
    </row>
    <row r="81" spans="1:52">
      <c r="A81" s="229"/>
      <c r="B81" s="487" t="s">
        <v>115</v>
      </c>
      <c r="C81" s="488"/>
      <c r="D81" s="15"/>
      <c r="E81" s="230">
        <f>-SUMIFS('Consulta Contratos'!$Z:$Z,'Consulta Contratos'!$AN:$AN,E79,'Consulta Contratos'!$H:$H,"Cancelado Upgrade")</f>
        <v>0</v>
      </c>
      <c r="F81" s="230">
        <f>-SUMIFS('Consulta Contratos'!$Z:$Z,'Consulta Contratos'!$AN:$AN,F79,'Consulta Contratos'!$H:$H,"Cancelado Upgrade")</f>
        <v>0</v>
      </c>
      <c r="G81" s="230">
        <f>-SUMIFS('Consulta Contratos'!$Z:$Z,'Consulta Contratos'!$AN:$AN,G79,'Consulta Contratos'!$H:$H,"Cancelado Upgrade")</f>
        <v>0</v>
      </c>
      <c r="H81" s="230">
        <f>-SUMIFS('Consulta Contratos'!$Z:$Z,'Consulta Contratos'!$AN:$AN,H79,'Consulta Contratos'!$H:$H,"Cancelado Upgrade")</f>
        <v>0</v>
      </c>
      <c r="I81" s="230">
        <f>-SUMIFS('Consulta Contratos'!$Z:$Z,'Consulta Contratos'!$AN:$AN,I79,'Consulta Contratos'!$H:$H,"Cancelado Upgrade")</f>
        <v>0</v>
      </c>
      <c r="J81" s="13">
        <f t="shared" si="104"/>
        <v>0</v>
      </c>
      <c r="K81" s="230">
        <f>-SUMIFS('Consulta Contratos'!$Z:$Z,'Consulta Contratos'!$AN:$AN,K79,'Consulta Contratos'!$H:$H,"Cancelado Upgrade")</f>
        <v>0</v>
      </c>
      <c r="L81" s="230">
        <f>-SUMIFS('Consulta Contratos'!$Z:$Z,'Consulta Contratos'!$AN:$AN,L79,'Consulta Contratos'!$H:$H,"Cancelado Upgrade")</f>
        <v>0</v>
      </c>
      <c r="M81" s="230">
        <f>-SUMIFS('Consulta Contratos'!$Z:$Z,'Consulta Contratos'!$AN:$AN,M79,'Consulta Contratos'!$H:$H,"Cancelado Upgrade")</f>
        <v>0</v>
      </c>
      <c r="N81" s="230">
        <f>-SUMIFS('Consulta Contratos'!$Z:$Z,'Consulta Contratos'!$AN:$AN,N79,'Consulta Contratos'!$H:$H,"Cancelado Upgrade")</f>
        <v>0</v>
      </c>
      <c r="O81" s="230">
        <f>-SUMIFS('Consulta Contratos'!$Z:$Z,'Consulta Contratos'!$AN:$AN,O79,'Consulta Contratos'!$H:$H,"Cancelado Upgrade")</f>
        <v>0</v>
      </c>
      <c r="P81" s="230">
        <f>-SUMIFS('Consulta Contratos'!$Z:$Z,'Consulta Contratos'!$AN:$AN,P79,'Consulta Contratos'!$H:$H,"Cancelado Upgrade")</f>
        <v>-383000</v>
      </c>
      <c r="Q81" s="230">
        <f>-SUMIFS('Consulta Contratos'!$Z:$Z,'Consulta Contratos'!$AN:$AN,Q79,'Consulta Contratos'!$H:$H,"Cancelado Upgrade")</f>
        <v>0</v>
      </c>
      <c r="R81" s="230">
        <f>-SUMIFS('Consulta Contratos'!$Z:$Z,'Consulta Contratos'!$AN:$AN,R79,'Consulta Contratos'!$H:$H,"Cancelado Upgrade")</f>
        <v>-1183000</v>
      </c>
      <c r="S81" s="230">
        <f>-SUMIFS('Consulta Contratos'!$Z:$Z,'Consulta Contratos'!$AN:$AN,S79,'Consulta Contratos'!$H:$H,"Cancelado Upgrade")</f>
        <v>-400000</v>
      </c>
      <c r="T81" s="230">
        <f>-SUMIFS('Consulta Contratos'!$Z:$Z,'Consulta Contratos'!$AN:$AN,T79,'Consulta Contratos'!$H:$H,"Cancelado Upgrade")</f>
        <v>-1886000</v>
      </c>
      <c r="U81" s="230">
        <f>-SUMIFS('Consulta Contratos'!$Z:$Z,'Consulta Contratos'!$AN:$AN,U79,'Consulta Contratos'!$H:$H,"Cancelado Upgrade")</f>
        <v>0</v>
      </c>
      <c r="V81" s="230">
        <f>-SUMIFS('Consulta Contratos'!$Z:$Z,'Consulta Contratos'!$AN:$AN,V79,'Consulta Contratos'!$H:$H,"Cancelado Upgrade")</f>
        <v>-1300000</v>
      </c>
      <c r="W81" s="13">
        <f t="shared" si="105"/>
        <v>-5152000</v>
      </c>
      <c r="X81" s="230">
        <f>-SUMIFS('Consulta Contratos'!$Z:$Z,'Consulta Contratos'!$AN:$AN,X79,'Consulta Contratos'!$H:$H,"Cancelado Upgrade")</f>
        <v>0</v>
      </c>
      <c r="Y81" s="230">
        <f>-SUMIFS('Consulta Contratos'!$Z:$Z,'Consulta Contratos'!$AN:$AN,Y79,'Consulta Contratos'!$H:$H,"Cancelado Upgrade")</f>
        <v>0</v>
      </c>
      <c r="Z81" s="230">
        <f>-SUMIFS('Consulta Contratos'!$Z:$Z,'Consulta Contratos'!$AN:$AN,Z79,'Consulta Contratos'!$H:$H,"Cancelado Upgrade")</f>
        <v>-340000</v>
      </c>
      <c r="AA81" s="230">
        <f>-SUMIFS('Consulta Contratos'!$Z:$Z,'Consulta Contratos'!$AN:$AN,AA79,'Consulta Contratos'!$H:$H,"Cancelado Upgrade")</f>
        <v>0</v>
      </c>
      <c r="AB81" s="230">
        <f>-SUMIFS('Consulta Contratos'!$Z:$Z,'Consulta Contratos'!$AN:$AN,AB79,'Consulta Contratos'!$H:$H,"Cancelado Upgrade")</f>
        <v>0</v>
      </c>
      <c r="AC81" s="230">
        <f>-SUMIFS('Consulta Contratos'!$Z:$Z,'Consulta Contratos'!$AN:$AN,AC79,'Consulta Contratos'!$H:$H,"Cancelado Upgrade")</f>
        <v>-390000</v>
      </c>
      <c r="AD81" s="230">
        <f>-SUMIFS('Consulta Contratos'!$Z:$Z,'Consulta Contratos'!$AN:$AN,AD79,'Consulta Contratos'!$H:$H,"Cancelado Upgrade")</f>
        <v>-671000</v>
      </c>
      <c r="AE81" s="230">
        <f>-SUMIFS('Consulta Contratos'!$Z:$Z,'Consulta Contratos'!$AN:$AN,AE79,'Consulta Contratos'!$H:$H,"Cancelado Upgrade")</f>
        <v>-1780500</v>
      </c>
      <c r="AF81" s="230">
        <f>-SUMIFS('Consulta Contratos'!$Z:$Z,'Consulta Contratos'!$AN:$AN,AF79,'Consulta Contratos'!$H:$H,"Cancelado Upgrade")</f>
        <v>-1028129.9999999999</v>
      </c>
      <c r="AG81" s="230">
        <f>-SUMIFS('Consulta Contratos'!$Z:$Z,'Consulta Contratos'!$AN:$AN,AG79,'Consulta Contratos'!$H:$H,"Cancelado Upgrade")</f>
        <v>0</v>
      </c>
      <c r="AH81" s="230">
        <f>-SUMIFS('Consulta Contratos'!$Z:$Z,'Consulta Contratos'!$AN:$AN,AH79,'Consulta Contratos'!$H:$H,"Cancelado Upgrade")</f>
        <v>0</v>
      </c>
      <c r="AI81" s="230">
        <f>-SUMIFS('Consulta Contratos'!$Z:$Z,'Consulta Contratos'!$AN:$AN,AI79,'Consulta Contratos'!$H:$H,"Cancelado Upgrade")</f>
        <v>-489080</v>
      </c>
      <c r="AJ81" s="13">
        <f t="shared" si="106"/>
        <v>-4698710</v>
      </c>
      <c r="AK81" s="230">
        <f>-SUMIFS('Consulta Contratos'!$Z:$Z,'Consulta Contratos'!$AN:$AN,AK79,'Consulta Contratos'!$H:$H,"Cancelado Upgrade")</f>
        <v>0</v>
      </c>
      <c r="AL81" s="230">
        <f>-SUMIFS('Consulta Contratos'!$Z:$Z,'Consulta Contratos'!$AN:$AN,AL79,'Consulta Contratos'!$H:$H,"Cancelado Upgrade")</f>
        <v>0</v>
      </c>
      <c r="AM81" s="230">
        <f>-SUMIFS('Consulta Contratos'!$Z:$Z,'Consulta Contratos'!$AN:$AN,AM79,'Consulta Contratos'!$H:$H,"Cancelado Upgrade")</f>
        <v>0</v>
      </c>
      <c r="AN81" s="230">
        <f>-SUMIFS('Consulta Contratos'!$Z:$Z,'Consulta Contratos'!$AN:$AN,AN79,'Consulta Contratos'!$H:$H,"Cancelado Upgrade")</f>
        <v>0</v>
      </c>
      <c r="AO81" s="230">
        <f>-SUMIFS('Consulta Contratos'!$Z:$Z,'Consulta Contratos'!$AN:$AN,AO79,'Consulta Contratos'!$H:$H,"Cancelado Upgrade")</f>
        <v>0</v>
      </c>
      <c r="AP81" s="230">
        <f>-SUMIFS('Consulta Contratos'!$Z:$Z,'Consulta Contratos'!$AN:$AN,AP79,'Consulta Contratos'!$H:$H,"Cancelado Upgrade")</f>
        <v>0</v>
      </c>
      <c r="AQ81" s="230">
        <f>-SUMIFS('Consulta Contratos'!$Z:$Z,'Consulta Contratos'!$AN:$AN,AQ79,'Consulta Contratos'!$H:$H,"Cancelado Upgrade")</f>
        <v>0</v>
      </c>
      <c r="AR81" s="230">
        <f>-SUMIFS('Consulta Contratos'!$Z:$Z,'Consulta Contratos'!$AN:$AN,AR79,'Consulta Contratos'!$H:$H,"Cancelado Upgrade")</f>
        <v>0</v>
      </c>
      <c r="AS81" s="230">
        <f>-SUMIFS('Consulta Contratos'!$Z:$Z,'Consulta Contratos'!$AN:$AN,AS79,'Consulta Contratos'!$H:$H,"Cancelado Upgrade")</f>
        <v>0</v>
      </c>
      <c r="AT81" s="230">
        <f>-SUMIFS('Consulta Contratos'!$Z:$Z,'Consulta Contratos'!$AN:$AN,AT79,'Consulta Contratos'!$H:$H,"Cancelado Upgrade")</f>
        <v>0</v>
      </c>
      <c r="AU81" s="230">
        <f>-SUMIFS('Consulta Contratos'!$Z:$Z,'Consulta Contratos'!$AN:$AN,AU79,'Consulta Contratos'!$H:$H,"Cancelado Upgrade")</f>
        <v>0</v>
      </c>
      <c r="AV81" s="230">
        <f>-SUMIFS('Consulta Contratos'!$Z:$Z,'Consulta Contratos'!$AN:$AN,AV79,'Consulta Contratos'!$H:$H,"Cancelado Upgrade")</f>
        <v>0</v>
      </c>
      <c r="AW81" s="13">
        <f t="shared" si="107"/>
        <v>0</v>
      </c>
      <c r="AX81" s="10">
        <f>AJ81+W81+J81+AW81</f>
        <v>-9850710</v>
      </c>
      <c r="AY81" s="125"/>
      <c r="AZ81" s="100"/>
    </row>
    <row r="82" spans="1:52">
      <c r="A82" s="229"/>
      <c r="B82" s="487" t="s">
        <v>3</v>
      </c>
      <c r="C82" s="488"/>
      <c r="D82" s="15"/>
      <c r="E82" s="11">
        <f>-SUMIF('Consulta Contratos'!$AN:$AN,'Performance Vendas'!E79,'Consulta Contratos'!$Z:$Z)-E81</f>
        <v>0</v>
      </c>
      <c r="F82" s="11">
        <f>-SUMIF('Consulta Contratos'!$AN:$AN,'Performance Vendas'!F79,'Consulta Contratos'!$Z:$Z)-F81</f>
        <v>-673000</v>
      </c>
      <c r="G82" s="11">
        <f>-SUMIF('Consulta Contratos'!$AN:$AN,'Performance Vendas'!G79,'Consulta Contratos'!$Z:$Z)-G81</f>
        <v>0</v>
      </c>
      <c r="H82" s="11">
        <f>-SUMIF('Consulta Contratos'!$AN:$AN,'Performance Vendas'!H79,'Consulta Contratos'!$Z:$Z)-H81</f>
        <v>-11941146.77</v>
      </c>
      <c r="I82" s="11">
        <f>-SUMIF('Consulta Contratos'!$AN:$AN,'Performance Vendas'!I79,'Consulta Contratos'!$Z:$Z)-I81</f>
        <v>-3186000</v>
      </c>
      <c r="J82" s="13">
        <f t="shared" si="104"/>
        <v>-15800146.77</v>
      </c>
      <c r="K82" s="11">
        <f>-SUMIF('Consulta Contratos'!$AN:$AN,'Performance Vendas'!K79,'Consulta Contratos'!$Z:$Z)-K81</f>
        <v>-10857538</v>
      </c>
      <c r="L82" s="11">
        <f>-SUMIF('Consulta Contratos'!$AN:$AN,'Performance Vendas'!L79,'Consulta Contratos'!$Z:$Z)-L81</f>
        <v>-398000</v>
      </c>
      <c r="M82" s="11">
        <f>-SUMIF('Consulta Contratos'!$AN:$AN,'Performance Vendas'!M79,'Consulta Contratos'!$Z:$Z)-M81</f>
        <v>-334000</v>
      </c>
      <c r="N82" s="11">
        <f>-SUMIF('Consulta Contratos'!$AN:$AN,'Performance Vendas'!N79,'Consulta Contratos'!$Z:$Z)-N81</f>
        <v>-847000</v>
      </c>
      <c r="O82" s="11">
        <f>-SUMIF('Consulta Contratos'!$AN:$AN,'Performance Vendas'!O79,'Consulta Contratos'!$Z:$Z)-O81</f>
        <v>0</v>
      </c>
      <c r="P82" s="11">
        <f>-SUMIF('Consulta Contratos'!$AN:$AN,'Performance Vendas'!P79,'Consulta Contratos'!$Z:$Z)-P81</f>
        <v>-738000</v>
      </c>
      <c r="Q82" s="11">
        <f>-SUMIF('Consulta Contratos'!$AN:$AN,'Performance Vendas'!Q79,'Consulta Contratos'!$Z:$Z)-Q81</f>
        <v>-1253000</v>
      </c>
      <c r="R82" s="11">
        <f>-SUMIF('Consulta Contratos'!$AN:$AN,'Performance Vendas'!R79,'Consulta Contratos'!$Z:$Z)-R81</f>
        <v>-2307880</v>
      </c>
      <c r="S82" s="11">
        <f>-SUMIF('Consulta Contratos'!$AN:$AN,'Performance Vendas'!S79,'Consulta Contratos'!$Z:$Z)-S81</f>
        <v>-1621720</v>
      </c>
      <c r="T82" s="11">
        <f>-SUMIF('Consulta Contratos'!$AN:$AN,'Performance Vendas'!T79,'Consulta Contratos'!$Z:$Z)-T81</f>
        <v>0</v>
      </c>
      <c r="U82" s="11">
        <f>-SUMIF('Consulta Contratos'!$AN:$AN,'Performance Vendas'!U79,'Consulta Contratos'!$Z:$Z)-U81</f>
        <v>-5222600</v>
      </c>
      <c r="V82" s="11">
        <f>-SUMIF('Consulta Contratos'!$AN:$AN,'Performance Vendas'!V79,'Consulta Contratos'!$Z:$Z)-V81</f>
        <v>-500000</v>
      </c>
      <c r="W82" s="13">
        <f t="shared" si="105"/>
        <v>-24079738</v>
      </c>
      <c r="X82" s="11">
        <f>-SUMIF('Consulta Contratos'!$AN:$AN,'Performance Vendas'!X79,'Consulta Contratos'!$Z:$Z)-X81</f>
        <v>0</v>
      </c>
      <c r="Y82" s="11">
        <f>-SUMIF('Consulta Contratos'!$AN:$AN,'Performance Vendas'!Y79,'Consulta Contratos'!$Z:$Z)-Y81</f>
        <v>-395000</v>
      </c>
      <c r="Z82" s="11">
        <f>-SUMIF('Consulta Contratos'!$AN:$AN,'Performance Vendas'!Z79,'Consulta Contratos'!$Z:$Z)-Z81</f>
        <v>0</v>
      </c>
      <c r="AA82" s="11">
        <f>-SUMIF('Consulta Contratos'!$AN:$AN,'Performance Vendas'!AA79,'Consulta Contratos'!$Z:$Z)-AA81</f>
        <v>-304140</v>
      </c>
      <c r="AB82" s="11">
        <f>-SUMIF('Consulta Contratos'!$AN:$AN,'Performance Vendas'!AB79,'Consulta Contratos'!$Z:$Z)-AB81</f>
        <v>-1028000</v>
      </c>
      <c r="AC82" s="11">
        <f>-SUMIF('Consulta Contratos'!$AN:$AN,'Performance Vendas'!AC79,'Consulta Contratos'!$Z:$Z)-AC81</f>
        <v>0</v>
      </c>
      <c r="AD82" s="11">
        <f>-SUMIF('Consulta Contratos'!$AN:$AN,'Performance Vendas'!AD79,'Consulta Contratos'!$Z:$Z)-AD81</f>
        <v>-358000</v>
      </c>
      <c r="AE82" s="11">
        <f>-SUMIF('Consulta Contratos'!$AN:$AN,'Performance Vendas'!AE79,'Consulta Contratos'!$Z:$Z)-AE81</f>
        <v>-390000</v>
      </c>
      <c r="AF82" s="11">
        <f>-SUMIF('Consulta Contratos'!$AN:$AN,'Performance Vendas'!AF79,'Consulta Contratos'!$Z:$Z)-AF81</f>
        <v>-820000.00000000035</v>
      </c>
      <c r="AG82" s="11">
        <f>-SUMIF('Consulta Contratos'!$AN:$AN,'Performance Vendas'!AG79,'Consulta Contratos'!$Z:$Z)-AG81</f>
        <v>0</v>
      </c>
      <c r="AH82" s="11">
        <f>-SUMIF('Consulta Contratos'!$AN:$AN,'Performance Vendas'!AH79,'Consulta Contratos'!$Z:$Z)-AH81</f>
        <v>0</v>
      </c>
      <c r="AI82" s="11">
        <f>-SUMIF('Consulta Contratos'!$AN:$AN,'Performance Vendas'!AI79,'Consulta Contratos'!$Z:$Z)-AI81</f>
        <v>0</v>
      </c>
      <c r="AJ82" s="13">
        <f t="shared" si="106"/>
        <v>-3295140.0000000005</v>
      </c>
      <c r="AK82" s="11">
        <f>-SUMIF('Consulta Contratos'!$AN:$AN,'Performance Vendas'!AK79,'Consulta Contratos'!$Z:$Z)-AK81</f>
        <v>-460000</v>
      </c>
      <c r="AL82" s="11">
        <f>-SUMIF('Consulta Contratos'!$AN:$AN,'Performance Vendas'!AL79,'Consulta Contratos'!$Z:$Z)-AL81</f>
        <v>0</v>
      </c>
      <c r="AM82" s="11">
        <f>-SUMIF('Consulta Contratos'!$AN:$AN,'Performance Vendas'!AM79,'Consulta Contratos'!$Z:$Z)-AM81</f>
        <v>0</v>
      </c>
      <c r="AN82" s="11">
        <f>-SUMIF('Consulta Contratos'!$AN:$AN,'Performance Vendas'!AN79,'Consulta Contratos'!$Z:$Z)-AN81</f>
        <v>0</v>
      </c>
      <c r="AO82" s="11">
        <f>-SUMIF('Consulta Contratos'!$AN:$AN,'Performance Vendas'!AO79,'Consulta Contratos'!$Z:$Z)-AO81</f>
        <v>0</v>
      </c>
      <c r="AP82" s="11">
        <f>-SUMIF('Consulta Contratos'!$AN:$AN,'Performance Vendas'!AP79,'Consulta Contratos'!$Z:$Z)-AP81</f>
        <v>0</v>
      </c>
      <c r="AQ82" s="11">
        <f>-SUMIF('Consulta Contratos'!$AN:$AN,'Performance Vendas'!AQ79,'Consulta Contratos'!$Z:$Z)-AQ81</f>
        <v>0</v>
      </c>
      <c r="AR82" s="11">
        <f>-SUMIF('Consulta Contratos'!$AN:$AN,'Performance Vendas'!AR79,'Consulta Contratos'!$Z:$Z)-AR81</f>
        <v>0</v>
      </c>
      <c r="AS82" s="11">
        <f>-SUMIF('Consulta Contratos'!$AN:$AN,'Performance Vendas'!AS79,'Consulta Contratos'!$Z:$Z)-AS81</f>
        <v>0</v>
      </c>
      <c r="AT82" s="11">
        <f>-SUMIF('Consulta Contratos'!$AN:$AN,'Performance Vendas'!AT79,'Consulta Contratos'!$Z:$Z)-AT81</f>
        <v>0</v>
      </c>
      <c r="AU82" s="11">
        <f>-SUMIF('Consulta Contratos'!$AN:$AN,'Performance Vendas'!AU79,'Consulta Contratos'!$Z:$Z)-AU81</f>
        <v>0</v>
      </c>
      <c r="AV82" s="11">
        <f>-SUMIF('Consulta Contratos'!$AN:$AN,'Performance Vendas'!AV79,'Consulta Contratos'!$Z:$Z)-AV81</f>
        <v>0</v>
      </c>
      <c r="AW82" s="13">
        <f t="shared" si="107"/>
        <v>-460000</v>
      </c>
      <c r="AX82" s="10">
        <f>AJ82+W82+J82+AW82</f>
        <v>-43635024.769999996</v>
      </c>
      <c r="AY82" s="125"/>
      <c r="AZ82" s="100"/>
    </row>
    <row r="83" spans="1:52">
      <c r="A83" s="94"/>
      <c r="B83" s="487" t="s">
        <v>4</v>
      </c>
      <c r="C83" s="488"/>
      <c r="D83" s="14"/>
      <c r="E83" s="12">
        <f t="shared" ref="E83:AX83" si="108">IFERROR(E82/(E81+E80),0)</f>
        <v>0</v>
      </c>
      <c r="F83" s="12">
        <f t="shared" si="108"/>
        <v>-9.0679442739926924E-2</v>
      </c>
      <c r="G83" s="12">
        <f t="shared" si="108"/>
        <v>0</v>
      </c>
      <c r="H83" s="12">
        <f t="shared" si="108"/>
        <v>-0.53041275839069635</v>
      </c>
      <c r="I83" s="12">
        <f t="shared" si="108"/>
        <v>-0.16360881819691581</v>
      </c>
      <c r="J83" s="147">
        <f t="shared" si="108"/>
        <v>-0.18433079682206108</v>
      </c>
      <c r="K83" s="12">
        <f t="shared" si="108"/>
        <v>-0.44216526672882006</v>
      </c>
      <c r="L83" s="12">
        <f t="shared" si="108"/>
        <v>-9.154002288500572E-2</v>
      </c>
      <c r="M83" s="12">
        <f t="shared" si="108"/>
        <v>-2.2288866377578737E-2</v>
      </c>
      <c r="N83" s="12">
        <f t="shared" si="108"/>
        <v>-4.9311281613855625E-2</v>
      </c>
      <c r="O83" s="12">
        <f t="shared" si="108"/>
        <v>0</v>
      </c>
      <c r="P83" s="12">
        <f t="shared" si="108"/>
        <v>-4.423979496281738E-2</v>
      </c>
      <c r="Q83" s="12">
        <f t="shared" si="108"/>
        <v>-9.2113668564006573E-2</v>
      </c>
      <c r="R83" s="12">
        <f t="shared" si="108"/>
        <v>-0.18545188926086784</v>
      </c>
      <c r="S83" s="12">
        <f t="shared" si="108"/>
        <v>-7.5919301213344684E-2</v>
      </c>
      <c r="T83" s="12">
        <f t="shared" si="108"/>
        <v>0</v>
      </c>
      <c r="U83" s="12">
        <f t="shared" si="108"/>
        <v>-0.34230941109482443</v>
      </c>
      <c r="V83" s="12">
        <f t="shared" si="108"/>
        <v>-2.1158785428164528E-2</v>
      </c>
      <c r="W83" s="147">
        <f t="shared" si="108"/>
        <v>-0.12052356704702176</v>
      </c>
      <c r="X83" s="12">
        <f t="shared" si="108"/>
        <v>0</v>
      </c>
      <c r="Y83" s="12">
        <f t="shared" si="108"/>
        <v>-8.0063495743742469E-2</v>
      </c>
      <c r="Z83" s="12">
        <f t="shared" si="108"/>
        <v>0</v>
      </c>
      <c r="AA83" s="12">
        <f t="shared" si="108"/>
        <v>-2.7999027849891184E-2</v>
      </c>
      <c r="AB83" s="12">
        <f t="shared" si="108"/>
        <v>-0.73146108326767967</v>
      </c>
      <c r="AC83" s="12">
        <f t="shared" si="108"/>
        <v>0</v>
      </c>
      <c r="AD83" s="12">
        <f t="shared" si="108"/>
        <v>-3.2351432242094885E-2</v>
      </c>
      <c r="AE83" s="12">
        <f t="shared" si="108"/>
        <v>-1.8950122900438991E-2</v>
      </c>
      <c r="AF83" s="12">
        <f t="shared" si="108"/>
        <v>-4.4915452614489461E-2</v>
      </c>
      <c r="AG83" s="12">
        <f t="shared" si="108"/>
        <v>0</v>
      </c>
      <c r="AH83" s="12">
        <f t="shared" si="108"/>
        <v>0</v>
      </c>
      <c r="AI83" s="12">
        <f t="shared" si="108"/>
        <v>0</v>
      </c>
      <c r="AJ83" s="298">
        <f t="shared" si="108"/>
        <v>-2.6358976213920932E-2</v>
      </c>
      <c r="AK83" s="12">
        <f t="shared" ref="AK83:AW83" si="109">IFERROR(AK82/(AK81+AK80),0)</f>
        <v>-4.9206008582933482E-2</v>
      </c>
      <c r="AL83" s="12">
        <f t="shared" si="109"/>
        <v>0</v>
      </c>
      <c r="AM83" s="12">
        <f t="shared" si="109"/>
        <v>0</v>
      </c>
      <c r="AN83" s="12">
        <f t="shared" si="109"/>
        <v>0</v>
      </c>
      <c r="AO83" s="12">
        <f t="shared" si="109"/>
        <v>0</v>
      </c>
      <c r="AP83" s="12">
        <f t="shared" si="109"/>
        <v>0</v>
      </c>
      <c r="AQ83" s="12">
        <f t="shared" si="109"/>
        <v>0</v>
      </c>
      <c r="AR83" s="12">
        <f t="shared" si="109"/>
        <v>0</v>
      </c>
      <c r="AS83" s="12">
        <f t="shared" si="109"/>
        <v>0</v>
      </c>
      <c r="AT83" s="12">
        <f t="shared" si="109"/>
        <v>0</v>
      </c>
      <c r="AU83" s="12">
        <f t="shared" si="109"/>
        <v>0</v>
      </c>
      <c r="AV83" s="12">
        <f t="shared" si="109"/>
        <v>0</v>
      </c>
      <c r="AW83" s="298">
        <f t="shared" si="109"/>
        <v>-2.8464030566428419E-2</v>
      </c>
      <c r="AX83" s="147">
        <f t="shared" si="108"/>
        <v>-0.10226640532724386</v>
      </c>
      <c r="AY83" s="97"/>
      <c r="AZ83" s="92"/>
    </row>
    <row r="84" spans="1:52">
      <c r="A84" s="93"/>
      <c r="B84" s="460" t="s">
        <v>111</v>
      </c>
      <c r="C84" s="460"/>
      <c r="D84" s="3"/>
      <c r="E84" s="449">
        <f t="shared" ref="E84:AI84" si="110">E80+E82+E81</f>
        <v>14576001</v>
      </c>
      <c r="F84" s="449">
        <f t="shared" si="110"/>
        <v>6748748.2999999998</v>
      </c>
      <c r="G84" s="449">
        <f t="shared" si="110"/>
        <v>21732301.359999999</v>
      </c>
      <c r="H84" s="449">
        <f t="shared" si="110"/>
        <v>10571786</v>
      </c>
      <c r="I84" s="449">
        <f t="shared" si="110"/>
        <v>16287278</v>
      </c>
      <c r="J84" s="90">
        <f t="shared" si="110"/>
        <v>69916114.659999996</v>
      </c>
      <c r="K84" s="449">
        <f t="shared" si="110"/>
        <v>13697846.189999998</v>
      </c>
      <c r="L84" s="449">
        <f t="shared" si="110"/>
        <v>3949825</v>
      </c>
      <c r="M84" s="449">
        <f t="shared" si="110"/>
        <v>14651060</v>
      </c>
      <c r="N84" s="449">
        <f t="shared" si="110"/>
        <v>16329596.759999998</v>
      </c>
      <c r="O84" s="449">
        <f t="shared" si="110"/>
        <v>11120311.199999999</v>
      </c>
      <c r="P84" s="449">
        <f t="shared" si="110"/>
        <v>15943813.300000001</v>
      </c>
      <c r="Q84" s="449">
        <f t="shared" si="110"/>
        <v>12349758.629999999</v>
      </c>
      <c r="R84" s="449">
        <f t="shared" si="110"/>
        <v>10136749.219999999</v>
      </c>
      <c r="S84" s="449">
        <f t="shared" si="110"/>
        <v>19739382.830000006</v>
      </c>
      <c r="T84" s="449">
        <f t="shared" si="110"/>
        <v>24629491.489999998</v>
      </c>
      <c r="U84" s="449">
        <f t="shared" si="110"/>
        <v>10034357.1</v>
      </c>
      <c r="V84" s="449">
        <f t="shared" si="110"/>
        <v>23130846</v>
      </c>
      <c r="W84" s="90">
        <f t="shared" si="110"/>
        <v>175713037.72</v>
      </c>
      <c r="X84" s="449">
        <f t="shared" si="110"/>
        <v>16584821.960000001</v>
      </c>
      <c r="Y84" s="449">
        <f t="shared" si="110"/>
        <v>4538584.2300000004</v>
      </c>
      <c r="Z84" s="449">
        <f t="shared" si="110"/>
        <v>11041784</v>
      </c>
      <c r="AA84" s="449">
        <f t="shared" si="110"/>
        <v>10558380</v>
      </c>
      <c r="AB84" s="449">
        <f t="shared" si="110"/>
        <v>377406.28</v>
      </c>
      <c r="AC84" s="449">
        <f t="shared" si="110"/>
        <v>1740000</v>
      </c>
      <c r="AD84" s="449">
        <f t="shared" si="110"/>
        <v>10707970.66</v>
      </c>
      <c r="AE84" s="449">
        <f t="shared" si="110"/>
        <v>20190341.460000001</v>
      </c>
      <c r="AF84" s="449">
        <f t="shared" si="110"/>
        <v>17436523.140000001</v>
      </c>
      <c r="AG84" s="449">
        <f t="shared" si="110"/>
        <v>3246000</v>
      </c>
      <c r="AH84" s="449">
        <f t="shared" si="110"/>
        <v>8545779.7200000007</v>
      </c>
      <c r="AI84" s="449">
        <f t="shared" si="110"/>
        <v>16747434.850000001</v>
      </c>
      <c r="AJ84" s="90">
        <f>SUM(X84:AI84)</f>
        <v>121715026.30000001</v>
      </c>
      <c r="AK84" s="449">
        <f t="shared" ref="AK84:AW84" si="111">AK80+AK82+AK81</f>
        <v>8888451.8099999987</v>
      </c>
      <c r="AL84" s="449">
        <f t="shared" si="111"/>
        <v>6484295.3100000005</v>
      </c>
      <c r="AM84" s="449">
        <f t="shared" si="111"/>
        <v>328000</v>
      </c>
      <c r="AN84" s="449">
        <f t="shared" si="111"/>
        <v>0</v>
      </c>
      <c r="AO84" s="449">
        <f t="shared" si="111"/>
        <v>0</v>
      </c>
      <c r="AP84" s="449">
        <f t="shared" si="111"/>
        <v>0</v>
      </c>
      <c r="AQ84" s="449">
        <f t="shared" si="111"/>
        <v>0</v>
      </c>
      <c r="AR84" s="449">
        <f t="shared" si="111"/>
        <v>0</v>
      </c>
      <c r="AS84" s="449">
        <f t="shared" si="111"/>
        <v>0</v>
      </c>
      <c r="AT84" s="449">
        <f t="shared" si="111"/>
        <v>0</v>
      </c>
      <c r="AU84" s="449">
        <f t="shared" si="111"/>
        <v>0</v>
      </c>
      <c r="AV84" s="449">
        <f t="shared" si="111"/>
        <v>0</v>
      </c>
      <c r="AW84" s="90">
        <f>SUM(AK84:AV84)</f>
        <v>15700747.119999999</v>
      </c>
      <c r="AX84" s="90">
        <f>AJ84+W84+J84+AW84</f>
        <v>383044925.79999995</v>
      </c>
      <c r="AY84" s="121"/>
      <c r="AZ84" s="179"/>
    </row>
    <row r="85" spans="1:52">
      <c r="J85" s="185"/>
      <c r="W85" s="185"/>
      <c r="AJ85" s="185"/>
      <c r="AW85" s="185"/>
      <c r="AX85" s="185"/>
      <c r="AY85" s="7"/>
      <c r="AZ85" s="14"/>
    </row>
    <row r="86" spans="1:52" outlineLevel="1">
      <c r="A86" s="94"/>
      <c r="B86" s="104"/>
      <c r="C86" s="112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7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7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7"/>
      <c r="AY86" s="7"/>
      <c r="AZ86" s="2"/>
    </row>
    <row r="87" spans="1:52" ht="15.75">
      <c r="A87" s="94"/>
      <c r="B87" s="217" t="s">
        <v>116</v>
      </c>
      <c r="C87" s="169"/>
      <c r="E87" s="94"/>
      <c r="F87" s="94"/>
      <c r="G87" s="94"/>
      <c r="H87" s="94"/>
      <c r="I87" s="94"/>
      <c r="J87" s="220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220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220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220"/>
      <c r="AX87" s="220"/>
      <c r="AY87" s="97"/>
      <c r="AZ87" s="99"/>
    </row>
    <row r="88" spans="1:52">
      <c r="A88" s="94"/>
      <c r="B88" s="101"/>
      <c r="C88" s="113"/>
      <c r="D88" s="14"/>
      <c r="E88" s="156">
        <f t="shared" ref="E88:AX88" si="112">E5</f>
        <v>44804</v>
      </c>
      <c r="F88" s="156">
        <f t="shared" si="112"/>
        <v>44834</v>
      </c>
      <c r="G88" s="156">
        <f t="shared" si="112"/>
        <v>44865</v>
      </c>
      <c r="H88" s="156">
        <f t="shared" si="112"/>
        <v>44895</v>
      </c>
      <c r="I88" s="156">
        <f t="shared" si="112"/>
        <v>44926</v>
      </c>
      <c r="J88" s="127" t="str">
        <f t="shared" si="112"/>
        <v>2022</v>
      </c>
      <c r="K88" s="156">
        <f t="shared" si="112"/>
        <v>44957</v>
      </c>
      <c r="L88" s="156">
        <f t="shared" si="112"/>
        <v>44985</v>
      </c>
      <c r="M88" s="156">
        <f t="shared" si="112"/>
        <v>45016</v>
      </c>
      <c r="N88" s="156">
        <f t="shared" si="112"/>
        <v>45046</v>
      </c>
      <c r="O88" s="156">
        <f t="shared" si="112"/>
        <v>45077</v>
      </c>
      <c r="P88" s="156">
        <f t="shared" si="112"/>
        <v>45107</v>
      </c>
      <c r="Q88" s="156">
        <f t="shared" si="112"/>
        <v>45138</v>
      </c>
      <c r="R88" s="156">
        <f t="shared" si="112"/>
        <v>45169</v>
      </c>
      <c r="S88" s="156">
        <f t="shared" si="112"/>
        <v>45199</v>
      </c>
      <c r="T88" s="156">
        <f t="shared" si="112"/>
        <v>45230</v>
      </c>
      <c r="U88" s="156">
        <f t="shared" si="112"/>
        <v>45260</v>
      </c>
      <c r="V88" s="156">
        <f t="shared" si="112"/>
        <v>45291</v>
      </c>
      <c r="W88" s="127" t="str">
        <f t="shared" si="112"/>
        <v>2023</v>
      </c>
      <c r="X88" s="156">
        <f t="shared" si="112"/>
        <v>45322</v>
      </c>
      <c r="Y88" s="156">
        <f t="shared" si="112"/>
        <v>45351</v>
      </c>
      <c r="Z88" s="156">
        <f t="shared" si="112"/>
        <v>45382</v>
      </c>
      <c r="AA88" s="156">
        <f t="shared" si="112"/>
        <v>45412</v>
      </c>
      <c r="AB88" s="156">
        <f t="shared" si="112"/>
        <v>45443</v>
      </c>
      <c r="AC88" s="156">
        <f t="shared" si="112"/>
        <v>45473</v>
      </c>
      <c r="AD88" s="156">
        <f t="shared" si="112"/>
        <v>45504</v>
      </c>
      <c r="AE88" s="156">
        <f t="shared" si="112"/>
        <v>45535</v>
      </c>
      <c r="AF88" s="156">
        <f t="shared" si="112"/>
        <v>45565</v>
      </c>
      <c r="AG88" s="156">
        <f t="shared" si="112"/>
        <v>45596</v>
      </c>
      <c r="AH88" s="156">
        <f t="shared" si="112"/>
        <v>45626</v>
      </c>
      <c r="AI88" s="156">
        <f t="shared" si="112"/>
        <v>45657</v>
      </c>
      <c r="AJ88" s="127" t="str">
        <f t="shared" si="112"/>
        <v>2024</v>
      </c>
      <c r="AK88" s="156">
        <f t="shared" ref="AK88:AW88" si="113">AK5</f>
        <v>45688</v>
      </c>
      <c r="AL88" s="156">
        <f t="shared" si="113"/>
        <v>45716</v>
      </c>
      <c r="AM88" s="156">
        <f t="shared" si="113"/>
        <v>45747</v>
      </c>
      <c r="AN88" s="156">
        <f t="shared" si="113"/>
        <v>45777</v>
      </c>
      <c r="AO88" s="156">
        <f t="shared" si="113"/>
        <v>45808</v>
      </c>
      <c r="AP88" s="156">
        <f t="shared" si="113"/>
        <v>45838</v>
      </c>
      <c r="AQ88" s="156">
        <f t="shared" si="113"/>
        <v>45869</v>
      </c>
      <c r="AR88" s="156">
        <f t="shared" si="113"/>
        <v>45900</v>
      </c>
      <c r="AS88" s="156">
        <f t="shared" si="113"/>
        <v>45930</v>
      </c>
      <c r="AT88" s="156">
        <f t="shared" si="113"/>
        <v>45961</v>
      </c>
      <c r="AU88" s="156">
        <f t="shared" si="113"/>
        <v>45991</v>
      </c>
      <c r="AV88" s="156">
        <f t="shared" si="113"/>
        <v>46022</v>
      </c>
      <c r="AW88" s="127" t="str">
        <f t="shared" si="113"/>
        <v>2025</v>
      </c>
      <c r="AX88" s="127" t="str">
        <f t="shared" si="112"/>
        <v>Total</v>
      </c>
      <c r="AY88" s="128" t="s">
        <v>15</v>
      </c>
      <c r="AZ88" s="156" t="str">
        <f>AZ5</f>
        <v>Pendente</v>
      </c>
    </row>
    <row r="89" spans="1:52" s="87" customFormat="1">
      <c r="A89" s="120" t="s">
        <v>6</v>
      </c>
      <c r="B89" s="105"/>
      <c r="C89" s="117" t="s">
        <v>70</v>
      </c>
      <c r="D89" s="85"/>
      <c r="E89" s="82">
        <f>SUMIFS('Consulta Contratos'!$Z:$Z,'Consulta Contratos'!$AM:$AM,'Performance Vendas'!E$88,'Consulta Contratos'!$J:$J,'Performance Vendas'!$A89,'Consulta Contratos'!$H:$H,"ATIVO")</f>
        <v>12844000</v>
      </c>
      <c r="F89" s="82">
        <f>SUMIFS('Consulta Contratos'!$Z:$Z,'Consulta Contratos'!$AM:$AM,'Performance Vendas'!F$88,'Consulta Contratos'!$J:$J,'Performance Vendas'!$A89,'Consulta Contratos'!$H:$H,"ATIVO")</f>
        <v>2040000</v>
      </c>
      <c r="G89" s="82">
        <f>SUMIFS('Consulta Contratos'!$Z:$Z,'Consulta Contratos'!$AM:$AM,'Performance Vendas'!G$88,'Consulta Contratos'!$J:$J,'Performance Vendas'!$A89,'Consulta Contratos'!$H:$H,"ATIVO")</f>
        <v>11644682.359999999</v>
      </c>
      <c r="H89" s="82">
        <f>SUMIFS('Consulta Contratos'!$Z:$Z,'Consulta Contratos'!$AM:$AM,'Performance Vendas'!H$88,'Consulta Contratos'!$J:$J,'Performance Vendas'!$A89,'Consulta Contratos'!$H:$H,"ATIVO")</f>
        <v>6240000</v>
      </c>
      <c r="I89" s="82">
        <f>SUMIFS('Consulta Contratos'!$Z:$Z,'Consulta Contratos'!$AM:$AM,'Performance Vendas'!I$88,'Consulta Contratos'!$J:$J,'Performance Vendas'!$A89,'Consulta Contratos'!$H:$H,"ATIVO")</f>
        <v>4950000</v>
      </c>
      <c r="J89" s="86">
        <f t="shared" ref="J89:J101" si="114">SUM(E89:I89)</f>
        <v>37718682.359999999</v>
      </c>
      <c r="K89" s="82">
        <f>SUMIFS('Consulta Contratos'!$Z:$Z,'Consulta Contratos'!$AM:$AM,'Performance Vendas'!K$88,'Consulta Contratos'!$J:$J,'Performance Vendas'!$A89,'Consulta Contratos'!$H:$H,"ATIVO")</f>
        <v>4900030</v>
      </c>
      <c r="L89" s="82">
        <f>SUMIFS('Consulta Contratos'!$Z:$Z,'Consulta Contratos'!$AM:$AM,'Performance Vendas'!L$88,'Consulta Contratos'!$J:$J,'Performance Vendas'!$A89,'Consulta Contratos'!$H:$H,"ATIVO")</f>
        <v>0</v>
      </c>
      <c r="M89" s="82">
        <f>SUMIFS('Consulta Contratos'!$Z:$Z,'Consulta Contratos'!$AM:$AM,'Performance Vendas'!M$88,'Consulta Contratos'!$J:$J,'Performance Vendas'!$A89,'Consulta Contratos'!$H:$H,"ATIVO")</f>
        <v>7800000</v>
      </c>
      <c r="N89" s="82">
        <f>SUMIFS('Consulta Contratos'!$Z:$Z,'Consulta Contratos'!$AM:$AM,'Performance Vendas'!N$88,'Consulta Contratos'!$J:$J,'Performance Vendas'!$A89,'Consulta Contratos'!$H:$H,"ATIVO")</f>
        <v>12339992</v>
      </c>
      <c r="O89" s="82">
        <f>SUMIFS('Consulta Contratos'!$Z:$Z,'Consulta Contratos'!$AM:$AM,'Performance Vendas'!O$88,'Consulta Contratos'!$J:$J,'Performance Vendas'!$A89,'Consulta Contratos'!$H:$H,"ATIVO")</f>
        <v>0</v>
      </c>
      <c r="P89" s="82">
        <f>SUMIFS('Consulta Contratos'!$Z:$Z,'Consulta Contratos'!$AM:$AM,'Performance Vendas'!P$88,'Consulta Contratos'!$J:$J,'Performance Vendas'!$A89,'Consulta Contratos'!$H:$H,"ATIVO")</f>
        <v>4169760</v>
      </c>
      <c r="Q89" s="82">
        <f>SUMIFS('Consulta Contratos'!$Z:$Z,'Consulta Contratos'!$AM:$AM,'Performance Vendas'!Q$88,'Consulta Contratos'!$J:$J,'Performance Vendas'!$A89,'Consulta Contratos'!$H:$H,"ATIVO")</f>
        <v>7300000</v>
      </c>
      <c r="R89" s="82">
        <f>SUMIFS('Consulta Contratos'!$Z:$Z,'Consulta Contratos'!$AM:$AM,'Performance Vendas'!R$88,'Consulta Contratos'!$J:$J,'Performance Vendas'!$A89,'Consulta Contratos'!$H:$H,"ATIVO")</f>
        <v>3170000</v>
      </c>
      <c r="S89" s="82">
        <f>SUMIFS('Consulta Contratos'!$Z:$Z,'Consulta Contratos'!$AM:$AM,'Performance Vendas'!S$88,'Consulta Contratos'!$J:$J,'Performance Vendas'!$A89,'Consulta Contratos'!$H:$H,"ATIVO")</f>
        <v>11700000</v>
      </c>
      <c r="T89" s="82">
        <f>SUMIFS('Consulta Contratos'!$Z:$Z,'Consulta Contratos'!$AM:$AM,'Performance Vendas'!T$88,'Consulta Contratos'!$J:$J,'Performance Vendas'!$A89,'Consulta Contratos'!$H:$H,"ATIVO")</f>
        <v>11242000</v>
      </c>
      <c r="U89" s="82">
        <f>SUMIFS('Consulta Contratos'!$Z:$Z,'Consulta Contratos'!$AM:$AM,'Performance Vendas'!U$88,'Consulta Contratos'!$J:$J,'Performance Vendas'!$A89,'Consulta Contratos'!$H:$H,"ATIVO")</f>
        <v>0</v>
      </c>
      <c r="V89" s="82">
        <f>SUMIFS('Consulta Contratos'!$Z:$Z,'Consulta Contratos'!$AM:$AM,'Performance Vendas'!V$88,'Consulta Contratos'!$J:$J,'Performance Vendas'!$A89,'Consulta Contratos'!$H:$H,"ATIVO")</f>
        <v>18220001</v>
      </c>
      <c r="W89" s="86">
        <f t="shared" ref="W89:W101" si="115">SUM(K89:V89)</f>
        <v>80841783</v>
      </c>
      <c r="X89" s="82">
        <f>SUMIFS('Consulta Contratos'!$Z:$Z,'Consulta Contratos'!$AM:$AM,'Performance Vendas'!X$88,'Consulta Contratos'!$J:$J,'Performance Vendas'!$A89,'Consulta Contratos'!$H:$H,"ATIVO")</f>
        <v>10157000</v>
      </c>
      <c r="Y89" s="82">
        <f>SUMIFS('Consulta Contratos'!$Z:$Z,'Consulta Contratos'!$AM:$AM,'Performance Vendas'!Y$88,'Consulta Contratos'!$J:$J,'Performance Vendas'!$A89,'Consulta Contratos'!$H:$H,"ATIVO")</f>
        <v>0</v>
      </c>
      <c r="Z89" s="82">
        <f>SUMIFS('Consulta Contratos'!$Z:$Z,'Consulta Contratos'!$AM:$AM,'Performance Vendas'!Z$88,'Consulta Contratos'!$J:$J,'Performance Vendas'!$A89,'Consulta Contratos'!$H:$H,"ATIVO")</f>
        <v>7450000</v>
      </c>
      <c r="AA89" s="82">
        <f>SUMIFS('Consulta Contratos'!$Z:$Z,'Consulta Contratos'!$AM:$AM,'Performance Vendas'!AA$88,'Consulta Contratos'!$J:$J,'Performance Vendas'!$A89,'Consulta Contratos'!$H:$H,"ATIVO")</f>
        <v>6297000</v>
      </c>
      <c r="AB89" s="82">
        <f>SUMIFS('Consulta Contratos'!$Z:$Z,'Consulta Contratos'!$AM:$AM,'Performance Vendas'!AB$88,'Consulta Contratos'!$J:$J,'Performance Vendas'!$A89,'Consulta Contratos'!$H:$H,"ATIVO")</f>
        <v>0</v>
      </c>
      <c r="AC89" s="82">
        <f>SUMIFS('Consulta Contratos'!$Z:$Z,'Consulta Contratos'!$AM:$AM,'Performance Vendas'!AC$88,'Consulta Contratos'!$J:$J,'Performance Vendas'!$A89,'Consulta Contratos'!$H:$H,"ATIVO")</f>
        <v>0</v>
      </c>
      <c r="AD89" s="82">
        <f>SUMIFS('Consulta Contratos'!$Z:$Z,'Consulta Contratos'!$AM:$AM,'Performance Vendas'!AD$88,'Consulta Contratos'!$J:$J,'Performance Vendas'!$A89,'Consulta Contratos'!$H:$H,"ATIVO")</f>
        <v>2845000</v>
      </c>
      <c r="AE89" s="82">
        <f>SUMIFS('Consulta Contratos'!$Z:$Z,'Consulta Contratos'!$AM:$AM,'Performance Vendas'!AE$88,'Consulta Contratos'!$J:$J,'Performance Vendas'!$A89,'Consulta Contratos'!$H:$H,"ATIVO")</f>
        <v>9793980</v>
      </c>
      <c r="AF89" s="82">
        <f>SUMIFS('Consulta Contratos'!$Z:$Z,'Consulta Contratos'!$AM:$AM,'Performance Vendas'!AF$88,'Consulta Contratos'!$J:$J,'Performance Vendas'!$A89,'Consulta Contratos'!$H:$H,"ATIVO")</f>
        <v>4788000</v>
      </c>
      <c r="AG89" s="82">
        <f>SUMIFS('Consulta Contratos'!$Z:$Z,'Consulta Contratos'!$AM:$AM,'Performance Vendas'!AG$88,'Consulta Contratos'!$J:$J,'Performance Vendas'!$A89,'Consulta Contratos'!$H:$H,"ATIVO")</f>
        <v>2640000</v>
      </c>
      <c r="AH89" s="82">
        <f>SUMIFS('Consulta Contratos'!$Z:$Z,'Consulta Contratos'!$AM:$AM,'Performance Vendas'!AH$88,'Consulta Contratos'!$J:$J,'Performance Vendas'!$A89,'Consulta Contratos'!$H:$H,"ATIVO")</f>
        <v>0</v>
      </c>
      <c r="AI89" s="82">
        <f>SUMIFS('Consulta Contratos'!$Z:$Z,'Consulta Contratos'!$AM:$AM,'Performance Vendas'!AI$88,'Consulta Contratos'!$J:$J,'Performance Vendas'!$A89,'Consulta Contratos'!$H:$H,"ATIVO")</f>
        <v>6105000</v>
      </c>
      <c r="AJ89" s="86">
        <f t="shared" ref="AJ89:AJ101" si="116">SUM(X89:AI89)</f>
        <v>50075980</v>
      </c>
      <c r="AK89" s="82">
        <f>SUMIFS('Consulta Contratos'!$Z:$Z,'Consulta Contratos'!$AM:$AM,'Performance Vendas'!AK$88,'Consulta Contratos'!$J:$J,'Performance Vendas'!$A89,'Consulta Contratos'!$H:$H,"ATIVO")</f>
        <v>0</v>
      </c>
      <c r="AL89" s="82">
        <f>SUMIFS('Consulta Contratos'!$Z:$Z,'Consulta Contratos'!$AM:$AM,'Performance Vendas'!AL$88,'Consulta Contratos'!$J:$J,'Performance Vendas'!$A89,'Consulta Contratos'!$H:$H,"ATIVO")</f>
        <v>0</v>
      </c>
      <c r="AM89" s="82">
        <f>SUMIFS('Consulta Contratos'!$Z:$Z,'Consulta Contratos'!$AM:$AM,'Performance Vendas'!AM$88,'Consulta Contratos'!$J:$J,'Performance Vendas'!$A89,'Consulta Contratos'!$H:$H,"ATIVO")</f>
        <v>0</v>
      </c>
      <c r="AN89" s="82">
        <f>SUMIFS('Consulta Contratos'!$Z:$Z,'Consulta Contratos'!$AM:$AM,'Performance Vendas'!AN$88,'Consulta Contratos'!$J:$J,'Performance Vendas'!$A89,'Consulta Contratos'!$H:$H,"ATIVO")</f>
        <v>0</v>
      </c>
      <c r="AO89" s="82">
        <f>SUMIFS('Consulta Contratos'!$Z:$Z,'Consulta Contratos'!$AM:$AM,'Performance Vendas'!AO$88,'Consulta Contratos'!$J:$J,'Performance Vendas'!$A89,'Consulta Contratos'!$H:$H,"ATIVO")</f>
        <v>0</v>
      </c>
      <c r="AP89" s="82">
        <f>SUMIFS('Consulta Contratos'!$Z:$Z,'Consulta Contratos'!$AM:$AM,'Performance Vendas'!AP$88,'Consulta Contratos'!$J:$J,'Performance Vendas'!$A89,'Consulta Contratos'!$H:$H,"ATIVO")</f>
        <v>0</v>
      </c>
      <c r="AQ89" s="82">
        <f>SUMIFS('Consulta Contratos'!$Z:$Z,'Consulta Contratos'!$AM:$AM,'Performance Vendas'!AQ$88,'Consulta Contratos'!$J:$J,'Performance Vendas'!$A89,'Consulta Contratos'!$H:$H,"ATIVO")</f>
        <v>0</v>
      </c>
      <c r="AR89" s="82">
        <f>SUMIFS('Consulta Contratos'!$Z:$Z,'Consulta Contratos'!$AM:$AM,'Performance Vendas'!AR$88,'Consulta Contratos'!$J:$J,'Performance Vendas'!$A89,'Consulta Contratos'!$H:$H,"ATIVO")</f>
        <v>0</v>
      </c>
      <c r="AS89" s="82">
        <f>SUMIFS('Consulta Contratos'!$Z:$Z,'Consulta Contratos'!$AM:$AM,'Performance Vendas'!AS$88,'Consulta Contratos'!$J:$J,'Performance Vendas'!$A89,'Consulta Contratos'!$H:$H,"ATIVO")</f>
        <v>0</v>
      </c>
      <c r="AT89" s="82">
        <f>SUMIFS('Consulta Contratos'!$Z:$Z,'Consulta Contratos'!$AM:$AM,'Performance Vendas'!AT$88,'Consulta Contratos'!$J:$J,'Performance Vendas'!$A89,'Consulta Contratos'!$H:$H,"ATIVO")</f>
        <v>0</v>
      </c>
      <c r="AU89" s="82">
        <f>SUMIFS('Consulta Contratos'!$Z:$Z,'Consulta Contratos'!$AM:$AM,'Performance Vendas'!AU$88,'Consulta Contratos'!$J:$J,'Performance Vendas'!$A89,'Consulta Contratos'!$H:$H,"ATIVO")</f>
        <v>0</v>
      </c>
      <c r="AV89" s="82">
        <f>SUMIFS('Consulta Contratos'!$Z:$Z,'Consulta Contratos'!$AM:$AM,'Performance Vendas'!AV$88,'Consulta Contratos'!$J:$J,'Performance Vendas'!$A89,'Consulta Contratos'!$H:$H,"ATIVO")</f>
        <v>0</v>
      </c>
      <c r="AW89" s="86">
        <f t="shared" ref="AW89:AW101" si="117">SUM(AK89:AV89)</f>
        <v>0</v>
      </c>
      <c r="AX89" s="86">
        <f>AJ89+W89+J89+AW89</f>
        <v>168636445.36000001</v>
      </c>
      <c r="AY89" s="92">
        <f>AX89/$AX$104</f>
        <v>0.44025239339171018</v>
      </c>
      <c r="AZ89" s="82">
        <f>SUMIFS('Consulta Contratos'!$Z:$Z,'Consulta Contratos'!$AM:$AM,'Performance Vendas'!AZ$88,'Consulta Contratos'!$J:$J,'Performance Vendas'!$A89,'Consulta Contratos'!$H:$H,"ATIVO")</f>
        <v>0</v>
      </c>
    </row>
    <row r="90" spans="1:52" s="88" customFormat="1" ht="12.75">
      <c r="A90" s="120"/>
      <c r="B90" s="106" t="s">
        <v>6</v>
      </c>
      <c r="C90" s="118" t="s">
        <v>117</v>
      </c>
      <c r="D90" s="95"/>
      <c r="E90" s="190">
        <f>SUMIFS('Consulta Contratos'!$AX:$AX,'Consulta Contratos'!$J:$J,"Integral",'Consulta Contratos'!$H:$H,"Ativo",'Consulta Contratos'!$AM:$AM,'Performance Vendas'!E$88)</f>
        <v>3</v>
      </c>
      <c r="F90" s="190">
        <f>SUMIFS('Consulta Contratos'!$AX:$AX,'Consulta Contratos'!$J:$J,"Integral",'Consulta Contratos'!$H:$H,"Ativo",'Consulta Contratos'!$AM:$AM,'Performance Vendas'!F$88)</f>
        <v>0.99999999999999989</v>
      </c>
      <c r="G90" s="190">
        <f>SUMIFS('Consulta Contratos'!$AX:$AX,'Consulta Contratos'!$J:$J,"Integral",'Consulta Contratos'!$H:$H,"Ativo",'Consulta Contratos'!$AM:$AM,'Performance Vendas'!G$88)</f>
        <v>2</v>
      </c>
      <c r="H90" s="190">
        <f>SUMIFS('Consulta Contratos'!$AX:$AX,'Consulta Contratos'!$J:$J,"Integral",'Consulta Contratos'!$H:$H,"Ativo",'Consulta Contratos'!$AM:$AM,'Performance Vendas'!H$88)</f>
        <v>2.0000000000000004</v>
      </c>
      <c r="I90" s="190">
        <f>SUMIFS('Consulta Contratos'!$AX:$AX,'Consulta Contratos'!$J:$J,"Integral",'Consulta Contratos'!$H:$H,"Ativo",'Consulta Contratos'!$AM:$AM,'Performance Vendas'!I$88)</f>
        <v>1</v>
      </c>
      <c r="J90" s="191">
        <f>SUM(E90:I90)</f>
        <v>9</v>
      </c>
      <c r="K90" s="190">
        <f>SUMIFS('Consulta Contratos'!$AX:$AX,'Consulta Contratos'!$J:$J,"Integral",'Consulta Contratos'!$H:$H,"Ativo",'Consulta Contratos'!$AM:$AM,'Performance Vendas'!K$88)</f>
        <v>1</v>
      </c>
      <c r="L90" s="190">
        <f>SUMIFS('Consulta Contratos'!$AX:$AX,'Consulta Contratos'!$J:$J,"Integral",'Consulta Contratos'!$H:$H,"Ativo",'Consulta Contratos'!$AM:$AM,'Performance Vendas'!L$88)</f>
        <v>0</v>
      </c>
      <c r="M90" s="190">
        <f>SUMIFS('Consulta Contratos'!$AX:$AX,'Consulta Contratos'!$J:$J,"Integral",'Consulta Contratos'!$H:$H,"Ativo",'Consulta Contratos'!$AM:$AM,'Performance Vendas'!M$88)</f>
        <v>1</v>
      </c>
      <c r="N90" s="190">
        <f>SUMIFS('Consulta Contratos'!$AX:$AX,'Consulta Contratos'!$J:$J,"Integral",'Consulta Contratos'!$H:$H,"Ativo",'Consulta Contratos'!$AM:$AM,'Performance Vendas'!N$88)</f>
        <v>2</v>
      </c>
      <c r="O90" s="190">
        <f>SUMIFS('Consulta Contratos'!$AX:$AX,'Consulta Contratos'!$J:$J,"Integral",'Consulta Contratos'!$H:$H,"Ativo",'Consulta Contratos'!$AM:$AM,'Performance Vendas'!O$88)</f>
        <v>0</v>
      </c>
      <c r="P90" s="190">
        <f>SUMIFS('Consulta Contratos'!$AX:$AX,'Consulta Contratos'!$J:$J,"Integral",'Consulta Contratos'!$H:$H,"Ativo",'Consulta Contratos'!$AM:$AM,'Performance Vendas'!P$88)</f>
        <v>1</v>
      </c>
      <c r="Q90" s="190">
        <f>SUMIFS('Consulta Contratos'!$AX:$AX,'Consulta Contratos'!$J:$J,"Integral",'Consulta Contratos'!$H:$H,"Ativo",'Consulta Contratos'!$AM:$AM,'Performance Vendas'!Q$88)</f>
        <v>1</v>
      </c>
      <c r="R90" s="190">
        <f>SUMIFS('Consulta Contratos'!$AX:$AX,'Consulta Contratos'!$J:$J,"Integral",'Consulta Contratos'!$H:$H,"Ativo",'Consulta Contratos'!$AM:$AM,'Performance Vendas'!R$88)</f>
        <v>0.99999999999999989</v>
      </c>
      <c r="S90" s="190">
        <f>SUMIFS('Consulta Contratos'!$AX:$AX,'Consulta Contratos'!$J:$J,"Integral",'Consulta Contratos'!$H:$H,"Ativo",'Consulta Contratos'!$AM:$AM,'Performance Vendas'!S$88)</f>
        <v>2</v>
      </c>
      <c r="T90" s="190">
        <f>SUMIFS('Consulta Contratos'!$AX:$AX,'Consulta Contratos'!$J:$J,"Integral",'Consulta Contratos'!$H:$H,"Ativo",'Consulta Contratos'!$AM:$AM,'Performance Vendas'!T$88)</f>
        <v>4.0000000000000018</v>
      </c>
      <c r="U90" s="190">
        <f>SUMIFS('Consulta Contratos'!$AX:$AX,'Consulta Contratos'!$J:$J,"Integral",'Consulta Contratos'!$H:$H,"Ativo",'Consulta Contratos'!$AM:$AM,'Performance Vendas'!U$88)</f>
        <v>0</v>
      </c>
      <c r="V90" s="190">
        <f>SUMIFS('Consulta Contratos'!$AX:$AX,'Consulta Contratos'!$J:$J,"Integral",'Consulta Contratos'!$H:$H,"Ativo",'Consulta Contratos'!$AM:$AM,'Performance Vendas'!V$88)</f>
        <v>4</v>
      </c>
      <c r="W90" s="191">
        <f>SUM(K90:V90)</f>
        <v>17</v>
      </c>
      <c r="X90" s="190">
        <f>SUMIFS('Consulta Contratos'!$AX:$AX,'Consulta Contratos'!$J:$J,"Integral",'Consulta Contratos'!$H:$H,"Ativo",'Consulta Contratos'!$AM:$AM,'Performance Vendas'!X$88)</f>
        <v>1</v>
      </c>
      <c r="Y90" s="190">
        <f>SUMIFS('Consulta Contratos'!$AX:$AX,'Consulta Contratos'!$J:$J,"Integral",'Consulta Contratos'!$H:$H,"Ativo",'Consulta Contratos'!$AM:$AM,'Performance Vendas'!Y$88)</f>
        <v>0</v>
      </c>
      <c r="Z90" s="190">
        <f>SUMIFS('Consulta Contratos'!$AX:$AX,'Consulta Contratos'!$J:$J,"Integral",'Consulta Contratos'!$H:$H,"Ativo",'Consulta Contratos'!$AM:$AM,'Performance Vendas'!Z$88)</f>
        <v>1</v>
      </c>
      <c r="AA90" s="190">
        <f>SUMIFS('Consulta Contratos'!$AX:$AX,'Consulta Contratos'!$J:$J,"Integral",'Consulta Contratos'!$H:$H,"Ativo",'Consulta Contratos'!$AM:$AM,'Performance Vendas'!AA$88)</f>
        <v>2</v>
      </c>
      <c r="AB90" s="190">
        <f>SUMIFS('Consulta Contratos'!$AX:$AX,'Consulta Contratos'!$J:$J,"Integral",'Consulta Contratos'!$H:$H,"Ativo",'Consulta Contratos'!$AM:$AM,'Performance Vendas'!AB$88)</f>
        <v>0</v>
      </c>
      <c r="AC90" s="190">
        <f>SUMIFS('Consulta Contratos'!$AX:$AX,'Consulta Contratos'!$J:$J,"Integral",'Consulta Contratos'!$H:$H,"Ativo",'Consulta Contratos'!$AM:$AM,'Performance Vendas'!AC$88)</f>
        <v>0</v>
      </c>
      <c r="AD90" s="190">
        <f>SUMIFS('Consulta Contratos'!$AX:$AX,'Consulta Contratos'!$J:$J,"Integral",'Consulta Contratos'!$H:$H,"Ativo",'Consulta Contratos'!$AM:$AM,'Performance Vendas'!AD$88)</f>
        <v>0.99999999999999989</v>
      </c>
      <c r="AE90" s="190">
        <f>SUMIFS('Consulta Contratos'!$AX:$AX,'Consulta Contratos'!$J:$J,"Integral",'Consulta Contratos'!$H:$H,"Ativo",'Consulta Contratos'!$AM:$AM,'Performance Vendas'!AE$88)</f>
        <v>3.0000000000000018</v>
      </c>
      <c r="AF90" s="190">
        <f>SUMIFS('Consulta Contratos'!$AX:$AX,'Consulta Contratos'!$J:$J,"Integral",'Consulta Contratos'!$H:$H,"Ativo",'Consulta Contratos'!$AM:$AM,'Performance Vendas'!AF$88)</f>
        <v>1</v>
      </c>
      <c r="AG90" s="190">
        <f>SUMIFS('Consulta Contratos'!$AX:$AX,'Consulta Contratos'!$J:$J,"Integral",'Consulta Contratos'!$H:$H,"Ativo",'Consulta Contratos'!$AM:$AM,'Performance Vendas'!AG$88)</f>
        <v>0.99999999999999989</v>
      </c>
      <c r="AH90" s="190">
        <f>SUMIFS('Consulta Contratos'!$AX:$AX,'Consulta Contratos'!$J:$J,"Integral",'Consulta Contratos'!$H:$H,"Ativo",'Consulta Contratos'!$AM:$AM,'Performance Vendas'!AH$88)</f>
        <v>0</v>
      </c>
      <c r="AI90" s="190">
        <f>SUMIFS('Consulta Contratos'!$AX:$AX,'Consulta Contratos'!$J:$J,"Integral",'Consulta Contratos'!$H:$H,"Ativo",'Consulta Contratos'!$AM:$AM,'Performance Vendas'!AI$88)</f>
        <v>1</v>
      </c>
      <c r="AJ90" s="191">
        <f>SUM(X90:AI90)</f>
        <v>11.000000000000002</v>
      </c>
      <c r="AK90" s="190">
        <f>SUMIFS('Consulta Contratos'!$AX:$AX,'Consulta Contratos'!$J:$J,"Integral",'Consulta Contratos'!$H:$H,"Ativo",'Consulta Contratos'!$AM:$AM,'Performance Vendas'!AK$88)</f>
        <v>0</v>
      </c>
      <c r="AL90" s="190">
        <f>SUMIFS('Consulta Contratos'!$AX:$AX,'Consulta Contratos'!$J:$J,"Integral",'Consulta Contratos'!$H:$H,"Ativo",'Consulta Contratos'!$AM:$AM,'Performance Vendas'!AL$88)</f>
        <v>0</v>
      </c>
      <c r="AM90" s="190">
        <f>SUMIFS('Consulta Contratos'!$AX:$AX,'Consulta Contratos'!$J:$J,"Integral",'Consulta Contratos'!$H:$H,"Ativo",'Consulta Contratos'!$AM:$AM,'Performance Vendas'!AM$88)</f>
        <v>0</v>
      </c>
      <c r="AN90" s="190">
        <f>SUMIFS('Consulta Contratos'!$AX:$AX,'Consulta Contratos'!$J:$J,"Integral",'Consulta Contratos'!$H:$H,"Ativo",'Consulta Contratos'!$AM:$AM,'Performance Vendas'!AN$88)</f>
        <v>0</v>
      </c>
      <c r="AO90" s="190">
        <f>SUMIFS('Consulta Contratos'!$AX:$AX,'Consulta Contratos'!$J:$J,"Integral",'Consulta Contratos'!$H:$H,"Ativo",'Consulta Contratos'!$AM:$AM,'Performance Vendas'!AO$88)</f>
        <v>0</v>
      </c>
      <c r="AP90" s="190">
        <f>SUMIFS('Consulta Contratos'!$AX:$AX,'Consulta Contratos'!$J:$J,"Integral",'Consulta Contratos'!$H:$H,"Ativo",'Consulta Contratos'!$AM:$AM,'Performance Vendas'!AP$88)</f>
        <v>0</v>
      </c>
      <c r="AQ90" s="190">
        <f>SUMIFS('Consulta Contratos'!$AX:$AX,'Consulta Contratos'!$J:$J,"Integral",'Consulta Contratos'!$H:$H,"Ativo",'Consulta Contratos'!$AM:$AM,'Performance Vendas'!AQ$88)</f>
        <v>0</v>
      </c>
      <c r="AR90" s="190">
        <f>SUMIFS('Consulta Contratos'!$AX:$AX,'Consulta Contratos'!$J:$J,"Integral",'Consulta Contratos'!$H:$H,"Ativo",'Consulta Contratos'!$AM:$AM,'Performance Vendas'!AR$88)</f>
        <v>0</v>
      </c>
      <c r="AS90" s="190">
        <f>SUMIFS('Consulta Contratos'!$AX:$AX,'Consulta Contratos'!$J:$J,"Integral",'Consulta Contratos'!$H:$H,"Ativo",'Consulta Contratos'!$AM:$AM,'Performance Vendas'!AS$88)</f>
        <v>0</v>
      </c>
      <c r="AT90" s="190">
        <f>SUMIFS('Consulta Contratos'!$AX:$AX,'Consulta Contratos'!$J:$J,"Integral",'Consulta Contratos'!$H:$H,"Ativo",'Consulta Contratos'!$AM:$AM,'Performance Vendas'!AT$88)</f>
        <v>0</v>
      </c>
      <c r="AU90" s="190">
        <f>SUMIFS('Consulta Contratos'!$AX:$AX,'Consulta Contratos'!$J:$J,"Integral",'Consulta Contratos'!$H:$H,"Ativo",'Consulta Contratos'!$AM:$AM,'Performance Vendas'!AU$88)</f>
        <v>0</v>
      </c>
      <c r="AV90" s="190">
        <f>SUMIFS('Consulta Contratos'!$AX:$AX,'Consulta Contratos'!$J:$J,"Integral",'Consulta Contratos'!$H:$H,"Ativo",'Consulta Contratos'!$AM:$AM,'Performance Vendas'!AV$88)</f>
        <v>0</v>
      </c>
      <c r="AW90" s="191">
        <f>SUM(AK90:AV90)</f>
        <v>0</v>
      </c>
      <c r="AX90" s="191">
        <f>AJ90+W90+J90+AW90</f>
        <v>37</v>
      </c>
      <c r="AY90" s="81">
        <f>AX90/$AX$105</f>
        <v>8.0086580086580081E-2</v>
      </c>
      <c r="AZ90" s="190">
        <f>SUMIFS('Consulta Contratos'!$AX:$AX,'Consulta Contratos'!$J:$J,"Integral",'Consulta Contratos'!$H:$H,"Ativo",'Consulta Contratos'!$AM:$AM,'Performance Vendas'!AZ$88)</f>
        <v>0</v>
      </c>
    </row>
    <row r="91" spans="1:52" s="87" customFormat="1">
      <c r="A91" s="120"/>
      <c r="B91" s="107"/>
      <c r="C91" s="119" t="s">
        <v>118</v>
      </c>
      <c r="D91" s="85"/>
      <c r="E91" s="83">
        <f>IFERROR(E89/E90,0)</f>
        <v>4281333.333333333</v>
      </c>
      <c r="F91" s="83">
        <f>IFERROR(F89/F90,0)</f>
        <v>2040000.0000000002</v>
      </c>
      <c r="G91" s="83">
        <f>IFERROR(G89/G90,0)</f>
        <v>5822341.1799999997</v>
      </c>
      <c r="H91" s="83">
        <f>IFERROR(H89/H90,0)</f>
        <v>3119999.9999999995</v>
      </c>
      <c r="I91" s="83">
        <f>IFERROR(I89/I90,0)</f>
        <v>4950000</v>
      </c>
      <c r="J91" s="96">
        <f>SUM(E91:I91)</f>
        <v>20213674.513333332</v>
      </c>
      <c r="K91" s="83">
        <f t="shared" ref="K91:V91" si="118">IFERROR(K89/K90,0)</f>
        <v>4900030</v>
      </c>
      <c r="L91" s="83">
        <f t="shared" si="118"/>
        <v>0</v>
      </c>
      <c r="M91" s="83">
        <f t="shared" si="118"/>
        <v>7800000</v>
      </c>
      <c r="N91" s="83">
        <f t="shared" si="118"/>
        <v>6169996</v>
      </c>
      <c r="O91" s="83">
        <f t="shared" si="118"/>
        <v>0</v>
      </c>
      <c r="P91" s="83">
        <f t="shared" si="118"/>
        <v>4169760</v>
      </c>
      <c r="Q91" s="83">
        <f t="shared" si="118"/>
        <v>7300000</v>
      </c>
      <c r="R91" s="83">
        <f t="shared" si="118"/>
        <v>3170000.0000000005</v>
      </c>
      <c r="S91" s="83">
        <f t="shared" si="118"/>
        <v>5850000</v>
      </c>
      <c r="T91" s="83">
        <f t="shared" si="118"/>
        <v>2810499.9999999986</v>
      </c>
      <c r="U91" s="83">
        <f t="shared" si="118"/>
        <v>0</v>
      </c>
      <c r="V91" s="83">
        <f t="shared" si="118"/>
        <v>4555000.25</v>
      </c>
      <c r="W91" s="96">
        <f>SUM(K91:V91)</f>
        <v>46725286.25</v>
      </c>
      <c r="X91" s="83">
        <f t="shared" ref="X91:AX91" si="119">IFERROR(X89/X90,0)</f>
        <v>10157000</v>
      </c>
      <c r="Y91" s="83">
        <f t="shared" si="119"/>
        <v>0</v>
      </c>
      <c r="Z91" s="83">
        <f t="shared" si="119"/>
        <v>7450000</v>
      </c>
      <c r="AA91" s="83">
        <f t="shared" si="119"/>
        <v>3148500</v>
      </c>
      <c r="AB91" s="83">
        <f t="shared" si="119"/>
        <v>0</v>
      </c>
      <c r="AC91" s="83">
        <f t="shared" si="119"/>
        <v>0</v>
      </c>
      <c r="AD91" s="83">
        <f t="shared" si="119"/>
        <v>2845000.0000000005</v>
      </c>
      <c r="AE91" s="83">
        <f t="shared" si="119"/>
        <v>3264659.9999999981</v>
      </c>
      <c r="AF91" s="83">
        <f t="shared" si="119"/>
        <v>4788000</v>
      </c>
      <c r="AG91" s="83">
        <f t="shared" si="119"/>
        <v>2640000.0000000005</v>
      </c>
      <c r="AH91" s="83">
        <f t="shared" si="119"/>
        <v>0</v>
      </c>
      <c r="AI91" s="83">
        <f t="shared" si="119"/>
        <v>6105000</v>
      </c>
      <c r="AJ91" s="96">
        <f t="shared" si="119"/>
        <v>4552361.8181818174</v>
      </c>
      <c r="AK91" s="83">
        <f t="shared" ref="AK91:AW91" si="120">IFERROR(AK89/AK90,0)</f>
        <v>0</v>
      </c>
      <c r="AL91" s="83">
        <f t="shared" si="120"/>
        <v>0</v>
      </c>
      <c r="AM91" s="83">
        <f t="shared" si="120"/>
        <v>0</v>
      </c>
      <c r="AN91" s="83">
        <f t="shared" si="120"/>
        <v>0</v>
      </c>
      <c r="AO91" s="83">
        <f t="shared" si="120"/>
        <v>0</v>
      </c>
      <c r="AP91" s="83">
        <f t="shared" si="120"/>
        <v>0</v>
      </c>
      <c r="AQ91" s="83">
        <f t="shared" si="120"/>
        <v>0</v>
      </c>
      <c r="AR91" s="83">
        <f t="shared" si="120"/>
        <v>0</v>
      </c>
      <c r="AS91" s="83">
        <f t="shared" si="120"/>
        <v>0</v>
      </c>
      <c r="AT91" s="83">
        <f t="shared" si="120"/>
        <v>0</v>
      </c>
      <c r="AU91" s="83">
        <f t="shared" si="120"/>
        <v>0</v>
      </c>
      <c r="AV91" s="83">
        <f t="shared" si="120"/>
        <v>0</v>
      </c>
      <c r="AW91" s="96">
        <f t="shared" si="120"/>
        <v>0</v>
      </c>
      <c r="AX91" s="96">
        <f t="shared" si="119"/>
        <v>4557741.7664864864</v>
      </c>
      <c r="AY91" s="97"/>
      <c r="AZ91" s="83">
        <f>IFERROR(AZ89/AZ90,0)</f>
        <v>0</v>
      </c>
    </row>
    <row r="92" spans="1:52" s="87" customFormat="1">
      <c r="A92" s="120">
        <v>13</v>
      </c>
      <c r="B92" s="105"/>
      <c r="C92" s="117" t="s">
        <v>70</v>
      </c>
      <c r="D92" s="85"/>
      <c r="E92" s="82">
        <f>SUMIFS('Consulta Contratos'!$Z:$Z,'Consulta Contratos'!$AM:$AM,'Performance Vendas'!E$88,'Consulta Contratos'!$J:$J,'Performance Vendas'!$A92,'Consulta Contratos'!$H:$H,"ATIVO")</f>
        <v>1057000</v>
      </c>
      <c r="F92" s="82">
        <f>SUMIFS('Consulta Contratos'!$Z:$Z,'Consulta Contratos'!$AM:$AM,'Performance Vendas'!F$88,'Consulta Contratos'!$J:$J,'Performance Vendas'!$A92,'Consulta Contratos'!$H:$H,"ATIVO")</f>
        <v>1381500</v>
      </c>
      <c r="G92" s="82">
        <f>SUMIFS('Consulta Contratos'!$Z:$Z,'Consulta Contratos'!$AM:$AM,'Performance Vendas'!G$88,'Consulta Contratos'!$J:$J,'Performance Vendas'!$A92,'Consulta Contratos'!$H:$H,"ATIVO")</f>
        <v>0</v>
      </c>
      <c r="H92" s="82">
        <f>SUMIFS('Consulta Contratos'!$Z:$Z,'Consulta Contratos'!$AM:$AM,'Performance Vendas'!H$88,'Consulta Contratos'!$J:$J,'Performance Vendas'!$A92,'Consulta Contratos'!$H:$H,"ATIVO")</f>
        <v>2188000</v>
      </c>
      <c r="I92" s="82">
        <f>SUMIFS('Consulta Contratos'!$Z:$Z,'Consulta Contratos'!$AM:$AM,'Performance Vendas'!I$88,'Consulta Contratos'!$J:$J,'Performance Vendas'!$A92,'Consulta Contratos'!$H:$H,"ATIVO")</f>
        <v>2420000</v>
      </c>
      <c r="J92" s="86">
        <f t="shared" si="114"/>
        <v>7046500</v>
      </c>
      <c r="K92" s="82">
        <f>SUMIFS('Consulta Contratos'!$Z:$Z,'Consulta Contratos'!$AM:$AM,'Performance Vendas'!K$88,'Consulta Contratos'!$J:$J,'Performance Vendas'!$A92,'Consulta Contratos'!$H:$H,"ATIVO")</f>
        <v>6043170</v>
      </c>
      <c r="L92" s="82">
        <f>SUMIFS('Consulta Contratos'!$Z:$Z,'Consulta Contratos'!$AM:$AM,'Performance Vendas'!L$88,'Consulta Contratos'!$J:$J,'Performance Vendas'!$A92,'Consulta Contratos'!$H:$H,"ATIVO")</f>
        <v>1056825</v>
      </c>
      <c r="M92" s="82">
        <f>SUMIFS('Consulta Contratos'!$Z:$Z,'Consulta Contratos'!$AM:$AM,'Performance Vendas'!M$88,'Consulta Contratos'!$J:$J,'Performance Vendas'!$A92,'Consulta Contratos'!$H:$H,"ATIVO")</f>
        <v>2136000</v>
      </c>
      <c r="N92" s="82">
        <f>SUMIFS('Consulta Contratos'!$Z:$Z,'Consulta Contratos'!$AM:$AM,'Performance Vendas'!N$88,'Consulta Contratos'!$J:$J,'Performance Vendas'!$A92,'Consulta Contratos'!$H:$H,"ATIVO")</f>
        <v>0</v>
      </c>
      <c r="O92" s="82">
        <f>SUMIFS('Consulta Contratos'!$Z:$Z,'Consulta Contratos'!$AM:$AM,'Performance Vendas'!O$88,'Consulta Contratos'!$J:$J,'Performance Vendas'!$A92,'Consulta Contratos'!$H:$H,"ATIVO")</f>
        <v>5034500</v>
      </c>
      <c r="P92" s="82">
        <f>SUMIFS('Consulta Contratos'!$Z:$Z,'Consulta Contratos'!$AM:$AM,'Performance Vendas'!P$88,'Consulta Contratos'!$J:$J,'Performance Vendas'!$A92,'Consulta Contratos'!$H:$H,"ATIVO")</f>
        <v>6121016</v>
      </c>
      <c r="Q92" s="82">
        <f>SUMIFS('Consulta Contratos'!$Z:$Z,'Consulta Contratos'!$AM:$AM,'Performance Vendas'!Q$88,'Consulta Contratos'!$J:$J,'Performance Vendas'!$A92,'Consulta Contratos'!$H:$H,"ATIVO")</f>
        <v>910000</v>
      </c>
      <c r="R92" s="82">
        <f>SUMIFS('Consulta Contratos'!$Z:$Z,'Consulta Contratos'!$AM:$AM,'Performance Vendas'!R$88,'Consulta Contratos'!$J:$J,'Performance Vendas'!$A92,'Consulta Contratos'!$H:$H,"ATIVO")</f>
        <v>1404490</v>
      </c>
      <c r="S92" s="82">
        <f>SUMIFS('Consulta Contratos'!$Z:$Z,'Consulta Contratos'!$AM:$AM,'Performance Vendas'!S$88,'Consulta Contratos'!$J:$J,'Performance Vendas'!$A92,'Consulta Contratos'!$H:$H,"ATIVO")</f>
        <v>2156202.9900000002</v>
      </c>
      <c r="T92" s="82">
        <f>SUMIFS('Consulta Contratos'!$Z:$Z,'Consulta Contratos'!$AM:$AM,'Performance Vendas'!T$88,'Consulta Contratos'!$J:$J,'Performance Vendas'!$A92,'Consulta Contratos'!$H:$H,"ATIVO")</f>
        <v>6165331.4900000002</v>
      </c>
      <c r="U92" s="82">
        <f>SUMIFS('Consulta Contratos'!$Z:$Z,'Consulta Contratos'!$AM:$AM,'Performance Vendas'!U$88,'Consulta Contratos'!$J:$J,'Performance Vendas'!$A92,'Consulta Contratos'!$H:$H,"ATIVO")</f>
        <v>4376000</v>
      </c>
      <c r="V92" s="82">
        <f>SUMIFS('Consulta Contratos'!$Z:$Z,'Consulta Contratos'!$AM:$AM,'Performance Vendas'!V$88,'Consulta Contratos'!$J:$J,'Performance Vendas'!$A92,'Consulta Contratos'!$H:$H,"ATIVO")</f>
        <v>0</v>
      </c>
      <c r="W92" s="86">
        <f t="shared" si="115"/>
        <v>35403535.480000004</v>
      </c>
      <c r="X92" s="82">
        <f>SUMIFS('Consulta Contratos'!$Z:$Z,'Consulta Contratos'!$AM:$AM,'Performance Vendas'!X$88,'Consulta Contratos'!$J:$J,'Performance Vendas'!$A92,'Consulta Contratos'!$H:$H,"ATIVO")</f>
        <v>2905000</v>
      </c>
      <c r="Y92" s="82">
        <f>SUMIFS('Consulta Contratos'!$Z:$Z,'Consulta Contratos'!$AM:$AM,'Performance Vendas'!Y$88,'Consulta Contratos'!$J:$J,'Performance Vendas'!$A92,'Consulta Contratos'!$H:$H,"ATIVO")</f>
        <v>0</v>
      </c>
      <c r="Z92" s="82">
        <f>SUMIFS('Consulta Contratos'!$Z:$Z,'Consulta Contratos'!$AM:$AM,'Performance Vendas'!Z$88,'Consulta Contratos'!$J:$J,'Performance Vendas'!$A92,'Consulta Contratos'!$H:$H,"ATIVO")</f>
        <v>1700000</v>
      </c>
      <c r="AA92" s="82">
        <f>SUMIFS('Consulta Contratos'!$Z:$Z,'Consulta Contratos'!$AM:$AM,'Performance Vendas'!AA$88,'Consulta Contratos'!$J:$J,'Performance Vendas'!$A92,'Consulta Contratos'!$H:$H,"ATIVO")</f>
        <v>0</v>
      </c>
      <c r="AB92" s="82">
        <f>SUMIFS('Consulta Contratos'!$Z:$Z,'Consulta Contratos'!$AM:$AM,'Performance Vendas'!AB$88,'Consulta Contratos'!$J:$J,'Performance Vendas'!$A92,'Consulta Contratos'!$H:$H,"ATIVO")</f>
        <v>0</v>
      </c>
      <c r="AC92" s="82">
        <f>SUMIFS('Consulta Contratos'!$Z:$Z,'Consulta Contratos'!$AM:$AM,'Performance Vendas'!AC$88,'Consulta Contratos'!$J:$J,'Performance Vendas'!$A92,'Consulta Contratos'!$H:$H,"ATIVO")</f>
        <v>0</v>
      </c>
      <c r="AD92" s="82">
        <f>SUMIFS('Consulta Contratos'!$Z:$Z,'Consulta Contratos'!$AM:$AM,'Performance Vendas'!AD$88,'Consulta Contratos'!$J:$J,'Performance Vendas'!$A92,'Consulta Contratos'!$H:$H,"ATIVO")</f>
        <v>0</v>
      </c>
      <c r="AE92" s="82">
        <f>SUMIFS('Consulta Contratos'!$Z:$Z,'Consulta Contratos'!$AM:$AM,'Performance Vendas'!AE$88,'Consulta Contratos'!$J:$J,'Performance Vendas'!$A92,'Consulta Contratos'!$H:$H,"ATIVO")</f>
        <v>0</v>
      </c>
      <c r="AF92" s="82">
        <f>SUMIFS('Consulta Contratos'!$Z:$Z,'Consulta Contratos'!$AM:$AM,'Performance Vendas'!AF$88,'Consulta Contratos'!$J:$J,'Performance Vendas'!$A92,'Consulta Contratos'!$H:$H,"ATIVO")</f>
        <v>0</v>
      </c>
      <c r="AG92" s="82">
        <f>SUMIFS('Consulta Contratos'!$Z:$Z,'Consulta Contratos'!$AM:$AM,'Performance Vendas'!AG$88,'Consulta Contratos'!$J:$J,'Performance Vendas'!$A92,'Consulta Contratos'!$H:$H,"ATIVO")</f>
        <v>0</v>
      </c>
      <c r="AH92" s="82">
        <f>SUMIFS('Consulta Contratos'!$Z:$Z,'Consulta Contratos'!$AM:$AM,'Performance Vendas'!AH$88,'Consulta Contratos'!$J:$J,'Performance Vendas'!$A92,'Consulta Contratos'!$H:$H,"ATIVO")</f>
        <v>6117499.7199999997</v>
      </c>
      <c r="AI92" s="82">
        <f>SUMIFS('Consulta Contratos'!$Z:$Z,'Consulta Contratos'!$AM:$AM,'Performance Vendas'!AI$88,'Consulta Contratos'!$J:$J,'Performance Vendas'!$A92,'Consulta Contratos'!$H:$H,"ATIVO")</f>
        <v>8330720</v>
      </c>
      <c r="AJ92" s="86">
        <f t="shared" si="116"/>
        <v>19053219.719999999</v>
      </c>
      <c r="AK92" s="82">
        <f>SUMIFS('Consulta Contratos'!$Z:$Z,'Consulta Contratos'!$AM:$AM,'Performance Vendas'!AK$88,'Consulta Contratos'!$J:$J,'Performance Vendas'!$A92,'Consulta Contratos'!$H:$H,"ATIVO")</f>
        <v>2994000.4</v>
      </c>
      <c r="AL92" s="82">
        <f>SUMIFS('Consulta Contratos'!$Z:$Z,'Consulta Contratos'!$AM:$AM,'Performance Vendas'!AL$88,'Consulta Contratos'!$J:$J,'Performance Vendas'!$A92,'Consulta Contratos'!$H:$H,"ATIVO")</f>
        <v>2506000</v>
      </c>
      <c r="AM92" s="82">
        <f>SUMIFS('Consulta Contratos'!$Z:$Z,'Consulta Contratos'!$AM:$AM,'Performance Vendas'!AM$88,'Consulta Contratos'!$J:$J,'Performance Vendas'!$A92,'Consulta Contratos'!$H:$H,"ATIVO")</f>
        <v>0</v>
      </c>
      <c r="AN92" s="82">
        <f>SUMIFS('Consulta Contratos'!$Z:$Z,'Consulta Contratos'!$AM:$AM,'Performance Vendas'!AN$88,'Consulta Contratos'!$J:$J,'Performance Vendas'!$A92,'Consulta Contratos'!$H:$H,"ATIVO")</f>
        <v>0</v>
      </c>
      <c r="AO92" s="82">
        <f>SUMIFS('Consulta Contratos'!$Z:$Z,'Consulta Contratos'!$AM:$AM,'Performance Vendas'!AO$88,'Consulta Contratos'!$J:$J,'Performance Vendas'!$A92,'Consulta Contratos'!$H:$H,"ATIVO")</f>
        <v>0</v>
      </c>
      <c r="AP92" s="82">
        <f>SUMIFS('Consulta Contratos'!$Z:$Z,'Consulta Contratos'!$AM:$AM,'Performance Vendas'!AP$88,'Consulta Contratos'!$J:$J,'Performance Vendas'!$A92,'Consulta Contratos'!$H:$H,"ATIVO")</f>
        <v>0</v>
      </c>
      <c r="AQ92" s="82">
        <f>SUMIFS('Consulta Contratos'!$Z:$Z,'Consulta Contratos'!$AM:$AM,'Performance Vendas'!AQ$88,'Consulta Contratos'!$J:$J,'Performance Vendas'!$A92,'Consulta Contratos'!$H:$H,"ATIVO")</f>
        <v>0</v>
      </c>
      <c r="AR92" s="82">
        <f>SUMIFS('Consulta Contratos'!$Z:$Z,'Consulta Contratos'!$AM:$AM,'Performance Vendas'!AR$88,'Consulta Contratos'!$J:$J,'Performance Vendas'!$A92,'Consulta Contratos'!$H:$H,"ATIVO")</f>
        <v>0</v>
      </c>
      <c r="AS92" s="82">
        <f>SUMIFS('Consulta Contratos'!$Z:$Z,'Consulta Contratos'!$AM:$AM,'Performance Vendas'!AS$88,'Consulta Contratos'!$J:$J,'Performance Vendas'!$A92,'Consulta Contratos'!$H:$H,"ATIVO")</f>
        <v>0</v>
      </c>
      <c r="AT92" s="82">
        <f>SUMIFS('Consulta Contratos'!$Z:$Z,'Consulta Contratos'!$AM:$AM,'Performance Vendas'!AT$88,'Consulta Contratos'!$J:$J,'Performance Vendas'!$A92,'Consulta Contratos'!$H:$H,"ATIVO")</f>
        <v>0</v>
      </c>
      <c r="AU92" s="82">
        <f>SUMIFS('Consulta Contratos'!$Z:$Z,'Consulta Contratos'!$AM:$AM,'Performance Vendas'!AU$88,'Consulta Contratos'!$J:$J,'Performance Vendas'!$A92,'Consulta Contratos'!$H:$H,"ATIVO")</f>
        <v>0</v>
      </c>
      <c r="AV92" s="82">
        <f>SUMIFS('Consulta Contratos'!$Z:$Z,'Consulta Contratos'!$AM:$AM,'Performance Vendas'!AV$88,'Consulta Contratos'!$J:$J,'Performance Vendas'!$A92,'Consulta Contratos'!$H:$H,"ATIVO")</f>
        <v>0</v>
      </c>
      <c r="AW92" s="86">
        <f t="shared" ref="AW92:AW104" si="121">SUM(AK92:AV92)</f>
        <v>5500000.4000000004</v>
      </c>
      <c r="AX92" s="86">
        <f>AJ92+W92+J92+AW92</f>
        <v>67003255.600000001</v>
      </c>
      <c r="AY92" s="92">
        <f>AX92/$AX$104</f>
        <v>0.17492270772171656</v>
      </c>
      <c r="AZ92" s="82">
        <f>SUMIFS('Consulta Contratos'!$Z:$Z,'Consulta Contratos'!$AM:$AM,'Performance Vendas'!AZ$88,'Consulta Contratos'!$J:$J,'Performance Vendas'!$A92,'Consulta Contratos'!$H:$H,"ATIVO")</f>
        <v>676219.68</v>
      </c>
    </row>
    <row r="93" spans="1:52" s="88" customFormat="1" ht="12.75">
      <c r="A93" s="120">
        <v>13</v>
      </c>
      <c r="B93" s="106" t="s">
        <v>119</v>
      </c>
      <c r="C93" s="118" t="s">
        <v>117</v>
      </c>
      <c r="D93" s="95"/>
      <c r="E93" s="190">
        <f>COUNTIFS('Consulta Contratos'!$J:$J,'Performance Vendas'!$A93,'Consulta Contratos'!$H:$H,"Ativo",'Consulta Contratos'!$AM:$AM,'Performance Vendas'!E$88)</f>
        <v>1</v>
      </c>
      <c r="F93" s="190">
        <f>COUNTIFS('Consulta Contratos'!$J:$J,'Performance Vendas'!$A93,'Consulta Contratos'!$H:$H,"Ativo",'Consulta Contratos'!$AM:$AM,'Performance Vendas'!F$88)</f>
        <v>2</v>
      </c>
      <c r="G93" s="190">
        <f>COUNTIFS('Consulta Contratos'!$J:$J,'Performance Vendas'!$A93,'Consulta Contratos'!$H:$H,"Ativo",'Consulta Contratos'!$AM:$AM,'Performance Vendas'!G$88)</f>
        <v>0</v>
      </c>
      <c r="H93" s="190">
        <f>COUNTIFS('Consulta Contratos'!$J:$J,'Performance Vendas'!$A93,'Consulta Contratos'!$H:$H,"Ativo",'Consulta Contratos'!$AM:$AM,'Performance Vendas'!H$88)</f>
        <v>3</v>
      </c>
      <c r="I93" s="190">
        <f>COUNTIFS('Consulta Contratos'!$J:$J,'Performance Vendas'!$A93,'Consulta Contratos'!$H:$H,"Ativo",'Consulta Contratos'!$AM:$AM,'Performance Vendas'!I$88)</f>
        <v>3</v>
      </c>
      <c r="J93" s="191">
        <f>SUM(E93:I93)</f>
        <v>9</v>
      </c>
      <c r="K93" s="190">
        <f>COUNTIFS('Consulta Contratos'!$J:$J,'Performance Vendas'!$A93,'Consulta Contratos'!$H:$H,"Ativo",'Consulta Contratos'!$AM:$AM,'Performance Vendas'!K$88)</f>
        <v>5</v>
      </c>
      <c r="L93" s="190">
        <f>COUNTIFS('Consulta Contratos'!$J:$J,'Performance Vendas'!$A93,'Consulta Contratos'!$H:$H,"Ativo",'Consulta Contratos'!$AM:$AM,'Performance Vendas'!L$88)</f>
        <v>1</v>
      </c>
      <c r="M93" s="190">
        <f>COUNTIFS('Consulta Contratos'!$J:$J,'Performance Vendas'!$A93,'Consulta Contratos'!$H:$H,"Ativo",'Consulta Contratos'!$AM:$AM,'Performance Vendas'!M$88)</f>
        <v>2</v>
      </c>
      <c r="N93" s="190">
        <f>COUNTIFS('Consulta Contratos'!$J:$J,'Performance Vendas'!$A93,'Consulta Contratos'!$H:$H,"Ativo",'Consulta Contratos'!$AM:$AM,'Performance Vendas'!N$88)</f>
        <v>0</v>
      </c>
      <c r="O93" s="190">
        <f>COUNTIFS('Consulta Contratos'!$J:$J,'Performance Vendas'!$A93,'Consulta Contratos'!$H:$H,"Ativo",'Consulta Contratos'!$AM:$AM,'Performance Vendas'!O$88)</f>
        <v>5</v>
      </c>
      <c r="P93" s="190">
        <f>COUNTIFS('Consulta Contratos'!$J:$J,'Performance Vendas'!$A93,'Consulta Contratos'!$H:$H,"Ativo",'Consulta Contratos'!$AM:$AM,'Performance Vendas'!P$88)</f>
        <v>5</v>
      </c>
      <c r="Q93" s="190">
        <f>COUNTIFS('Consulta Contratos'!$J:$J,'Performance Vendas'!$A93,'Consulta Contratos'!$H:$H,"Ativo",'Consulta Contratos'!$AM:$AM,'Performance Vendas'!Q$88)</f>
        <v>1</v>
      </c>
      <c r="R93" s="190">
        <f>COUNTIFS('Consulta Contratos'!$J:$J,'Performance Vendas'!$A93,'Consulta Contratos'!$H:$H,"Ativo",'Consulta Contratos'!$AM:$AM,'Performance Vendas'!R$88)</f>
        <v>1</v>
      </c>
      <c r="S93" s="190">
        <f>COUNTIFS('Consulta Contratos'!$J:$J,'Performance Vendas'!$A93,'Consulta Contratos'!$H:$H,"Ativo",'Consulta Contratos'!$AM:$AM,'Performance Vendas'!S$88)</f>
        <v>2</v>
      </c>
      <c r="T93" s="190">
        <f>COUNTIFS('Consulta Contratos'!$J:$J,'Performance Vendas'!$A93,'Consulta Contratos'!$H:$H,"Ativo",'Consulta Contratos'!$AM:$AM,'Performance Vendas'!T$88)</f>
        <v>5</v>
      </c>
      <c r="U93" s="190">
        <f>COUNTIFS('Consulta Contratos'!$J:$J,'Performance Vendas'!$A93,'Consulta Contratos'!$H:$H,"Ativo",'Consulta Contratos'!$AM:$AM,'Performance Vendas'!U$88)</f>
        <v>3</v>
      </c>
      <c r="V93" s="190">
        <f>COUNTIFS('Consulta Contratos'!$J:$J,'Performance Vendas'!$A93,'Consulta Contratos'!$H:$H,"Ativo",'Consulta Contratos'!$AM:$AM,'Performance Vendas'!V$88)</f>
        <v>0</v>
      </c>
      <c r="W93" s="191">
        <f>SUM(K93:V93)</f>
        <v>30</v>
      </c>
      <c r="X93" s="190">
        <f>COUNTIFS('Consulta Contratos'!$J:$J,'Performance Vendas'!$A93,'Consulta Contratos'!$H:$H,"Ativo",'Consulta Contratos'!$AM:$AM,'Performance Vendas'!X$88)</f>
        <v>2</v>
      </c>
      <c r="Y93" s="190">
        <f>COUNTIFS('Consulta Contratos'!$J:$J,'Performance Vendas'!$A93,'Consulta Contratos'!$H:$H,"Ativo",'Consulta Contratos'!$AM:$AM,'Performance Vendas'!Y$88)</f>
        <v>0</v>
      </c>
      <c r="Z93" s="190">
        <f>COUNTIFS('Consulta Contratos'!$J:$J,'Performance Vendas'!$A93,'Consulta Contratos'!$H:$H,"Ativo",'Consulta Contratos'!$AM:$AM,'Performance Vendas'!Z$88)</f>
        <v>1</v>
      </c>
      <c r="AA93" s="190">
        <f>COUNTIFS('Consulta Contratos'!$J:$J,'Performance Vendas'!$A93,'Consulta Contratos'!$H:$H,"Ativo",'Consulta Contratos'!$AM:$AM,'Performance Vendas'!AA$88)</f>
        <v>0</v>
      </c>
      <c r="AB93" s="190">
        <f>COUNTIFS('Consulta Contratos'!$J:$J,'Performance Vendas'!$A93,'Consulta Contratos'!$H:$H,"Ativo",'Consulta Contratos'!$AM:$AM,'Performance Vendas'!AB$88)</f>
        <v>0</v>
      </c>
      <c r="AC93" s="190">
        <f>COUNTIFS('Consulta Contratos'!$J:$J,'Performance Vendas'!$A93,'Consulta Contratos'!$H:$H,"Ativo",'Consulta Contratos'!$AM:$AM,'Performance Vendas'!AC$88)</f>
        <v>0</v>
      </c>
      <c r="AD93" s="190">
        <f>COUNTIFS('Consulta Contratos'!$J:$J,'Performance Vendas'!$A93,'Consulta Contratos'!$H:$H,"Ativo",'Consulta Contratos'!$AM:$AM,'Performance Vendas'!AD$88)</f>
        <v>0</v>
      </c>
      <c r="AE93" s="190">
        <f>COUNTIFS('Consulta Contratos'!$J:$J,'Performance Vendas'!$A93,'Consulta Contratos'!$H:$H,"Ativo",'Consulta Contratos'!$AM:$AM,'Performance Vendas'!AE$88)</f>
        <v>0</v>
      </c>
      <c r="AF93" s="190">
        <f>COUNTIFS('Consulta Contratos'!$J:$J,'Performance Vendas'!$A93,'Consulta Contratos'!$H:$H,"Ativo",'Consulta Contratos'!$AM:$AM,'Performance Vendas'!AF$88)</f>
        <v>0</v>
      </c>
      <c r="AG93" s="190">
        <f>COUNTIFS('Consulta Contratos'!$J:$J,'Performance Vendas'!$A93,'Consulta Contratos'!$H:$H,"Ativo",'Consulta Contratos'!$AM:$AM,'Performance Vendas'!AG$88)</f>
        <v>0</v>
      </c>
      <c r="AH93" s="190">
        <f>COUNTIFS('Consulta Contratos'!$J:$J,'Performance Vendas'!$A93,'Consulta Contratos'!$H:$H,"Ativo",'Consulta Contratos'!$AM:$AM,'Performance Vendas'!AH$88)</f>
        <v>7</v>
      </c>
      <c r="AI93" s="190">
        <f>COUNTIFS('Consulta Contratos'!$J:$J,'Performance Vendas'!$A93,'Consulta Contratos'!$H:$H,"Ativo",'Consulta Contratos'!$AM:$AM,'Performance Vendas'!AI$88)</f>
        <v>7</v>
      </c>
      <c r="AJ93" s="191">
        <f>SUM(X93:AI93)</f>
        <v>17</v>
      </c>
      <c r="AK93" s="190">
        <f>COUNTIFS('Consulta Contratos'!$J:$J,'Performance Vendas'!$A93,'Consulta Contratos'!$H:$H,"Ativo",'Consulta Contratos'!$AM:$AM,'Performance Vendas'!AK$88)</f>
        <v>3</v>
      </c>
      <c r="AL93" s="190">
        <f>COUNTIFS('Consulta Contratos'!$J:$J,'Performance Vendas'!$A93,'Consulta Contratos'!$H:$H,"Ativo",'Consulta Contratos'!$AM:$AM,'Performance Vendas'!AL$88)</f>
        <v>3</v>
      </c>
      <c r="AM93" s="190">
        <f>COUNTIFS('Consulta Contratos'!$J:$J,'Performance Vendas'!$A93,'Consulta Contratos'!$H:$H,"Ativo",'Consulta Contratos'!$AM:$AM,'Performance Vendas'!AM$88)</f>
        <v>0</v>
      </c>
      <c r="AN93" s="190">
        <f>COUNTIFS('Consulta Contratos'!$J:$J,'Performance Vendas'!$A93,'Consulta Contratos'!$H:$H,"Ativo",'Consulta Contratos'!$AM:$AM,'Performance Vendas'!AN$88)</f>
        <v>0</v>
      </c>
      <c r="AO93" s="190">
        <f>COUNTIFS('Consulta Contratos'!$J:$J,'Performance Vendas'!$A93,'Consulta Contratos'!$H:$H,"Ativo",'Consulta Contratos'!$AM:$AM,'Performance Vendas'!AO$88)</f>
        <v>0</v>
      </c>
      <c r="AP93" s="190">
        <f>COUNTIFS('Consulta Contratos'!$J:$J,'Performance Vendas'!$A93,'Consulta Contratos'!$H:$H,"Ativo",'Consulta Contratos'!$AM:$AM,'Performance Vendas'!AP$88)</f>
        <v>0</v>
      </c>
      <c r="AQ93" s="190">
        <f>COUNTIFS('Consulta Contratos'!$J:$J,'Performance Vendas'!$A93,'Consulta Contratos'!$H:$H,"Ativo",'Consulta Contratos'!$AM:$AM,'Performance Vendas'!AQ$88)</f>
        <v>0</v>
      </c>
      <c r="AR93" s="190">
        <f>COUNTIFS('Consulta Contratos'!$J:$J,'Performance Vendas'!$A93,'Consulta Contratos'!$H:$H,"Ativo",'Consulta Contratos'!$AM:$AM,'Performance Vendas'!AR$88)</f>
        <v>0</v>
      </c>
      <c r="AS93" s="190">
        <f>COUNTIFS('Consulta Contratos'!$J:$J,'Performance Vendas'!$A93,'Consulta Contratos'!$H:$H,"Ativo",'Consulta Contratos'!$AM:$AM,'Performance Vendas'!AS$88)</f>
        <v>0</v>
      </c>
      <c r="AT93" s="190">
        <f>COUNTIFS('Consulta Contratos'!$J:$J,'Performance Vendas'!$A93,'Consulta Contratos'!$H:$H,"Ativo",'Consulta Contratos'!$AM:$AM,'Performance Vendas'!AT$88)</f>
        <v>0</v>
      </c>
      <c r="AU93" s="190">
        <f>COUNTIFS('Consulta Contratos'!$J:$J,'Performance Vendas'!$A93,'Consulta Contratos'!$H:$H,"Ativo",'Consulta Contratos'!$AM:$AM,'Performance Vendas'!AU$88)</f>
        <v>0</v>
      </c>
      <c r="AV93" s="190">
        <f>COUNTIFS('Consulta Contratos'!$J:$J,'Performance Vendas'!$A93,'Consulta Contratos'!$H:$H,"Ativo",'Consulta Contratos'!$AM:$AM,'Performance Vendas'!AV$88)</f>
        <v>0</v>
      </c>
      <c r="AW93" s="191">
        <f>SUM(AK93:AV93)</f>
        <v>6</v>
      </c>
      <c r="AX93" s="191">
        <f>AJ93+W93+J93+AW93</f>
        <v>62</v>
      </c>
      <c r="AY93" s="81">
        <f>AX93/$AX$105</f>
        <v>0.13419913419913421</v>
      </c>
      <c r="AZ93" s="190">
        <f>COUNTIFS('Consulta Contratos'!$J:$J,'Performance Vendas'!$A93,'Consulta Contratos'!$H:$H,"Ativo",'Consulta Contratos'!$AM:$AM,'Performance Vendas'!AZ$88)</f>
        <v>1</v>
      </c>
    </row>
    <row r="94" spans="1:52" s="87" customFormat="1">
      <c r="A94" s="120"/>
      <c r="B94" s="107"/>
      <c r="C94" s="119" t="s">
        <v>120</v>
      </c>
      <c r="D94" s="85"/>
      <c r="E94" s="83">
        <f>IFERROR(E92/E93,0)</f>
        <v>1057000</v>
      </c>
      <c r="F94" s="83">
        <f>IFERROR(F92/F93,0)</f>
        <v>690750</v>
      </c>
      <c r="G94" s="83">
        <f>IFERROR(G92/G93,0)</f>
        <v>0</v>
      </c>
      <c r="H94" s="83">
        <f>IFERROR(H92/H93,0)</f>
        <v>729333.33333333337</v>
      </c>
      <c r="I94" s="83">
        <f>IFERROR(I92/I93,0)</f>
        <v>806666.66666666663</v>
      </c>
      <c r="J94" s="96">
        <f>SUM(E94:I94)</f>
        <v>3283750</v>
      </c>
      <c r="K94" s="83">
        <f t="shared" ref="K94:V94" si="122">IFERROR(K92/K93,0)</f>
        <v>1208634</v>
      </c>
      <c r="L94" s="83">
        <f t="shared" si="122"/>
        <v>1056825</v>
      </c>
      <c r="M94" s="83">
        <f t="shared" si="122"/>
        <v>1068000</v>
      </c>
      <c r="N94" s="83">
        <f t="shared" si="122"/>
        <v>0</v>
      </c>
      <c r="O94" s="83">
        <f t="shared" si="122"/>
        <v>1006900</v>
      </c>
      <c r="P94" s="83">
        <f t="shared" si="122"/>
        <v>1224203.2</v>
      </c>
      <c r="Q94" s="83">
        <f t="shared" si="122"/>
        <v>910000</v>
      </c>
      <c r="R94" s="83">
        <f t="shared" si="122"/>
        <v>1404490</v>
      </c>
      <c r="S94" s="83">
        <f t="shared" si="122"/>
        <v>1078101.4950000001</v>
      </c>
      <c r="T94" s="83">
        <f t="shared" si="122"/>
        <v>1233066.298</v>
      </c>
      <c r="U94" s="83">
        <f t="shared" si="122"/>
        <v>1458666.6666666667</v>
      </c>
      <c r="V94" s="83">
        <f t="shared" si="122"/>
        <v>0</v>
      </c>
      <c r="W94" s="96">
        <f>SUM(K94:V94)</f>
        <v>11648886.659666667</v>
      </c>
      <c r="X94" s="83">
        <f t="shared" ref="X94:AX94" si="123">IFERROR(X92/X93,0)</f>
        <v>1452500</v>
      </c>
      <c r="Y94" s="83">
        <f t="shared" si="123"/>
        <v>0</v>
      </c>
      <c r="Z94" s="83">
        <f t="shared" si="123"/>
        <v>1700000</v>
      </c>
      <c r="AA94" s="83">
        <f t="shared" si="123"/>
        <v>0</v>
      </c>
      <c r="AB94" s="83">
        <f t="shared" si="123"/>
        <v>0</v>
      </c>
      <c r="AC94" s="83">
        <f t="shared" si="123"/>
        <v>0</v>
      </c>
      <c r="AD94" s="83">
        <f t="shared" si="123"/>
        <v>0</v>
      </c>
      <c r="AE94" s="83">
        <f t="shared" si="123"/>
        <v>0</v>
      </c>
      <c r="AF94" s="83">
        <f t="shared" si="123"/>
        <v>0</v>
      </c>
      <c r="AG94" s="83">
        <f t="shared" si="123"/>
        <v>0</v>
      </c>
      <c r="AH94" s="83">
        <f t="shared" si="123"/>
        <v>873928.53142857144</v>
      </c>
      <c r="AI94" s="83">
        <f t="shared" si="123"/>
        <v>1190102.857142857</v>
      </c>
      <c r="AJ94" s="96">
        <f t="shared" si="123"/>
        <v>1120777.6305882353</v>
      </c>
      <c r="AK94" s="83">
        <f t="shared" ref="AK94:AW94" si="124">IFERROR(AK92/AK93,0)</f>
        <v>998000.1333333333</v>
      </c>
      <c r="AL94" s="83">
        <f t="shared" si="124"/>
        <v>835333.33333333337</v>
      </c>
      <c r="AM94" s="83">
        <f t="shared" si="124"/>
        <v>0</v>
      </c>
      <c r="AN94" s="83">
        <f t="shared" si="124"/>
        <v>0</v>
      </c>
      <c r="AO94" s="83">
        <f t="shared" si="124"/>
        <v>0</v>
      </c>
      <c r="AP94" s="83">
        <f t="shared" si="124"/>
        <v>0</v>
      </c>
      <c r="AQ94" s="83">
        <f t="shared" si="124"/>
        <v>0</v>
      </c>
      <c r="AR94" s="83">
        <f t="shared" si="124"/>
        <v>0</v>
      </c>
      <c r="AS94" s="83">
        <f t="shared" si="124"/>
        <v>0</v>
      </c>
      <c r="AT94" s="83">
        <f t="shared" si="124"/>
        <v>0</v>
      </c>
      <c r="AU94" s="83">
        <f t="shared" si="124"/>
        <v>0</v>
      </c>
      <c r="AV94" s="83">
        <f t="shared" si="124"/>
        <v>0</v>
      </c>
      <c r="AW94" s="96">
        <f t="shared" si="124"/>
        <v>916666.7333333334</v>
      </c>
      <c r="AX94" s="96">
        <f t="shared" si="123"/>
        <v>1080697.6709677419</v>
      </c>
      <c r="AY94" s="97"/>
      <c r="AZ94" s="83">
        <f>IFERROR(AZ92/AZ93,0)</f>
        <v>676219.68</v>
      </c>
    </row>
    <row r="95" spans="1:52" s="87" customFormat="1">
      <c r="A95" s="120">
        <v>4</v>
      </c>
      <c r="B95" s="105"/>
      <c r="C95" s="117" t="s">
        <v>70</v>
      </c>
      <c r="D95" s="85"/>
      <c r="E95" s="82">
        <f>SUMIFS('Consulta Contratos'!$Z:$Z,'Consulta Contratos'!$AM:$AM,'Performance Vendas'!E$88,'Consulta Contratos'!$J:$J,'Performance Vendas'!$A95,'Consulta Contratos'!$H:$H,"ATIVO")</f>
        <v>0</v>
      </c>
      <c r="F95" s="82">
        <f>SUMIFS('Consulta Contratos'!$Z:$Z,'Consulta Contratos'!$AM:$AM,'Performance Vendas'!F$88,'Consulta Contratos'!$J:$J,'Performance Vendas'!$A95,'Consulta Contratos'!$H:$H,"ATIVO")</f>
        <v>963100</v>
      </c>
      <c r="G95" s="82">
        <f>SUMIFS('Consulta Contratos'!$Z:$Z,'Consulta Contratos'!$AM:$AM,'Performance Vendas'!G$88,'Consulta Contratos'!$J:$J,'Performance Vendas'!$A95,'Consulta Contratos'!$H:$H,"ATIVO")</f>
        <v>1027000</v>
      </c>
      <c r="H95" s="82">
        <f>SUMIFS('Consulta Contratos'!$Z:$Z,'Consulta Contratos'!$AM:$AM,'Performance Vendas'!H$88,'Consulta Contratos'!$J:$J,'Performance Vendas'!$A95,'Consulta Contratos'!$H:$H,"ATIVO")</f>
        <v>895000</v>
      </c>
      <c r="I95" s="82">
        <f>SUMIFS('Consulta Contratos'!$Z:$Z,'Consulta Contratos'!$AM:$AM,'Performance Vendas'!I$88,'Consulta Contratos'!$J:$J,'Performance Vendas'!$A95,'Consulta Contratos'!$H:$H,"ATIVO")</f>
        <v>4144754</v>
      </c>
      <c r="J95" s="86">
        <f t="shared" si="114"/>
        <v>7029854</v>
      </c>
      <c r="K95" s="82">
        <f>SUMIFS('Consulta Contratos'!$Z:$Z,'Consulta Contratos'!$AM:$AM,'Performance Vendas'!K$88,'Consulta Contratos'!$J:$J,'Performance Vendas'!$A95,'Consulta Contratos'!$H:$H,"ATIVO")</f>
        <v>960840</v>
      </c>
      <c r="L95" s="82">
        <f>SUMIFS('Consulta Contratos'!$Z:$Z,'Consulta Contratos'!$AM:$AM,'Performance Vendas'!L$88,'Consulta Contratos'!$J:$J,'Performance Vendas'!$A95,'Consulta Contratos'!$H:$H,"ATIVO")</f>
        <v>1428000</v>
      </c>
      <c r="M95" s="82">
        <f>SUMIFS('Consulta Contratos'!$Z:$Z,'Consulta Contratos'!$AM:$AM,'Performance Vendas'!M$88,'Consulta Contratos'!$J:$J,'Performance Vendas'!$A95,'Consulta Contratos'!$H:$H,"ATIVO")</f>
        <v>558840</v>
      </c>
      <c r="N95" s="82">
        <f>SUMIFS('Consulta Contratos'!$Z:$Z,'Consulta Contratos'!$AM:$AM,'Performance Vendas'!N$88,'Consulta Contratos'!$J:$J,'Performance Vendas'!$A95,'Consulta Contratos'!$H:$H,"ATIVO")</f>
        <v>0</v>
      </c>
      <c r="O95" s="82">
        <f>SUMIFS('Consulta Contratos'!$Z:$Z,'Consulta Contratos'!$AM:$AM,'Performance Vendas'!O$88,'Consulta Contratos'!$J:$J,'Performance Vendas'!$A95,'Consulta Contratos'!$H:$H,"ATIVO")</f>
        <v>0</v>
      </c>
      <c r="P95" s="82">
        <f>SUMIFS('Consulta Contratos'!$Z:$Z,'Consulta Contratos'!$AM:$AM,'Performance Vendas'!P$88,'Consulta Contratos'!$J:$J,'Performance Vendas'!$A95,'Consulta Contratos'!$H:$H,"ATIVO")</f>
        <v>230000</v>
      </c>
      <c r="Q95" s="82">
        <f>SUMIFS('Consulta Contratos'!$Z:$Z,'Consulta Contratos'!$AM:$AM,'Performance Vendas'!Q$88,'Consulta Contratos'!$J:$J,'Performance Vendas'!$A95,'Consulta Contratos'!$H:$H,"ATIVO")</f>
        <v>0</v>
      </c>
      <c r="R95" s="82">
        <f>SUMIFS('Consulta Contratos'!$Z:$Z,'Consulta Contratos'!$AM:$AM,'Performance Vendas'!R$88,'Consulta Contratos'!$J:$J,'Performance Vendas'!$A95,'Consulta Contratos'!$H:$H,"ATIVO")</f>
        <v>0</v>
      </c>
      <c r="S95" s="82">
        <f>SUMIFS('Consulta Contratos'!$Z:$Z,'Consulta Contratos'!$AM:$AM,'Performance Vendas'!S$88,'Consulta Contratos'!$J:$J,'Performance Vendas'!$A95,'Consulta Contratos'!$H:$H,"ATIVO")</f>
        <v>0</v>
      </c>
      <c r="T95" s="82">
        <f>SUMIFS('Consulta Contratos'!$Z:$Z,'Consulta Contratos'!$AM:$AM,'Performance Vendas'!T$88,'Consulta Contratos'!$J:$J,'Performance Vendas'!$A95,'Consulta Contratos'!$H:$H,"ATIVO")</f>
        <v>0</v>
      </c>
      <c r="U95" s="82">
        <f>SUMIFS('Consulta Contratos'!$Z:$Z,'Consulta Contratos'!$AM:$AM,'Performance Vendas'!U$88,'Consulta Contratos'!$J:$J,'Performance Vendas'!$A95,'Consulta Contratos'!$H:$H,"ATIVO")</f>
        <v>2379085.08</v>
      </c>
      <c r="V95" s="82">
        <f>SUMIFS('Consulta Contratos'!$Z:$Z,'Consulta Contratos'!$AM:$AM,'Performance Vendas'!V$88,'Consulta Contratos'!$J:$J,'Performance Vendas'!$A95,'Consulta Contratos'!$H:$H,"ATIVO")</f>
        <v>2136045</v>
      </c>
      <c r="W95" s="86">
        <f t="shared" si="115"/>
        <v>7692810.0800000001</v>
      </c>
      <c r="X95" s="82">
        <f>SUMIFS('Consulta Contratos'!$Z:$Z,'Consulta Contratos'!$AM:$AM,'Performance Vendas'!X$88,'Consulta Contratos'!$J:$J,'Performance Vendas'!$A95,'Consulta Contratos'!$H:$H,"ATIVO")</f>
        <v>0</v>
      </c>
      <c r="Y95" s="82">
        <f>SUMIFS('Consulta Contratos'!$Z:$Z,'Consulta Contratos'!$AM:$AM,'Performance Vendas'!Y$88,'Consulta Contratos'!$J:$J,'Performance Vendas'!$A95,'Consulta Contratos'!$H:$H,"ATIVO")</f>
        <v>0</v>
      </c>
      <c r="Z95" s="82">
        <f>SUMIFS('Consulta Contratos'!$Z:$Z,'Consulta Contratos'!$AM:$AM,'Performance Vendas'!Z$88,'Consulta Contratos'!$J:$J,'Performance Vendas'!$A95,'Consulta Contratos'!$H:$H,"ATIVO")</f>
        <v>0</v>
      </c>
      <c r="AA95" s="82">
        <f>SUMIFS('Consulta Contratos'!$Z:$Z,'Consulta Contratos'!$AM:$AM,'Performance Vendas'!AA$88,'Consulta Contratos'!$J:$J,'Performance Vendas'!$A95,'Consulta Contratos'!$H:$H,"ATIVO")</f>
        <v>0</v>
      </c>
      <c r="AB95" s="82">
        <f>SUMIFS('Consulta Contratos'!$Z:$Z,'Consulta Contratos'!$AM:$AM,'Performance Vendas'!AB$88,'Consulta Contratos'!$J:$J,'Performance Vendas'!$A95,'Consulta Contratos'!$H:$H,"ATIVO")</f>
        <v>339166.28</v>
      </c>
      <c r="AC95" s="82">
        <f>SUMIFS('Consulta Contratos'!$Z:$Z,'Consulta Contratos'!$AM:$AM,'Performance Vendas'!AC$88,'Consulta Contratos'!$J:$J,'Performance Vendas'!$A95,'Consulta Contratos'!$H:$H,"ATIVO")</f>
        <v>751000</v>
      </c>
      <c r="AD95" s="82">
        <f>SUMIFS('Consulta Contratos'!$Z:$Z,'Consulta Contratos'!$AM:$AM,'Performance Vendas'!AD$88,'Consulta Contratos'!$J:$J,'Performance Vendas'!$A95,'Consulta Contratos'!$H:$H,"ATIVO")</f>
        <v>1533500</v>
      </c>
      <c r="AE95" s="82">
        <f>SUMIFS('Consulta Contratos'!$Z:$Z,'Consulta Contratos'!$AM:$AM,'Performance Vendas'!AE$88,'Consulta Contratos'!$J:$J,'Performance Vendas'!$A95,'Consulta Contratos'!$H:$H,"ATIVO")</f>
        <v>3728600.42</v>
      </c>
      <c r="AF95" s="82">
        <f>SUMIFS('Consulta Contratos'!$Z:$Z,'Consulta Contratos'!$AM:$AM,'Performance Vendas'!AF$88,'Consulta Contratos'!$J:$J,'Performance Vendas'!$A95,'Consulta Contratos'!$H:$H,"ATIVO")</f>
        <v>5257845</v>
      </c>
      <c r="AG95" s="82">
        <f>SUMIFS('Consulta Contratos'!$Z:$Z,'Consulta Contratos'!$AM:$AM,'Performance Vendas'!AG$88,'Consulta Contratos'!$J:$J,'Performance Vendas'!$A95,'Consulta Contratos'!$H:$H,"ATIVO")</f>
        <v>606000</v>
      </c>
      <c r="AH95" s="82">
        <f>SUMIFS('Consulta Contratos'!$Z:$Z,'Consulta Contratos'!$AM:$AM,'Performance Vendas'!AH$88,'Consulta Contratos'!$J:$J,'Performance Vendas'!$A95,'Consulta Contratos'!$H:$H,"ATIVO")</f>
        <v>0</v>
      </c>
      <c r="AI95" s="82">
        <f>SUMIFS('Consulta Contratos'!$Z:$Z,'Consulta Contratos'!$AM:$AM,'Performance Vendas'!AI$88,'Consulta Contratos'!$J:$J,'Performance Vendas'!$A95,'Consulta Contratos'!$H:$H,"ATIVO")</f>
        <v>1101644.8500000001</v>
      </c>
      <c r="AJ95" s="86">
        <f t="shared" si="116"/>
        <v>13317756.549999999</v>
      </c>
      <c r="AK95" s="82">
        <f>SUMIFS('Consulta Contratos'!$Z:$Z,'Consulta Contratos'!$AM:$AM,'Performance Vendas'!AK$88,'Consulta Contratos'!$J:$J,'Performance Vendas'!$A95,'Consulta Contratos'!$H:$H,"ATIVO")</f>
        <v>2315451.6100000003</v>
      </c>
      <c r="AL95" s="82">
        <f>SUMIFS('Consulta Contratos'!$Z:$Z,'Consulta Contratos'!$AM:$AM,'Performance Vendas'!AL$88,'Consulta Contratos'!$J:$J,'Performance Vendas'!$A95,'Consulta Contratos'!$H:$H,"ATIVO")</f>
        <v>0</v>
      </c>
      <c r="AM95" s="82">
        <f>SUMIFS('Consulta Contratos'!$Z:$Z,'Consulta Contratos'!$AM:$AM,'Performance Vendas'!AM$88,'Consulta Contratos'!$J:$J,'Performance Vendas'!$A95,'Consulta Contratos'!$H:$H,"ATIVO")</f>
        <v>0</v>
      </c>
      <c r="AN95" s="82">
        <f>SUMIFS('Consulta Contratos'!$Z:$Z,'Consulta Contratos'!$AM:$AM,'Performance Vendas'!AN$88,'Consulta Contratos'!$J:$J,'Performance Vendas'!$A95,'Consulta Contratos'!$H:$H,"ATIVO")</f>
        <v>0</v>
      </c>
      <c r="AO95" s="82">
        <f>SUMIFS('Consulta Contratos'!$Z:$Z,'Consulta Contratos'!$AM:$AM,'Performance Vendas'!AO$88,'Consulta Contratos'!$J:$J,'Performance Vendas'!$A95,'Consulta Contratos'!$H:$H,"ATIVO")</f>
        <v>0</v>
      </c>
      <c r="AP95" s="82">
        <f>SUMIFS('Consulta Contratos'!$Z:$Z,'Consulta Contratos'!$AM:$AM,'Performance Vendas'!AP$88,'Consulta Contratos'!$J:$J,'Performance Vendas'!$A95,'Consulta Contratos'!$H:$H,"ATIVO")</f>
        <v>0</v>
      </c>
      <c r="AQ95" s="82">
        <f>SUMIFS('Consulta Contratos'!$Z:$Z,'Consulta Contratos'!$AM:$AM,'Performance Vendas'!AQ$88,'Consulta Contratos'!$J:$J,'Performance Vendas'!$A95,'Consulta Contratos'!$H:$H,"ATIVO")</f>
        <v>0</v>
      </c>
      <c r="AR95" s="82">
        <f>SUMIFS('Consulta Contratos'!$Z:$Z,'Consulta Contratos'!$AM:$AM,'Performance Vendas'!AR$88,'Consulta Contratos'!$J:$J,'Performance Vendas'!$A95,'Consulta Contratos'!$H:$H,"ATIVO")</f>
        <v>0</v>
      </c>
      <c r="AS95" s="82">
        <f>SUMIFS('Consulta Contratos'!$Z:$Z,'Consulta Contratos'!$AM:$AM,'Performance Vendas'!AS$88,'Consulta Contratos'!$J:$J,'Performance Vendas'!$A95,'Consulta Contratos'!$H:$H,"ATIVO")</f>
        <v>0</v>
      </c>
      <c r="AT95" s="82">
        <f>SUMIFS('Consulta Contratos'!$Z:$Z,'Consulta Contratos'!$AM:$AM,'Performance Vendas'!AT$88,'Consulta Contratos'!$J:$J,'Performance Vendas'!$A95,'Consulta Contratos'!$H:$H,"ATIVO")</f>
        <v>0</v>
      </c>
      <c r="AU95" s="82">
        <f>SUMIFS('Consulta Contratos'!$Z:$Z,'Consulta Contratos'!$AM:$AM,'Performance Vendas'!AU$88,'Consulta Contratos'!$J:$J,'Performance Vendas'!$A95,'Consulta Contratos'!$H:$H,"ATIVO")</f>
        <v>0</v>
      </c>
      <c r="AV95" s="82">
        <f>SUMIFS('Consulta Contratos'!$Z:$Z,'Consulta Contratos'!$AM:$AM,'Performance Vendas'!AV$88,'Consulta Contratos'!$J:$J,'Performance Vendas'!$A95,'Consulta Contratos'!$H:$H,"ATIVO")</f>
        <v>0</v>
      </c>
      <c r="AW95" s="86">
        <f t="shared" ref="AW95:AW107" si="125">SUM(AK95:AV95)</f>
        <v>2315451.6100000003</v>
      </c>
      <c r="AX95" s="86">
        <f>AJ95+W95+J95+AW95</f>
        <v>30355872.239999998</v>
      </c>
      <c r="AY95" s="92">
        <f>AX95/$AX$104</f>
        <v>7.924885619252342E-2</v>
      </c>
      <c r="AZ95" s="82">
        <f>SUMIFS('Consulta Contratos'!$Z:$Z,'Consulta Contratos'!$AM:$AM,'Performance Vendas'!AZ$88,'Consulta Contratos'!$J:$J,'Performance Vendas'!$A95,'Consulta Contratos'!$H:$H,"ATIVO")</f>
        <v>0</v>
      </c>
    </row>
    <row r="96" spans="1:52" s="88" customFormat="1" ht="12.75">
      <c r="A96" s="120">
        <v>4</v>
      </c>
      <c r="B96" s="106" t="s">
        <v>121</v>
      </c>
      <c r="C96" s="118" t="s">
        <v>117</v>
      </c>
      <c r="D96" s="95"/>
      <c r="E96" s="190">
        <f>COUNTIFS('Consulta Contratos'!$J:$J,'Performance Vendas'!$A96,'Consulta Contratos'!$H:$H,"Ativo",'Consulta Contratos'!$AM:$AM,'Performance Vendas'!E$88)/2</f>
        <v>0</v>
      </c>
      <c r="F96" s="190">
        <f>COUNTIFS('Consulta Contratos'!$J:$J,'Performance Vendas'!$A96,'Consulta Contratos'!$H:$H,"Ativo",'Consulta Contratos'!$AM:$AM,'Performance Vendas'!F$88)/2</f>
        <v>2</v>
      </c>
      <c r="G96" s="190">
        <f>COUNTIFS('Consulta Contratos'!$J:$J,'Performance Vendas'!$A96,'Consulta Contratos'!$H:$H,"Ativo",'Consulta Contratos'!$AM:$AM,'Performance Vendas'!G$88)/2</f>
        <v>2</v>
      </c>
      <c r="H96" s="190">
        <f>COUNTIFS('Consulta Contratos'!$J:$J,'Performance Vendas'!$A96,'Consulta Contratos'!$H:$H,"Ativo",'Consulta Contratos'!$AM:$AM,'Performance Vendas'!H$88)/2</f>
        <v>2</v>
      </c>
      <c r="I96" s="190">
        <f>COUNTIFS('Consulta Contratos'!$J:$J,'Performance Vendas'!$A96,'Consulta Contratos'!$H:$H,"Ativo",'Consulta Contratos'!$AM:$AM,'Performance Vendas'!I$88)/2</f>
        <v>9</v>
      </c>
      <c r="J96" s="191">
        <f t="shared" ref="J96" si="126">SUM(E96:I96)</f>
        <v>15</v>
      </c>
      <c r="K96" s="190">
        <f>COUNTIFS('Consulta Contratos'!$J:$J,'Performance Vendas'!$A96,'Consulta Contratos'!$H:$H,"Ativo",'Consulta Contratos'!$AM:$AM,'Performance Vendas'!K$88)/2</f>
        <v>2</v>
      </c>
      <c r="L96" s="190">
        <f>COUNTIFS('Consulta Contratos'!$J:$J,'Performance Vendas'!$A96,'Consulta Contratos'!$H:$H,"Ativo",'Consulta Contratos'!$AM:$AM,'Performance Vendas'!L$88)/2</f>
        <v>3</v>
      </c>
      <c r="M96" s="190">
        <f>COUNTIFS('Consulta Contratos'!$J:$J,'Performance Vendas'!$A96,'Consulta Contratos'!$H:$H,"Ativo",'Consulta Contratos'!$AM:$AM,'Performance Vendas'!M$88)/2</f>
        <v>1</v>
      </c>
      <c r="N96" s="190">
        <f>COUNTIFS('Consulta Contratos'!$J:$J,'Performance Vendas'!$A96,'Consulta Contratos'!$H:$H,"Ativo",'Consulta Contratos'!$AM:$AM,'Performance Vendas'!N$88)/2</f>
        <v>0</v>
      </c>
      <c r="O96" s="190">
        <f>COUNTIFS('Consulta Contratos'!$J:$J,'Performance Vendas'!$A96,'Consulta Contratos'!$H:$H,"Ativo",'Consulta Contratos'!$AM:$AM,'Performance Vendas'!O$88)/2</f>
        <v>0</v>
      </c>
      <c r="P96" s="190">
        <f>COUNTIFS('Consulta Contratos'!$J:$J,'Performance Vendas'!$A96,'Consulta Contratos'!$H:$H,"Ativo",'Consulta Contratos'!$AM:$AM,'Performance Vendas'!P$88)/2</f>
        <v>0.5</v>
      </c>
      <c r="Q96" s="190">
        <f>COUNTIFS('Consulta Contratos'!$J:$J,'Performance Vendas'!$A96,'Consulta Contratos'!$H:$H,"Ativo",'Consulta Contratos'!$AM:$AM,'Performance Vendas'!Q$88)/2</f>
        <v>0</v>
      </c>
      <c r="R96" s="190">
        <f>COUNTIFS('Consulta Contratos'!$J:$J,'Performance Vendas'!$A96,'Consulta Contratos'!$H:$H,"Ativo",'Consulta Contratos'!$AM:$AM,'Performance Vendas'!R$88)/2</f>
        <v>0</v>
      </c>
      <c r="S96" s="190">
        <f>COUNTIFS('Consulta Contratos'!$J:$J,'Performance Vendas'!$A96,'Consulta Contratos'!$H:$H,"Ativo",'Consulta Contratos'!$AM:$AM,'Performance Vendas'!S$88)/2</f>
        <v>0</v>
      </c>
      <c r="T96" s="190">
        <f>COUNTIFS('Consulta Contratos'!$J:$J,'Performance Vendas'!$A96,'Consulta Contratos'!$H:$H,"Ativo",'Consulta Contratos'!$AM:$AM,'Performance Vendas'!T$88)/2</f>
        <v>0</v>
      </c>
      <c r="U96" s="190">
        <f>COUNTIFS('Consulta Contratos'!$J:$J,'Performance Vendas'!$A96,'Consulta Contratos'!$H:$H,"Ativo",'Consulta Contratos'!$AM:$AM,'Performance Vendas'!U$88)/2</f>
        <v>4.5</v>
      </c>
      <c r="V96" s="190">
        <f>COUNTIFS('Consulta Contratos'!$J:$J,'Performance Vendas'!$A96,'Consulta Contratos'!$H:$H,"Ativo",'Consulta Contratos'!$AM:$AM,'Performance Vendas'!V$88)/2</f>
        <v>3.5</v>
      </c>
      <c r="W96" s="191">
        <f t="shared" ref="W96" si="127">SUM(K96:V96)</f>
        <v>14.5</v>
      </c>
      <c r="X96" s="190">
        <f>COUNTIFS('Consulta Contratos'!$J:$J,'Performance Vendas'!$A96,'Consulta Contratos'!$H:$H,"Ativo",'Consulta Contratos'!$AM:$AM,'Performance Vendas'!X$88)/2</f>
        <v>0</v>
      </c>
      <c r="Y96" s="190">
        <f>COUNTIFS('Consulta Contratos'!$J:$J,'Performance Vendas'!$A96,'Consulta Contratos'!$H:$H,"Ativo",'Consulta Contratos'!$AM:$AM,'Performance Vendas'!Y$88)/2</f>
        <v>0</v>
      </c>
      <c r="Z96" s="190">
        <f>COUNTIFS('Consulta Contratos'!$J:$J,'Performance Vendas'!$A96,'Consulta Contratos'!$H:$H,"Ativo",'Consulta Contratos'!$AM:$AM,'Performance Vendas'!Z$88)/2</f>
        <v>0</v>
      </c>
      <c r="AA96" s="190">
        <f>COUNTIFS('Consulta Contratos'!$J:$J,'Performance Vendas'!$A96,'Consulta Contratos'!$H:$H,"Ativo",'Consulta Contratos'!$AM:$AM,'Performance Vendas'!AA$88)/2</f>
        <v>0</v>
      </c>
      <c r="AB96" s="190">
        <f>COUNTIFS('Consulta Contratos'!$J:$J,'Performance Vendas'!$A96,'Consulta Contratos'!$H:$H,"Ativo",'Consulta Contratos'!$AM:$AM,'Performance Vendas'!AB$88)/2</f>
        <v>0.5</v>
      </c>
      <c r="AC96" s="190">
        <f>COUNTIFS('Consulta Contratos'!$J:$J,'Performance Vendas'!$A96,'Consulta Contratos'!$H:$H,"Ativo",'Consulta Contratos'!$AM:$AM,'Performance Vendas'!AC$88)/2</f>
        <v>1</v>
      </c>
      <c r="AD96" s="190">
        <f>COUNTIFS('Consulta Contratos'!$J:$J,'Performance Vendas'!$A96,'Consulta Contratos'!$H:$H,"Ativo",'Consulta Contratos'!$AM:$AM,'Performance Vendas'!AD$88)/2</f>
        <v>2</v>
      </c>
      <c r="AE96" s="190">
        <f>COUNTIFS('Consulta Contratos'!$J:$J,'Performance Vendas'!$A96,'Consulta Contratos'!$H:$H,"Ativo",'Consulta Contratos'!$AM:$AM,'Performance Vendas'!AE$88)/2</f>
        <v>6</v>
      </c>
      <c r="AF96" s="190">
        <f>COUNTIFS('Consulta Contratos'!$J:$J,'Performance Vendas'!$A96,'Consulta Contratos'!$H:$H,"Ativo",'Consulta Contratos'!$AM:$AM,'Performance Vendas'!AF$88)/2</f>
        <v>7.5</v>
      </c>
      <c r="AG96" s="190">
        <f>COUNTIFS('Consulta Contratos'!$J:$J,'Performance Vendas'!$A96,'Consulta Contratos'!$H:$H,"Ativo",'Consulta Contratos'!$AM:$AM,'Performance Vendas'!AG$88)/2</f>
        <v>0.5</v>
      </c>
      <c r="AH96" s="190">
        <f>COUNTIFS('Consulta Contratos'!$J:$J,'Performance Vendas'!$A96,'Consulta Contratos'!$H:$H,"Ativo",'Consulta Contratos'!$AM:$AM,'Performance Vendas'!AH$88)/2</f>
        <v>0</v>
      </c>
      <c r="AI96" s="190">
        <f>COUNTIFS('Consulta Contratos'!$J:$J,'Performance Vendas'!$A96,'Consulta Contratos'!$H:$H,"Ativo",'Consulta Contratos'!$AM:$AM,'Performance Vendas'!AI$88)/2</f>
        <v>1</v>
      </c>
      <c r="AJ96" s="191">
        <f t="shared" ref="AJ96" si="128">SUM(X96:AI96)</f>
        <v>18.5</v>
      </c>
      <c r="AK96" s="190">
        <f>COUNTIFS('Consulta Contratos'!$J:$J,'Performance Vendas'!$A96,'Consulta Contratos'!$H:$H,"Ativo",'Consulta Contratos'!$AM:$AM,'Performance Vendas'!AK$88)/2</f>
        <v>3</v>
      </c>
      <c r="AL96" s="190">
        <f>COUNTIFS('Consulta Contratos'!$J:$J,'Performance Vendas'!$A96,'Consulta Contratos'!$H:$H,"Ativo",'Consulta Contratos'!$AM:$AM,'Performance Vendas'!AL$88)/2</f>
        <v>0</v>
      </c>
      <c r="AM96" s="190">
        <f>COUNTIFS('Consulta Contratos'!$J:$J,'Performance Vendas'!$A96,'Consulta Contratos'!$H:$H,"Ativo",'Consulta Contratos'!$AM:$AM,'Performance Vendas'!AM$88)/2</f>
        <v>0</v>
      </c>
      <c r="AN96" s="190">
        <f>COUNTIFS('Consulta Contratos'!$J:$J,'Performance Vendas'!$A96,'Consulta Contratos'!$H:$H,"Ativo",'Consulta Contratos'!$AM:$AM,'Performance Vendas'!AN$88)/2</f>
        <v>0</v>
      </c>
      <c r="AO96" s="190">
        <f>COUNTIFS('Consulta Contratos'!$J:$J,'Performance Vendas'!$A96,'Consulta Contratos'!$H:$H,"Ativo",'Consulta Contratos'!$AM:$AM,'Performance Vendas'!AO$88)/2</f>
        <v>0</v>
      </c>
      <c r="AP96" s="190">
        <f>COUNTIFS('Consulta Contratos'!$J:$J,'Performance Vendas'!$A96,'Consulta Contratos'!$H:$H,"Ativo",'Consulta Contratos'!$AM:$AM,'Performance Vendas'!AP$88)/2</f>
        <v>0</v>
      </c>
      <c r="AQ96" s="190">
        <f>COUNTIFS('Consulta Contratos'!$J:$J,'Performance Vendas'!$A96,'Consulta Contratos'!$H:$H,"Ativo",'Consulta Contratos'!$AM:$AM,'Performance Vendas'!AQ$88)/2</f>
        <v>0</v>
      </c>
      <c r="AR96" s="190">
        <f>COUNTIFS('Consulta Contratos'!$J:$J,'Performance Vendas'!$A96,'Consulta Contratos'!$H:$H,"Ativo",'Consulta Contratos'!$AM:$AM,'Performance Vendas'!AR$88)/2</f>
        <v>0</v>
      </c>
      <c r="AS96" s="190">
        <f>COUNTIFS('Consulta Contratos'!$J:$J,'Performance Vendas'!$A96,'Consulta Contratos'!$H:$H,"Ativo",'Consulta Contratos'!$AM:$AM,'Performance Vendas'!AS$88)/2</f>
        <v>0</v>
      </c>
      <c r="AT96" s="190">
        <f>COUNTIFS('Consulta Contratos'!$J:$J,'Performance Vendas'!$A96,'Consulta Contratos'!$H:$H,"Ativo",'Consulta Contratos'!$AM:$AM,'Performance Vendas'!AT$88)/2</f>
        <v>0</v>
      </c>
      <c r="AU96" s="190">
        <f>COUNTIFS('Consulta Contratos'!$J:$J,'Performance Vendas'!$A96,'Consulta Contratos'!$H:$H,"Ativo",'Consulta Contratos'!$AM:$AM,'Performance Vendas'!AU$88)/2</f>
        <v>0</v>
      </c>
      <c r="AV96" s="190">
        <f>COUNTIFS('Consulta Contratos'!$J:$J,'Performance Vendas'!$A96,'Consulta Contratos'!$H:$H,"Ativo",'Consulta Contratos'!$AM:$AM,'Performance Vendas'!AV$88)/2</f>
        <v>0</v>
      </c>
      <c r="AW96" s="191">
        <f t="shared" ref="AW96" si="129">SUM(AK96:AV96)</f>
        <v>3</v>
      </c>
      <c r="AX96" s="191">
        <f>AJ96+W96+J96+AW96</f>
        <v>51</v>
      </c>
      <c r="AY96" s="81">
        <f>AX96/$AX$105</f>
        <v>0.11038961038961038</v>
      </c>
      <c r="AZ96" s="190">
        <f>COUNTIFS('Consulta Contratos'!$J:$J,'Performance Vendas'!$A96,'Consulta Contratos'!$H:$H,"Ativo",'Consulta Contratos'!$AM:$AM,'Performance Vendas'!AZ$88)/2</f>
        <v>0</v>
      </c>
    </row>
    <row r="97" spans="1:52" s="87" customFormat="1">
      <c r="A97" s="120"/>
      <c r="B97" s="107"/>
      <c r="C97" s="119" t="s">
        <v>120</v>
      </c>
      <c r="D97" s="85"/>
      <c r="E97" s="83">
        <f>IFERROR(E95/E96,0)*2</f>
        <v>0</v>
      </c>
      <c r="F97" s="83">
        <f>IFERROR(F95/F96,0)*2</f>
        <v>963100</v>
      </c>
      <c r="G97" s="83">
        <f>IFERROR(G95/G96,0)*2</f>
        <v>1027000</v>
      </c>
      <c r="H97" s="83">
        <f>IFERROR(H95/H96,0)*2</f>
        <v>895000</v>
      </c>
      <c r="I97" s="83">
        <f>IFERROR(I95/I96,0)*2</f>
        <v>921056.4444444445</v>
      </c>
      <c r="J97" s="96">
        <f>SUM(E97:I97)</f>
        <v>3806156.4444444445</v>
      </c>
      <c r="K97" s="83">
        <f t="shared" ref="K97:V97" si="130">IFERROR(K95/K96,0)*2</f>
        <v>960840</v>
      </c>
      <c r="L97" s="83">
        <f t="shared" si="130"/>
        <v>952000</v>
      </c>
      <c r="M97" s="83">
        <f t="shared" si="130"/>
        <v>1117680</v>
      </c>
      <c r="N97" s="83">
        <f t="shared" si="130"/>
        <v>0</v>
      </c>
      <c r="O97" s="83">
        <f t="shared" si="130"/>
        <v>0</v>
      </c>
      <c r="P97" s="83">
        <f t="shared" si="130"/>
        <v>920000</v>
      </c>
      <c r="Q97" s="83">
        <f t="shared" si="130"/>
        <v>0</v>
      </c>
      <c r="R97" s="83">
        <f t="shared" si="130"/>
        <v>0</v>
      </c>
      <c r="S97" s="83">
        <f t="shared" si="130"/>
        <v>0</v>
      </c>
      <c r="T97" s="83">
        <f t="shared" si="130"/>
        <v>0</v>
      </c>
      <c r="U97" s="83">
        <f t="shared" si="130"/>
        <v>1057371.1466666667</v>
      </c>
      <c r="V97" s="83">
        <f t="shared" si="130"/>
        <v>1220597.142857143</v>
      </c>
      <c r="W97" s="96">
        <f>SUM(K97:V97)</f>
        <v>6228488.2895238092</v>
      </c>
      <c r="X97" s="83">
        <f t="shared" ref="X97:AX97" si="131">IFERROR(X95/X96,0)*2</f>
        <v>0</v>
      </c>
      <c r="Y97" s="83">
        <f t="shared" si="131"/>
        <v>0</v>
      </c>
      <c r="Z97" s="83">
        <f t="shared" si="131"/>
        <v>0</v>
      </c>
      <c r="AA97" s="83">
        <f t="shared" si="131"/>
        <v>0</v>
      </c>
      <c r="AB97" s="83">
        <f t="shared" si="131"/>
        <v>1356665.12</v>
      </c>
      <c r="AC97" s="83">
        <f t="shared" si="131"/>
        <v>1502000</v>
      </c>
      <c r="AD97" s="83">
        <f t="shared" si="131"/>
        <v>1533500</v>
      </c>
      <c r="AE97" s="83">
        <f t="shared" si="131"/>
        <v>1242866.8066666666</v>
      </c>
      <c r="AF97" s="83">
        <f t="shared" si="131"/>
        <v>1402092</v>
      </c>
      <c r="AG97" s="83">
        <f t="shared" si="131"/>
        <v>2424000</v>
      </c>
      <c r="AH97" s="83">
        <f t="shared" si="131"/>
        <v>0</v>
      </c>
      <c r="AI97" s="83">
        <f t="shared" si="131"/>
        <v>2203289.7000000002</v>
      </c>
      <c r="AJ97" s="96">
        <f t="shared" si="131"/>
        <v>1439757.4648648647</v>
      </c>
      <c r="AK97" s="83">
        <f t="shared" ref="AK97:AW97" si="132">IFERROR(AK95/AK96,0)*2</f>
        <v>1543634.406666667</v>
      </c>
      <c r="AL97" s="83">
        <f t="shared" si="132"/>
        <v>0</v>
      </c>
      <c r="AM97" s="83">
        <f t="shared" si="132"/>
        <v>0</v>
      </c>
      <c r="AN97" s="83">
        <f t="shared" si="132"/>
        <v>0</v>
      </c>
      <c r="AO97" s="83">
        <f t="shared" si="132"/>
        <v>0</v>
      </c>
      <c r="AP97" s="83">
        <f t="shared" si="132"/>
        <v>0</v>
      </c>
      <c r="AQ97" s="83">
        <f t="shared" si="132"/>
        <v>0</v>
      </c>
      <c r="AR97" s="83">
        <f t="shared" si="132"/>
        <v>0</v>
      </c>
      <c r="AS97" s="83">
        <f t="shared" si="132"/>
        <v>0</v>
      </c>
      <c r="AT97" s="83">
        <f t="shared" si="132"/>
        <v>0</v>
      </c>
      <c r="AU97" s="83">
        <f t="shared" si="132"/>
        <v>0</v>
      </c>
      <c r="AV97" s="83">
        <f t="shared" si="132"/>
        <v>0</v>
      </c>
      <c r="AW97" s="96">
        <f t="shared" si="132"/>
        <v>1543634.406666667</v>
      </c>
      <c r="AX97" s="96">
        <f t="shared" si="131"/>
        <v>1190426.3623529412</v>
      </c>
      <c r="AY97" s="97"/>
      <c r="AZ97" s="83">
        <f>IFERROR(AZ95/AZ96,0)*2</f>
        <v>0</v>
      </c>
    </row>
    <row r="98" spans="1:52" s="87" customFormat="1">
      <c r="A98" s="120">
        <v>6</v>
      </c>
      <c r="B98" s="105"/>
      <c r="C98" s="117" t="s">
        <v>70</v>
      </c>
      <c r="D98" s="85"/>
      <c r="E98" s="82">
        <f>SUMIFS('Consulta Contratos'!$Z:$Z,'Consulta Contratos'!$AM:$AM,'Performance Vendas'!E$88,'Consulta Contratos'!$J:$J,'Performance Vendas'!$A98,'Consulta Contratos'!$H:$H,"ATIVO")</f>
        <v>342000</v>
      </c>
      <c r="F98" s="82">
        <f>SUMIFS('Consulta Contratos'!$Z:$Z,'Consulta Contratos'!$AM:$AM,'Performance Vendas'!F$88,'Consulta Contratos'!$J:$J,'Performance Vendas'!$A98,'Consulta Contratos'!$H:$H,"ATIVO")</f>
        <v>1986148.2999999998</v>
      </c>
      <c r="G98" s="82">
        <f>SUMIFS('Consulta Contratos'!$Z:$Z,'Consulta Contratos'!$AM:$AM,'Performance Vendas'!G$88,'Consulta Contratos'!$J:$J,'Performance Vendas'!$A98,'Consulta Contratos'!$H:$H,"ATIVO")</f>
        <v>1617039</v>
      </c>
      <c r="H98" s="82">
        <f>SUMIFS('Consulta Contratos'!$Z:$Z,'Consulta Contratos'!$AM:$AM,'Performance Vendas'!H$88,'Consulta Contratos'!$J:$J,'Performance Vendas'!$A98,'Consulta Contratos'!$H:$H,"ATIVO")</f>
        <v>1669566</v>
      </c>
      <c r="I98" s="82">
        <f>SUMIFS('Consulta Contratos'!$Z:$Z,'Consulta Contratos'!$AM:$AM,'Performance Vendas'!I$88,'Consulta Contratos'!$J:$J,'Performance Vendas'!$A98,'Consulta Contratos'!$H:$H,"ATIVO")</f>
        <v>2132986</v>
      </c>
      <c r="J98" s="86">
        <f t="shared" si="114"/>
        <v>7747739.2999999998</v>
      </c>
      <c r="K98" s="82">
        <f>SUMIFS('Consulta Contratos'!$Z:$Z,'Consulta Contratos'!$AM:$AM,'Performance Vendas'!K$88,'Consulta Contratos'!$J:$J,'Performance Vendas'!$A98,'Consulta Contratos'!$H:$H,"ATIVO")</f>
        <v>3125344.19</v>
      </c>
      <c r="L98" s="82">
        <f>SUMIFS('Consulta Contratos'!$Z:$Z,'Consulta Contratos'!$AM:$AM,'Performance Vendas'!L$88,'Consulta Contratos'!$J:$J,'Performance Vendas'!$A98,'Consulta Contratos'!$H:$H,"ATIVO")</f>
        <v>1863000</v>
      </c>
      <c r="M98" s="82">
        <f>SUMIFS('Consulta Contratos'!$Z:$Z,'Consulta Contratos'!$AM:$AM,'Performance Vendas'!M$88,'Consulta Contratos'!$J:$J,'Performance Vendas'!$A98,'Consulta Contratos'!$H:$H,"ATIVO")</f>
        <v>1796500</v>
      </c>
      <c r="N98" s="82">
        <f>SUMIFS('Consulta Contratos'!$Z:$Z,'Consulta Contratos'!$AM:$AM,'Performance Vendas'!N$88,'Consulta Contratos'!$J:$J,'Performance Vendas'!$A98,'Consulta Contratos'!$H:$H,"ATIVO")</f>
        <v>1464604.76</v>
      </c>
      <c r="O98" s="82">
        <f>SUMIFS('Consulta Contratos'!$Z:$Z,'Consulta Contratos'!$AM:$AM,'Performance Vendas'!O$88,'Consulta Contratos'!$J:$J,'Performance Vendas'!$A98,'Consulta Contratos'!$H:$H,"ATIVO")</f>
        <v>4902811.2</v>
      </c>
      <c r="P98" s="82">
        <f>SUMIFS('Consulta Contratos'!$Z:$Z,'Consulta Contratos'!$AM:$AM,'Performance Vendas'!P$88,'Consulta Contratos'!$J:$J,'Performance Vendas'!$A98,'Consulta Contratos'!$H:$H,"ATIVO")</f>
        <v>4559957.3</v>
      </c>
      <c r="Q98" s="82">
        <f>SUMIFS('Consulta Contratos'!$Z:$Z,'Consulta Contratos'!$AM:$AM,'Performance Vendas'!Q$88,'Consulta Contratos'!$J:$J,'Performance Vendas'!$A98,'Consulta Contratos'!$H:$H,"ATIVO")</f>
        <v>5092758.63</v>
      </c>
      <c r="R98" s="82">
        <f>SUMIFS('Consulta Contratos'!$Z:$Z,'Consulta Contratos'!$AM:$AM,'Performance Vendas'!R$88,'Consulta Contratos'!$J:$J,'Performance Vendas'!$A98,'Consulta Contratos'!$H:$H,"ATIVO")</f>
        <v>7121539.2199999988</v>
      </c>
      <c r="S98" s="82">
        <f>SUMIFS('Consulta Contratos'!$Z:$Z,'Consulta Contratos'!$AM:$AM,'Performance Vendas'!S$88,'Consulta Contratos'!$J:$J,'Performance Vendas'!$A98,'Consulta Contratos'!$H:$H,"ATIVO")</f>
        <v>6447599.8399999999</v>
      </c>
      <c r="T98" s="82">
        <f>SUMIFS('Consulta Contratos'!$Z:$Z,'Consulta Contratos'!$AM:$AM,'Performance Vendas'!T$88,'Consulta Contratos'!$J:$J,'Performance Vendas'!$A98,'Consulta Contratos'!$H:$H,"ATIVO")</f>
        <v>7627160</v>
      </c>
      <c r="U98" s="82">
        <f>SUMIFS('Consulta Contratos'!$Z:$Z,'Consulta Contratos'!$AM:$AM,'Performance Vendas'!U$88,'Consulta Contratos'!$J:$J,'Performance Vendas'!$A98,'Consulta Contratos'!$H:$H,"ATIVO")</f>
        <v>7507132.0199999996</v>
      </c>
      <c r="V98" s="82">
        <f>SUMIFS('Consulta Contratos'!$Z:$Z,'Consulta Contratos'!$AM:$AM,'Performance Vendas'!V$88,'Consulta Contratos'!$J:$J,'Performance Vendas'!$A98,'Consulta Contratos'!$H:$H,"ATIVO")</f>
        <v>3381600</v>
      </c>
      <c r="W98" s="86">
        <f t="shared" si="115"/>
        <v>54890007.159999996</v>
      </c>
      <c r="X98" s="82">
        <f>SUMIFS('Consulta Contratos'!$Z:$Z,'Consulta Contratos'!$AM:$AM,'Performance Vendas'!X$88,'Consulta Contratos'!$J:$J,'Performance Vendas'!$A98,'Consulta Contratos'!$H:$H,"ATIVO")</f>
        <v>3322821.96</v>
      </c>
      <c r="Y98" s="82">
        <f>SUMIFS('Consulta Contratos'!$Z:$Z,'Consulta Contratos'!$AM:$AM,'Performance Vendas'!Y$88,'Consulta Contratos'!$J:$J,'Performance Vendas'!$A98,'Consulta Contratos'!$H:$H,"ATIVO")</f>
        <v>4083584.23</v>
      </c>
      <c r="Z98" s="82">
        <f>SUMIFS('Consulta Contratos'!$Z:$Z,'Consulta Contratos'!$AM:$AM,'Performance Vendas'!Z$88,'Consulta Contratos'!$J:$J,'Performance Vendas'!$A98,'Consulta Contratos'!$H:$H,"ATIVO")</f>
        <v>2031784</v>
      </c>
      <c r="AA98" s="82">
        <f>SUMIFS('Consulta Contratos'!$Z:$Z,'Consulta Contratos'!$AM:$AM,'Performance Vendas'!AA$88,'Consulta Contratos'!$J:$J,'Performance Vendas'!$A98,'Consulta Contratos'!$H:$H,"ATIVO")</f>
        <v>4365520</v>
      </c>
      <c r="AB98" s="82">
        <f>SUMIFS('Consulta Contratos'!$Z:$Z,'Consulta Contratos'!$AM:$AM,'Performance Vendas'!AB$88,'Consulta Contratos'!$J:$J,'Performance Vendas'!$A98,'Consulta Contratos'!$H:$H,"ATIVO")</f>
        <v>1066240</v>
      </c>
      <c r="AC98" s="82">
        <f>SUMIFS('Consulta Contratos'!$Z:$Z,'Consulta Contratos'!$AM:$AM,'Performance Vendas'!AC$88,'Consulta Contratos'!$J:$J,'Performance Vendas'!$A98,'Consulta Contratos'!$H:$H,"ATIVO")</f>
        <v>1379000</v>
      </c>
      <c r="AD98" s="82">
        <f>SUMIFS('Consulta Contratos'!$Z:$Z,'Consulta Contratos'!$AM:$AM,'Performance Vendas'!AD$88,'Consulta Contratos'!$J:$J,'Performance Vendas'!$A98,'Consulta Contratos'!$H:$H,"ATIVO")</f>
        <v>7358470.6600000001</v>
      </c>
      <c r="AE98" s="82">
        <f>SUMIFS('Consulta Contratos'!$Z:$Z,'Consulta Contratos'!$AM:$AM,'Performance Vendas'!AE$88,'Consulta Contratos'!$J:$J,'Performance Vendas'!$A98,'Consulta Contratos'!$H:$H,"ATIVO")</f>
        <v>8138261.04</v>
      </c>
      <c r="AF98" s="82">
        <f>SUMIFS('Consulta Contratos'!$Z:$Z,'Consulta Contratos'!$AM:$AM,'Performance Vendas'!AF$88,'Consulta Contratos'!$J:$J,'Performance Vendas'!$A98,'Consulta Contratos'!$H:$H,"ATIVO")</f>
        <v>8582278.1400000006</v>
      </c>
      <c r="AG98" s="82">
        <f>SUMIFS('Consulta Contratos'!$Z:$Z,'Consulta Contratos'!$AM:$AM,'Performance Vendas'!AG$88,'Consulta Contratos'!$J:$J,'Performance Vendas'!$A98,'Consulta Contratos'!$H:$H,"ATIVO")</f>
        <v>0</v>
      </c>
      <c r="AH98" s="82">
        <f>SUMIFS('Consulta Contratos'!$Z:$Z,'Consulta Contratos'!$AM:$AM,'Performance Vendas'!AH$88,'Consulta Contratos'!$J:$J,'Performance Vendas'!$A98,'Consulta Contratos'!$H:$H,"ATIVO")</f>
        <v>1939200</v>
      </c>
      <c r="AI98" s="82">
        <f>SUMIFS('Consulta Contratos'!$Z:$Z,'Consulta Contratos'!$AM:$AM,'Performance Vendas'!AI$88,'Consulta Contratos'!$J:$J,'Performance Vendas'!$A98,'Consulta Contratos'!$H:$H,"ATIVO")</f>
        <v>1499150</v>
      </c>
      <c r="AJ98" s="86">
        <f t="shared" si="116"/>
        <v>43766310.030000001</v>
      </c>
      <c r="AK98" s="82">
        <f>SUMIFS('Consulta Contratos'!$Z:$Z,'Consulta Contratos'!$AM:$AM,'Performance Vendas'!AK$88,'Consulta Contratos'!$J:$J,'Performance Vendas'!$A98,'Consulta Contratos'!$H:$H,"ATIVO")</f>
        <v>4038999.8</v>
      </c>
      <c r="AL98" s="82">
        <f>SUMIFS('Consulta Contratos'!$Z:$Z,'Consulta Contratos'!$AM:$AM,'Performance Vendas'!AL$88,'Consulta Contratos'!$J:$J,'Performance Vendas'!$A98,'Consulta Contratos'!$H:$H,"ATIVO")</f>
        <v>3978295.31</v>
      </c>
      <c r="AM98" s="82">
        <f>SUMIFS('Consulta Contratos'!$Z:$Z,'Consulta Contratos'!$AM:$AM,'Performance Vendas'!AM$88,'Consulta Contratos'!$J:$J,'Performance Vendas'!$A98,'Consulta Contratos'!$H:$H,"ATIVO")</f>
        <v>328000</v>
      </c>
      <c r="AN98" s="82">
        <f>SUMIFS('Consulta Contratos'!$Z:$Z,'Consulta Contratos'!$AM:$AM,'Performance Vendas'!AN$88,'Consulta Contratos'!$J:$J,'Performance Vendas'!$A98,'Consulta Contratos'!$H:$H,"ATIVO")</f>
        <v>0</v>
      </c>
      <c r="AO98" s="82">
        <f>SUMIFS('Consulta Contratos'!$Z:$Z,'Consulta Contratos'!$AM:$AM,'Performance Vendas'!AO$88,'Consulta Contratos'!$J:$J,'Performance Vendas'!$A98,'Consulta Contratos'!$H:$H,"ATIVO")</f>
        <v>0</v>
      </c>
      <c r="AP98" s="82">
        <f>SUMIFS('Consulta Contratos'!$Z:$Z,'Consulta Contratos'!$AM:$AM,'Performance Vendas'!AP$88,'Consulta Contratos'!$J:$J,'Performance Vendas'!$A98,'Consulta Contratos'!$H:$H,"ATIVO")</f>
        <v>0</v>
      </c>
      <c r="AQ98" s="82">
        <f>SUMIFS('Consulta Contratos'!$Z:$Z,'Consulta Contratos'!$AM:$AM,'Performance Vendas'!AQ$88,'Consulta Contratos'!$J:$J,'Performance Vendas'!$A98,'Consulta Contratos'!$H:$H,"ATIVO")</f>
        <v>0</v>
      </c>
      <c r="AR98" s="82">
        <f>SUMIFS('Consulta Contratos'!$Z:$Z,'Consulta Contratos'!$AM:$AM,'Performance Vendas'!AR$88,'Consulta Contratos'!$J:$J,'Performance Vendas'!$A98,'Consulta Contratos'!$H:$H,"ATIVO")</f>
        <v>0</v>
      </c>
      <c r="AS98" s="82">
        <f>SUMIFS('Consulta Contratos'!$Z:$Z,'Consulta Contratos'!$AM:$AM,'Performance Vendas'!AS$88,'Consulta Contratos'!$J:$J,'Performance Vendas'!$A98,'Consulta Contratos'!$H:$H,"ATIVO")</f>
        <v>0</v>
      </c>
      <c r="AT98" s="82">
        <f>SUMIFS('Consulta Contratos'!$Z:$Z,'Consulta Contratos'!$AM:$AM,'Performance Vendas'!AT$88,'Consulta Contratos'!$J:$J,'Performance Vendas'!$A98,'Consulta Contratos'!$H:$H,"ATIVO")</f>
        <v>0</v>
      </c>
      <c r="AU98" s="82">
        <f>SUMIFS('Consulta Contratos'!$Z:$Z,'Consulta Contratos'!$AM:$AM,'Performance Vendas'!AU$88,'Consulta Contratos'!$J:$J,'Performance Vendas'!$A98,'Consulta Contratos'!$H:$H,"ATIVO")</f>
        <v>0</v>
      </c>
      <c r="AV98" s="82">
        <f>SUMIFS('Consulta Contratos'!$Z:$Z,'Consulta Contratos'!$AM:$AM,'Performance Vendas'!AV$88,'Consulta Contratos'!$J:$J,'Performance Vendas'!$A98,'Consulta Contratos'!$H:$H,"ATIVO")</f>
        <v>0</v>
      </c>
      <c r="AW98" s="86">
        <f t="shared" ref="AW98:AW110" si="133">SUM(AK98:AV98)</f>
        <v>8345295.1099999994</v>
      </c>
      <c r="AX98" s="86">
        <f>AJ98+W98+J98+AW98</f>
        <v>114749351.59999999</v>
      </c>
      <c r="AY98" s="92">
        <f>AX98/$AX$104</f>
        <v>0.29957152247962243</v>
      </c>
      <c r="AZ98" s="82">
        <f>SUMIFS('Consulta Contratos'!$Z:$Z,'Consulta Contratos'!$AM:$AM,'Performance Vendas'!AZ$88,'Consulta Contratos'!$J:$J,'Performance Vendas'!$A98,'Consulta Contratos'!$H:$H,"ATIVO")</f>
        <v>822000</v>
      </c>
    </row>
    <row r="99" spans="1:52" s="88" customFormat="1" ht="12.75">
      <c r="A99" s="120">
        <v>6</v>
      </c>
      <c r="B99" s="106" t="s">
        <v>122</v>
      </c>
      <c r="C99" s="118" t="s">
        <v>117</v>
      </c>
      <c r="D99" s="95"/>
      <c r="E99" s="190">
        <f>COUNTIFS('Consulta Contratos'!$J:$J,'Performance Vendas'!$A99,'Consulta Contratos'!$H:$H,"Ativo",'Consulta Contratos'!$AM:$AM,'Performance Vendas'!E$88)</f>
        <v>1</v>
      </c>
      <c r="F99" s="190">
        <f>COUNTIFS('Consulta Contratos'!$J:$J,'Performance Vendas'!$A99,'Consulta Contratos'!$H:$H,"Ativo",'Consulta Contratos'!$AM:$AM,'Performance Vendas'!F$88)</f>
        <v>6</v>
      </c>
      <c r="G99" s="190">
        <f>COUNTIFS('Consulta Contratos'!$J:$J,'Performance Vendas'!$A99,'Consulta Contratos'!$H:$H,"Ativo",'Consulta Contratos'!$AM:$AM,'Performance Vendas'!G$88)</f>
        <v>5</v>
      </c>
      <c r="H99" s="190">
        <f>COUNTIFS('Consulta Contratos'!$J:$J,'Performance Vendas'!$A99,'Consulta Contratos'!$H:$H,"Ativo",'Consulta Contratos'!$AM:$AM,'Performance Vendas'!H$88)</f>
        <v>5</v>
      </c>
      <c r="I99" s="190">
        <f>COUNTIFS('Consulta Contratos'!$J:$J,'Performance Vendas'!$A99,'Consulta Contratos'!$H:$H,"Ativo",'Consulta Contratos'!$AM:$AM,'Performance Vendas'!I$88)</f>
        <v>6</v>
      </c>
      <c r="J99" s="191">
        <f t="shared" ref="J99" si="134">SUM(E99:I99)</f>
        <v>23</v>
      </c>
      <c r="K99" s="190">
        <f>COUNTIFS('Consulta Contratos'!$J:$J,'Performance Vendas'!$A99,'Consulta Contratos'!$H:$H,"Ativo",'Consulta Contratos'!$AM:$AM,'Performance Vendas'!K$88)</f>
        <v>9</v>
      </c>
      <c r="L99" s="190">
        <f>COUNTIFS('Consulta Contratos'!$J:$J,'Performance Vendas'!$A99,'Consulta Contratos'!$H:$H,"Ativo",'Consulta Contratos'!$AM:$AM,'Performance Vendas'!L$88)</f>
        <v>5</v>
      </c>
      <c r="M99" s="190">
        <f>COUNTIFS('Consulta Contratos'!$J:$J,'Performance Vendas'!$A99,'Consulta Contratos'!$H:$H,"Ativo",'Consulta Contratos'!$AM:$AM,'Performance Vendas'!M$88)</f>
        <v>5</v>
      </c>
      <c r="N99" s="190">
        <f>COUNTIFS('Consulta Contratos'!$J:$J,'Performance Vendas'!$A99,'Consulta Contratos'!$H:$H,"Ativo",'Consulta Contratos'!$AM:$AM,'Performance Vendas'!N$88)</f>
        <v>4</v>
      </c>
      <c r="O99" s="190">
        <f>COUNTIFS('Consulta Contratos'!$J:$J,'Performance Vendas'!$A99,'Consulta Contratos'!$H:$H,"Ativo",'Consulta Contratos'!$AM:$AM,'Performance Vendas'!O$88)</f>
        <v>13</v>
      </c>
      <c r="P99" s="190">
        <f>COUNTIFS('Consulta Contratos'!$J:$J,'Performance Vendas'!$A99,'Consulta Contratos'!$H:$H,"Ativo",'Consulta Contratos'!$AM:$AM,'Performance Vendas'!P$88)</f>
        <v>13</v>
      </c>
      <c r="Q99" s="190">
        <f>COUNTIFS('Consulta Contratos'!$J:$J,'Performance Vendas'!$A99,'Consulta Contratos'!$H:$H,"Ativo",'Consulta Contratos'!$AM:$AM,'Performance Vendas'!Q$88)</f>
        <v>15</v>
      </c>
      <c r="R99" s="190">
        <f>COUNTIFS('Consulta Contratos'!$J:$J,'Performance Vendas'!$A99,'Consulta Contratos'!$H:$H,"Ativo",'Consulta Contratos'!$AM:$AM,'Performance Vendas'!R$88)</f>
        <v>21</v>
      </c>
      <c r="S99" s="190">
        <f>COUNTIFS('Consulta Contratos'!$J:$J,'Performance Vendas'!$A99,'Consulta Contratos'!$H:$H,"Ativo",'Consulta Contratos'!$AM:$AM,'Performance Vendas'!S$88)</f>
        <v>20</v>
      </c>
      <c r="T99" s="190">
        <f>COUNTIFS('Consulta Contratos'!$J:$J,'Performance Vendas'!$A99,'Consulta Contratos'!$H:$H,"Ativo",'Consulta Contratos'!$AM:$AM,'Performance Vendas'!T$88)</f>
        <v>21</v>
      </c>
      <c r="U99" s="190">
        <f>COUNTIFS('Consulta Contratos'!$J:$J,'Performance Vendas'!$A99,'Consulta Contratos'!$H:$H,"Ativo",'Consulta Contratos'!$AM:$AM,'Performance Vendas'!U$88)</f>
        <v>20</v>
      </c>
      <c r="V99" s="190">
        <f>COUNTIFS('Consulta Contratos'!$J:$J,'Performance Vendas'!$A99,'Consulta Contratos'!$H:$H,"Ativo",'Consulta Contratos'!$AM:$AM,'Performance Vendas'!V$88)</f>
        <v>8</v>
      </c>
      <c r="W99" s="191">
        <f t="shared" ref="W99" si="135">SUM(K99:V99)</f>
        <v>154</v>
      </c>
      <c r="X99" s="190">
        <f>COUNTIFS('Consulta Contratos'!$J:$J,'Performance Vendas'!$A99,'Consulta Contratos'!$H:$H,"Ativo",'Consulta Contratos'!$AM:$AM,'Performance Vendas'!X$88)</f>
        <v>8</v>
      </c>
      <c r="Y99" s="190">
        <f>COUNTIFS('Consulta Contratos'!$J:$J,'Performance Vendas'!$A99,'Consulta Contratos'!$H:$H,"Ativo",'Consulta Contratos'!$AM:$AM,'Performance Vendas'!Y$88)</f>
        <v>10</v>
      </c>
      <c r="Z99" s="190">
        <f>COUNTIFS('Consulta Contratos'!$J:$J,'Performance Vendas'!$A99,'Consulta Contratos'!$H:$H,"Ativo",'Consulta Contratos'!$AM:$AM,'Performance Vendas'!Z$88)</f>
        <v>6</v>
      </c>
      <c r="AA99" s="190">
        <f>COUNTIFS('Consulta Contratos'!$J:$J,'Performance Vendas'!$A99,'Consulta Contratos'!$H:$H,"Ativo",'Consulta Contratos'!$AM:$AM,'Performance Vendas'!AA$88)</f>
        <v>12</v>
      </c>
      <c r="AB99" s="190">
        <f>COUNTIFS('Consulta Contratos'!$J:$J,'Performance Vendas'!$A99,'Consulta Contratos'!$H:$H,"Ativo",'Consulta Contratos'!$AM:$AM,'Performance Vendas'!AB$88)</f>
        <v>3</v>
      </c>
      <c r="AC99" s="190">
        <f>COUNTIFS('Consulta Contratos'!$J:$J,'Performance Vendas'!$A99,'Consulta Contratos'!$H:$H,"Ativo",'Consulta Contratos'!$AM:$AM,'Performance Vendas'!AC$88)</f>
        <v>4</v>
      </c>
      <c r="AD99" s="190">
        <f>COUNTIFS('Consulta Contratos'!$J:$J,'Performance Vendas'!$A99,'Consulta Contratos'!$H:$H,"Ativo",'Consulta Contratos'!$AM:$AM,'Performance Vendas'!AD$88)</f>
        <v>21</v>
      </c>
      <c r="AE99" s="190">
        <f>COUNTIFS('Consulta Contratos'!$J:$J,'Performance Vendas'!$A99,'Consulta Contratos'!$H:$H,"Ativo",'Consulta Contratos'!$AM:$AM,'Performance Vendas'!AE$88)</f>
        <v>22</v>
      </c>
      <c r="AF99" s="190">
        <f>COUNTIFS('Consulta Contratos'!$J:$J,'Performance Vendas'!$A99,'Consulta Contratos'!$H:$H,"Ativo",'Consulta Contratos'!$AM:$AM,'Performance Vendas'!AF$88)</f>
        <v>21</v>
      </c>
      <c r="AG99" s="190">
        <f>COUNTIFS('Consulta Contratos'!$J:$J,'Performance Vendas'!$A99,'Consulta Contratos'!$H:$H,"Ativo",'Consulta Contratos'!$AM:$AM,'Performance Vendas'!AG$88)</f>
        <v>0</v>
      </c>
      <c r="AH99" s="190">
        <f>COUNTIFS('Consulta Contratos'!$J:$J,'Performance Vendas'!$A99,'Consulta Contratos'!$H:$H,"Ativo",'Consulta Contratos'!$AM:$AM,'Performance Vendas'!AH$88)</f>
        <v>4</v>
      </c>
      <c r="AI99" s="190">
        <f>COUNTIFS('Consulta Contratos'!$J:$J,'Performance Vendas'!$A99,'Consulta Contratos'!$H:$H,"Ativo",'Consulta Contratos'!$AM:$AM,'Performance Vendas'!AI$88)</f>
        <v>3</v>
      </c>
      <c r="AJ99" s="191">
        <f t="shared" ref="AJ99" si="136">SUM(X99:AI99)</f>
        <v>114</v>
      </c>
      <c r="AK99" s="190">
        <f>COUNTIFS('Consulta Contratos'!$J:$J,'Performance Vendas'!$A99,'Consulta Contratos'!$H:$H,"Ativo",'Consulta Contratos'!$AM:$AM,'Performance Vendas'!AK$88)</f>
        <v>10</v>
      </c>
      <c r="AL99" s="190">
        <f>COUNTIFS('Consulta Contratos'!$J:$J,'Performance Vendas'!$A99,'Consulta Contratos'!$H:$H,"Ativo",'Consulta Contratos'!$AM:$AM,'Performance Vendas'!AL$88)</f>
        <v>10</v>
      </c>
      <c r="AM99" s="190">
        <f>COUNTIFS('Consulta Contratos'!$J:$J,'Performance Vendas'!$A99,'Consulta Contratos'!$H:$H,"Ativo",'Consulta Contratos'!$AM:$AM,'Performance Vendas'!AM$88)</f>
        <v>1</v>
      </c>
      <c r="AN99" s="190">
        <f>COUNTIFS('Consulta Contratos'!$J:$J,'Performance Vendas'!$A99,'Consulta Contratos'!$H:$H,"Ativo",'Consulta Contratos'!$AM:$AM,'Performance Vendas'!AN$88)</f>
        <v>0</v>
      </c>
      <c r="AO99" s="190">
        <f>COUNTIFS('Consulta Contratos'!$J:$J,'Performance Vendas'!$A99,'Consulta Contratos'!$H:$H,"Ativo",'Consulta Contratos'!$AM:$AM,'Performance Vendas'!AO$88)</f>
        <v>0</v>
      </c>
      <c r="AP99" s="190">
        <f>COUNTIFS('Consulta Contratos'!$J:$J,'Performance Vendas'!$A99,'Consulta Contratos'!$H:$H,"Ativo",'Consulta Contratos'!$AM:$AM,'Performance Vendas'!AP$88)</f>
        <v>0</v>
      </c>
      <c r="AQ99" s="190">
        <f>COUNTIFS('Consulta Contratos'!$J:$J,'Performance Vendas'!$A99,'Consulta Contratos'!$H:$H,"Ativo",'Consulta Contratos'!$AM:$AM,'Performance Vendas'!AQ$88)</f>
        <v>0</v>
      </c>
      <c r="AR99" s="190">
        <f>COUNTIFS('Consulta Contratos'!$J:$J,'Performance Vendas'!$A99,'Consulta Contratos'!$H:$H,"Ativo",'Consulta Contratos'!$AM:$AM,'Performance Vendas'!AR$88)</f>
        <v>0</v>
      </c>
      <c r="AS99" s="190">
        <f>COUNTIFS('Consulta Contratos'!$J:$J,'Performance Vendas'!$A99,'Consulta Contratos'!$H:$H,"Ativo",'Consulta Contratos'!$AM:$AM,'Performance Vendas'!AS$88)</f>
        <v>0</v>
      </c>
      <c r="AT99" s="190">
        <f>COUNTIFS('Consulta Contratos'!$J:$J,'Performance Vendas'!$A99,'Consulta Contratos'!$H:$H,"Ativo",'Consulta Contratos'!$AM:$AM,'Performance Vendas'!AT$88)</f>
        <v>0</v>
      </c>
      <c r="AU99" s="190">
        <f>COUNTIFS('Consulta Contratos'!$J:$J,'Performance Vendas'!$A99,'Consulta Contratos'!$H:$H,"Ativo",'Consulta Contratos'!$AM:$AM,'Performance Vendas'!AU$88)</f>
        <v>0</v>
      </c>
      <c r="AV99" s="190">
        <f>COUNTIFS('Consulta Contratos'!$J:$J,'Performance Vendas'!$A99,'Consulta Contratos'!$H:$H,"Ativo",'Consulta Contratos'!$AM:$AM,'Performance Vendas'!AV$88)</f>
        <v>0</v>
      </c>
      <c r="AW99" s="191">
        <f t="shared" ref="AW99" si="137">SUM(AK99:AV99)</f>
        <v>21</v>
      </c>
      <c r="AX99" s="191">
        <f>AJ99+W99+J99+AW99</f>
        <v>312</v>
      </c>
      <c r="AY99" s="81">
        <f>AX99/$AX$105</f>
        <v>0.67532467532467533</v>
      </c>
      <c r="AZ99" s="190">
        <f>COUNTIFS('Consulta Contratos'!$J:$J,'Performance Vendas'!$A99,'Consulta Contratos'!$H:$H,"Ativo",'Consulta Contratos'!$AM:$AM,'Performance Vendas'!AZ$88)</f>
        <v>2</v>
      </c>
    </row>
    <row r="100" spans="1:52" s="87" customFormat="1">
      <c r="A100" s="120"/>
      <c r="B100" s="107"/>
      <c r="C100" s="119" t="s">
        <v>120</v>
      </c>
      <c r="D100" s="85"/>
      <c r="E100" s="83">
        <f>IFERROR(E98/E99,0)</f>
        <v>342000</v>
      </c>
      <c r="F100" s="83">
        <f>IFERROR(F98/F99,0)</f>
        <v>331024.71666666662</v>
      </c>
      <c r="G100" s="83">
        <f>IFERROR(G98/G99,0)</f>
        <v>323407.8</v>
      </c>
      <c r="H100" s="83">
        <f>IFERROR(H98/H99,0)</f>
        <v>333913.2</v>
      </c>
      <c r="I100" s="83">
        <f>IFERROR(I98/I99,0)</f>
        <v>355497.66666666669</v>
      </c>
      <c r="J100" s="96">
        <f>SUM(E100:I100)</f>
        <v>1685843.3833333333</v>
      </c>
      <c r="K100" s="83">
        <f t="shared" ref="K100:V100" si="138">IFERROR(K98/K99,0)</f>
        <v>347260.46555555554</v>
      </c>
      <c r="L100" s="83">
        <f t="shared" si="138"/>
        <v>372600</v>
      </c>
      <c r="M100" s="83">
        <f t="shared" si="138"/>
        <v>359300</v>
      </c>
      <c r="N100" s="83">
        <f t="shared" si="138"/>
        <v>366151.19</v>
      </c>
      <c r="O100" s="83">
        <f t="shared" si="138"/>
        <v>377139.32307692309</v>
      </c>
      <c r="P100" s="83">
        <f t="shared" si="138"/>
        <v>350765.94615384616</v>
      </c>
      <c r="Q100" s="83">
        <f t="shared" si="138"/>
        <v>339517.24199999997</v>
      </c>
      <c r="R100" s="83">
        <f t="shared" si="138"/>
        <v>339120.91523809516</v>
      </c>
      <c r="S100" s="83">
        <f t="shared" si="138"/>
        <v>322379.99199999997</v>
      </c>
      <c r="T100" s="83">
        <f t="shared" si="138"/>
        <v>363198.09523809527</v>
      </c>
      <c r="U100" s="83">
        <f t="shared" si="138"/>
        <v>375356.60099999997</v>
      </c>
      <c r="V100" s="83">
        <f t="shared" si="138"/>
        <v>422700</v>
      </c>
      <c r="W100" s="96">
        <f>SUM(K100:V100)</f>
        <v>4335489.7702625152</v>
      </c>
      <c r="X100" s="83">
        <f t="shared" ref="X100:AX100" si="139">IFERROR(X98/X99,0)</f>
        <v>415352.745</v>
      </c>
      <c r="Y100" s="83">
        <f t="shared" si="139"/>
        <v>408358.42300000001</v>
      </c>
      <c r="Z100" s="83">
        <f t="shared" si="139"/>
        <v>338630.66666666669</v>
      </c>
      <c r="AA100" s="83">
        <f t="shared" si="139"/>
        <v>363793.33333333331</v>
      </c>
      <c r="AB100" s="83">
        <f t="shared" si="139"/>
        <v>355413.33333333331</v>
      </c>
      <c r="AC100" s="83">
        <f t="shared" si="139"/>
        <v>344750</v>
      </c>
      <c r="AD100" s="83">
        <f t="shared" si="139"/>
        <v>350403.36476190476</v>
      </c>
      <c r="AE100" s="83">
        <f t="shared" si="139"/>
        <v>369920.95636363636</v>
      </c>
      <c r="AF100" s="83">
        <f t="shared" si="139"/>
        <v>408679.91142857145</v>
      </c>
      <c r="AG100" s="83">
        <f t="shared" si="139"/>
        <v>0</v>
      </c>
      <c r="AH100" s="83">
        <f t="shared" si="139"/>
        <v>484800</v>
      </c>
      <c r="AI100" s="83">
        <f t="shared" si="139"/>
        <v>499716.66666666669</v>
      </c>
      <c r="AJ100" s="96">
        <f t="shared" si="139"/>
        <v>383915.00026315788</v>
      </c>
      <c r="AK100" s="83">
        <f t="shared" ref="AK100:AW100" si="140">IFERROR(AK98/AK99,0)</f>
        <v>403899.98</v>
      </c>
      <c r="AL100" s="83">
        <f t="shared" si="140"/>
        <v>397829.53100000002</v>
      </c>
      <c r="AM100" s="83">
        <f t="shared" si="140"/>
        <v>328000</v>
      </c>
      <c r="AN100" s="83">
        <f t="shared" si="140"/>
        <v>0</v>
      </c>
      <c r="AO100" s="83">
        <f t="shared" si="140"/>
        <v>0</v>
      </c>
      <c r="AP100" s="83">
        <f t="shared" si="140"/>
        <v>0</v>
      </c>
      <c r="AQ100" s="83">
        <f t="shared" si="140"/>
        <v>0</v>
      </c>
      <c r="AR100" s="83">
        <f t="shared" si="140"/>
        <v>0</v>
      </c>
      <c r="AS100" s="83">
        <f t="shared" si="140"/>
        <v>0</v>
      </c>
      <c r="AT100" s="83">
        <f t="shared" si="140"/>
        <v>0</v>
      </c>
      <c r="AU100" s="83">
        <f t="shared" si="140"/>
        <v>0</v>
      </c>
      <c r="AV100" s="83">
        <f t="shared" si="140"/>
        <v>0</v>
      </c>
      <c r="AW100" s="96">
        <f t="shared" si="140"/>
        <v>397395.00523809518</v>
      </c>
      <c r="AX100" s="96">
        <f t="shared" si="139"/>
        <v>367786.3833333333</v>
      </c>
      <c r="AY100" s="97"/>
      <c r="AZ100" s="83">
        <f>IFERROR(AZ98/AZ99,0)</f>
        <v>411000</v>
      </c>
    </row>
    <row r="101" spans="1:52" s="87" customFormat="1">
      <c r="A101" s="120">
        <v>52</v>
      </c>
      <c r="B101" s="105"/>
      <c r="C101" s="117" t="s">
        <v>70</v>
      </c>
      <c r="D101" s="85"/>
      <c r="E101" s="82">
        <f>SUMIFS('Consulta Contratos'!$Z:$Z,'Consulta Contratos'!$AM:$AM,'Performance Vendas'!E$88,'Consulta Contratos'!$J:$J,'Performance Vendas'!$A101,'Consulta Contratos'!$H:$H,"ATIVO")</f>
        <v>1</v>
      </c>
      <c r="F101" s="82">
        <f>SUMIFS('Consulta Contratos'!$Z:$Z,'Consulta Contratos'!$AM:$AM,'Performance Vendas'!F$88,'Consulta Contratos'!$J:$J,'Performance Vendas'!$A101,'Consulta Contratos'!$H:$H,"ATIVO")</f>
        <v>0</v>
      </c>
      <c r="G101" s="82">
        <f>SUMIFS('Consulta Contratos'!$Z:$Z,'Consulta Contratos'!$AM:$AM,'Performance Vendas'!G$88,'Consulta Contratos'!$J:$J,'Performance Vendas'!$A101,'Consulta Contratos'!$H:$H,"ATIVO")</f>
        <v>0</v>
      </c>
      <c r="H101" s="82">
        <f>SUMIFS('Consulta Contratos'!$Z:$Z,'Consulta Contratos'!$AM:$AM,'Performance Vendas'!H$88,'Consulta Contratos'!$J:$J,'Performance Vendas'!$A101,'Consulta Contratos'!$H:$H,"ATIVO")</f>
        <v>0</v>
      </c>
      <c r="I101" s="82">
        <f>SUMIFS('Consulta Contratos'!$Z:$Z,'Consulta Contratos'!$AM:$AM,'Performance Vendas'!I$88,'Consulta Contratos'!$J:$J,'Performance Vendas'!$A101,'Consulta Contratos'!$H:$H,"ATIVO")</f>
        <v>200000</v>
      </c>
      <c r="J101" s="86">
        <f t="shared" si="114"/>
        <v>200001</v>
      </c>
      <c r="K101" s="82">
        <f>SUMIFS('Consulta Contratos'!$Z:$Z,'Consulta Contratos'!$AM:$AM,'Performance Vendas'!K$88,'Consulta Contratos'!$J:$J,'Performance Vendas'!$A101,'Consulta Contratos'!$H:$H,"ATIVO")</f>
        <v>0</v>
      </c>
      <c r="L101" s="82">
        <f>SUMIFS('Consulta Contratos'!$Z:$Z,'Consulta Contratos'!$AM:$AM,'Performance Vendas'!L$88,'Consulta Contratos'!$J:$J,'Performance Vendas'!$A101,'Consulta Contratos'!$H:$H,"ATIVO")</f>
        <v>0</v>
      </c>
      <c r="M101" s="82">
        <f>SUMIFS('Consulta Contratos'!$Z:$Z,'Consulta Contratos'!$AM:$AM,'Performance Vendas'!M$88,'Consulta Contratos'!$J:$J,'Performance Vendas'!$A101,'Consulta Contratos'!$H:$H,"ATIVO")</f>
        <v>200000</v>
      </c>
      <c r="N101" s="82">
        <f>SUMIFS('Consulta Contratos'!$Z:$Z,'Consulta Contratos'!$AM:$AM,'Performance Vendas'!N$88,'Consulta Contratos'!$J:$J,'Performance Vendas'!$A101,'Consulta Contratos'!$H:$H,"ATIVO")</f>
        <v>0</v>
      </c>
      <c r="O101" s="82">
        <f>SUMIFS('Consulta Contratos'!$Z:$Z,'Consulta Contratos'!$AM:$AM,'Performance Vendas'!O$88,'Consulta Contratos'!$J:$J,'Performance Vendas'!$A101,'Consulta Contratos'!$H:$H,"ATIVO")</f>
        <v>0</v>
      </c>
      <c r="P101" s="82">
        <f>SUMIFS('Consulta Contratos'!$Z:$Z,'Consulta Contratos'!$AM:$AM,'Performance Vendas'!P$88,'Consulta Contratos'!$J:$J,'Performance Vendas'!$A101,'Consulta Contratos'!$H:$H,"ATIVO")</f>
        <v>0</v>
      </c>
      <c r="Q101" s="82">
        <f>SUMIFS('Consulta Contratos'!$Z:$Z,'Consulta Contratos'!$AM:$AM,'Performance Vendas'!Q$88,'Consulta Contratos'!$J:$J,'Performance Vendas'!$A101,'Consulta Contratos'!$H:$H,"ATIVO")</f>
        <v>300000</v>
      </c>
      <c r="R101" s="82">
        <f>SUMIFS('Consulta Contratos'!$Z:$Z,'Consulta Contratos'!$AM:$AM,'Performance Vendas'!R$88,'Consulta Contratos'!$J:$J,'Performance Vendas'!$A101,'Consulta Contratos'!$H:$H,"ATIVO")</f>
        <v>0</v>
      </c>
      <c r="S101" s="82">
        <f>SUMIFS('Consulta Contratos'!$Z:$Z,'Consulta Contratos'!$AM:$AM,'Performance Vendas'!S$88,'Consulta Contratos'!$J:$J,'Performance Vendas'!$A101,'Consulta Contratos'!$H:$H,"ATIVO")</f>
        <v>400000</v>
      </c>
      <c r="T101" s="82">
        <f>SUMIFS('Consulta Contratos'!$Z:$Z,'Consulta Contratos'!$AM:$AM,'Performance Vendas'!T$88,'Consulta Contratos'!$J:$J,'Performance Vendas'!$A101,'Consulta Contratos'!$H:$H,"ATIVO")</f>
        <v>0</v>
      </c>
      <c r="U101" s="82">
        <f>SUMIFS('Consulta Contratos'!$Z:$Z,'Consulta Contratos'!$AM:$AM,'Performance Vendas'!U$88,'Consulta Contratos'!$J:$J,'Performance Vendas'!$A101,'Consulta Contratos'!$H:$H,"ATIVO")</f>
        <v>0</v>
      </c>
      <c r="V101" s="82">
        <f>SUMIFS('Consulta Contratos'!$Z:$Z,'Consulta Contratos'!$AM:$AM,'Performance Vendas'!V$88,'Consulta Contratos'!$J:$J,'Performance Vendas'!$A101,'Consulta Contratos'!$H:$H,"ATIVO")</f>
        <v>400000</v>
      </c>
      <c r="W101" s="86">
        <f t="shared" si="115"/>
        <v>1300000</v>
      </c>
      <c r="X101" s="82">
        <f>SUMIFS('Consulta Contratos'!$Z:$Z,'Consulta Contratos'!$AM:$AM,'Performance Vendas'!X$88,'Consulta Contratos'!$J:$J,'Performance Vendas'!$A101,'Consulta Contratos'!$H:$H,"ATIVO")</f>
        <v>200000</v>
      </c>
      <c r="Y101" s="82">
        <f>SUMIFS('Consulta Contratos'!$Z:$Z,'Consulta Contratos'!$AM:$AM,'Performance Vendas'!Y$88,'Consulta Contratos'!$J:$J,'Performance Vendas'!$A101,'Consulta Contratos'!$H:$H,"ATIVO")</f>
        <v>0</v>
      </c>
      <c r="Z101" s="82">
        <f>SUMIFS('Consulta Contratos'!$Z:$Z,'Consulta Contratos'!$AM:$AM,'Performance Vendas'!Z$88,'Consulta Contratos'!$J:$J,'Performance Vendas'!$A101,'Consulta Contratos'!$H:$H,"ATIVO")</f>
        <v>200000</v>
      </c>
      <c r="AA101" s="82">
        <f>SUMIFS('Consulta Contratos'!$Z:$Z,'Consulta Contratos'!$AM:$AM,'Performance Vendas'!AA$88,'Consulta Contratos'!$J:$J,'Performance Vendas'!$A101,'Consulta Contratos'!$H:$H,"ATIVO")</f>
        <v>200000</v>
      </c>
      <c r="AB101" s="82">
        <f>SUMIFS('Consulta Contratos'!$Z:$Z,'Consulta Contratos'!$AM:$AM,'Performance Vendas'!AB$88,'Consulta Contratos'!$J:$J,'Performance Vendas'!$A101,'Consulta Contratos'!$H:$H,"ATIVO")</f>
        <v>0</v>
      </c>
      <c r="AC101" s="82">
        <f>SUMIFS('Consulta Contratos'!$Z:$Z,'Consulta Contratos'!$AM:$AM,'Performance Vendas'!AC$88,'Consulta Contratos'!$J:$J,'Performance Vendas'!$A101,'Consulta Contratos'!$H:$H,"ATIVO")</f>
        <v>0</v>
      </c>
      <c r="AD101" s="82">
        <f>SUMIFS('Consulta Contratos'!$Z:$Z,'Consulta Contratos'!$AM:$AM,'Performance Vendas'!AD$88,'Consulta Contratos'!$J:$J,'Performance Vendas'!$A101,'Consulta Contratos'!$H:$H,"ATIVO")</f>
        <v>0</v>
      </c>
      <c r="AE101" s="82">
        <f>SUMIFS('Consulta Contratos'!$Z:$Z,'Consulta Contratos'!$AM:$AM,'Performance Vendas'!AE$88,'Consulta Contratos'!$J:$J,'Performance Vendas'!$A101,'Consulta Contratos'!$H:$H,"ATIVO")</f>
        <v>0</v>
      </c>
      <c r="AF101" s="82">
        <f>SUMIFS('Consulta Contratos'!$Z:$Z,'Consulta Contratos'!$AM:$AM,'Performance Vendas'!AF$88,'Consulta Contratos'!$J:$J,'Performance Vendas'!$A101,'Consulta Contratos'!$H:$H,"ATIVO")</f>
        <v>0</v>
      </c>
      <c r="AG101" s="82">
        <f>SUMIFS('Consulta Contratos'!$Z:$Z,'Consulta Contratos'!$AM:$AM,'Performance Vendas'!AG$88,'Consulta Contratos'!$J:$J,'Performance Vendas'!$A101,'Consulta Contratos'!$H:$H,"ATIVO")</f>
        <v>0</v>
      </c>
      <c r="AH101" s="82">
        <f>SUMIFS('Consulta Contratos'!$Z:$Z,'Consulta Contratos'!$AM:$AM,'Performance Vendas'!AH$88,'Consulta Contratos'!$J:$J,'Performance Vendas'!$A101,'Consulta Contratos'!$H:$H,"ATIVO")</f>
        <v>0</v>
      </c>
      <c r="AI101" s="82">
        <f>SUMIFS('Consulta Contratos'!$Z:$Z,'Consulta Contratos'!$AM:$AM,'Performance Vendas'!AI$88,'Consulta Contratos'!$J:$J,'Performance Vendas'!$A101,'Consulta Contratos'!$H:$H,"ATIVO")</f>
        <v>200000</v>
      </c>
      <c r="AJ101" s="86">
        <f t="shared" si="116"/>
        <v>800000</v>
      </c>
      <c r="AK101" s="82">
        <f>SUMIFS('Consulta Contratos'!$Z:$Z,'Consulta Contratos'!$AM:$AM,'Performance Vendas'!AK$88,'Consulta Contratos'!$J:$J,'Performance Vendas'!$A101,'Consulta Contratos'!$H:$H,"ATIVO")</f>
        <v>0</v>
      </c>
      <c r="AL101" s="82">
        <f>SUMIFS('Consulta Contratos'!$Z:$Z,'Consulta Contratos'!$AM:$AM,'Performance Vendas'!AL$88,'Consulta Contratos'!$J:$J,'Performance Vendas'!$A101,'Consulta Contratos'!$H:$H,"ATIVO")</f>
        <v>0</v>
      </c>
      <c r="AM101" s="82">
        <f>SUMIFS('Consulta Contratos'!$Z:$Z,'Consulta Contratos'!$AM:$AM,'Performance Vendas'!AM$88,'Consulta Contratos'!$J:$J,'Performance Vendas'!$A101,'Consulta Contratos'!$H:$H,"ATIVO")</f>
        <v>0</v>
      </c>
      <c r="AN101" s="82">
        <f>SUMIFS('Consulta Contratos'!$Z:$Z,'Consulta Contratos'!$AM:$AM,'Performance Vendas'!AN$88,'Consulta Contratos'!$J:$J,'Performance Vendas'!$A101,'Consulta Contratos'!$H:$H,"ATIVO")</f>
        <v>0</v>
      </c>
      <c r="AO101" s="82">
        <f>SUMIFS('Consulta Contratos'!$Z:$Z,'Consulta Contratos'!$AM:$AM,'Performance Vendas'!AO$88,'Consulta Contratos'!$J:$J,'Performance Vendas'!$A101,'Consulta Contratos'!$H:$H,"ATIVO")</f>
        <v>0</v>
      </c>
      <c r="AP101" s="82">
        <f>SUMIFS('Consulta Contratos'!$Z:$Z,'Consulta Contratos'!$AM:$AM,'Performance Vendas'!AP$88,'Consulta Contratos'!$J:$J,'Performance Vendas'!$A101,'Consulta Contratos'!$H:$H,"ATIVO")</f>
        <v>0</v>
      </c>
      <c r="AQ101" s="82">
        <f>SUMIFS('Consulta Contratos'!$Z:$Z,'Consulta Contratos'!$AM:$AM,'Performance Vendas'!AQ$88,'Consulta Contratos'!$J:$J,'Performance Vendas'!$A101,'Consulta Contratos'!$H:$H,"ATIVO")</f>
        <v>0</v>
      </c>
      <c r="AR101" s="82">
        <f>SUMIFS('Consulta Contratos'!$Z:$Z,'Consulta Contratos'!$AM:$AM,'Performance Vendas'!AR$88,'Consulta Contratos'!$J:$J,'Performance Vendas'!$A101,'Consulta Contratos'!$H:$H,"ATIVO")</f>
        <v>0</v>
      </c>
      <c r="AS101" s="82">
        <f>SUMIFS('Consulta Contratos'!$Z:$Z,'Consulta Contratos'!$AM:$AM,'Performance Vendas'!AS$88,'Consulta Contratos'!$J:$J,'Performance Vendas'!$A101,'Consulta Contratos'!$H:$H,"ATIVO")</f>
        <v>0</v>
      </c>
      <c r="AT101" s="82">
        <f>SUMIFS('Consulta Contratos'!$Z:$Z,'Consulta Contratos'!$AM:$AM,'Performance Vendas'!AT$88,'Consulta Contratos'!$J:$J,'Performance Vendas'!$A101,'Consulta Contratos'!$H:$H,"ATIVO")</f>
        <v>0</v>
      </c>
      <c r="AU101" s="82">
        <f>SUMIFS('Consulta Contratos'!$Z:$Z,'Consulta Contratos'!$AM:$AM,'Performance Vendas'!AU$88,'Consulta Contratos'!$J:$J,'Performance Vendas'!$A101,'Consulta Contratos'!$H:$H,"ATIVO")</f>
        <v>0</v>
      </c>
      <c r="AV101" s="82">
        <f>SUMIFS('Consulta Contratos'!$Z:$Z,'Consulta Contratos'!$AM:$AM,'Performance Vendas'!AV$88,'Consulta Contratos'!$J:$J,'Performance Vendas'!$A101,'Consulta Contratos'!$H:$H,"ATIVO")</f>
        <v>0</v>
      </c>
      <c r="AW101" s="86">
        <f t="shared" ref="AW101:AW113" si="141">SUM(AK101:AV101)</f>
        <v>0</v>
      </c>
      <c r="AX101" s="86">
        <f>AJ101+W101+J101+AW101</f>
        <v>2300001</v>
      </c>
      <c r="AY101" s="92">
        <f>AX101/$AX$104</f>
        <v>6.0045202144275479E-3</v>
      </c>
      <c r="AZ101" s="82">
        <f>SUMIFS('Consulta Contratos'!$Z:$Z,'Consulta Contratos'!$AM:$AM,'Performance Vendas'!AZ$88,'Consulta Contratos'!$J:$J,'Performance Vendas'!$A101,'Consulta Contratos'!$H:$H,"ATIVO")</f>
        <v>0</v>
      </c>
    </row>
    <row r="102" spans="1:52" s="88" customFormat="1" ht="12.75">
      <c r="A102" s="120">
        <v>52</v>
      </c>
      <c r="B102" s="106" t="s">
        <v>123</v>
      </c>
      <c r="C102" s="118" t="s">
        <v>117</v>
      </c>
      <c r="D102" s="95"/>
      <c r="E102" s="190">
        <f>COUNTIFS('Consulta Contratos'!$J:$J,'Performance Vendas'!$A102,'Consulta Contratos'!$H:$H,"Ativo",'Consulta Contratos'!$AM:$AM,'Performance Vendas'!E$88)</f>
        <v>1</v>
      </c>
      <c r="F102" s="190">
        <f>COUNTIFS('Consulta Contratos'!$J:$J,'Performance Vendas'!$A102,'Consulta Contratos'!$H:$H,"Ativo",'Consulta Contratos'!$AM:$AM,'Performance Vendas'!F$88)</f>
        <v>0</v>
      </c>
      <c r="G102" s="190">
        <f>COUNTIFS('Consulta Contratos'!$J:$J,'Performance Vendas'!$A102,'Consulta Contratos'!$H:$H,"Ativo",'Consulta Contratos'!$AM:$AM,'Performance Vendas'!G$88)</f>
        <v>0</v>
      </c>
      <c r="H102" s="190">
        <f>COUNTIFS('Consulta Contratos'!$J:$J,'Performance Vendas'!$A102,'Consulta Contratos'!$H:$H,"Ativo",'Consulta Contratos'!$AM:$AM,'Performance Vendas'!H$88)</f>
        <v>0</v>
      </c>
      <c r="I102" s="190">
        <f>COUNTIFS('Consulta Contratos'!$J:$J,'Performance Vendas'!$A102,'Consulta Contratos'!$H:$H,"Ativo",'Consulta Contratos'!$AM:$AM,'Performance Vendas'!I$88)</f>
        <v>1</v>
      </c>
      <c r="J102" s="191">
        <f t="shared" ref="J102" si="142">SUM(E102:I102)</f>
        <v>2</v>
      </c>
      <c r="K102" s="190">
        <f>COUNTIFS('Consulta Contratos'!$J:$J,'Performance Vendas'!$A102,'Consulta Contratos'!$H:$H,"Ativo",'Consulta Contratos'!$AM:$AM,'Performance Vendas'!K$88)</f>
        <v>0</v>
      </c>
      <c r="L102" s="190">
        <f>COUNTIFS('Consulta Contratos'!$J:$J,'Performance Vendas'!$A102,'Consulta Contratos'!$H:$H,"Ativo",'Consulta Contratos'!$AM:$AM,'Performance Vendas'!L$88)</f>
        <v>0</v>
      </c>
      <c r="M102" s="190">
        <f>COUNTIFS('Consulta Contratos'!$J:$J,'Performance Vendas'!$A102,'Consulta Contratos'!$H:$H,"Ativo",'Consulta Contratos'!$AM:$AM,'Performance Vendas'!M$88)</f>
        <v>1</v>
      </c>
      <c r="N102" s="190">
        <f>COUNTIFS('Consulta Contratos'!$J:$J,'Performance Vendas'!$A102,'Consulta Contratos'!$H:$H,"Ativo",'Consulta Contratos'!$AM:$AM,'Performance Vendas'!N$88)</f>
        <v>1</v>
      </c>
      <c r="O102" s="190">
        <f>COUNTIFS('Consulta Contratos'!$J:$J,'Performance Vendas'!$A102,'Consulta Contratos'!$H:$H,"Ativo",'Consulta Contratos'!$AM:$AM,'Performance Vendas'!O$88)</f>
        <v>0</v>
      </c>
      <c r="P102" s="190">
        <f>COUNTIFS('Consulta Contratos'!$J:$J,'Performance Vendas'!$A102,'Consulta Contratos'!$H:$H,"Ativo",'Consulta Contratos'!$AM:$AM,'Performance Vendas'!P$88)</f>
        <v>0</v>
      </c>
      <c r="Q102" s="190">
        <f>COUNTIFS('Consulta Contratos'!$J:$J,'Performance Vendas'!$A102,'Consulta Contratos'!$H:$H,"Ativo",'Consulta Contratos'!$AM:$AM,'Performance Vendas'!Q$88)</f>
        <v>1</v>
      </c>
      <c r="R102" s="190">
        <f>COUNTIFS('Consulta Contratos'!$J:$J,'Performance Vendas'!$A102,'Consulta Contratos'!$H:$H,"Ativo",'Consulta Contratos'!$AM:$AM,'Performance Vendas'!R$88)</f>
        <v>0</v>
      </c>
      <c r="S102" s="190">
        <f>COUNTIFS('Consulta Contratos'!$J:$J,'Performance Vendas'!$A102,'Consulta Contratos'!$H:$H,"Ativo",'Consulta Contratos'!$AM:$AM,'Performance Vendas'!S$88)</f>
        <v>2</v>
      </c>
      <c r="T102" s="190">
        <f>COUNTIFS('Consulta Contratos'!$J:$J,'Performance Vendas'!$A102,'Consulta Contratos'!$H:$H,"Ativo",'Consulta Contratos'!$AM:$AM,'Performance Vendas'!T$88)</f>
        <v>0</v>
      </c>
      <c r="U102" s="190">
        <f>COUNTIFS('Consulta Contratos'!$J:$J,'Performance Vendas'!$A102,'Consulta Contratos'!$H:$H,"Ativo",'Consulta Contratos'!$AM:$AM,'Performance Vendas'!U$88)</f>
        <v>0</v>
      </c>
      <c r="V102" s="190">
        <f>COUNTIFS('Consulta Contratos'!$J:$J,'Performance Vendas'!$A102,'Consulta Contratos'!$H:$H,"Ativo",'Consulta Contratos'!$AM:$AM,'Performance Vendas'!V$88)</f>
        <v>2</v>
      </c>
      <c r="W102" s="191">
        <f t="shared" ref="W102" si="143">SUM(K102:V102)</f>
        <v>7</v>
      </c>
      <c r="X102" s="190">
        <f>COUNTIFS('Consulta Contratos'!$J:$J,'Performance Vendas'!$A102,'Consulta Contratos'!$H:$H,"Ativo",'Consulta Contratos'!$AM:$AM,'Performance Vendas'!X$88)</f>
        <v>1</v>
      </c>
      <c r="Y102" s="190">
        <f>COUNTIFS('Consulta Contratos'!$J:$J,'Performance Vendas'!$A102,'Consulta Contratos'!$H:$H,"Ativo",'Consulta Contratos'!$AM:$AM,'Performance Vendas'!Y$88)</f>
        <v>0</v>
      </c>
      <c r="Z102" s="190">
        <f>COUNTIFS('Consulta Contratos'!$J:$J,'Performance Vendas'!$A102,'Consulta Contratos'!$H:$H,"Ativo",'Consulta Contratos'!$AM:$AM,'Performance Vendas'!Z$88)</f>
        <v>1</v>
      </c>
      <c r="AA102" s="190">
        <f>COUNTIFS('Consulta Contratos'!$J:$J,'Performance Vendas'!$A102,'Consulta Contratos'!$H:$H,"Ativo",'Consulta Contratos'!$AM:$AM,'Performance Vendas'!AA$88)</f>
        <v>1</v>
      </c>
      <c r="AB102" s="190">
        <f>COUNTIFS('Consulta Contratos'!$J:$J,'Performance Vendas'!$A102,'Consulta Contratos'!$H:$H,"Ativo",'Consulta Contratos'!$AM:$AM,'Performance Vendas'!AB$88)</f>
        <v>0</v>
      </c>
      <c r="AC102" s="190">
        <f>COUNTIFS('Consulta Contratos'!$J:$J,'Performance Vendas'!$A102,'Consulta Contratos'!$H:$H,"Ativo",'Consulta Contratos'!$AM:$AM,'Performance Vendas'!AC$88)</f>
        <v>0</v>
      </c>
      <c r="AD102" s="190">
        <f>COUNTIFS('Consulta Contratos'!$J:$J,'Performance Vendas'!$A102,'Consulta Contratos'!$H:$H,"Ativo",'Consulta Contratos'!$AM:$AM,'Performance Vendas'!AD$88)</f>
        <v>0</v>
      </c>
      <c r="AE102" s="190">
        <f>COUNTIFS('Consulta Contratos'!$J:$J,'Performance Vendas'!$A102,'Consulta Contratos'!$H:$H,"Ativo",'Consulta Contratos'!$AM:$AM,'Performance Vendas'!AE$88)</f>
        <v>0</v>
      </c>
      <c r="AF102" s="190">
        <f>COUNTIFS('Consulta Contratos'!$J:$J,'Performance Vendas'!$A102,'Consulta Contratos'!$H:$H,"Ativo",'Consulta Contratos'!$AM:$AM,'Performance Vendas'!AF$88)</f>
        <v>0</v>
      </c>
      <c r="AG102" s="190">
        <f>COUNTIFS('Consulta Contratos'!$J:$J,'Performance Vendas'!$A102,'Consulta Contratos'!$H:$H,"Ativo",'Consulta Contratos'!$AM:$AM,'Performance Vendas'!AG$88)</f>
        <v>0</v>
      </c>
      <c r="AH102" s="190">
        <f>COUNTIFS('Consulta Contratos'!$J:$J,'Performance Vendas'!$A102,'Consulta Contratos'!$H:$H,"Ativo",'Consulta Contratos'!$AM:$AM,'Performance Vendas'!AH$88)</f>
        <v>0</v>
      </c>
      <c r="AI102" s="190">
        <f>COUNTIFS('Consulta Contratos'!$J:$J,'Performance Vendas'!$A102,'Consulta Contratos'!$H:$H,"Ativo",'Consulta Contratos'!$AM:$AM,'Performance Vendas'!AI$88)</f>
        <v>1</v>
      </c>
      <c r="AJ102" s="191">
        <f t="shared" ref="AJ102" si="144">SUM(X102:AI102)</f>
        <v>4</v>
      </c>
      <c r="AK102" s="190">
        <f>COUNTIFS('Consulta Contratos'!$J:$J,'Performance Vendas'!$A102,'Consulta Contratos'!$H:$H,"Ativo",'Consulta Contratos'!$AM:$AM,'Performance Vendas'!AK$88)</f>
        <v>0</v>
      </c>
      <c r="AL102" s="190">
        <f>COUNTIFS('Consulta Contratos'!$J:$J,'Performance Vendas'!$A102,'Consulta Contratos'!$H:$H,"Ativo",'Consulta Contratos'!$AM:$AM,'Performance Vendas'!AL$88)</f>
        <v>0</v>
      </c>
      <c r="AM102" s="190">
        <f>COUNTIFS('Consulta Contratos'!$J:$J,'Performance Vendas'!$A102,'Consulta Contratos'!$H:$H,"Ativo",'Consulta Contratos'!$AM:$AM,'Performance Vendas'!AM$88)</f>
        <v>0</v>
      </c>
      <c r="AN102" s="190">
        <f>COUNTIFS('Consulta Contratos'!$J:$J,'Performance Vendas'!$A102,'Consulta Contratos'!$H:$H,"Ativo",'Consulta Contratos'!$AM:$AM,'Performance Vendas'!AN$88)</f>
        <v>0</v>
      </c>
      <c r="AO102" s="190">
        <f>COUNTIFS('Consulta Contratos'!$J:$J,'Performance Vendas'!$A102,'Consulta Contratos'!$H:$H,"Ativo",'Consulta Contratos'!$AM:$AM,'Performance Vendas'!AO$88)</f>
        <v>0</v>
      </c>
      <c r="AP102" s="190">
        <f>COUNTIFS('Consulta Contratos'!$J:$J,'Performance Vendas'!$A102,'Consulta Contratos'!$H:$H,"Ativo",'Consulta Contratos'!$AM:$AM,'Performance Vendas'!AP$88)</f>
        <v>0</v>
      </c>
      <c r="AQ102" s="190">
        <f>COUNTIFS('Consulta Contratos'!$J:$J,'Performance Vendas'!$A102,'Consulta Contratos'!$H:$H,"Ativo",'Consulta Contratos'!$AM:$AM,'Performance Vendas'!AQ$88)</f>
        <v>0</v>
      </c>
      <c r="AR102" s="190">
        <f>COUNTIFS('Consulta Contratos'!$J:$J,'Performance Vendas'!$A102,'Consulta Contratos'!$H:$H,"Ativo",'Consulta Contratos'!$AM:$AM,'Performance Vendas'!AR$88)</f>
        <v>0</v>
      </c>
      <c r="AS102" s="190">
        <f>COUNTIFS('Consulta Contratos'!$J:$J,'Performance Vendas'!$A102,'Consulta Contratos'!$H:$H,"Ativo",'Consulta Contratos'!$AM:$AM,'Performance Vendas'!AS$88)</f>
        <v>0</v>
      </c>
      <c r="AT102" s="190">
        <f>COUNTIFS('Consulta Contratos'!$J:$J,'Performance Vendas'!$A102,'Consulta Contratos'!$H:$H,"Ativo",'Consulta Contratos'!$AM:$AM,'Performance Vendas'!AT$88)</f>
        <v>0</v>
      </c>
      <c r="AU102" s="190">
        <f>COUNTIFS('Consulta Contratos'!$J:$J,'Performance Vendas'!$A102,'Consulta Contratos'!$H:$H,"Ativo",'Consulta Contratos'!$AM:$AM,'Performance Vendas'!AU$88)</f>
        <v>0</v>
      </c>
      <c r="AV102" s="190">
        <f>COUNTIFS('Consulta Contratos'!$J:$J,'Performance Vendas'!$A102,'Consulta Contratos'!$H:$H,"Ativo",'Consulta Contratos'!$AM:$AM,'Performance Vendas'!AV$88)</f>
        <v>0</v>
      </c>
      <c r="AW102" s="191">
        <f t="shared" ref="AW102" si="145">SUM(AK102:AV102)</f>
        <v>0</v>
      </c>
      <c r="AX102" s="191">
        <f>AJ102+W102+J102+AW102</f>
        <v>13</v>
      </c>
      <c r="AY102" s="81">
        <f>AX102/$AX$105</f>
        <v>2.813852813852814E-2</v>
      </c>
      <c r="AZ102" s="190">
        <f>COUNTIFS('Consulta Contratos'!$J:$J,'Performance Vendas'!$A102,'Consulta Contratos'!$H:$H,"Ativo",'Consulta Contratos'!$AM:$AM,'Performance Vendas'!AZ$88)</f>
        <v>0</v>
      </c>
    </row>
    <row r="103" spans="1:52" s="87" customFormat="1">
      <c r="A103" s="120"/>
      <c r="B103" s="107"/>
      <c r="C103" s="119" t="s">
        <v>120</v>
      </c>
      <c r="D103" s="85"/>
      <c r="E103" s="83">
        <f>IFERROR(E101/E102,0)</f>
        <v>1</v>
      </c>
      <c r="F103" s="83">
        <f>IFERROR(F101/F102,0)</f>
        <v>0</v>
      </c>
      <c r="G103" s="83">
        <f>IFERROR(G101/G102,0)</f>
        <v>0</v>
      </c>
      <c r="H103" s="83">
        <f>IFERROR(H101/H102,0)</f>
        <v>0</v>
      </c>
      <c r="I103" s="83">
        <f>IFERROR(I101/I102,0)</f>
        <v>200000</v>
      </c>
      <c r="J103" s="96">
        <f t="shared" ref="J103" si="146">SUM(E103:I103)</f>
        <v>200001</v>
      </c>
      <c r="K103" s="83">
        <f t="shared" ref="K103:V103" si="147">IFERROR(K101/K102,0)</f>
        <v>0</v>
      </c>
      <c r="L103" s="83">
        <f t="shared" si="147"/>
        <v>0</v>
      </c>
      <c r="M103" s="83">
        <f t="shared" si="147"/>
        <v>200000</v>
      </c>
      <c r="N103" s="83">
        <f t="shared" si="147"/>
        <v>0</v>
      </c>
      <c r="O103" s="83">
        <f t="shared" si="147"/>
        <v>0</v>
      </c>
      <c r="P103" s="83">
        <f t="shared" si="147"/>
        <v>0</v>
      </c>
      <c r="Q103" s="83">
        <f t="shared" si="147"/>
        <v>300000</v>
      </c>
      <c r="R103" s="83">
        <f t="shared" si="147"/>
        <v>0</v>
      </c>
      <c r="S103" s="83">
        <f t="shared" si="147"/>
        <v>200000</v>
      </c>
      <c r="T103" s="83">
        <f t="shared" si="147"/>
        <v>0</v>
      </c>
      <c r="U103" s="83">
        <f t="shared" si="147"/>
        <v>0</v>
      </c>
      <c r="V103" s="83">
        <f t="shared" si="147"/>
        <v>200000</v>
      </c>
      <c r="W103" s="96">
        <f>SUM(K103:V103)</f>
        <v>900000</v>
      </c>
      <c r="X103" s="83">
        <f t="shared" ref="X103:AX103" si="148">IFERROR(X101/X102,0)</f>
        <v>200000</v>
      </c>
      <c r="Y103" s="83">
        <f t="shared" si="148"/>
        <v>0</v>
      </c>
      <c r="Z103" s="83">
        <f t="shared" si="148"/>
        <v>200000</v>
      </c>
      <c r="AA103" s="83">
        <f t="shared" si="148"/>
        <v>200000</v>
      </c>
      <c r="AB103" s="83">
        <f t="shared" si="148"/>
        <v>0</v>
      </c>
      <c r="AC103" s="83">
        <f t="shared" si="148"/>
        <v>0</v>
      </c>
      <c r="AD103" s="83">
        <f t="shared" si="148"/>
        <v>0</v>
      </c>
      <c r="AE103" s="83">
        <f t="shared" si="148"/>
        <v>0</v>
      </c>
      <c r="AF103" s="83">
        <f t="shared" si="148"/>
        <v>0</v>
      </c>
      <c r="AG103" s="83">
        <f t="shared" si="148"/>
        <v>0</v>
      </c>
      <c r="AH103" s="83">
        <f t="shared" si="148"/>
        <v>0</v>
      </c>
      <c r="AI103" s="83">
        <f t="shared" si="148"/>
        <v>200000</v>
      </c>
      <c r="AJ103" s="96">
        <f t="shared" si="148"/>
        <v>200000</v>
      </c>
      <c r="AK103" s="83">
        <f t="shared" ref="AK103:AW103" si="149">IFERROR(AK101/AK102,0)</f>
        <v>0</v>
      </c>
      <c r="AL103" s="83">
        <f t="shared" si="149"/>
        <v>0</v>
      </c>
      <c r="AM103" s="83">
        <f t="shared" si="149"/>
        <v>0</v>
      </c>
      <c r="AN103" s="83">
        <f t="shared" si="149"/>
        <v>0</v>
      </c>
      <c r="AO103" s="83">
        <f t="shared" si="149"/>
        <v>0</v>
      </c>
      <c r="AP103" s="83">
        <f t="shared" si="149"/>
        <v>0</v>
      </c>
      <c r="AQ103" s="83">
        <f t="shared" si="149"/>
        <v>0</v>
      </c>
      <c r="AR103" s="83">
        <f t="shared" si="149"/>
        <v>0</v>
      </c>
      <c r="AS103" s="83">
        <f t="shared" si="149"/>
        <v>0</v>
      </c>
      <c r="AT103" s="83">
        <f t="shared" si="149"/>
        <v>0</v>
      </c>
      <c r="AU103" s="83">
        <f t="shared" si="149"/>
        <v>0</v>
      </c>
      <c r="AV103" s="83">
        <f t="shared" si="149"/>
        <v>0</v>
      </c>
      <c r="AW103" s="96">
        <f t="shared" si="149"/>
        <v>0</v>
      </c>
      <c r="AX103" s="96">
        <f t="shared" si="148"/>
        <v>176923.15384615384</v>
      </c>
      <c r="AY103" s="97"/>
      <c r="AZ103" s="83">
        <f>IFERROR(AZ101/AZ102,0)</f>
        <v>0</v>
      </c>
    </row>
    <row r="104" spans="1:52">
      <c r="A104" s="93"/>
      <c r="B104" s="460" t="s">
        <v>124</v>
      </c>
      <c r="C104" s="122" t="s">
        <v>70</v>
      </c>
      <c r="D104" s="3"/>
      <c r="E104" s="371">
        <f>E89+E92+E95+E98+E101</f>
        <v>14243001</v>
      </c>
      <c r="F104" s="371">
        <f t="shared" ref="F104:AJ104" si="150">F89+F92+F95+F98+F101</f>
        <v>6370748.2999999998</v>
      </c>
      <c r="G104" s="371">
        <f t="shared" si="150"/>
        <v>14288721.359999999</v>
      </c>
      <c r="H104" s="371">
        <f t="shared" si="150"/>
        <v>10992566</v>
      </c>
      <c r="I104" s="371">
        <f t="shared" si="150"/>
        <v>13847740</v>
      </c>
      <c r="J104" s="372">
        <f t="shared" si="150"/>
        <v>59742776.659999996</v>
      </c>
      <c r="K104" s="371">
        <f t="shared" si="150"/>
        <v>15029384.189999999</v>
      </c>
      <c r="L104" s="371">
        <f t="shared" si="150"/>
        <v>4347825</v>
      </c>
      <c r="M104" s="371">
        <f t="shared" si="150"/>
        <v>12491340</v>
      </c>
      <c r="N104" s="371">
        <f t="shared" si="150"/>
        <v>13804596.76</v>
      </c>
      <c r="O104" s="371">
        <f t="shared" si="150"/>
        <v>9937311.1999999993</v>
      </c>
      <c r="P104" s="371">
        <f t="shared" si="150"/>
        <v>15080733.300000001</v>
      </c>
      <c r="Q104" s="371">
        <f t="shared" si="150"/>
        <v>13602758.629999999</v>
      </c>
      <c r="R104" s="371">
        <f t="shared" si="150"/>
        <v>11696029.219999999</v>
      </c>
      <c r="S104" s="371">
        <f t="shared" si="150"/>
        <v>20703802.829999998</v>
      </c>
      <c r="T104" s="371">
        <f t="shared" si="150"/>
        <v>25034491.490000002</v>
      </c>
      <c r="U104" s="371">
        <f t="shared" si="150"/>
        <v>14262217.1</v>
      </c>
      <c r="V104" s="371">
        <f t="shared" si="150"/>
        <v>24137646</v>
      </c>
      <c r="W104" s="372">
        <f t="shared" si="150"/>
        <v>180128135.72</v>
      </c>
      <c r="X104" s="371">
        <f t="shared" si="150"/>
        <v>16584821.960000001</v>
      </c>
      <c r="Y104" s="371">
        <f t="shared" si="150"/>
        <v>4083584.23</v>
      </c>
      <c r="Z104" s="371">
        <f t="shared" si="150"/>
        <v>11381784</v>
      </c>
      <c r="AA104" s="371">
        <f t="shared" si="150"/>
        <v>10862520</v>
      </c>
      <c r="AB104" s="371">
        <f t="shared" si="150"/>
        <v>1405406.28</v>
      </c>
      <c r="AC104" s="371">
        <f t="shared" si="150"/>
        <v>2130000</v>
      </c>
      <c r="AD104" s="371">
        <f t="shared" si="150"/>
        <v>11736970.66</v>
      </c>
      <c r="AE104" s="371">
        <f t="shared" si="150"/>
        <v>21660841.460000001</v>
      </c>
      <c r="AF104" s="371">
        <f t="shared" si="150"/>
        <v>18628123.140000001</v>
      </c>
      <c r="AG104" s="371">
        <f t="shared" si="150"/>
        <v>3246000</v>
      </c>
      <c r="AH104" s="371">
        <f t="shared" si="150"/>
        <v>8056699.7199999997</v>
      </c>
      <c r="AI104" s="371">
        <f t="shared" si="150"/>
        <v>17236514.850000001</v>
      </c>
      <c r="AJ104" s="372">
        <f t="shared" si="150"/>
        <v>127013266.3</v>
      </c>
      <c r="AK104" s="371">
        <f t="shared" ref="AK104:AW104" si="151">AK89+AK92+AK95+AK98+AK101</f>
        <v>9348451.8099999987</v>
      </c>
      <c r="AL104" s="371">
        <f t="shared" si="151"/>
        <v>6484295.3100000005</v>
      </c>
      <c r="AM104" s="371">
        <f t="shared" si="151"/>
        <v>328000</v>
      </c>
      <c r="AN104" s="371">
        <f t="shared" si="151"/>
        <v>0</v>
      </c>
      <c r="AO104" s="371">
        <f t="shared" si="151"/>
        <v>0</v>
      </c>
      <c r="AP104" s="371">
        <f t="shared" si="151"/>
        <v>0</v>
      </c>
      <c r="AQ104" s="371">
        <f t="shared" si="151"/>
        <v>0</v>
      </c>
      <c r="AR104" s="371">
        <f t="shared" si="151"/>
        <v>0</v>
      </c>
      <c r="AS104" s="371">
        <f t="shared" si="151"/>
        <v>0</v>
      </c>
      <c r="AT104" s="371">
        <f t="shared" si="151"/>
        <v>0</v>
      </c>
      <c r="AU104" s="371">
        <f t="shared" si="151"/>
        <v>0</v>
      </c>
      <c r="AV104" s="371">
        <f t="shared" si="151"/>
        <v>0</v>
      </c>
      <c r="AW104" s="372">
        <f t="shared" si="151"/>
        <v>16160747.120000001</v>
      </c>
      <c r="AX104" s="372">
        <f>AJ104+W104+J104+AW104</f>
        <v>383044925.79999995</v>
      </c>
      <c r="AY104" s="121"/>
      <c r="AZ104" s="449">
        <f t="shared" ref="AZ104" si="152">AZ89+AZ92+AZ95+AZ98+AZ101</f>
        <v>1498219.6800000002</v>
      </c>
    </row>
    <row r="105" spans="1:52">
      <c r="A105" s="93"/>
      <c r="B105" s="461"/>
      <c r="C105" s="122" t="s">
        <v>125</v>
      </c>
      <c r="D105" s="3"/>
      <c r="E105" s="379">
        <f>SUM(E93,E96,E99,E90)</f>
        <v>5</v>
      </c>
      <c r="F105" s="379">
        <f t="shared" ref="F105:J105" si="153">SUM(F93,F96,F99,F90)</f>
        <v>11</v>
      </c>
      <c r="G105" s="379">
        <f t="shared" si="153"/>
        <v>9</v>
      </c>
      <c r="H105" s="379">
        <f t="shared" si="153"/>
        <v>12</v>
      </c>
      <c r="I105" s="379">
        <f t="shared" si="153"/>
        <v>19</v>
      </c>
      <c r="J105" s="379">
        <f t="shared" si="153"/>
        <v>56</v>
      </c>
      <c r="K105" s="379">
        <f t="shared" ref="K105:AX105" si="154">SUM(K93,K96,K99,K90)</f>
        <v>17</v>
      </c>
      <c r="L105" s="379">
        <f t="shared" si="154"/>
        <v>9</v>
      </c>
      <c r="M105" s="379">
        <f t="shared" si="154"/>
        <v>9</v>
      </c>
      <c r="N105" s="379">
        <f t="shared" si="154"/>
        <v>6</v>
      </c>
      <c r="O105" s="379">
        <f t="shared" si="154"/>
        <v>18</v>
      </c>
      <c r="P105" s="379">
        <f t="shared" si="154"/>
        <v>19.5</v>
      </c>
      <c r="Q105" s="379">
        <f t="shared" si="154"/>
        <v>17</v>
      </c>
      <c r="R105" s="379">
        <f t="shared" si="154"/>
        <v>23</v>
      </c>
      <c r="S105" s="379">
        <f t="shared" si="154"/>
        <v>24</v>
      </c>
      <c r="T105" s="379">
        <f t="shared" si="154"/>
        <v>30</v>
      </c>
      <c r="U105" s="379">
        <f t="shared" si="154"/>
        <v>27.5</v>
      </c>
      <c r="V105" s="379">
        <f t="shared" si="154"/>
        <v>15.5</v>
      </c>
      <c r="W105" s="379">
        <f t="shared" si="154"/>
        <v>215.5</v>
      </c>
      <c r="X105" s="379">
        <f t="shared" si="154"/>
        <v>11</v>
      </c>
      <c r="Y105" s="379">
        <f t="shared" si="154"/>
        <v>10</v>
      </c>
      <c r="Z105" s="379">
        <f t="shared" si="154"/>
        <v>8</v>
      </c>
      <c r="AA105" s="379">
        <f t="shared" si="154"/>
        <v>14</v>
      </c>
      <c r="AB105" s="379">
        <f t="shared" si="154"/>
        <v>3.5</v>
      </c>
      <c r="AC105" s="379">
        <f t="shared" si="154"/>
        <v>5</v>
      </c>
      <c r="AD105" s="379">
        <f t="shared" si="154"/>
        <v>24</v>
      </c>
      <c r="AE105" s="379">
        <f t="shared" si="154"/>
        <v>31</v>
      </c>
      <c r="AF105" s="379">
        <f t="shared" si="154"/>
        <v>29.5</v>
      </c>
      <c r="AG105" s="379">
        <f t="shared" si="154"/>
        <v>1.5</v>
      </c>
      <c r="AH105" s="379">
        <f t="shared" si="154"/>
        <v>11</v>
      </c>
      <c r="AI105" s="379">
        <f t="shared" si="154"/>
        <v>12</v>
      </c>
      <c r="AJ105" s="379">
        <f t="shared" si="154"/>
        <v>160.5</v>
      </c>
      <c r="AK105" s="379">
        <f t="shared" si="154"/>
        <v>16</v>
      </c>
      <c r="AL105" s="379">
        <f t="shared" si="154"/>
        <v>13</v>
      </c>
      <c r="AM105" s="379">
        <f t="shared" si="154"/>
        <v>1</v>
      </c>
      <c r="AN105" s="379">
        <f t="shared" si="154"/>
        <v>0</v>
      </c>
      <c r="AO105" s="379">
        <f t="shared" si="154"/>
        <v>0</v>
      </c>
      <c r="AP105" s="379">
        <f t="shared" si="154"/>
        <v>0</v>
      </c>
      <c r="AQ105" s="379">
        <f t="shared" si="154"/>
        <v>0</v>
      </c>
      <c r="AR105" s="379">
        <f t="shared" si="154"/>
        <v>0</v>
      </c>
      <c r="AS105" s="379">
        <f t="shared" si="154"/>
        <v>0</v>
      </c>
      <c r="AT105" s="379">
        <f t="shared" si="154"/>
        <v>0</v>
      </c>
      <c r="AU105" s="379">
        <f t="shared" si="154"/>
        <v>0</v>
      </c>
      <c r="AV105" s="379">
        <f t="shared" si="154"/>
        <v>0</v>
      </c>
      <c r="AW105" s="379">
        <f t="shared" si="154"/>
        <v>30</v>
      </c>
      <c r="AX105" s="379">
        <f t="shared" si="154"/>
        <v>462</v>
      </c>
      <c r="AY105" s="121"/>
      <c r="AZ105" s="449">
        <f t="shared" ref="AZ105" si="155">AZ90+AZ93+AZ96+AZ99+AZ102</f>
        <v>3</v>
      </c>
    </row>
    <row r="106" spans="1:52">
      <c r="A106" s="93"/>
      <c r="B106" s="461"/>
      <c r="C106" s="122" t="s">
        <v>126</v>
      </c>
      <c r="D106" s="302"/>
      <c r="E106" s="385">
        <f>SUM(E92,E95,E98,E89)/E105</f>
        <v>2848600</v>
      </c>
      <c r="F106" s="385">
        <f t="shared" ref="F106:J106" si="156">SUM(F92,F95,F98,F89)/F105</f>
        <v>579158.9363636364</v>
      </c>
      <c r="G106" s="385">
        <f t="shared" si="156"/>
        <v>1587635.7066666665</v>
      </c>
      <c r="H106" s="385">
        <f t="shared" si="156"/>
        <v>916047.16666666663</v>
      </c>
      <c r="I106" s="385">
        <f t="shared" si="156"/>
        <v>718302.10526315786</v>
      </c>
      <c r="J106" s="385">
        <f t="shared" si="156"/>
        <v>1063263.8510714285</v>
      </c>
      <c r="K106" s="385">
        <f t="shared" ref="K106" si="157">SUM(K92,K95,K98,K89)/K105</f>
        <v>884081.42294117645</v>
      </c>
      <c r="L106" s="385">
        <f t="shared" ref="L106" si="158">SUM(L92,L95,L98,L89)/L105</f>
        <v>483091.66666666669</v>
      </c>
      <c r="M106" s="385">
        <f t="shared" ref="M106" si="159">SUM(M92,M95,M98,M89)/M105</f>
        <v>1365704.4444444445</v>
      </c>
      <c r="N106" s="385">
        <f t="shared" ref="N106" si="160">SUM(N92,N95,N98,N89)/N105</f>
        <v>2300766.1266666665</v>
      </c>
      <c r="O106" s="385">
        <f t="shared" ref="O106" si="161">SUM(O92,O95,O98,O89)/O105</f>
        <v>552072.8444444444</v>
      </c>
      <c r="P106" s="385">
        <f t="shared" ref="P106" si="162">SUM(P92,P95,P98,P89)/P105</f>
        <v>773370.93846153852</v>
      </c>
      <c r="Q106" s="385">
        <f t="shared" ref="Q106" si="163">SUM(Q92,Q95,Q98,Q89)/Q105</f>
        <v>782515.2135294117</v>
      </c>
      <c r="R106" s="385">
        <f t="shared" ref="R106" si="164">SUM(R92,R95,R98,R89)/R105</f>
        <v>508523.00956521736</v>
      </c>
      <c r="S106" s="385">
        <f t="shared" ref="S106" si="165">SUM(S92,S95,S98,S89)/S105</f>
        <v>845991.7845833333</v>
      </c>
      <c r="T106" s="385">
        <f t="shared" ref="T106" si="166">SUM(T92,T95,T98,T89)/T105</f>
        <v>834483.04966666678</v>
      </c>
      <c r="U106" s="385">
        <f t="shared" ref="U106" si="167">SUM(U92,U95,U98,U89)/U105</f>
        <v>518626.07636363636</v>
      </c>
      <c r="V106" s="385">
        <f t="shared" ref="V106" si="168">SUM(V92,V95,V98,V89)/V105</f>
        <v>1531461.0322580645</v>
      </c>
      <c r="W106" s="385">
        <f t="shared" ref="W106" si="169">SUM(W92,W95,W98,W89)/W105</f>
        <v>829828.93605568446</v>
      </c>
      <c r="X106" s="385">
        <f t="shared" ref="X106" si="170">SUM(X92,X95,X98,X89)/X105</f>
        <v>1489529.2690909093</v>
      </c>
      <c r="Y106" s="385">
        <f t="shared" ref="Y106" si="171">SUM(Y92,Y95,Y98,Y89)/Y105</f>
        <v>408358.42300000001</v>
      </c>
      <c r="Z106" s="385">
        <f t="shared" ref="Z106" si="172">SUM(Z92,Z95,Z98,Z89)/Z105</f>
        <v>1397723</v>
      </c>
      <c r="AA106" s="385">
        <f t="shared" ref="AA106" si="173">SUM(AA92,AA95,AA98,AA89)/AA105</f>
        <v>761608.57142857148</v>
      </c>
      <c r="AB106" s="385">
        <f t="shared" ref="AB106" si="174">SUM(AB92,AB95,AB98,AB89)/AB105</f>
        <v>401544.65142857144</v>
      </c>
      <c r="AC106" s="385">
        <f t="shared" ref="AC106" si="175">SUM(AC92,AC95,AC98,AC89)/AC105</f>
        <v>426000</v>
      </c>
      <c r="AD106" s="385">
        <f t="shared" ref="AD106" si="176">SUM(AD92,AD95,AD98,AD89)/AD105</f>
        <v>489040.44416666665</v>
      </c>
      <c r="AE106" s="385">
        <f t="shared" ref="AE106" si="177">SUM(AE92,AE95,AE98,AE89)/AE105</f>
        <v>698736.82129032258</v>
      </c>
      <c r="AF106" s="385">
        <f t="shared" ref="AF106" si="178">SUM(AF92,AF95,AF98,AF89)/AF105</f>
        <v>631461.80135593226</v>
      </c>
      <c r="AG106" s="385">
        <f t="shared" ref="AG106" si="179">SUM(AG92,AG95,AG98,AG89)/AG105</f>
        <v>2164000</v>
      </c>
      <c r="AH106" s="385">
        <f t="shared" ref="AH106" si="180">SUM(AH92,AH95,AH98,AH89)/AH105</f>
        <v>732427.2472727272</v>
      </c>
      <c r="AI106" s="385">
        <f t="shared" ref="AI106" si="181">SUM(AI92,AI95,AI98,AI89)/AI105</f>
        <v>1419709.5708333335</v>
      </c>
      <c r="AJ106" s="385">
        <f t="shared" ref="AJ106" si="182">SUM(AJ92,AJ95,AJ98,AJ89)/AJ105</f>
        <v>786375.49096573202</v>
      </c>
      <c r="AK106" s="385">
        <f t="shared" ref="AK106" si="183">SUM(AK92,AK95,AK98,AK89)/AK105</f>
        <v>584278.23812499992</v>
      </c>
      <c r="AL106" s="385">
        <f t="shared" ref="AL106" si="184">SUM(AL92,AL95,AL98,AL89)/AL105</f>
        <v>498791.94692307699</v>
      </c>
      <c r="AM106" s="385">
        <f t="shared" ref="AM106" si="185">SUM(AM92,AM95,AM98,AM89)/AM105</f>
        <v>328000</v>
      </c>
      <c r="AN106" s="385" t="e">
        <f t="shared" ref="AN106" si="186">SUM(AN92,AN95,AN98,AN89)/AN105</f>
        <v>#DIV/0!</v>
      </c>
      <c r="AO106" s="385" t="e">
        <f t="shared" ref="AO106" si="187">SUM(AO92,AO95,AO98,AO89)/AO105</f>
        <v>#DIV/0!</v>
      </c>
      <c r="AP106" s="385" t="e">
        <f t="shared" ref="AP106" si="188">SUM(AP92,AP95,AP98,AP89)/AP105</f>
        <v>#DIV/0!</v>
      </c>
      <c r="AQ106" s="385" t="e">
        <f t="shared" ref="AQ106" si="189">SUM(AQ92,AQ95,AQ98,AQ89)/AQ105</f>
        <v>#DIV/0!</v>
      </c>
      <c r="AR106" s="385" t="e">
        <f t="shared" ref="AR106" si="190">SUM(AR92,AR95,AR98,AR89)/AR105</f>
        <v>#DIV/0!</v>
      </c>
      <c r="AS106" s="385" t="e">
        <f t="shared" ref="AS106" si="191">SUM(AS92,AS95,AS98,AS89)/AS105</f>
        <v>#DIV/0!</v>
      </c>
      <c r="AT106" s="385" t="e">
        <f t="shared" ref="AT106" si="192">SUM(AT92,AT95,AT98,AT89)/AT105</f>
        <v>#DIV/0!</v>
      </c>
      <c r="AU106" s="385" t="e">
        <f t="shared" ref="AU106" si="193">SUM(AU92,AU95,AU98,AU89)/AU105</f>
        <v>#DIV/0!</v>
      </c>
      <c r="AV106" s="385" t="e">
        <f t="shared" ref="AV106" si="194">SUM(AV92,AV95,AV98,AV89)/AV105</f>
        <v>#DIV/0!</v>
      </c>
      <c r="AW106" s="385">
        <f t="shared" ref="AW106" si="195">SUM(AW92,AW95,AW98,AW89)/AW105</f>
        <v>538691.57066666672</v>
      </c>
      <c r="AX106" s="385">
        <f t="shared" ref="AX106" si="196">SUM(AX92,AX95,AX98,AX89)/AX105</f>
        <v>824123.21385281393</v>
      </c>
      <c r="AY106" s="121"/>
      <c r="AZ106" s="449">
        <f t="shared" ref="AZ106" si="197">IFERROR(AZ104/AZ105,"")</f>
        <v>499406.56000000006</v>
      </c>
    </row>
    <row r="107" spans="1:52">
      <c r="A107" s="94"/>
      <c r="B107" s="94"/>
      <c r="C107" s="94"/>
      <c r="D107" s="177"/>
      <c r="E107" s="94"/>
      <c r="F107" s="94"/>
      <c r="G107" s="94"/>
      <c r="H107" s="94"/>
      <c r="I107" s="94"/>
      <c r="J107" s="220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220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220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220"/>
      <c r="AX107" s="220"/>
      <c r="AY107" s="97"/>
      <c r="AZ107" s="99"/>
    </row>
    <row r="108" spans="1:52" ht="15.75">
      <c r="A108" s="94"/>
      <c r="B108" s="217" t="s">
        <v>127</v>
      </c>
      <c r="C108" s="169"/>
      <c r="E108" s="94"/>
      <c r="F108" s="94"/>
      <c r="G108" s="94"/>
      <c r="H108" s="94"/>
      <c r="I108" s="94"/>
      <c r="J108" s="220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220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220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220"/>
      <c r="AX108" s="220"/>
      <c r="AY108" s="97"/>
      <c r="AZ108" s="99"/>
    </row>
    <row r="109" spans="1:52">
      <c r="A109" s="134"/>
      <c r="B109" s="103" t="s">
        <v>128</v>
      </c>
      <c r="C109" s="115"/>
      <c r="D109" s="18"/>
      <c r="E109" s="156">
        <v>44804</v>
      </c>
      <c r="F109" s="156">
        <v>44834</v>
      </c>
      <c r="G109" s="156">
        <v>44865</v>
      </c>
      <c r="H109" s="156">
        <f>EDATE(G109,1)</f>
        <v>44895</v>
      </c>
      <c r="I109" s="156">
        <f>EOMONTH(H109,1)</f>
        <v>44926</v>
      </c>
      <c r="J109" s="127" t="str">
        <f>$J$5</f>
        <v>2022</v>
      </c>
      <c r="K109" s="156">
        <f>EOMONTH(I109,1)</f>
        <v>44957</v>
      </c>
      <c r="L109" s="156">
        <f t="shared" ref="L109:V109" si="198">EOMONTH(K109,1)</f>
        <v>44985</v>
      </c>
      <c r="M109" s="156">
        <f t="shared" si="198"/>
        <v>45016</v>
      </c>
      <c r="N109" s="156">
        <f>EOMONTH(M109,1)</f>
        <v>45046</v>
      </c>
      <c r="O109" s="156">
        <f t="shared" si="198"/>
        <v>45077</v>
      </c>
      <c r="P109" s="156">
        <f t="shared" si="198"/>
        <v>45107</v>
      </c>
      <c r="Q109" s="156">
        <f t="shared" si="198"/>
        <v>45138</v>
      </c>
      <c r="R109" s="156">
        <f t="shared" si="198"/>
        <v>45169</v>
      </c>
      <c r="S109" s="156">
        <f t="shared" si="198"/>
        <v>45199</v>
      </c>
      <c r="T109" s="156">
        <f t="shared" si="198"/>
        <v>45230</v>
      </c>
      <c r="U109" s="156">
        <f t="shared" si="198"/>
        <v>45260</v>
      </c>
      <c r="V109" s="156">
        <f t="shared" si="198"/>
        <v>45291</v>
      </c>
      <c r="W109" s="127" t="s">
        <v>64</v>
      </c>
      <c r="X109" s="156">
        <f>EOMONTH(V109,1)</f>
        <v>45322</v>
      </c>
      <c r="Y109" s="156">
        <f t="shared" ref="Y109:AI109" si="199">EOMONTH(X109,1)</f>
        <v>45351</v>
      </c>
      <c r="Z109" s="156">
        <f t="shared" si="199"/>
        <v>45382</v>
      </c>
      <c r="AA109" s="156">
        <f t="shared" si="199"/>
        <v>45412</v>
      </c>
      <c r="AB109" s="156">
        <f t="shared" si="199"/>
        <v>45443</v>
      </c>
      <c r="AC109" s="156">
        <f t="shared" si="199"/>
        <v>45473</v>
      </c>
      <c r="AD109" s="156">
        <f t="shared" si="199"/>
        <v>45504</v>
      </c>
      <c r="AE109" s="156">
        <f t="shared" si="199"/>
        <v>45535</v>
      </c>
      <c r="AF109" s="156">
        <f t="shared" si="199"/>
        <v>45565</v>
      </c>
      <c r="AG109" s="156">
        <f t="shared" si="199"/>
        <v>45596</v>
      </c>
      <c r="AH109" s="156">
        <f t="shared" si="199"/>
        <v>45626</v>
      </c>
      <c r="AI109" s="156">
        <f t="shared" si="199"/>
        <v>45657</v>
      </c>
      <c r="AJ109" s="127" t="s">
        <v>65</v>
      </c>
      <c r="AK109" s="156">
        <f>AK5</f>
        <v>45688</v>
      </c>
      <c r="AL109" s="156">
        <f t="shared" ref="AL109" si="200">EOMONTH(AK109,1)</f>
        <v>45716</v>
      </c>
      <c r="AM109" s="156">
        <f t="shared" ref="AM109" si="201">EOMONTH(AL109,1)</f>
        <v>45747</v>
      </c>
      <c r="AN109" s="156">
        <f t="shared" ref="AN109" si="202">EOMONTH(AM109,1)</f>
        <v>45777</v>
      </c>
      <c r="AO109" s="156">
        <f t="shared" ref="AO109" si="203">EOMONTH(AN109,1)</f>
        <v>45808</v>
      </c>
      <c r="AP109" s="156">
        <f t="shared" ref="AP109" si="204">EOMONTH(AO109,1)</f>
        <v>45838</v>
      </c>
      <c r="AQ109" s="156">
        <f t="shared" ref="AQ109" si="205">EOMONTH(AP109,1)</f>
        <v>45869</v>
      </c>
      <c r="AR109" s="156">
        <f t="shared" ref="AR109" si="206">EOMONTH(AQ109,1)</f>
        <v>45900</v>
      </c>
      <c r="AS109" s="156">
        <f t="shared" ref="AS109" si="207">EOMONTH(AR109,1)</f>
        <v>45930</v>
      </c>
      <c r="AT109" s="156">
        <f t="shared" ref="AT109" si="208">EOMONTH(AS109,1)</f>
        <v>45961</v>
      </c>
      <c r="AU109" s="156">
        <f t="shared" ref="AU109" si="209">EOMONTH(AT109,1)</f>
        <v>45991</v>
      </c>
      <c r="AV109" s="156">
        <f t="shared" ref="AV109" si="210">EOMONTH(AU109,1)</f>
        <v>46022</v>
      </c>
      <c r="AW109" s="226" t="s">
        <v>66</v>
      </c>
      <c r="AX109" s="127" t="s">
        <v>74</v>
      </c>
      <c r="AY109" s="129"/>
      <c r="AZ109" s="156" t="str">
        <f>AZ5</f>
        <v>Pendente</v>
      </c>
    </row>
    <row r="110" spans="1:52">
      <c r="A110" s="80"/>
      <c r="B110" s="456" t="s">
        <v>10</v>
      </c>
      <c r="C110" s="485"/>
      <c r="D110" s="2"/>
      <c r="E110" s="19">
        <f>SUMIFS('Consulta Contratos'!$Z:$Z,'Consulta Contratos'!$O:$O,'Performance Vendas'!$B$110,'Consulta Contratos'!$AM:$AM,'Performance Vendas'!E109,'Consulta Contratos'!$H:$H,"Ativo")+SUMIFS('Consulta Contratos'!$AL:$AL,'Consulta Contratos'!$O:$O,'Performance Vendas'!$B110,'Consulta Contratos'!$AM:$AM,'Performance Vendas'!E$109,'Consulta Contratos'!$AT:$AT,1,'Consulta Contratos'!$H:$H,"Ativo")</f>
        <v>0</v>
      </c>
      <c r="F110" s="19">
        <f>SUMIFS('Consulta Contratos'!$Z:$Z,'Consulta Contratos'!$O:$O,'Performance Vendas'!$B$110,'Consulta Contratos'!$AM:$AM,'Performance Vendas'!F109,'Consulta Contratos'!$H:$H,"Ativo")+SUMIFS('Consulta Contratos'!$AL:$AL,'Consulta Contratos'!$O:$O,'Performance Vendas'!$B110,'Consulta Contratos'!$AM:$AM,'Performance Vendas'!F$109,'Consulta Contratos'!$AT:$AT,1,'Consulta Contratos'!$H:$H,"Ativo")</f>
        <v>442242.5</v>
      </c>
      <c r="G110" s="19">
        <f>SUMIFS('Consulta Contratos'!$Z:$Z,'Consulta Contratos'!$O:$O,'Performance Vendas'!$B$110,'Consulta Contratos'!$AM:$AM,'Performance Vendas'!G109,'Consulta Contratos'!$H:$H,"Ativo")+SUMIFS('Consulta Contratos'!$AL:$AL,'Consulta Contratos'!$O:$O,'Performance Vendas'!$B110,'Consulta Contratos'!$AM:$AM,'Performance Vendas'!G$109,'Consulta Contratos'!$AT:$AT,1,'Consulta Contratos'!$H:$H,"Ativo")</f>
        <v>0</v>
      </c>
      <c r="H110" s="19">
        <f>SUMIFS('Consulta Contratos'!$Z:$Z,'Consulta Contratos'!$O:$O,'Performance Vendas'!$B$110,'Consulta Contratos'!$AM:$AM,'Performance Vendas'!H109,'Consulta Contratos'!$H:$H,"Ativo")+SUMIFS('Consulta Contratos'!$AL:$AL,'Consulta Contratos'!$O:$O,'Performance Vendas'!$B110,'Consulta Contratos'!$AM:$AM,'Performance Vendas'!H$109,'Consulta Contratos'!$AT:$AT,1,'Consulta Contratos'!$H:$H,"Ativo")</f>
        <v>0</v>
      </c>
      <c r="I110" s="19">
        <f>SUMIFS('Consulta Contratos'!$Z:$Z,'Consulta Contratos'!$O:$O,'Performance Vendas'!$B$110,'Consulta Contratos'!$AM:$AM,'Performance Vendas'!I109,'Consulta Contratos'!$H:$H,"Ativo")+SUMIFS('Consulta Contratos'!$AL:$AL,'Consulta Contratos'!$O:$O,'Performance Vendas'!$B110,'Consulta Contratos'!$AM:$AM,'Performance Vendas'!I$109,'Consulta Contratos'!$AT:$AT,1,'Consulta Contratos'!$H:$H,"Ativo")</f>
        <v>6401000</v>
      </c>
      <c r="J110" s="86">
        <f>SUM(E110:I110)</f>
        <v>6843242.5</v>
      </c>
      <c r="K110" s="19">
        <f>SUMIFS('Consulta Contratos'!$Z:$Z,'Consulta Contratos'!$O:$O,'Performance Vendas'!$B$110,'Consulta Contratos'!$AM:$AM,'Performance Vendas'!K109,'Consulta Contratos'!$H:$H,"Ativo")+SUMIFS('Consulta Contratos'!$AL:$AL,'Consulta Contratos'!$O:$O,'Performance Vendas'!$B110,'Consulta Contratos'!$AM:$AM,'Performance Vendas'!K$109,'Consulta Contratos'!$AT:$AT,1,'Consulta Contratos'!$H:$H,"Ativo")</f>
        <v>1047000</v>
      </c>
      <c r="L110" s="19">
        <f>SUMIFS('Consulta Contratos'!$Z:$Z,'Consulta Contratos'!$O:$O,'Performance Vendas'!$B$110,'Consulta Contratos'!$AM:$AM,'Performance Vendas'!L109,'Consulta Contratos'!$H:$H,"Ativo")+SUMIFS('Consulta Contratos'!$AL:$AL,'Consulta Contratos'!$O:$O,'Performance Vendas'!$B110,'Consulta Contratos'!$AM:$AM,'Performance Vendas'!L$109,'Consulta Contratos'!$AT:$AT,1,'Consulta Contratos'!$H:$H,"Ativo")</f>
        <v>1448329.25</v>
      </c>
      <c r="M110" s="19">
        <f>SUMIFS('Consulta Contratos'!$Z:$Z,'Consulta Contratos'!$O:$O,'Performance Vendas'!$B$110,'Consulta Contratos'!$AM:$AM,'Performance Vendas'!M109,'Consulta Contratos'!$H:$H,"Ativo")+SUMIFS('Consulta Contratos'!$AL:$AL,'Consulta Contratos'!$O:$O,'Performance Vendas'!$B110,'Consulta Contratos'!$AM:$AM,'Performance Vendas'!M$109,'Consulta Contratos'!$AT:$AT,1,'Consulta Contratos'!$H:$H,"Ativo")</f>
        <v>12080175.236</v>
      </c>
      <c r="N110" s="19">
        <f>SUMIFS('Consulta Contratos'!$Z:$Z,'Consulta Contratos'!$O:$O,'Performance Vendas'!$B$110,'Consulta Contratos'!$AM:$AM,'Performance Vendas'!N109,'Consulta Contratos'!$H:$H,"Ativo")+SUMIFS('Consulta Contratos'!$AL:$AL,'Consulta Contratos'!$O:$O,'Performance Vendas'!$B110,'Consulta Contratos'!$AM:$AM,'Performance Vendas'!N$109,'Consulta Contratos'!$AT:$AT,1,'Consulta Contratos'!$H:$H,"Ativo")</f>
        <v>378000</v>
      </c>
      <c r="O110" s="19">
        <f>SUMIFS('Consulta Contratos'!$Z:$Z,'Consulta Contratos'!$O:$O,'Performance Vendas'!$B$110,'Consulta Contratos'!$AM:$AM,'Performance Vendas'!O109,'Consulta Contratos'!$H:$H,"Ativo")+SUMIFS('Consulta Contratos'!$AL:$AL,'Consulta Contratos'!$O:$O,'Performance Vendas'!$B110,'Consulta Contratos'!$AM:$AM,'Performance Vendas'!O$109,'Consulta Contratos'!$AT:$AT,1,'Consulta Contratos'!$H:$H,"Ativo")</f>
        <v>947000</v>
      </c>
      <c r="P110" s="19">
        <f>SUMIFS('Consulta Contratos'!$Z:$Z,'Consulta Contratos'!$O:$O,'Performance Vendas'!$B$110,'Consulta Contratos'!$AM:$AM,'Performance Vendas'!P109,'Consulta Contratos'!$H:$H,"Ativo")+SUMIFS('Consulta Contratos'!$AL:$AL,'Consulta Contratos'!$O:$O,'Performance Vendas'!$B110,'Consulta Contratos'!$AM:$AM,'Performance Vendas'!P$109,'Consulta Contratos'!$AT:$AT,1,'Consulta Contratos'!$H:$H,"Ativo")</f>
        <v>1446149.882</v>
      </c>
      <c r="Q110" s="19">
        <f>SUMIFS('Consulta Contratos'!$Z:$Z,'Consulta Contratos'!$O:$O,'Performance Vendas'!$B$110,'Consulta Contratos'!$AM:$AM,'Performance Vendas'!Q109,'Consulta Contratos'!$H:$H,"Ativo")+SUMIFS('Consulta Contratos'!$AL:$AL,'Consulta Contratos'!$O:$O,'Performance Vendas'!$B110,'Consulta Contratos'!$AM:$AM,'Performance Vendas'!Q$109,'Consulta Contratos'!$AT:$AT,1,'Consulta Contratos'!$H:$H,"Ativo")</f>
        <v>3300000</v>
      </c>
      <c r="R110" s="19">
        <f>SUMIFS('Consulta Contratos'!$Z:$Z,'Consulta Contratos'!$O:$O,'Performance Vendas'!$B$110,'Consulta Contratos'!$AM:$AM,'Performance Vendas'!R109,'Consulta Contratos'!$H:$H,"Ativo")+SUMIFS('Consulta Contratos'!$AL:$AL,'Consulta Contratos'!$O:$O,'Performance Vendas'!$B110,'Consulta Contratos'!$AM:$AM,'Performance Vendas'!R$109,'Consulta Contratos'!$AT:$AT,1,'Consulta Contratos'!$H:$H,"Ativo")</f>
        <v>1245000</v>
      </c>
      <c r="S110" s="19">
        <f>SUMIFS('Consulta Contratos'!$Z:$Z,'Consulta Contratos'!$O:$O,'Performance Vendas'!$B$110,'Consulta Contratos'!$AM:$AM,'Performance Vendas'!S109,'Consulta Contratos'!$H:$H,"Ativo")+SUMIFS('Consulta Contratos'!$AL:$AL,'Consulta Contratos'!$O:$O,'Performance Vendas'!$B110,'Consulta Contratos'!$AM:$AM,'Performance Vendas'!S$109,'Consulta Contratos'!$AT:$AT,1,'Consulta Contratos'!$H:$H,"Ativo")</f>
        <v>0</v>
      </c>
      <c r="T110" s="19">
        <f>SUMIFS('Consulta Contratos'!$Z:$Z,'Consulta Contratos'!$O:$O,'Performance Vendas'!$B$110,'Consulta Contratos'!$AM:$AM,'Performance Vendas'!T109,'Consulta Contratos'!$H:$H,"Ativo")+SUMIFS('Consulta Contratos'!$AL:$AL,'Consulta Contratos'!$O:$O,'Performance Vendas'!$B110,'Consulta Contratos'!$AM:$AM,'Performance Vendas'!T$109,'Consulta Contratos'!$AT:$AT,1,'Consulta Contratos'!$H:$H,"Ativo")</f>
        <v>4388647.568</v>
      </c>
      <c r="U110" s="19">
        <f>SUMIFS('Consulta Contratos'!$Z:$Z,'Consulta Contratos'!$O:$O,'Performance Vendas'!$B$110,'Consulta Contratos'!$AM:$AM,'Performance Vendas'!U109,'Consulta Contratos'!$H:$H,"Ativo")+SUMIFS('Consulta Contratos'!$AL:$AL,'Consulta Contratos'!$O:$O,'Performance Vendas'!$B110,'Consulta Contratos'!$AM:$AM,'Performance Vendas'!U$109,'Consulta Contratos'!$AT:$AT,1,'Consulta Contratos'!$H:$H,"Ativo")</f>
        <v>3558800.6495000003</v>
      </c>
      <c r="V110" s="19">
        <f>SUMIFS('Consulta Contratos'!$Z:$Z,'Consulta Contratos'!$O:$O,'Performance Vendas'!$B$110,'Consulta Contratos'!$AM:$AM,'Performance Vendas'!V109,'Consulta Contratos'!$H:$H,"Ativo")+SUMIFS('Consulta Contratos'!$AL:$AL,'Consulta Contratos'!$O:$O,'Performance Vendas'!$B110,'Consulta Contratos'!$AM:$AM,'Performance Vendas'!V$109,'Consulta Contratos'!$AT:$AT,1,'Consulta Contratos'!$H:$H,"Ativo")</f>
        <v>4291500</v>
      </c>
      <c r="W110" s="86">
        <f>SUM(K110:V110)</f>
        <v>34130602.585500002</v>
      </c>
      <c r="X110" s="19">
        <f>SUMIFS('Consulta Contratos'!$Z:$Z,'Consulta Contratos'!$O:$O,'Performance Vendas'!$B$110,'Consulta Contratos'!$AM:$AM,'Performance Vendas'!X109,'Consulta Contratos'!$H:$H,"Ativo")+SUMIFS('Consulta Contratos'!$AL:$AL,'Consulta Contratos'!$O:$O,'Performance Vendas'!$B110,'Consulta Contratos'!$AM:$AM,'Performance Vendas'!X$109,'Consulta Contratos'!$AT:$AT,1,'Consulta Contratos'!$H:$H,"Ativo")</f>
        <v>460000</v>
      </c>
      <c r="Y110" s="19">
        <f>SUMIFS('Consulta Contratos'!$Z:$Z,'Consulta Contratos'!$O:$O,'Performance Vendas'!$B$110,'Consulta Contratos'!$AM:$AM,'Performance Vendas'!Y109,'Consulta Contratos'!$H:$H,"Ativo")+SUMIFS('Consulta Contratos'!$AL:$AL,'Consulta Contratos'!$O:$O,'Performance Vendas'!$B110,'Consulta Contratos'!$AM:$AM,'Performance Vendas'!Y$109,'Consulta Contratos'!$AT:$AT,1,'Consulta Contratos'!$H:$H,"Ativo")</f>
        <v>1342660.88</v>
      </c>
      <c r="Z110" s="19">
        <f>SUMIFS('Consulta Contratos'!$Z:$Z,'Consulta Contratos'!$O:$O,'Performance Vendas'!$B$110,'Consulta Contratos'!$AM:$AM,'Performance Vendas'!Z109,'Consulta Contratos'!$H:$H,"Ativo")+SUMIFS('Consulta Contratos'!$AL:$AL,'Consulta Contratos'!$O:$O,'Performance Vendas'!$B110,'Consulta Contratos'!$AM:$AM,'Performance Vendas'!Z$109,'Consulta Contratos'!$AT:$AT,1,'Consulta Contratos'!$H:$H,"Ativo")</f>
        <v>720744.12</v>
      </c>
      <c r="AA110" s="19">
        <f>SUMIFS('Consulta Contratos'!$Z:$Z,'Consulta Contratos'!$O:$O,'Performance Vendas'!$B$110,'Consulta Contratos'!$AM:$AM,'Performance Vendas'!AA109,'Consulta Contratos'!$H:$H,"Ativo")+SUMIFS('Consulta Contratos'!$AL:$AL,'Consulta Contratos'!$O:$O,'Performance Vendas'!$B110,'Consulta Contratos'!$AM:$AM,'Performance Vendas'!AA$109,'Consulta Contratos'!$AT:$AT,1,'Consulta Contratos'!$H:$H,"Ativo")</f>
        <v>7456752.96</v>
      </c>
      <c r="AB110" s="19">
        <f>SUMIFS('Consulta Contratos'!$Z:$Z,'Consulta Contratos'!$O:$O,'Performance Vendas'!$B$110,'Consulta Contratos'!$AM:$AM,'Performance Vendas'!AB109,'Consulta Contratos'!$H:$H,"Ativo")+SUMIFS('Consulta Contratos'!$AL:$AL,'Consulta Contratos'!$O:$O,'Performance Vendas'!$B110,'Consulta Contratos'!$AM:$AM,'Performance Vendas'!AB$109,'Consulta Contratos'!$AT:$AT,1,'Consulta Contratos'!$H:$H,"Ativo")</f>
        <v>878455.77</v>
      </c>
      <c r="AC110" s="19">
        <f>SUMIFS('Consulta Contratos'!$Z:$Z,'Consulta Contratos'!$O:$O,'Performance Vendas'!$B$110,'Consulta Contratos'!$AM:$AM,'Performance Vendas'!AC109,'Consulta Contratos'!$H:$H,"Ativo")+SUMIFS('Consulta Contratos'!$AL:$AL,'Consulta Contratos'!$O:$O,'Performance Vendas'!$B110,'Consulta Contratos'!$AM:$AM,'Performance Vendas'!AC$109,'Consulta Contratos'!$AT:$AT,1,'Consulta Contratos'!$H:$H,"Ativo")</f>
        <v>421000</v>
      </c>
      <c r="AD110" s="19">
        <f>SUMIFS('Consulta Contratos'!$Z:$Z,'Consulta Contratos'!$O:$O,'Performance Vendas'!$B$110,'Consulta Contratos'!$AM:$AM,'Performance Vendas'!AD109,'Consulta Contratos'!$H:$H,"Ativo")+SUMIFS('Consulta Contratos'!$AL:$AL,'Consulta Contratos'!$O:$O,'Performance Vendas'!$B110,'Consulta Contratos'!$AM:$AM,'Performance Vendas'!AD$109,'Consulta Contratos'!$AT:$AT,1,'Consulta Contratos'!$H:$H,"Ativo")</f>
        <v>738908.17999999993</v>
      </c>
      <c r="AE110" s="19">
        <f>SUMIFS('Consulta Contratos'!$Z:$Z,'Consulta Contratos'!$O:$O,'Performance Vendas'!$B$110,'Consulta Contratos'!$AM:$AM,'Performance Vendas'!AE109,'Consulta Contratos'!$H:$H,"Ativo")+SUMIFS('Consulta Contratos'!$AL:$AL,'Consulta Contratos'!$O:$O,'Performance Vendas'!$B110,'Consulta Contratos'!$AM:$AM,'Performance Vendas'!AE$109,'Consulta Contratos'!$AT:$AT,1,'Consulta Contratos'!$H:$H,"Ativo")</f>
        <v>2351038.44</v>
      </c>
      <c r="AF110" s="19">
        <f>SUMIFS('Consulta Contratos'!$Z:$Z,'Consulta Contratos'!$O:$O,'Performance Vendas'!$B$110,'Consulta Contratos'!$AM:$AM,'Performance Vendas'!AF109,'Consulta Contratos'!$H:$H,"Ativo")+SUMIFS('Consulta Contratos'!$AL:$AL,'Consulta Contratos'!$O:$O,'Performance Vendas'!$B110,'Consulta Contratos'!$AM:$AM,'Performance Vendas'!AF$109,'Consulta Contratos'!$AT:$AT,1,'Consulta Contratos'!$H:$H,"Ativo")</f>
        <v>5265623.7699999996</v>
      </c>
      <c r="AG110" s="19">
        <f>SUMIFS('Consulta Contratos'!$Z:$Z,'Consulta Contratos'!$O:$O,'Performance Vendas'!$B$110,'Consulta Contratos'!$AM:$AM,'Performance Vendas'!AG109,'Consulta Contratos'!$H:$H,"Ativo")+SUMIFS('Consulta Contratos'!$AL:$AL,'Consulta Contratos'!$O:$O,'Performance Vendas'!$B110,'Consulta Contratos'!$AM:$AM,'Performance Vendas'!AG$109,'Consulta Contratos'!$AT:$AT,1,'Consulta Contratos'!$H:$H,"Ativo")</f>
        <v>0</v>
      </c>
      <c r="AH110" s="19">
        <f>SUMIFS('Consulta Contratos'!$Z:$Z,'Consulta Contratos'!$O:$O,'Performance Vendas'!$B$110,'Consulta Contratos'!$AM:$AM,'Performance Vendas'!AH109,'Consulta Contratos'!$H:$H,"Ativo")+SUMIFS('Consulta Contratos'!$AL:$AL,'Consulta Contratos'!$O:$O,'Performance Vendas'!$B110,'Consulta Contratos'!$AM:$AM,'Performance Vendas'!AH$109,'Consulta Contratos'!$AT:$AT,1,'Consulta Contratos'!$H:$H,"Ativo")</f>
        <v>0</v>
      </c>
      <c r="AI110" s="19">
        <f>SUMIFS('Consulta Contratos'!$Z:$Z,'Consulta Contratos'!$O:$O,'Performance Vendas'!$B$110,'Consulta Contratos'!$AM:$AM,'Performance Vendas'!AI109,'Consulta Contratos'!$H:$H,"Ativo")+SUMIFS('Consulta Contratos'!$AL:$AL,'Consulta Contratos'!$O:$O,'Performance Vendas'!$B110,'Consulta Contratos'!$AM:$AM,'Performance Vendas'!AI$109,'Consulta Contratos'!$AT:$AT,1,'Consulta Contratos'!$H:$H,"Ativo")</f>
        <v>0</v>
      </c>
      <c r="AJ110" s="86">
        <f>SUM(X110:AI110)</f>
        <v>19635184.119999997</v>
      </c>
      <c r="AK110" s="19">
        <f>SUMIFS('Consulta Contratos'!$Z:$Z,'Consulta Contratos'!$O:$O,'Performance Vendas'!$B$110,'Consulta Contratos'!$AM:$AM,'Performance Vendas'!AK109,'Consulta Contratos'!$H:$H,"Ativo")+SUMIFS('Consulta Contratos'!$AL:$AL,'Consulta Contratos'!$O:$O,'Performance Vendas'!$B110,'Consulta Contratos'!$AM:$AM,'Performance Vendas'!AK$109,'Consulta Contratos'!$AT:$AT,1,'Consulta Contratos'!$H:$H,"Ativo")</f>
        <v>1771624.64</v>
      </c>
      <c r="AL110" s="19">
        <f>SUMIFS('Consulta Contratos'!$Z:$Z,'Consulta Contratos'!$O:$O,'Performance Vendas'!$B$110,'Consulta Contratos'!$AM:$AM,'Performance Vendas'!AL109,'Consulta Contratos'!$H:$H,"Ativo")+SUMIFS('Consulta Contratos'!$AL:$AL,'Consulta Contratos'!$O:$O,'Performance Vendas'!$B110,'Consulta Contratos'!$AM:$AM,'Performance Vendas'!AL$109,'Consulta Contratos'!$AT:$AT,1,'Consulta Contratos'!$H:$H,"Ativo")</f>
        <v>407506.80000000005</v>
      </c>
      <c r="AM110" s="19">
        <f>SUMIFS('Consulta Contratos'!$Z:$Z,'Consulta Contratos'!$O:$O,'Performance Vendas'!$B$110,'Consulta Contratos'!$AM:$AM,'Performance Vendas'!AM109,'Consulta Contratos'!$H:$H,"Ativo")+SUMIFS('Consulta Contratos'!$AL:$AL,'Consulta Contratos'!$O:$O,'Performance Vendas'!$B110,'Consulta Contratos'!$AM:$AM,'Performance Vendas'!AM$109,'Consulta Contratos'!$AT:$AT,1,'Consulta Contratos'!$H:$H,"Ativo")</f>
        <v>402817.88</v>
      </c>
      <c r="AN110" s="19">
        <f>SUMIFS('Consulta Contratos'!$Z:$Z,'Consulta Contratos'!$O:$O,'Performance Vendas'!$B$110,'Consulta Contratos'!$AM:$AM,'Performance Vendas'!AN109,'Consulta Contratos'!$H:$H,"Ativo")+SUMIFS('Consulta Contratos'!$AL:$AL,'Consulta Contratos'!$O:$O,'Performance Vendas'!$B110,'Consulta Contratos'!$AM:$AM,'Performance Vendas'!AN$109,'Consulta Contratos'!$AT:$AT,1,'Consulta Contratos'!$H:$H,"Ativo")</f>
        <v>0</v>
      </c>
      <c r="AO110" s="19">
        <f>SUMIFS('Consulta Contratos'!$Z:$Z,'Consulta Contratos'!$O:$O,'Performance Vendas'!$B$110,'Consulta Contratos'!$AM:$AM,'Performance Vendas'!AO109,'Consulta Contratos'!$H:$H,"Ativo")+SUMIFS('Consulta Contratos'!$AL:$AL,'Consulta Contratos'!$O:$O,'Performance Vendas'!$B110,'Consulta Contratos'!$AM:$AM,'Performance Vendas'!AO$109,'Consulta Contratos'!$AT:$AT,1,'Consulta Contratos'!$H:$H,"Ativo")</f>
        <v>0</v>
      </c>
      <c r="AP110" s="19">
        <f>SUMIFS('Consulta Contratos'!$Z:$Z,'Consulta Contratos'!$O:$O,'Performance Vendas'!$B$110,'Consulta Contratos'!$AM:$AM,'Performance Vendas'!AP109,'Consulta Contratos'!$H:$H,"Ativo")+SUMIFS('Consulta Contratos'!$AL:$AL,'Consulta Contratos'!$O:$O,'Performance Vendas'!$B110,'Consulta Contratos'!$AM:$AM,'Performance Vendas'!AP$109,'Consulta Contratos'!$AT:$AT,1,'Consulta Contratos'!$H:$H,"Ativo")</f>
        <v>0</v>
      </c>
      <c r="AQ110" s="19">
        <f>SUMIFS('Consulta Contratos'!$Z:$Z,'Consulta Contratos'!$O:$O,'Performance Vendas'!$B$110,'Consulta Contratos'!$AM:$AM,'Performance Vendas'!AQ109,'Consulta Contratos'!$H:$H,"Ativo")+SUMIFS('Consulta Contratos'!$AL:$AL,'Consulta Contratos'!$O:$O,'Performance Vendas'!$B110,'Consulta Contratos'!$AM:$AM,'Performance Vendas'!AQ$109,'Consulta Contratos'!$AT:$AT,1,'Consulta Contratos'!$H:$H,"Ativo")</f>
        <v>0</v>
      </c>
      <c r="AR110" s="19">
        <f>SUMIFS('Consulta Contratos'!$Z:$Z,'Consulta Contratos'!$O:$O,'Performance Vendas'!$B$110,'Consulta Contratos'!$AM:$AM,'Performance Vendas'!AR109,'Consulta Contratos'!$H:$H,"Ativo")+SUMIFS('Consulta Contratos'!$AL:$AL,'Consulta Contratos'!$O:$O,'Performance Vendas'!$B110,'Consulta Contratos'!$AM:$AM,'Performance Vendas'!AR$109,'Consulta Contratos'!$AT:$AT,1,'Consulta Contratos'!$H:$H,"Ativo")</f>
        <v>0</v>
      </c>
      <c r="AS110" s="19">
        <f>SUMIFS('Consulta Contratos'!$Z:$Z,'Consulta Contratos'!$O:$O,'Performance Vendas'!$B$110,'Consulta Contratos'!$AM:$AM,'Performance Vendas'!AS109,'Consulta Contratos'!$H:$H,"Ativo")+SUMIFS('Consulta Contratos'!$AL:$AL,'Consulta Contratos'!$O:$O,'Performance Vendas'!$B110,'Consulta Contratos'!$AM:$AM,'Performance Vendas'!AS$109,'Consulta Contratos'!$AT:$AT,1,'Consulta Contratos'!$H:$H,"Ativo")</f>
        <v>0</v>
      </c>
      <c r="AT110" s="19">
        <f>SUMIFS('Consulta Contratos'!$Z:$Z,'Consulta Contratos'!$O:$O,'Performance Vendas'!$B$110,'Consulta Contratos'!$AM:$AM,'Performance Vendas'!AT109,'Consulta Contratos'!$H:$H,"Ativo")+SUMIFS('Consulta Contratos'!$AL:$AL,'Consulta Contratos'!$O:$O,'Performance Vendas'!$B110,'Consulta Contratos'!$AM:$AM,'Performance Vendas'!AT$109,'Consulta Contratos'!$AT:$AT,1,'Consulta Contratos'!$H:$H,"Ativo")</f>
        <v>0</v>
      </c>
      <c r="AU110" s="19">
        <f>SUMIFS('Consulta Contratos'!$Z:$Z,'Consulta Contratos'!$O:$O,'Performance Vendas'!$B$110,'Consulta Contratos'!$AM:$AM,'Performance Vendas'!AU109,'Consulta Contratos'!$H:$H,"Ativo")+SUMIFS('Consulta Contratos'!$AL:$AL,'Consulta Contratos'!$O:$O,'Performance Vendas'!$B110,'Consulta Contratos'!$AM:$AM,'Performance Vendas'!AU$109,'Consulta Contratos'!$AT:$AT,1,'Consulta Contratos'!$H:$H,"Ativo")</f>
        <v>0</v>
      </c>
      <c r="AV110" s="19">
        <f>SUMIFS('Consulta Contratos'!$Z:$Z,'Consulta Contratos'!$O:$O,'Performance Vendas'!$B$110,'Consulta Contratos'!$AM:$AM,'Performance Vendas'!AV109,'Consulta Contratos'!$H:$H,"Ativo")+SUMIFS('Consulta Contratos'!$AL:$AL,'Consulta Contratos'!$O:$O,'Performance Vendas'!$B110,'Consulta Contratos'!$AM:$AM,'Performance Vendas'!AV$109,'Consulta Contratos'!$AT:$AT,1,'Consulta Contratos'!$H:$H,"Ativo")</f>
        <v>0</v>
      </c>
      <c r="AW110" s="86">
        <f>SUM(AK110:AV110)</f>
        <v>2581949.3199999998</v>
      </c>
      <c r="AX110" s="86">
        <f>AJ110+W110+J110+AW110</f>
        <v>63190978.5255</v>
      </c>
      <c r="AY110" s="81"/>
      <c r="AZ110" s="19">
        <f>SUMIFS('Consulta Contratos'!$Z:$Z,'Consulta Contratos'!$O:$O,'Performance Vendas'!$B$110,'Consulta Contratos'!$AM:$AM,'Performance Vendas'!AZ109,'Consulta Contratos'!$H:$H,"Ativo")+SUMIFS('Consulta Contratos'!$AL:$AL,'Consulta Contratos'!$O:$O,'Performance Vendas'!$B110,'Consulta Contratos'!$AM:$AM,'Performance Vendas'!AZ$109,'Consulta Contratos'!$AT:$AT,1,'Consulta Contratos'!$H:$H,"Ativo")</f>
        <v>837359.75</v>
      </c>
    </row>
    <row r="111" spans="1:52">
      <c r="A111" s="94"/>
      <c r="B111" s="457"/>
      <c r="C111" s="486"/>
      <c r="D111" s="192"/>
      <c r="E111" s="231">
        <f t="shared" ref="E111:Q111" si="211">E110/E$118</f>
        <v>0</v>
      </c>
      <c r="F111" s="231">
        <f t="shared" si="211"/>
        <v>6.2565948245079217E-2</v>
      </c>
      <c r="G111" s="231">
        <f t="shared" si="211"/>
        <v>0</v>
      </c>
      <c r="H111" s="231">
        <f t="shared" si="211"/>
        <v>0</v>
      </c>
      <c r="I111" s="231">
        <f t="shared" si="211"/>
        <v>0.42259416435816655</v>
      </c>
      <c r="J111" s="193">
        <f t="shared" si="211"/>
        <v>0.11018484287831086</v>
      </c>
      <c r="K111" s="231">
        <f t="shared" si="211"/>
        <v>6.317504530874124E-2</v>
      </c>
      <c r="L111" s="231">
        <f t="shared" si="211"/>
        <v>0.3126011291335703</v>
      </c>
      <c r="M111" s="231">
        <f t="shared" si="211"/>
        <v>0.73468785637540091</v>
      </c>
      <c r="N111" s="231">
        <f t="shared" si="211"/>
        <v>2.4283695233200564E-2</v>
      </c>
      <c r="O111" s="231">
        <f t="shared" si="211"/>
        <v>8.5305376787415899E-2</v>
      </c>
      <c r="P111" s="231">
        <f t="shared" si="211"/>
        <v>8.4921777144447708E-2</v>
      </c>
      <c r="Q111" s="231">
        <f t="shared" si="211"/>
        <v>0.21480222768055035</v>
      </c>
      <c r="R111" s="231">
        <f t="shared" ref="R111:AJ111" si="212">IFERROR(R110/R$118,0)</f>
        <v>9.0970113687923085E-2</v>
      </c>
      <c r="S111" s="231">
        <f t="shared" si="212"/>
        <v>0</v>
      </c>
      <c r="T111" s="231">
        <f t="shared" si="212"/>
        <v>0.15780093562122749</v>
      </c>
      <c r="U111" s="231">
        <f t="shared" si="212"/>
        <v>0.22052299701065078</v>
      </c>
      <c r="V111" s="231">
        <f t="shared" si="212"/>
        <v>0.15420835413402145</v>
      </c>
      <c r="W111" s="193">
        <f t="shared" si="212"/>
        <v>0.16557945984594671</v>
      </c>
      <c r="X111" s="231">
        <f t="shared" si="212"/>
        <v>2.3965958047964305E-2</v>
      </c>
      <c r="Y111" s="231">
        <f t="shared" si="212"/>
        <v>0.29638883096907659</v>
      </c>
      <c r="Z111" s="231">
        <f t="shared" si="212"/>
        <v>5.7947509436970614E-2</v>
      </c>
      <c r="AA111" s="231">
        <f t="shared" si="212"/>
        <v>0.53900063841489365</v>
      </c>
      <c r="AB111" s="231">
        <f t="shared" si="212"/>
        <v>0.53000254118394963</v>
      </c>
      <c r="AC111" s="231">
        <f t="shared" si="212"/>
        <v>0.17895228055936216</v>
      </c>
      <c r="AD111" s="231">
        <f t="shared" si="212"/>
        <v>5.8236329442353366E-2</v>
      </c>
      <c r="AE111" s="231">
        <f t="shared" si="212"/>
        <v>0.10221172958369625</v>
      </c>
      <c r="AF111" s="231">
        <f t="shared" si="212"/>
        <v>0.25853152399574697</v>
      </c>
      <c r="AG111" s="231">
        <f t="shared" si="212"/>
        <v>0</v>
      </c>
      <c r="AH111" s="231">
        <f t="shared" si="212"/>
        <v>0</v>
      </c>
      <c r="AI111" s="231">
        <f t="shared" si="212"/>
        <v>0</v>
      </c>
      <c r="AJ111" s="193">
        <f t="shared" si="212"/>
        <v>0.13878624470440898</v>
      </c>
      <c r="AK111" s="231">
        <f t="shared" ref="AK111:AW111" si="213">IFERROR(AK110/AK$118,0)</f>
        <v>0.17751354638674569</v>
      </c>
      <c r="AL111" s="231">
        <f t="shared" si="213"/>
        <v>5.8743121066466786E-2</v>
      </c>
      <c r="AM111" s="231">
        <f t="shared" si="213"/>
        <v>1</v>
      </c>
      <c r="AN111" s="231">
        <f t="shared" si="213"/>
        <v>0</v>
      </c>
      <c r="AO111" s="231">
        <f t="shared" si="213"/>
        <v>0</v>
      </c>
      <c r="AP111" s="231">
        <f t="shared" si="213"/>
        <v>0</v>
      </c>
      <c r="AQ111" s="231">
        <f t="shared" si="213"/>
        <v>0</v>
      </c>
      <c r="AR111" s="231">
        <f t="shared" si="213"/>
        <v>0</v>
      </c>
      <c r="AS111" s="231">
        <f t="shared" si="213"/>
        <v>0</v>
      </c>
      <c r="AT111" s="231">
        <f t="shared" si="213"/>
        <v>0</v>
      </c>
      <c r="AU111" s="231">
        <f t="shared" si="213"/>
        <v>0</v>
      </c>
      <c r="AV111" s="231">
        <f t="shared" si="213"/>
        <v>0</v>
      </c>
      <c r="AW111" s="193">
        <f t="shared" si="213"/>
        <v>0.14907209594909984</v>
      </c>
      <c r="AX111" s="193">
        <f>AX110/AX$118</f>
        <v>0.14797673714849724</v>
      </c>
      <c r="AY111" s="81"/>
      <c r="AZ111" s="231">
        <f t="shared" ref="AZ111" si="214">IFERROR(AZ110/AZ$118,0)</f>
        <v>0.50447187861531584</v>
      </c>
    </row>
    <row r="112" spans="1:52">
      <c r="A112" s="80"/>
      <c r="B112" s="456" t="s">
        <v>11</v>
      </c>
      <c r="C112" s="485"/>
      <c r="D112" s="2"/>
      <c r="E112" s="19">
        <f>SUMIFS('Consulta Contratos'!$Z:$Z,'Consulta Contratos'!$O:$O,'Performance Vendas'!$B112,'Consulta Contratos'!$AM:$AM,'Performance Vendas'!E109,'Consulta Contratos'!$H:$H,"Ativo")+SUMIFS('Consulta Contratos'!$AL:$AL,'Consulta Contratos'!$O:$O,'Performance Vendas'!$B112,'Consulta Contratos'!$AM:$AM,'Performance Vendas'!E$109,'Consulta Contratos'!$AT:$AT,1,'Consulta Contratos'!$H:$H,"Ativo")</f>
        <v>5168001</v>
      </c>
      <c r="F112" s="19">
        <f>SUMIFS('Consulta Contratos'!$Z:$Z,'Consulta Contratos'!$O:$O,'Performance Vendas'!$B112,'Consulta Contratos'!$AM:$AM,'Performance Vendas'!F109,'Consulta Contratos'!$H:$H,"Ativo")+SUMIFS('Consulta Contratos'!$AL:$AL,'Consulta Contratos'!$O:$O,'Performance Vendas'!$B112,'Consulta Contratos'!$AM:$AM,'Performance Vendas'!F$109,'Consulta Contratos'!$AT:$AT,1,'Consulta Contratos'!$H:$H,"Ativo")</f>
        <v>3627000</v>
      </c>
      <c r="G112" s="19">
        <f>SUMIFS('Consulta Contratos'!$Z:$Z,'Consulta Contratos'!$O:$O,'Performance Vendas'!$B112,'Consulta Contratos'!$AM:$AM,'Performance Vendas'!G109,'Consulta Contratos'!$H:$H,"Ativo")+SUMIFS('Consulta Contratos'!$AL:$AL,'Consulta Contratos'!$O:$O,'Performance Vendas'!$B112,'Consulta Contratos'!$AM:$AM,'Performance Vendas'!G$109,'Consulta Contratos'!$AT:$AT,1,'Consulta Contratos'!$H:$H,"Ativo")</f>
        <v>822000</v>
      </c>
      <c r="H112" s="19">
        <f>SUMIFS('Consulta Contratos'!$Z:$Z,'Consulta Contratos'!$O:$O,'Performance Vendas'!$B112,'Consulta Contratos'!$AM:$AM,'Performance Vendas'!H109,'Consulta Contratos'!$H:$H,"Ativo")+SUMIFS('Consulta Contratos'!$AL:$AL,'Consulta Contratos'!$O:$O,'Performance Vendas'!$B112,'Consulta Contratos'!$AM:$AM,'Performance Vendas'!H$109,'Consulta Contratos'!$AT:$AT,1,'Consulta Contratos'!$H:$H,"Ativo")</f>
        <v>6241000</v>
      </c>
      <c r="I112" s="19">
        <f>SUMIFS('Consulta Contratos'!$Z:$Z,'Consulta Contratos'!$O:$O,'Performance Vendas'!$B112,'Consulta Contratos'!$AM:$AM,'Performance Vendas'!I109,'Consulta Contratos'!$H:$H,"Ativo")+SUMIFS('Consulta Contratos'!$AL:$AL,'Consulta Contratos'!$O:$O,'Performance Vendas'!$B112,'Consulta Contratos'!$AM:$AM,'Performance Vendas'!I$109,'Consulta Contratos'!$AT:$AT,1,'Consulta Contratos'!$H:$H,"Ativo")</f>
        <v>2630120</v>
      </c>
      <c r="J112" s="86">
        <f>SUM(E112:I112)</f>
        <v>18488121</v>
      </c>
      <c r="K112" s="19">
        <f>SUMIFS('Consulta Contratos'!$Z:$Z,'Consulta Contratos'!$O:$O,'Performance Vendas'!$B112,'Consulta Contratos'!$AM:$AM,'Performance Vendas'!K109,'Consulta Contratos'!$H:$H,"Ativo")+SUMIFS('Consulta Contratos'!$AL:$AL,'Consulta Contratos'!$O:$O,'Performance Vendas'!$B112,'Consulta Contratos'!$AM:$AM,'Performance Vendas'!K$109,'Consulta Contratos'!$AT:$AT,1,'Consulta Contratos'!$H:$H,"Ativo")</f>
        <v>7812455.4000000004</v>
      </c>
      <c r="L112" s="19">
        <f>SUMIFS('Consulta Contratos'!$Z:$Z,'Consulta Contratos'!$O:$O,'Performance Vendas'!$B112,'Consulta Contratos'!$AM:$AM,'Performance Vendas'!L109,'Consulta Contratos'!$H:$H,"Ativo")+SUMIFS('Consulta Contratos'!$AL:$AL,'Consulta Contratos'!$O:$O,'Performance Vendas'!$B112,'Consulta Contratos'!$AM:$AM,'Performance Vendas'!L$109,'Consulta Contratos'!$AT:$AT,1,'Consulta Contratos'!$H:$H,"Ativo")</f>
        <v>1981825</v>
      </c>
      <c r="M112" s="19">
        <f>SUMIFS('Consulta Contratos'!$Z:$Z,'Consulta Contratos'!$O:$O,'Performance Vendas'!$B112,'Consulta Contratos'!$AM:$AM,'Performance Vendas'!M109,'Consulta Contratos'!$H:$H,"Ativo")+SUMIFS('Consulta Contratos'!$AL:$AL,'Consulta Contratos'!$O:$O,'Performance Vendas'!$B112,'Consulta Contratos'!$AM:$AM,'Performance Vendas'!M$109,'Consulta Contratos'!$AT:$AT,1,'Consulta Contratos'!$H:$H,"Ativo")</f>
        <v>2112420.2570000002</v>
      </c>
      <c r="N112" s="19">
        <f>SUMIFS('Consulta Contratos'!$Z:$Z,'Consulta Contratos'!$O:$O,'Performance Vendas'!$B112,'Consulta Contratos'!$AM:$AM,'Performance Vendas'!N109,'Consulta Contratos'!$H:$H,"Ativo")+SUMIFS('Consulta Contratos'!$AL:$AL,'Consulta Contratos'!$O:$O,'Performance Vendas'!$B112,'Consulta Contratos'!$AM:$AM,'Performance Vendas'!N$109,'Consulta Contratos'!$AT:$AT,1,'Consulta Contratos'!$H:$H,"Ativo")</f>
        <v>10614000</v>
      </c>
      <c r="O112" s="19">
        <f>SUMIFS('Consulta Contratos'!$Z:$Z,'Consulta Contratos'!$O:$O,'Performance Vendas'!$B112,'Consulta Contratos'!$AM:$AM,'Performance Vendas'!O109,'Consulta Contratos'!$H:$H,"Ativo")+SUMIFS('Consulta Contratos'!$AL:$AL,'Consulta Contratos'!$O:$O,'Performance Vendas'!$B112,'Consulta Contratos'!$AM:$AM,'Performance Vendas'!O$109,'Consulta Contratos'!$AT:$AT,1,'Consulta Contratos'!$H:$H,"Ativo")</f>
        <v>5337000</v>
      </c>
      <c r="P112" s="19">
        <f>SUMIFS('Consulta Contratos'!$Z:$Z,'Consulta Contratos'!$O:$O,'Performance Vendas'!$B112,'Consulta Contratos'!$AM:$AM,'Performance Vendas'!P109,'Consulta Contratos'!$H:$H,"Ativo")+SUMIFS('Consulta Contratos'!$AL:$AL,'Consulta Contratos'!$O:$O,'Performance Vendas'!$B112,'Consulta Contratos'!$AM:$AM,'Performance Vendas'!P$109,'Consulta Contratos'!$AT:$AT,1,'Consulta Contratos'!$H:$H,"Ativo")</f>
        <v>4979829.58</v>
      </c>
      <c r="Q112" s="19">
        <f>SUMIFS('Consulta Contratos'!$Z:$Z,'Consulta Contratos'!$O:$O,'Performance Vendas'!$B112,'Consulta Contratos'!$AM:$AM,'Performance Vendas'!Q109,'Consulta Contratos'!$H:$H,"Ativo")+SUMIFS('Consulta Contratos'!$AL:$AL,'Consulta Contratos'!$O:$O,'Performance Vendas'!$B112,'Consulta Contratos'!$AM:$AM,'Performance Vendas'!Q$109,'Consulta Contratos'!$AT:$AT,1,'Consulta Contratos'!$H:$H,"Ativo")</f>
        <v>1956078.635</v>
      </c>
      <c r="R112" s="19">
        <f>SUMIFS('Consulta Contratos'!$Z:$Z,'Consulta Contratos'!$O:$O,'Performance Vendas'!$B112,'Consulta Contratos'!$AM:$AM,'Performance Vendas'!R109,'Consulta Contratos'!$H:$H,"Ativo")+SUMIFS('Consulta Contratos'!$AL:$AL,'Consulta Contratos'!$O:$O,'Performance Vendas'!$B112,'Consulta Contratos'!$AM:$AM,'Performance Vendas'!R$109,'Consulta Contratos'!$AT:$AT,1,'Consulta Contratos'!$H:$H,"Ativo")</f>
        <v>7923163.3899999987</v>
      </c>
      <c r="S112" s="19">
        <f>SUMIFS('Consulta Contratos'!$Z:$Z,'Consulta Contratos'!$O:$O,'Performance Vendas'!$B112,'Consulta Contratos'!$AM:$AM,'Performance Vendas'!S109,'Consulta Contratos'!$H:$H,"Ativo")+SUMIFS('Consulta Contratos'!$AL:$AL,'Consulta Contratos'!$O:$O,'Performance Vendas'!$B112,'Consulta Contratos'!$AM:$AM,'Performance Vendas'!S$109,'Consulta Contratos'!$AT:$AT,1,'Consulta Contratos'!$H:$H,"Ativo")</f>
        <v>6022155</v>
      </c>
      <c r="T112" s="19">
        <f>SUMIFS('Consulta Contratos'!$Z:$Z,'Consulta Contratos'!$O:$O,'Performance Vendas'!$B112,'Consulta Contratos'!$AM:$AM,'Performance Vendas'!T109,'Consulta Contratos'!$H:$H,"Ativo")+SUMIFS('Consulta Contratos'!$AL:$AL,'Consulta Contratos'!$O:$O,'Performance Vendas'!$B112,'Consulta Contratos'!$AM:$AM,'Performance Vendas'!T$109,'Consulta Contratos'!$AT:$AT,1,'Consulta Contratos'!$H:$H,"Ativo")</f>
        <v>0</v>
      </c>
      <c r="U112" s="19">
        <f>SUMIFS('Consulta Contratos'!$Z:$Z,'Consulta Contratos'!$O:$O,'Performance Vendas'!$B112,'Consulta Contratos'!$AM:$AM,'Performance Vendas'!U109,'Consulta Contratos'!$H:$H,"Ativo")+SUMIFS('Consulta Contratos'!$AL:$AL,'Consulta Contratos'!$O:$O,'Performance Vendas'!$B112,'Consulta Contratos'!$AM:$AM,'Performance Vendas'!U$109,'Consulta Contratos'!$AT:$AT,1,'Consulta Contratos'!$H:$H,"Ativo")</f>
        <v>3267675.2845000001</v>
      </c>
      <c r="V112" s="19">
        <f>SUMIFS('Consulta Contratos'!$Z:$Z,'Consulta Contratos'!$O:$O,'Performance Vendas'!$B112,'Consulta Contratos'!$AM:$AM,'Performance Vendas'!V109,'Consulta Contratos'!$H:$H,"Ativo")+SUMIFS('Consulta Contratos'!$AL:$AL,'Consulta Contratos'!$O:$O,'Performance Vendas'!$B112,'Consulta Contratos'!$AM:$AM,'Performance Vendas'!V$109,'Consulta Contratos'!$AT:$AT,1,'Consulta Contratos'!$H:$H,"Ativo")</f>
        <v>9393631.1979999989</v>
      </c>
      <c r="W112" s="86">
        <f>SUM(K112:V112)</f>
        <v>61400233.744500004</v>
      </c>
      <c r="X112" s="19">
        <f>SUMIFS('Consulta Contratos'!$Z:$Z,'Consulta Contratos'!$O:$O,'Performance Vendas'!$B112,'Consulta Contratos'!$AM:$AM,'Performance Vendas'!X109,'Consulta Contratos'!$H:$H,"Ativo")+SUMIFS('Consulta Contratos'!$AL:$AL,'Consulta Contratos'!$O:$O,'Performance Vendas'!$B112,'Consulta Contratos'!$AM:$AM,'Performance Vendas'!X$109,'Consulta Contratos'!$AT:$AT,1,'Consulta Contratos'!$H:$H,"Ativo")</f>
        <v>15363635.563999999</v>
      </c>
      <c r="Y112" s="19">
        <f>SUMIFS('Consulta Contratos'!$Z:$Z,'Consulta Contratos'!$O:$O,'Performance Vendas'!$B112,'Consulta Contratos'!$AM:$AM,'Performance Vendas'!Y109,'Consulta Contratos'!$H:$H,"Ativo")+SUMIFS('Consulta Contratos'!$AL:$AL,'Consulta Contratos'!$O:$O,'Performance Vendas'!$B112,'Consulta Contratos'!$AM:$AM,'Performance Vendas'!Y$109,'Consulta Contratos'!$AT:$AT,1,'Consulta Contratos'!$H:$H,"Ativo")</f>
        <v>460000</v>
      </c>
      <c r="Z112" s="19">
        <f>SUMIFS('Consulta Contratos'!$Z:$Z,'Consulta Contratos'!$O:$O,'Performance Vendas'!$B112,'Consulta Contratos'!$AM:$AM,'Performance Vendas'!Z109,'Consulta Contratos'!$H:$H,"Ativo")+SUMIFS('Consulta Contratos'!$AL:$AL,'Consulta Contratos'!$O:$O,'Performance Vendas'!$B112,'Consulta Contratos'!$AM:$AM,'Performance Vendas'!Z$109,'Consulta Contratos'!$AT:$AT,1,'Consulta Contratos'!$H:$H,"Ativo")</f>
        <v>8619899.2400000002</v>
      </c>
      <c r="AA112" s="19">
        <f>SUMIFS('Consulta Contratos'!$Z:$Z,'Consulta Contratos'!$O:$O,'Performance Vendas'!$B112,'Consulta Contratos'!$AM:$AM,'Performance Vendas'!AA109,'Consulta Contratos'!$H:$H,"Ativo")+SUMIFS('Consulta Contratos'!$AL:$AL,'Consulta Contratos'!$O:$O,'Performance Vendas'!$B112,'Consulta Contratos'!$AM:$AM,'Performance Vendas'!AA$109,'Consulta Contratos'!$AT:$AT,1,'Consulta Contratos'!$H:$H,"Ativo")</f>
        <v>1224705.1200000001</v>
      </c>
      <c r="AB112" s="19">
        <f>SUMIFS('Consulta Contratos'!$Z:$Z,'Consulta Contratos'!$O:$O,'Performance Vendas'!$B112,'Consulta Contratos'!$AM:$AM,'Performance Vendas'!AB109,'Consulta Contratos'!$H:$H,"Ativo")+SUMIFS('Consulta Contratos'!$AL:$AL,'Consulta Contratos'!$O:$O,'Performance Vendas'!$B112,'Consulta Contratos'!$AM:$AM,'Performance Vendas'!AB$109,'Consulta Contratos'!$AT:$AT,1,'Consulta Contratos'!$H:$H,"Ativo")</f>
        <v>779000</v>
      </c>
      <c r="AC112" s="19">
        <f>SUMIFS('Consulta Contratos'!$Z:$Z,'Consulta Contratos'!$O:$O,'Performance Vendas'!$B112,'Consulta Contratos'!$AM:$AM,'Performance Vendas'!AC109,'Consulta Contratos'!$H:$H,"Ativo")+SUMIFS('Consulta Contratos'!$AL:$AL,'Consulta Contratos'!$O:$O,'Performance Vendas'!$B112,'Consulta Contratos'!$AM:$AM,'Performance Vendas'!AC$109,'Consulta Contratos'!$AT:$AT,1,'Consulta Contratos'!$H:$H,"Ativo")</f>
        <v>731582.48</v>
      </c>
      <c r="AD112" s="19">
        <f>SUMIFS('Consulta Contratos'!$Z:$Z,'Consulta Contratos'!$O:$O,'Performance Vendas'!$B112,'Consulta Contratos'!$AM:$AM,'Performance Vendas'!AD109,'Consulta Contratos'!$H:$H,"Ativo")+SUMIFS('Consulta Contratos'!$AL:$AL,'Consulta Contratos'!$O:$O,'Performance Vendas'!$B112,'Consulta Contratos'!$AM:$AM,'Performance Vendas'!AD$109,'Consulta Contratos'!$AT:$AT,1,'Consulta Contratos'!$H:$H,"Ativo")</f>
        <v>6535147.4199999999</v>
      </c>
      <c r="AE112" s="19">
        <f>SUMIFS('Consulta Contratos'!$Z:$Z,'Consulta Contratos'!$O:$O,'Performance Vendas'!$B112,'Consulta Contratos'!$AM:$AM,'Performance Vendas'!AE109,'Consulta Contratos'!$H:$H,"Ativo")+SUMIFS('Consulta Contratos'!$AL:$AL,'Consulta Contratos'!$O:$O,'Performance Vendas'!$B112,'Consulta Contratos'!$AM:$AM,'Performance Vendas'!AE$109,'Consulta Contratos'!$AT:$AT,1,'Consulta Contratos'!$H:$H,"Ativo")</f>
        <v>7391031.2999999998</v>
      </c>
      <c r="AF112" s="19">
        <f>SUMIFS('Consulta Contratos'!$Z:$Z,'Consulta Contratos'!$O:$O,'Performance Vendas'!$B112,'Consulta Contratos'!$AM:$AM,'Performance Vendas'!AF109,'Consulta Contratos'!$H:$H,"Ativo")+SUMIFS('Consulta Contratos'!$AL:$AL,'Consulta Contratos'!$O:$O,'Performance Vendas'!$B112,'Consulta Contratos'!$AM:$AM,'Performance Vendas'!AF$109,'Consulta Contratos'!$AT:$AT,1,'Consulta Contratos'!$H:$H,"Ativo")</f>
        <v>7632415.5700000003</v>
      </c>
      <c r="AG112" s="19">
        <f>SUMIFS('Consulta Contratos'!$Z:$Z,'Consulta Contratos'!$O:$O,'Performance Vendas'!$B112,'Consulta Contratos'!$AM:$AM,'Performance Vendas'!AG109,'Consulta Contratos'!$H:$H,"Ativo")+SUMIFS('Consulta Contratos'!$AL:$AL,'Consulta Contratos'!$O:$O,'Performance Vendas'!$B112,'Consulta Contratos'!$AM:$AM,'Performance Vendas'!AG$109,'Consulta Contratos'!$AT:$AT,1,'Consulta Contratos'!$H:$H,"Ativo")</f>
        <v>3057897.37</v>
      </c>
      <c r="AH112" s="19">
        <f>SUMIFS('Consulta Contratos'!$Z:$Z,'Consulta Contratos'!$O:$O,'Performance Vendas'!$B112,'Consulta Contratos'!$AM:$AM,'Performance Vendas'!AH109,'Consulta Contratos'!$H:$H,"Ativo")+SUMIFS('Consulta Contratos'!$AL:$AL,'Consulta Contratos'!$O:$O,'Performance Vendas'!$B112,'Consulta Contratos'!$AM:$AM,'Performance Vendas'!AH$109,'Consulta Contratos'!$AT:$AT,1,'Consulta Contratos'!$H:$H,"Ativo")</f>
        <v>6919117.2599999998</v>
      </c>
      <c r="AI112" s="19">
        <f>SUMIFS('Consulta Contratos'!$Z:$Z,'Consulta Contratos'!$O:$O,'Performance Vendas'!$B112,'Consulta Contratos'!$AM:$AM,'Performance Vendas'!AI109,'Consulta Contratos'!$H:$H,"Ativo")+SUMIFS('Consulta Contratos'!$AL:$AL,'Consulta Contratos'!$O:$O,'Performance Vendas'!$B112,'Consulta Contratos'!$AM:$AM,'Performance Vendas'!AI$109,'Consulta Contratos'!$AT:$AT,1,'Consulta Contratos'!$H:$H,"Ativo")</f>
        <v>6646607.0600000005</v>
      </c>
      <c r="AJ112" s="86">
        <f>SUM(X112:AI112)</f>
        <v>65361038.383999996</v>
      </c>
      <c r="AK112" s="19">
        <f>SUMIFS('Consulta Contratos'!$Z:$Z,'Consulta Contratos'!$O:$O,'Performance Vendas'!$B112,'Consulta Contratos'!$AM:$AM,'Performance Vendas'!AK109,'Consulta Contratos'!$H:$H,"Ativo")+SUMIFS('Consulta Contratos'!$AL:$AL,'Consulta Contratos'!$O:$O,'Performance Vendas'!$B112,'Consulta Contratos'!$AM:$AM,'Performance Vendas'!AK$109,'Consulta Contratos'!$AT:$AT,1,'Consulta Contratos'!$H:$H,"Ativo")</f>
        <v>0</v>
      </c>
      <c r="AL112" s="19">
        <f>SUMIFS('Consulta Contratos'!$Z:$Z,'Consulta Contratos'!$O:$O,'Performance Vendas'!$B112,'Consulta Contratos'!$AM:$AM,'Performance Vendas'!AL109,'Consulta Contratos'!$H:$H,"Ativo")+SUMIFS('Consulta Contratos'!$AL:$AL,'Consulta Contratos'!$O:$O,'Performance Vendas'!$B112,'Consulta Contratos'!$AM:$AM,'Performance Vendas'!AL$109,'Consulta Contratos'!$AT:$AT,1,'Consulta Contratos'!$H:$H,"Ativo")</f>
        <v>3956833.06</v>
      </c>
      <c r="AM112" s="19">
        <f>SUMIFS('Consulta Contratos'!$Z:$Z,'Consulta Contratos'!$O:$O,'Performance Vendas'!$B112,'Consulta Contratos'!$AM:$AM,'Performance Vendas'!AM109,'Consulta Contratos'!$H:$H,"Ativo")+SUMIFS('Consulta Contratos'!$AL:$AL,'Consulta Contratos'!$O:$O,'Performance Vendas'!$B112,'Consulta Contratos'!$AM:$AM,'Performance Vendas'!AM$109,'Consulta Contratos'!$AT:$AT,1,'Consulta Contratos'!$H:$H,"Ativo")</f>
        <v>0</v>
      </c>
      <c r="AN112" s="19">
        <f>SUMIFS('Consulta Contratos'!$Z:$Z,'Consulta Contratos'!$O:$O,'Performance Vendas'!$B112,'Consulta Contratos'!$AM:$AM,'Performance Vendas'!AN109,'Consulta Contratos'!$H:$H,"Ativo")+SUMIFS('Consulta Contratos'!$AL:$AL,'Consulta Contratos'!$O:$O,'Performance Vendas'!$B112,'Consulta Contratos'!$AM:$AM,'Performance Vendas'!AN$109,'Consulta Contratos'!$AT:$AT,1,'Consulta Contratos'!$H:$H,"Ativo")</f>
        <v>0</v>
      </c>
      <c r="AO112" s="19">
        <f>SUMIFS('Consulta Contratos'!$Z:$Z,'Consulta Contratos'!$O:$O,'Performance Vendas'!$B112,'Consulta Contratos'!$AM:$AM,'Performance Vendas'!AO109,'Consulta Contratos'!$H:$H,"Ativo")+SUMIFS('Consulta Contratos'!$AL:$AL,'Consulta Contratos'!$O:$O,'Performance Vendas'!$B112,'Consulta Contratos'!$AM:$AM,'Performance Vendas'!AO$109,'Consulta Contratos'!$AT:$AT,1,'Consulta Contratos'!$H:$H,"Ativo")</f>
        <v>0</v>
      </c>
      <c r="AP112" s="19">
        <f>SUMIFS('Consulta Contratos'!$Z:$Z,'Consulta Contratos'!$O:$O,'Performance Vendas'!$B112,'Consulta Contratos'!$AM:$AM,'Performance Vendas'!AP109,'Consulta Contratos'!$H:$H,"Ativo")+SUMIFS('Consulta Contratos'!$AL:$AL,'Consulta Contratos'!$O:$O,'Performance Vendas'!$B112,'Consulta Contratos'!$AM:$AM,'Performance Vendas'!AP$109,'Consulta Contratos'!$AT:$AT,1,'Consulta Contratos'!$H:$H,"Ativo")</f>
        <v>0</v>
      </c>
      <c r="AQ112" s="19">
        <f>SUMIFS('Consulta Contratos'!$Z:$Z,'Consulta Contratos'!$O:$O,'Performance Vendas'!$B112,'Consulta Contratos'!$AM:$AM,'Performance Vendas'!AQ109,'Consulta Contratos'!$H:$H,"Ativo")+SUMIFS('Consulta Contratos'!$AL:$AL,'Consulta Contratos'!$O:$O,'Performance Vendas'!$B112,'Consulta Contratos'!$AM:$AM,'Performance Vendas'!AQ$109,'Consulta Contratos'!$AT:$AT,1,'Consulta Contratos'!$H:$H,"Ativo")</f>
        <v>0</v>
      </c>
      <c r="AR112" s="19">
        <f>SUMIFS('Consulta Contratos'!$Z:$Z,'Consulta Contratos'!$O:$O,'Performance Vendas'!$B112,'Consulta Contratos'!$AM:$AM,'Performance Vendas'!AR109,'Consulta Contratos'!$H:$H,"Ativo")+SUMIFS('Consulta Contratos'!$AL:$AL,'Consulta Contratos'!$O:$O,'Performance Vendas'!$B112,'Consulta Contratos'!$AM:$AM,'Performance Vendas'!AR$109,'Consulta Contratos'!$AT:$AT,1,'Consulta Contratos'!$H:$H,"Ativo")</f>
        <v>0</v>
      </c>
      <c r="AS112" s="19">
        <f>SUMIFS('Consulta Contratos'!$Z:$Z,'Consulta Contratos'!$O:$O,'Performance Vendas'!$B112,'Consulta Contratos'!$AM:$AM,'Performance Vendas'!AS109,'Consulta Contratos'!$H:$H,"Ativo")+SUMIFS('Consulta Contratos'!$AL:$AL,'Consulta Contratos'!$O:$O,'Performance Vendas'!$B112,'Consulta Contratos'!$AM:$AM,'Performance Vendas'!AS$109,'Consulta Contratos'!$AT:$AT,1,'Consulta Contratos'!$H:$H,"Ativo")</f>
        <v>0</v>
      </c>
      <c r="AT112" s="19">
        <f>SUMIFS('Consulta Contratos'!$Z:$Z,'Consulta Contratos'!$O:$O,'Performance Vendas'!$B112,'Consulta Contratos'!$AM:$AM,'Performance Vendas'!AT109,'Consulta Contratos'!$H:$H,"Ativo")+SUMIFS('Consulta Contratos'!$AL:$AL,'Consulta Contratos'!$O:$O,'Performance Vendas'!$B112,'Consulta Contratos'!$AM:$AM,'Performance Vendas'!AT$109,'Consulta Contratos'!$AT:$AT,1,'Consulta Contratos'!$H:$H,"Ativo")</f>
        <v>0</v>
      </c>
      <c r="AU112" s="19">
        <f>SUMIFS('Consulta Contratos'!$Z:$Z,'Consulta Contratos'!$O:$O,'Performance Vendas'!$B112,'Consulta Contratos'!$AM:$AM,'Performance Vendas'!AU109,'Consulta Contratos'!$H:$H,"Ativo")+SUMIFS('Consulta Contratos'!$AL:$AL,'Consulta Contratos'!$O:$O,'Performance Vendas'!$B112,'Consulta Contratos'!$AM:$AM,'Performance Vendas'!AU$109,'Consulta Contratos'!$AT:$AT,1,'Consulta Contratos'!$H:$H,"Ativo")</f>
        <v>0</v>
      </c>
      <c r="AV112" s="19">
        <f>SUMIFS('Consulta Contratos'!$Z:$Z,'Consulta Contratos'!$O:$O,'Performance Vendas'!$B112,'Consulta Contratos'!$AM:$AM,'Performance Vendas'!AV109,'Consulta Contratos'!$H:$H,"Ativo")+SUMIFS('Consulta Contratos'!$AL:$AL,'Consulta Contratos'!$O:$O,'Performance Vendas'!$B112,'Consulta Contratos'!$AM:$AM,'Performance Vendas'!AV$109,'Consulta Contratos'!$AT:$AT,1,'Consulta Contratos'!$H:$H,"Ativo")</f>
        <v>0</v>
      </c>
      <c r="AW112" s="86">
        <f>SUM(AK112:AV112)</f>
        <v>3956833.06</v>
      </c>
      <c r="AX112" s="86">
        <f>AJ112+W112+J112+AW112</f>
        <v>149206226.18849999</v>
      </c>
      <c r="AY112" s="81"/>
      <c r="AZ112" s="19">
        <f>SUMIFS('Consulta Contratos'!$Z:$Z,'Consulta Contratos'!$O:$O,'Performance Vendas'!$B112,'Consulta Contratos'!$AM:$AM,'Performance Vendas'!AZ109,'Consulta Contratos'!$H:$H,"Ativo")+SUMIFS('Consulta Contratos'!$AL:$AL,'Consulta Contratos'!$O:$O,'Performance Vendas'!$B112,'Consulta Contratos'!$AM:$AM,'Performance Vendas'!AZ$109,'Consulta Contratos'!$AT:$AT,1,'Consulta Contratos'!$H:$H,"Ativo")</f>
        <v>0</v>
      </c>
    </row>
    <row r="113" spans="1:65">
      <c r="A113" s="94"/>
      <c r="B113" s="457"/>
      <c r="C113" s="486"/>
      <c r="D113" s="192"/>
      <c r="E113" s="231">
        <f t="shared" ref="E113:Q113" si="215">E112/E$118</f>
        <v>0.36238697409810156</v>
      </c>
      <c r="F113" s="231">
        <f t="shared" si="215"/>
        <v>0.51312728714427558</v>
      </c>
      <c r="G113" s="231">
        <f t="shared" si="215"/>
        <v>5.6158960739489172E-2</v>
      </c>
      <c r="H113" s="231">
        <f t="shared" si="215"/>
        <v>0.56769568673167559</v>
      </c>
      <c r="I113" s="231">
        <f t="shared" si="215"/>
        <v>0.17364058171562272</v>
      </c>
      <c r="J113" s="193">
        <f t="shared" si="215"/>
        <v>0.29768208674472657</v>
      </c>
      <c r="K113" s="231">
        <f t="shared" si="215"/>
        <v>0.47139658440068788</v>
      </c>
      <c r="L113" s="231">
        <f t="shared" si="215"/>
        <v>0.42774854733144274</v>
      </c>
      <c r="M113" s="231">
        <f t="shared" si="215"/>
        <v>0.12847243355827292</v>
      </c>
      <c r="N113" s="231">
        <f t="shared" si="215"/>
        <v>0.68187074392907621</v>
      </c>
      <c r="O113" s="231">
        <f t="shared" si="215"/>
        <v>0.4807548003320366</v>
      </c>
      <c r="P113" s="231">
        <f t="shared" si="215"/>
        <v>0.29242887135960682</v>
      </c>
      <c r="Q113" s="231">
        <f t="shared" si="215"/>
        <v>0.12732425706555459</v>
      </c>
      <c r="R113" s="231">
        <f t="shared" ref="R113:AJ113" si="216">IFERROR(R112/R$118,0)</f>
        <v>0.57893258984440965</v>
      </c>
      <c r="S113" s="231">
        <f t="shared" si="216"/>
        <v>0.25138723556963632</v>
      </c>
      <c r="T113" s="231">
        <f t="shared" si="216"/>
        <v>0</v>
      </c>
      <c r="U113" s="231">
        <f t="shared" si="216"/>
        <v>0.20248325713237478</v>
      </c>
      <c r="V113" s="231">
        <f t="shared" si="216"/>
        <v>0.33754547509858462</v>
      </c>
      <c r="W113" s="193">
        <f t="shared" si="216"/>
        <v>0.2978739538032168</v>
      </c>
      <c r="X113" s="231">
        <f t="shared" si="216"/>
        <v>0.80044401171964441</v>
      </c>
      <c r="Y113" s="231">
        <f t="shared" si="216"/>
        <v>0.1015437809179152</v>
      </c>
      <c r="Z113" s="231">
        <f t="shared" si="216"/>
        <v>0.69303609796447008</v>
      </c>
      <c r="AA113" s="231">
        <f t="shared" si="216"/>
        <v>8.8526044122828093E-2</v>
      </c>
      <c r="AB113" s="231">
        <f t="shared" si="216"/>
        <v>0.46999745881605032</v>
      </c>
      <c r="AC113" s="231">
        <f t="shared" si="216"/>
        <v>0.31096996012654143</v>
      </c>
      <c r="AD113" s="231">
        <f t="shared" si="216"/>
        <v>0.51506128691857989</v>
      </c>
      <c r="AE113" s="231">
        <f t="shared" si="216"/>
        <v>0.32132613390201947</v>
      </c>
      <c r="AF113" s="231">
        <f t="shared" si="216"/>
        <v>0.37473623549085583</v>
      </c>
      <c r="AG113" s="231">
        <f t="shared" si="216"/>
        <v>0.83450296023253079</v>
      </c>
      <c r="AH113" s="231">
        <f t="shared" si="216"/>
        <v>0.76891352526529899</v>
      </c>
      <c r="AI113" s="231">
        <f t="shared" si="216"/>
        <v>0.35445686936533849</v>
      </c>
      <c r="AJ113" s="193">
        <f t="shared" si="216"/>
        <v>0.46198767538198632</v>
      </c>
      <c r="AK113" s="231">
        <f t="shared" ref="AK113:AW113" si="217">IFERROR(AK112/AK$118,0)</f>
        <v>0</v>
      </c>
      <c r="AL113" s="231">
        <f t="shared" si="217"/>
        <v>0.57038734932368795</v>
      </c>
      <c r="AM113" s="231">
        <f t="shared" si="217"/>
        <v>0</v>
      </c>
      <c r="AN113" s="231">
        <f t="shared" si="217"/>
        <v>0</v>
      </c>
      <c r="AO113" s="231">
        <f t="shared" si="217"/>
        <v>0</v>
      </c>
      <c r="AP113" s="231">
        <f t="shared" si="217"/>
        <v>0</v>
      </c>
      <c r="AQ113" s="231">
        <f t="shared" si="217"/>
        <v>0</v>
      </c>
      <c r="AR113" s="231">
        <f t="shared" si="217"/>
        <v>0</v>
      </c>
      <c r="AS113" s="231">
        <f t="shared" si="217"/>
        <v>0</v>
      </c>
      <c r="AT113" s="231">
        <f t="shared" si="217"/>
        <v>0</v>
      </c>
      <c r="AU113" s="231">
        <f t="shared" si="217"/>
        <v>0</v>
      </c>
      <c r="AV113" s="231">
        <f t="shared" si="217"/>
        <v>0</v>
      </c>
      <c r="AW113" s="193">
        <f t="shared" si="217"/>
        <v>0.22845274034073232</v>
      </c>
      <c r="AX113" s="193">
        <f>AX112/AX$118</f>
        <v>0.34940194041630701</v>
      </c>
      <c r="AY113" s="81"/>
      <c r="AZ113" s="231">
        <f t="shared" ref="AZ113" si="218">IFERROR(AZ112/AZ$118,0)</f>
        <v>0</v>
      </c>
      <c r="BM113" s="299"/>
    </row>
    <row r="114" spans="1:65">
      <c r="A114" s="80"/>
      <c r="B114" s="456" t="s">
        <v>12</v>
      </c>
      <c r="C114" s="485"/>
      <c r="D114" s="2"/>
      <c r="E114" s="19">
        <f>SUMIFS('Consulta Contratos'!$Z:$Z,'Consulta Contratos'!$O:$O,'Performance Vendas'!$B114,'Consulta Contratos'!$AM:$AM,'Performance Vendas'!E109,'Consulta Contratos'!$H:$H,"Ativo")+SUMIFS('Consulta Contratos'!$AL:$AL,'Consulta Contratos'!$O:$O,'Performance Vendas'!$B114,'Consulta Contratos'!$AM:$AM,'Performance Vendas'!E$109,'Consulta Contratos'!$AT:$AT,1,'Consulta Contratos'!$H:$H,"Ativo")</f>
        <v>8036000</v>
      </c>
      <c r="F114" s="19">
        <f>SUMIFS('Consulta Contratos'!$Z:$Z,'Consulta Contratos'!$O:$O,'Performance Vendas'!$B114,'Consulta Contratos'!$AM:$AM,'Performance Vendas'!F109,'Consulta Contratos'!$H:$H,"Ativo")+SUMIFS('Consulta Contratos'!$AL:$AL,'Consulta Contratos'!$O:$O,'Performance Vendas'!$B114,'Consulta Contratos'!$AM:$AM,'Performance Vendas'!F$109,'Consulta Contratos'!$AT:$AT,1,'Consulta Contratos'!$H:$H,"Ativo")</f>
        <v>1489179.1</v>
      </c>
      <c r="G114" s="19">
        <f>SUMIFS('Consulta Contratos'!$Z:$Z,'Consulta Contratos'!$O:$O,'Performance Vendas'!$B114,'Consulta Contratos'!$AM:$AM,'Performance Vendas'!G109,'Consulta Contratos'!$H:$H,"Ativo")+SUMIFS('Consulta Contratos'!$AL:$AL,'Consulta Contratos'!$O:$O,'Performance Vendas'!$B114,'Consulta Contratos'!$AM:$AM,'Performance Vendas'!G$109,'Consulta Contratos'!$AT:$AT,1,'Consulta Contratos'!$H:$H,"Ativo")</f>
        <v>8894023</v>
      </c>
      <c r="H114" s="19">
        <f>SUMIFS('Consulta Contratos'!$Z:$Z,'Consulta Contratos'!$O:$O,'Performance Vendas'!$B114,'Consulta Contratos'!$AM:$AM,'Performance Vendas'!H109,'Consulta Contratos'!$H:$H,"Ativo")+SUMIFS('Consulta Contratos'!$AL:$AL,'Consulta Contratos'!$O:$O,'Performance Vendas'!$B114,'Consulta Contratos'!$AM:$AM,'Performance Vendas'!H$109,'Consulta Contratos'!$AT:$AT,1,'Consulta Contratos'!$H:$H,"Ativo")</f>
        <v>451000</v>
      </c>
      <c r="I114" s="19">
        <f>SUMIFS('Consulta Contratos'!$Z:$Z,'Consulta Contratos'!$O:$O,'Performance Vendas'!$B114,'Consulta Contratos'!$AM:$AM,'Performance Vendas'!I109,'Consulta Contratos'!$H:$H,"Ativo")+SUMIFS('Consulta Contratos'!$AL:$AL,'Consulta Contratos'!$O:$O,'Performance Vendas'!$B114,'Consulta Contratos'!$AM:$AM,'Performance Vendas'!I$109,'Consulta Contratos'!$AT:$AT,1,'Consulta Contratos'!$H:$H,"Ativo")</f>
        <v>1868400</v>
      </c>
      <c r="J114" s="86">
        <f>SUM(E114:I114)</f>
        <v>20738602.100000001</v>
      </c>
      <c r="K114" s="19">
        <f>SUMIFS('Consulta Contratos'!$Z:$Z,'Consulta Contratos'!$O:$O,'Performance Vendas'!$B114,'Consulta Contratos'!$AM:$AM,'Performance Vendas'!K109,'Consulta Contratos'!$H:$H,"Ativo")+SUMIFS('Consulta Contratos'!$AL:$AL,'Consulta Contratos'!$O:$O,'Performance Vendas'!$B114,'Consulta Contratos'!$AM:$AM,'Performance Vendas'!K$109,'Consulta Contratos'!$AT:$AT,1,'Consulta Contratos'!$H:$H,"Ativo")</f>
        <v>3309749.19</v>
      </c>
      <c r="L114" s="19">
        <f>SUMIFS('Consulta Contratos'!$Z:$Z,'Consulta Contratos'!$O:$O,'Performance Vendas'!$B114,'Consulta Contratos'!$AM:$AM,'Performance Vendas'!L109,'Consulta Contratos'!$H:$H,"Ativo")+SUMIFS('Consulta Contratos'!$AL:$AL,'Consulta Contratos'!$O:$O,'Performance Vendas'!$B114,'Consulta Contratos'!$AM:$AM,'Performance Vendas'!L$109,'Consulta Contratos'!$AT:$AT,1,'Consulta Contratos'!$H:$H,"Ativo")</f>
        <v>1203000</v>
      </c>
      <c r="M114" s="19">
        <f>SUMIFS('Consulta Contratos'!$Z:$Z,'Consulta Contratos'!$O:$O,'Performance Vendas'!$B114,'Consulta Contratos'!$AM:$AM,'Performance Vendas'!M109,'Consulta Contratos'!$H:$H,"Ativo")+SUMIFS('Consulta Contratos'!$AL:$AL,'Consulta Contratos'!$O:$O,'Performance Vendas'!$B114,'Consulta Contratos'!$AM:$AM,'Performance Vendas'!M$109,'Consulta Contratos'!$AT:$AT,1,'Consulta Contratos'!$H:$H,"Ativo")</f>
        <v>1882000</v>
      </c>
      <c r="N114" s="19">
        <f>SUMIFS('Consulta Contratos'!$Z:$Z,'Consulta Contratos'!$O:$O,'Performance Vendas'!$B114,'Consulta Contratos'!$AM:$AM,'Performance Vendas'!N109,'Consulta Contratos'!$H:$H,"Ativo")+SUMIFS('Consulta Contratos'!$AL:$AL,'Consulta Contratos'!$O:$O,'Performance Vendas'!$B114,'Consulta Contratos'!$AM:$AM,'Performance Vendas'!N$109,'Consulta Contratos'!$AT:$AT,1,'Consulta Contratos'!$H:$H,"Ativo")</f>
        <v>4574000</v>
      </c>
      <c r="O114" s="19">
        <f>SUMIFS('Consulta Contratos'!$Z:$Z,'Consulta Contratos'!$O:$O,'Performance Vendas'!$B114,'Consulta Contratos'!$AM:$AM,'Performance Vendas'!O109,'Consulta Contratos'!$H:$H,"Ativo")+SUMIFS('Consulta Contratos'!$AL:$AL,'Consulta Contratos'!$O:$O,'Performance Vendas'!$B114,'Consulta Contratos'!$AM:$AM,'Performance Vendas'!O$109,'Consulta Contratos'!$AT:$AT,1,'Consulta Contratos'!$H:$H,"Ativo")</f>
        <v>4817293.2087500002</v>
      </c>
      <c r="P114" s="19">
        <f>SUMIFS('Consulta Contratos'!$Z:$Z,'Consulta Contratos'!$O:$O,'Performance Vendas'!$B114,'Consulta Contratos'!$AM:$AM,'Performance Vendas'!P109,'Consulta Contratos'!$H:$H,"Ativo")+SUMIFS('Consulta Contratos'!$AL:$AL,'Consulta Contratos'!$O:$O,'Performance Vendas'!$B114,'Consulta Contratos'!$AM:$AM,'Performance Vendas'!P$109,'Consulta Contratos'!$AT:$AT,1,'Consulta Contratos'!$H:$H,"Ativo")</f>
        <v>10603220.004000001</v>
      </c>
      <c r="Q114" s="19">
        <f>SUMIFS('Consulta Contratos'!$Z:$Z,'Consulta Contratos'!$O:$O,'Performance Vendas'!$B114,'Consulta Contratos'!$AM:$AM,'Performance Vendas'!Q109,'Consulta Contratos'!$H:$H,"Ativo")+SUMIFS('Consulta Contratos'!$AL:$AL,'Consulta Contratos'!$O:$O,'Performance Vendas'!$B114,'Consulta Contratos'!$AM:$AM,'Performance Vendas'!Q$109,'Consulta Contratos'!$AT:$AT,1,'Consulta Contratos'!$H:$H,"Ativo")</f>
        <v>10106890.527999999</v>
      </c>
      <c r="R114" s="19">
        <f>SUMIFS('Consulta Contratos'!$Z:$Z,'Consulta Contratos'!$O:$O,'Performance Vendas'!$B114,'Consulta Contratos'!$AM:$AM,'Performance Vendas'!R109,'Consulta Contratos'!$H:$H,"Ativo")+SUMIFS('Consulta Contratos'!$AL:$AL,'Consulta Contratos'!$O:$O,'Performance Vendas'!$B114,'Consulta Contratos'!$AM:$AM,'Performance Vendas'!R$109,'Consulta Contratos'!$AT:$AT,1,'Consulta Contratos'!$H:$H,"Ativo")</f>
        <v>4517650</v>
      </c>
      <c r="S114" s="19">
        <f>SUMIFS('Consulta Contratos'!$Z:$Z,'Consulta Contratos'!$O:$O,'Performance Vendas'!$B114,'Consulta Contratos'!$AM:$AM,'Performance Vendas'!S109,'Consulta Contratos'!$H:$H,"Ativo")+SUMIFS('Consulta Contratos'!$AL:$AL,'Consulta Contratos'!$O:$O,'Performance Vendas'!$B114,'Consulta Contratos'!$AM:$AM,'Performance Vendas'!S$109,'Consulta Contratos'!$AT:$AT,1,'Consulta Contratos'!$H:$H,"Ativo")</f>
        <v>17933536.252</v>
      </c>
      <c r="T114" s="19">
        <f>SUMIFS('Consulta Contratos'!$Z:$Z,'Consulta Contratos'!$O:$O,'Performance Vendas'!$B114,'Consulta Contratos'!$AM:$AM,'Performance Vendas'!T109,'Consulta Contratos'!$H:$H,"Ativo")+SUMIFS('Consulta Contratos'!$AL:$AL,'Consulta Contratos'!$O:$O,'Performance Vendas'!$B114,'Consulta Contratos'!$AM:$AM,'Performance Vendas'!T$109,'Consulta Contratos'!$AT:$AT,1,'Consulta Contratos'!$H:$H,"Ativo")</f>
        <v>23422642.338</v>
      </c>
      <c r="U114" s="19">
        <f>SUMIFS('Consulta Contratos'!$Z:$Z,'Consulta Contratos'!$O:$O,'Performance Vendas'!$B114,'Consulta Contratos'!$AM:$AM,'Performance Vendas'!U109,'Consulta Contratos'!$H:$H,"Ativo")+SUMIFS('Consulta Contratos'!$AL:$AL,'Consulta Contratos'!$O:$O,'Performance Vendas'!$B114,'Consulta Contratos'!$AM:$AM,'Performance Vendas'!U$109,'Consulta Contratos'!$AT:$AT,1,'Consulta Contratos'!$H:$H,"Ativo")</f>
        <v>9311526.4409999996</v>
      </c>
      <c r="V114" s="19">
        <f>SUMIFS('Consulta Contratos'!$Z:$Z,'Consulta Contratos'!$O:$O,'Performance Vendas'!$B114,'Consulta Contratos'!$AM:$AM,'Performance Vendas'!V109,'Consulta Contratos'!$H:$H,"Ativo")+SUMIFS('Consulta Contratos'!$AL:$AL,'Consulta Contratos'!$O:$O,'Performance Vendas'!$B114,'Consulta Contratos'!$AM:$AM,'Performance Vendas'!V$109,'Consulta Contratos'!$AT:$AT,1,'Consulta Contratos'!$H:$H,"Ativo")</f>
        <v>14144100.390000001</v>
      </c>
      <c r="W114" s="86">
        <f>SUM(K114:V114)</f>
        <v>105825608.35175</v>
      </c>
      <c r="X114" s="19">
        <f>SUMIFS('Consulta Contratos'!$Z:$Z,'Consulta Contratos'!$O:$O,'Performance Vendas'!$B114,'Consulta Contratos'!$AM:$AM,'Performance Vendas'!X109,'Consulta Contratos'!$H:$H,"Ativo")+SUMIFS('Consulta Contratos'!$AL:$AL,'Consulta Contratos'!$O:$O,'Performance Vendas'!$B114,'Consulta Contratos'!$AM:$AM,'Performance Vendas'!X$109,'Consulta Contratos'!$AT:$AT,1,'Consulta Contratos'!$H:$H,"Ativo")</f>
        <v>3370256</v>
      </c>
      <c r="Y114" s="19">
        <f>SUMIFS('Consulta Contratos'!$Z:$Z,'Consulta Contratos'!$O:$O,'Performance Vendas'!$B114,'Consulta Contratos'!$AM:$AM,'Performance Vendas'!Y109,'Consulta Contratos'!$H:$H,"Ativo")+SUMIFS('Consulta Contratos'!$AL:$AL,'Consulta Contratos'!$O:$O,'Performance Vendas'!$B114,'Consulta Contratos'!$AM:$AM,'Performance Vendas'!Y$109,'Consulta Contratos'!$AT:$AT,1,'Consulta Contratos'!$H:$H,"Ativo")</f>
        <v>2727404.83</v>
      </c>
      <c r="Z114" s="19">
        <f>SUMIFS('Consulta Contratos'!$Z:$Z,'Consulta Contratos'!$O:$O,'Performance Vendas'!$B114,'Consulta Contratos'!$AM:$AM,'Performance Vendas'!Z109,'Consulta Contratos'!$H:$H,"Ativo")+SUMIFS('Consulta Contratos'!$AL:$AL,'Consulta Contratos'!$O:$O,'Performance Vendas'!$B114,'Consulta Contratos'!$AM:$AM,'Performance Vendas'!Z$109,'Consulta Contratos'!$AT:$AT,1,'Consulta Contratos'!$H:$H,"Ativo")</f>
        <v>3097235.8</v>
      </c>
      <c r="AA114" s="19">
        <f>SUMIFS('Consulta Contratos'!$Z:$Z,'Consulta Contratos'!$O:$O,'Performance Vendas'!$B114,'Consulta Contratos'!$AM:$AM,'Performance Vendas'!AA109,'Consulta Contratos'!$H:$H,"Ativo")+SUMIFS('Consulta Contratos'!$AL:$AL,'Consulta Contratos'!$O:$O,'Performance Vendas'!$B114,'Consulta Contratos'!$AM:$AM,'Performance Vendas'!AA$109,'Consulta Contratos'!$AT:$AT,1,'Consulta Contratos'!$H:$H,"Ativo")</f>
        <v>5152946.6100000003</v>
      </c>
      <c r="AB114" s="19">
        <f>SUMIFS('Consulta Contratos'!$Z:$Z,'Consulta Contratos'!$O:$O,'Performance Vendas'!$B114,'Consulta Contratos'!$AM:$AM,'Performance Vendas'!AB109,'Consulta Contratos'!$H:$H,"Ativo")+SUMIFS('Consulta Contratos'!$AL:$AL,'Consulta Contratos'!$O:$O,'Performance Vendas'!$B114,'Consulta Contratos'!$AM:$AM,'Performance Vendas'!AB$109,'Consulta Contratos'!$AT:$AT,1,'Consulta Contratos'!$H:$H,"Ativo")</f>
        <v>0</v>
      </c>
      <c r="AC114" s="19">
        <f>SUMIFS('Consulta Contratos'!$Z:$Z,'Consulta Contratos'!$O:$O,'Performance Vendas'!$B114,'Consulta Contratos'!$AM:$AM,'Performance Vendas'!AC109,'Consulta Contratos'!$H:$H,"Ativo")+SUMIFS('Consulta Contratos'!$AL:$AL,'Consulta Contratos'!$O:$O,'Performance Vendas'!$B114,'Consulta Contratos'!$AM:$AM,'Performance Vendas'!AC$109,'Consulta Contratos'!$AT:$AT,1,'Consulta Contratos'!$H:$H,"Ativo")</f>
        <v>1200000</v>
      </c>
      <c r="AD114" s="19">
        <f>SUMIFS('Consulta Contratos'!$Z:$Z,'Consulta Contratos'!$O:$O,'Performance Vendas'!$B114,'Consulta Contratos'!$AM:$AM,'Performance Vendas'!AD109,'Consulta Contratos'!$H:$H,"Ativo")+SUMIFS('Consulta Contratos'!$AL:$AL,'Consulta Contratos'!$O:$O,'Performance Vendas'!$B114,'Consulta Contratos'!$AM:$AM,'Performance Vendas'!AD$109,'Consulta Contratos'!$AT:$AT,1,'Consulta Contratos'!$H:$H,"Ativo")</f>
        <v>5414041.1100000003</v>
      </c>
      <c r="AE114" s="19">
        <f>SUMIFS('Consulta Contratos'!$Z:$Z,'Consulta Contratos'!$O:$O,'Performance Vendas'!$B114,'Consulta Contratos'!$AM:$AM,'Performance Vendas'!AE109,'Consulta Contratos'!$H:$H,"Ativo")+SUMIFS('Consulta Contratos'!$AL:$AL,'Consulta Contratos'!$O:$O,'Performance Vendas'!$B114,'Consulta Contratos'!$AM:$AM,'Performance Vendas'!AE$109,'Consulta Contratos'!$AT:$AT,1,'Consulta Contratos'!$H:$H,"Ativo")</f>
        <v>13259580.360000001</v>
      </c>
      <c r="AF114" s="19">
        <f>SUMIFS('Consulta Contratos'!$Z:$Z,'Consulta Contratos'!$O:$O,'Performance Vendas'!$B114,'Consulta Contratos'!$AM:$AM,'Performance Vendas'!AF109,'Consulta Contratos'!$H:$H,"Ativo")+SUMIFS('Consulta Contratos'!$AL:$AL,'Consulta Contratos'!$O:$O,'Performance Vendas'!$B114,'Consulta Contratos'!$AM:$AM,'Performance Vendas'!AF$109,'Consulta Contratos'!$AT:$AT,1,'Consulta Contratos'!$H:$H,"Ativo")</f>
        <v>7469394.7299999995</v>
      </c>
      <c r="AG114" s="19">
        <f>SUMIFS('Consulta Contratos'!$Z:$Z,'Consulta Contratos'!$O:$O,'Performance Vendas'!$B114,'Consulta Contratos'!$AM:$AM,'Performance Vendas'!AG109,'Consulta Contratos'!$H:$H,"Ativo")+SUMIFS('Consulta Contratos'!$AL:$AL,'Consulta Contratos'!$O:$O,'Performance Vendas'!$B114,'Consulta Contratos'!$AM:$AM,'Performance Vendas'!AG$109,'Consulta Contratos'!$AT:$AT,1,'Consulta Contratos'!$H:$H,"Ativo")</f>
        <v>606436.39</v>
      </c>
      <c r="AH114" s="19">
        <f>SUMIFS('Consulta Contratos'!$Z:$Z,'Consulta Contratos'!$O:$O,'Performance Vendas'!$B114,'Consulta Contratos'!$AM:$AM,'Performance Vendas'!AH109,'Consulta Contratos'!$H:$H,"Ativo")+SUMIFS('Consulta Contratos'!$AL:$AL,'Consulta Contratos'!$O:$O,'Performance Vendas'!$B114,'Consulta Contratos'!$AM:$AM,'Performance Vendas'!AH$109,'Consulta Contratos'!$AT:$AT,1,'Consulta Contratos'!$H:$H,"Ativo")</f>
        <v>2079446.34</v>
      </c>
      <c r="AI114" s="19">
        <f>SUMIFS('Consulta Contratos'!$Z:$Z,'Consulta Contratos'!$O:$O,'Performance Vendas'!$B114,'Consulta Contratos'!$AM:$AM,'Performance Vendas'!AI109,'Consulta Contratos'!$H:$H,"Ativo")+SUMIFS('Consulta Contratos'!$AL:$AL,'Consulta Contratos'!$O:$O,'Performance Vendas'!$B114,'Consulta Contratos'!$AM:$AM,'Performance Vendas'!AI$109,'Consulta Contratos'!$AT:$AT,1,'Consulta Contratos'!$H:$H,"Ativo")</f>
        <v>12104918.539999999</v>
      </c>
      <c r="AJ114" s="86">
        <f>SUM(X114:AI114)</f>
        <v>56481660.710000001</v>
      </c>
      <c r="AK114" s="19">
        <f>SUMIFS('Consulta Contratos'!$Z:$Z,'Consulta Contratos'!$O:$O,'Performance Vendas'!$B114,'Consulta Contratos'!$AM:$AM,'Performance Vendas'!AK109,'Consulta Contratos'!$H:$H,"Ativo")+SUMIFS('Consulta Contratos'!$AL:$AL,'Consulta Contratos'!$O:$O,'Performance Vendas'!$B114,'Consulta Contratos'!$AM:$AM,'Performance Vendas'!AK$109,'Consulta Contratos'!$AT:$AT,1,'Consulta Contratos'!$H:$H,"Ativo")</f>
        <v>8208597.5799999982</v>
      </c>
      <c r="AL114" s="19">
        <f>SUMIFS('Consulta Contratos'!$Z:$Z,'Consulta Contratos'!$O:$O,'Performance Vendas'!$B114,'Consulta Contratos'!$AM:$AM,'Performance Vendas'!AL109,'Consulta Contratos'!$H:$H,"Ativo")+SUMIFS('Consulta Contratos'!$AL:$AL,'Consulta Contratos'!$O:$O,'Performance Vendas'!$B114,'Consulta Contratos'!$AM:$AM,'Performance Vendas'!AL$109,'Consulta Contratos'!$AT:$AT,1,'Consulta Contratos'!$H:$H,"Ativo")</f>
        <v>2572758.35</v>
      </c>
      <c r="AM114" s="19">
        <f>SUMIFS('Consulta Contratos'!$Z:$Z,'Consulta Contratos'!$O:$O,'Performance Vendas'!$B114,'Consulta Contratos'!$AM:$AM,'Performance Vendas'!AM109,'Consulta Contratos'!$H:$H,"Ativo")+SUMIFS('Consulta Contratos'!$AL:$AL,'Consulta Contratos'!$O:$O,'Performance Vendas'!$B114,'Consulta Contratos'!$AM:$AM,'Performance Vendas'!AM$109,'Consulta Contratos'!$AT:$AT,1,'Consulta Contratos'!$H:$H,"Ativo")</f>
        <v>0</v>
      </c>
      <c r="AN114" s="19">
        <f>SUMIFS('Consulta Contratos'!$Z:$Z,'Consulta Contratos'!$O:$O,'Performance Vendas'!$B114,'Consulta Contratos'!$AM:$AM,'Performance Vendas'!AN109,'Consulta Contratos'!$H:$H,"Ativo")+SUMIFS('Consulta Contratos'!$AL:$AL,'Consulta Contratos'!$O:$O,'Performance Vendas'!$B114,'Consulta Contratos'!$AM:$AM,'Performance Vendas'!AN$109,'Consulta Contratos'!$AT:$AT,1,'Consulta Contratos'!$H:$H,"Ativo")</f>
        <v>0</v>
      </c>
      <c r="AO114" s="19">
        <f>SUMIFS('Consulta Contratos'!$Z:$Z,'Consulta Contratos'!$O:$O,'Performance Vendas'!$B114,'Consulta Contratos'!$AM:$AM,'Performance Vendas'!AO109,'Consulta Contratos'!$H:$H,"Ativo")+SUMIFS('Consulta Contratos'!$AL:$AL,'Consulta Contratos'!$O:$O,'Performance Vendas'!$B114,'Consulta Contratos'!$AM:$AM,'Performance Vendas'!AO$109,'Consulta Contratos'!$AT:$AT,1,'Consulta Contratos'!$H:$H,"Ativo")</f>
        <v>0</v>
      </c>
      <c r="AP114" s="19">
        <f>SUMIFS('Consulta Contratos'!$Z:$Z,'Consulta Contratos'!$O:$O,'Performance Vendas'!$B114,'Consulta Contratos'!$AM:$AM,'Performance Vendas'!AP109,'Consulta Contratos'!$H:$H,"Ativo")+SUMIFS('Consulta Contratos'!$AL:$AL,'Consulta Contratos'!$O:$O,'Performance Vendas'!$B114,'Consulta Contratos'!$AM:$AM,'Performance Vendas'!AP$109,'Consulta Contratos'!$AT:$AT,1,'Consulta Contratos'!$H:$H,"Ativo")</f>
        <v>0</v>
      </c>
      <c r="AQ114" s="19">
        <f>SUMIFS('Consulta Contratos'!$Z:$Z,'Consulta Contratos'!$O:$O,'Performance Vendas'!$B114,'Consulta Contratos'!$AM:$AM,'Performance Vendas'!AQ109,'Consulta Contratos'!$H:$H,"Ativo")+SUMIFS('Consulta Contratos'!$AL:$AL,'Consulta Contratos'!$O:$O,'Performance Vendas'!$B114,'Consulta Contratos'!$AM:$AM,'Performance Vendas'!AQ$109,'Consulta Contratos'!$AT:$AT,1,'Consulta Contratos'!$H:$H,"Ativo")</f>
        <v>0</v>
      </c>
      <c r="AR114" s="19">
        <f>SUMIFS('Consulta Contratos'!$Z:$Z,'Consulta Contratos'!$O:$O,'Performance Vendas'!$B114,'Consulta Contratos'!$AM:$AM,'Performance Vendas'!AR109,'Consulta Contratos'!$H:$H,"Ativo")+SUMIFS('Consulta Contratos'!$AL:$AL,'Consulta Contratos'!$O:$O,'Performance Vendas'!$B114,'Consulta Contratos'!$AM:$AM,'Performance Vendas'!AR$109,'Consulta Contratos'!$AT:$AT,1,'Consulta Contratos'!$H:$H,"Ativo")</f>
        <v>0</v>
      </c>
      <c r="AS114" s="19">
        <f>SUMIFS('Consulta Contratos'!$Z:$Z,'Consulta Contratos'!$O:$O,'Performance Vendas'!$B114,'Consulta Contratos'!$AM:$AM,'Performance Vendas'!AS109,'Consulta Contratos'!$H:$H,"Ativo")+SUMIFS('Consulta Contratos'!$AL:$AL,'Consulta Contratos'!$O:$O,'Performance Vendas'!$B114,'Consulta Contratos'!$AM:$AM,'Performance Vendas'!AS$109,'Consulta Contratos'!$AT:$AT,1,'Consulta Contratos'!$H:$H,"Ativo")</f>
        <v>0</v>
      </c>
      <c r="AT114" s="19">
        <f>SUMIFS('Consulta Contratos'!$Z:$Z,'Consulta Contratos'!$O:$O,'Performance Vendas'!$B114,'Consulta Contratos'!$AM:$AM,'Performance Vendas'!AT109,'Consulta Contratos'!$H:$H,"Ativo")+SUMIFS('Consulta Contratos'!$AL:$AL,'Consulta Contratos'!$O:$O,'Performance Vendas'!$B114,'Consulta Contratos'!$AM:$AM,'Performance Vendas'!AT$109,'Consulta Contratos'!$AT:$AT,1,'Consulta Contratos'!$H:$H,"Ativo")</f>
        <v>0</v>
      </c>
      <c r="AU114" s="19">
        <f>SUMIFS('Consulta Contratos'!$Z:$Z,'Consulta Contratos'!$O:$O,'Performance Vendas'!$B114,'Consulta Contratos'!$AM:$AM,'Performance Vendas'!AU109,'Consulta Contratos'!$H:$H,"Ativo")+SUMIFS('Consulta Contratos'!$AL:$AL,'Consulta Contratos'!$O:$O,'Performance Vendas'!$B114,'Consulta Contratos'!$AM:$AM,'Performance Vendas'!AU$109,'Consulta Contratos'!$AT:$AT,1,'Consulta Contratos'!$H:$H,"Ativo")</f>
        <v>0</v>
      </c>
      <c r="AV114" s="19">
        <f>SUMIFS('Consulta Contratos'!$Z:$Z,'Consulta Contratos'!$O:$O,'Performance Vendas'!$B114,'Consulta Contratos'!$AM:$AM,'Performance Vendas'!AV109,'Consulta Contratos'!$H:$H,"Ativo")+SUMIFS('Consulta Contratos'!$AL:$AL,'Consulta Contratos'!$O:$O,'Performance Vendas'!$B114,'Consulta Contratos'!$AM:$AM,'Performance Vendas'!AV$109,'Consulta Contratos'!$AT:$AT,1,'Consulta Contratos'!$H:$H,"Ativo")</f>
        <v>0</v>
      </c>
      <c r="AW114" s="86">
        <f>SUM(AK114:AV114)</f>
        <v>10781355.929999998</v>
      </c>
      <c r="AX114" s="86">
        <f>AJ114+W114+J114+AW114</f>
        <v>193827227.09175</v>
      </c>
      <c r="AY114" s="81"/>
      <c r="AZ114" s="19">
        <f>SUMIFS('Consulta Contratos'!$Z:$Z,'Consulta Contratos'!$O:$O,'Performance Vendas'!$B114,'Consulta Contratos'!$AM:$AM,'Performance Vendas'!AZ109,'Consulta Contratos'!$H:$H,"Ativo")+SUMIFS('Consulta Contratos'!$AL:$AL,'Consulta Contratos'!$O:$O,'Performance Vendas'!$B114,'Consulta Contratos'!$AM:$AM,'Performance Vendas'!AZ$109,'Consulta Contratos'!$AT:$AT,1,'Consulta Contratos'!$H:$H,"Ativo")</f>
        <v>822514.24</v>
      </c>
    </row>
    <row r="115" spans="1:65">
      <c r="A115" s="94"/>
      <c r="B115" s="457"/>
      <c r="C115" s="486"/>
      <c r="D115" s="192"/>
      <c r="E115" s="231">
        <f t="shared" ref="E115:Q115" si="219">E114/E$118</f>
        <v>0.56349480657073092</v>
      </c>
      <c r="F115" s="231">
        <f t="shared" si="219"/>
        <v>0.21068057117589026</v>
      </c>
      <c r="G115" s="231">
        <f t="shared" si="219"/>
        <v>0.60763879376291208</v>
      </c>
      <c r="H115" s="231">
        <f t="shared" si="219"/>
        <v>4.1023995307800945E-2</v>
      </c>
      <c r="I115" s="231">
        <f t="shared" si="219"/>
        <v>0.12335181013697834</v>
      </c>
      <c r="J115" s="193">
        <f t="shared" si="219"/>
        <v>0.33391767336965011</v>
      </c>
      <c r="K115" s="231">
        <f t="shared" si="219"/>
        <v>0.19970731140288406</v>
      </c>
      <c r="L115" s="231">
        <f t="shared" si="219"/>
        <v>0.25965032353498702</v>
      </c>
      <c r="M115" s="231">
        <f t="shared" si="219"/>
        <v>0.11445881526436696</v>
      </c>
      <c r="N115" s="231">
        <f t="shared" si="219"/>
        <v>0.29384556083772323</v>
      </c>
      <c r="O115" s="231">
        <f t="shared" si="219"/>
        <v>0.43393982288054755</v>
      </c>
      <c r="P115" s="231">
        <f t="shared" si="219"/>
        <v>0.62264935149594536</v>
      </c>
      <c r="Q115" s="231">
        <f t="shared" si="219"/>
        <v>0.65787351525389504</v>
      </c>
      <c r="R115" s="231">
        <f t="shared" ref="R115:AJ115" si="220">IFERROR(R114/R$118,0)</f>
        <v>0.33009729646766728</v>
      </c>
      <c r="S115" s="231">
        <f t="shared" si="220"/>
        <v>0.74861276443036373</v>
      </c>
      <c r="T115" s="231">
        <f t="shared" si="220"/>
        <v>0.84219906437877246</v>
      </c>
      <c r="U115" s="231">
        <f t="shared" si="220"/>
        <v>0.57699374585697438</v>
      </c>
      <c r="V115" s="231">
        <f t="shared" si="220"/>
        <v>0.50824617076739387</v>
      </c>
      <c r="W115" s="193">
        <f t="shared" si="220"/>
        <v>0.51339694413118053</v>
      </c>
      <c r="X115" s="231">
        <f t="shared" si="220"/>
        <v>0.17559003023239128</v>
      </c>
      <c r="Y115" s="231">
        <f t="shared" si="220"/>
        <v>0.6020673881130082</v>
      </c>
      <c r="Z115" s="231">
        <f t="shared" si="220"/>
        <v>0.2490163925985594</v>
      </c>
      <c r="AA115" s="231">
        <f t="shared" si="220"/>
        <v>0.37247331746227813</v>
      </c>
      <c r="AB115" s="231">
        <f t="shared" si="220"/>
        <v>0</v>
      </c>
      <c r="AC115" s="231">
        <f t="shared" si="220"/>
        <v>0.51007775931409638</v>
      </c>
      <c r="AD115" s="231">
        <f t="shared" si="220"/>
        <v>0.42670238363906671</v>
      </c>
      <c r="AE115" s="231">
        <f t="shared" si="220"/>
        <v>0.57646213651428424</v>
      </c>
      <c r="AF115" s="231">
        <f t="shared" si="220"/>
        <v>0.36673224051339715</v>
      </c>
      <c r="AG115" s="231">
        <f t="shared" si="220"/>
        <v>0.16549703976746921</v>
      </c>
      <c r="AH115" s="231">
        <f t="shared" si="220"/>
        <v>0.23108647473470101</v>
      </c>
      <c r="AI115" s="231">
        <f t="shared" si="220"/>
        <v>0.6455431306346614</v>
      </c>
      <c r="AJ115" s="193">
        <f t="shared" si="220"/>
        <v>0.39922607991360476</v>
      </c>
      <c r="AK115" s="231">
        <f t="shared" ref="AK115:AW115" si="221">IFERROR(AK114/AK$118,0)</f>
        <v>0.82248645361325423</v>
      </c>
      <c r="AL115" s="231">
        <f t="shared" si="221"/>
        <v>0.37086952960984532</v>
      </c>
      <c r="AM115" s="231">
        <f t="shared" si="221"/>
        <v>0</v>
      </c>
      <c r="AN115" s="231">
        <f t="shared" si="221"/>
        <v>0</v>
      </c>
      <c r="AO115" s="231">
        <f t="shared" si="221"/>
        <v>0</v>
      </c>
      <c r="AP115" s="231">
        <f t="shared" si="221"/>
        <v>0</v>
      </c>
      <c r="AQ115" s="231">
        <f t="shared" si="221"/>
        <v>0</v>
      </c>
      <c r="AR115" s="231">
        <f t="shared" si="221"/>
        <v>0</v>
      </c>
      <c r="AS115" s="231">
        <f t="shared" si="221"/>
        <v>0</v>
      </c>
      <c r="AT115" s="231">
        <f t="shared" si="221"/>
        <v>0</v>
      </c>
      <c r="AU115" s="231">
        <f t="shared" si="221"/>
        <v>0</v>
      </c>
      <c r="AV115" s="231">
        <f t="shared" si="221"/>
        <v>0</v>
      </c>
      <c r="AW115" s="193">
        <f t="shared" si="221"/>
        <v>0.62247516371016776</v>
      </c>
      <c r="AX115" s="193">
        <f>AX114/AX$118</f>
        <v>0.45389264899583265</v>
      </c>
      <c r="AY115" s="81"/>
      <c r="AZ115" s="231">
        <f t="shared" ref="AZ115" si="222">IFERROR(AZ114/AZ$118,0)</f>
        <v>0.49552812138468416</v>
      </c>
    </row>
    <row r="116" spans="1:65">
      <c r="A116" s="80"/>
      <c r="B116" s="456" t="s">
        <v>13</v>
      </c>
      <c r="C116" s="485"/>
      <c r="D116" s="2"/>
      <c r="E116" s="19">
        <f>SUMIFS('Consulta Contratos'!$Z:$Z,'Consulta Contratos'!$O:$O,'Performance Vendas'!$B116,'Consulta Contratos'!$AM:$AM,'Performance Vendas'!E109,'Consulta Contratos'!$H:$H,"Ativo")+SUMIFS('Consulta Contratos'!$AL:$AL,'Consulta Contratos'!$O:$O,'Performance Vendas'!$B116,'Consulta Contratos'!$AM:$AM,'Performance Vendas'!#REF!,'Consulta Contratos'!$AT:$AT,1)</f>
        <v>1057000</v>
      </c>
      <c r="F116" s="19">
        <f>SUMIFS('Consulta Contratos'!$Z:$Z,'Consulta Contratos'!$O:$O,'Performance Vendas'!$B116,'Consulta Contratos'!$AM:$AM,'Performance Vendas'!F109,'Consulta Contratos'!$H:$H,"Ativo")+SUMIFS('Consulta Contratos'!$AL:$AL,'Consulta Contratos'!$O:$O,'Performance Vendas'!$B116,'Consulta Contratos'!$AM:$AM,'Performance Vendas'!#REF!,'Consulta Contratos'!$AT:$AT,1)</f>
        <v>1510000</v>
      </c>
      <c r="G116" s="19">
        <f>SUMIFS('Consulta Contratos'!$Z:$Z,'Consulta Contratos'!$O:$O,'Performance Vendas'!$B116,'Consulta Contratos'!$AM:$AM,'Performance Vendas'!G109,'Consulta Contratos'!$H:$H,"Ativo")+SUMIFS('Consulta Contratos'!$AL:$AL,'Consulta Contratos'!$O:$O,'Performance Vendas'!$B116,'Consulta Contratos'!$AM:$AM,'Performance Vendas'!#REF!,'Consulta Contratos'!$AT:$AT,1)</f>
        <v>4921000</v>
      </c>
      <c r="H116" s="19">
        <f>SUMIFS('Consulta Contratos'!$Z:$Z,'Consulta Contratos'!$O:$O,'Performance Vendas'!$B116,'Consulta Contratos'!$AM:$AM,'Performance Vendas'!H109,'Consulta Contratos'!$H:$H,"Ativo")+SUMIFS('Consulta Contratos'!$AL:$AL,'Consulta Contratos'!$O:$O,'Performance Vendas'!$B116,'Consulta Contratos'!$AM:$AM,'Performance Vendas'!#REF!,'Consulta Contratos'!$AT:$AT,1)</f>
        <v>4301566</v>
      </c>
      <c r="I116" s="19">
        <f>SUMIFS('Consulta Contratos'!$Z:$Z,'Consulta Contratos'!$O:$O,'Performance Vendas'!$B116,'Consulta Contratos'!$AM:$AM,'Performance Vendas'!I109,'Consulta Contratos'!$H:$H,"Ativo")+SUMIFS('Consulta Contratos'!$AL:$AL,'Consulta Contratos'!$O:$O,'Performance Vendas'!$B116,'Consulta Contratos'!$AM:$AM,'Performance Vendas'!#REF!,'Consulta Contratos'!$AT:$AT,1)</f>
        <v>4247400</v>
      </c>
      <c r="J116" s="86">
        <f>SUM(E116:I116)</f>
        <v>16036966</v>
      </c>
      <c r="K116" s="19">
        <f>SUMIFS('Consulta Contratos'!$Z:$Z,'Consulta Contratos'!$O:$O,'Performance Vendas'!$B116,'Consulta Contratos'!$AM:$AM,'Performance Vendas'!K109,'Consulta Contratos'!$H:$H,"Ativo")+SUMIFS('Consulta Contratos'!$AL:$AL,'Consulta Contratos'!$O:$O,'Performance Vendas'!$B116,'Consulta Contratos'!$AM:$AM,'Performance Vendas'!#REF!,'Consulta Contratos'!$AT:$AT,1)</f>
        <v>4403795</v>
      </c>
      <c r="L116" s="19">
        <f>SUMIFS('Consulta Contratos'!$Z:$Z,'Consulta Contratos'!$O:$O,'Performance Vendas'!$B116,'Consulta Contratos'!$AM:$AM,'Performance Vendas'!L109,'Consulta Contratos'!$H:$H,"Ativo")+SUMIFS('Consulta Contratos'!$AL:$AL,'Consulta Contratos'!$O:$O,'Performance Vendas'!$B116,'Consulta Contratos'!$AM:$AM,'Performance Vendas'!#REF!,'Consulta Contratos'!$AT:$AT,1)</f>
        <v>0</v>
      </c>
      <c r="M116" s="19">
        <f>SUMIFS('Consulta Contratos'!$Z:$Z,'Consulta Contratos'!$O:$O,'Performance Vendas'!$B116,'Consulta Contratos'!$AM:$AM,'Performance Vendas'!M109,'Consulta Contratos'!$H:$H,"Ativo")+SUMIFS('Consulta Contratos'!$AL:$AL,'Consulta Contratos'!$O:$O,'Performance Vendas'!$B116,'Consulta Contratos'!$AM:$AM,'Performance Vendas'!#REF!,'Consulta Contratos'!$AT:$AT,1)</f>
        <v>368000</v>
      </c>
      <c r="N116" s="19">
        <f>SUMIFS('Consulta Contratos'!$Z:$Z,'Consulta Contratos'!$O:$O,'Performance Vendas'!$B116,'Consulta Contratos'!$AM:$AM,'Performance Vendas'!N109,'Consulta Contratos'!$H:$H,"Ativo")+SUMIFS('Consulta Contratos'!$AL:$AL,'Consulta Contratos'!$O:$O,'Performance Vendas'!$B116,'Consulta Contratos'!$AM:$AM,'Performance Vendas'!#REF!,'Consulta Contratos'!$AT:$AT,1)</f>
        <v>0</v>
      </c>
      <c r="O116" s="19">
        <f>SUMIFS('Consulta Contratos'!$Z:$Z,'Consulta Contratos'!$O:$O,'Performance Vendas'!$B116,'Consulta Contratos'!$AM:$AM,'Performance Vendas'!O109,'Consulta Contratos'!$H:$H,"Ativo")+SUMIFS('Consulta Contratos'!$AL:$AL,'Consulta Contratos'!$O:$O,'Performance Vendas'!$B116,'Consulta Contratos'!$AM:$AM,'Performance Vendas'!#REF!,'Consulta Contratos'!$AT:$AT,1)</f>
        <v>0</v>
      </c>
      <c r="P116" s="19">
        <f>SUMIFS('Consulta Contratos'!$Z:$Z,'Consulta Contratos'!$O:$O,'Performance Vendas'!$B116,'Consulta Contratos'!$AM:$AM,'Performance Vendas'!P109,'Consulta Contratos'!$H:$H,"Ativo")+SUMIFS('Consulta Contratos'!$AL:$AL,'Consulta Contratos'!$O:$O,'Performance Vendas'!$B116,'Consulta Contratos'!$AM:$AM,'Performance Vendas'!#REF!,'Consulta Contratos'!$AT:$AT,1)</f>
        <v>0</v>
      </c>
      <c r="Q116" s="19">
        <f>SUMIFS('Consulta Contratos'!$Z:$Z,'Consulta Contratos'!$O:$O,'Performance Vendas'!$B116,'Consulta Contratos'!$AM:$AM,'Performance Vendas'!Q109,'Consulta Contratos'!$H:$H,"Ativo")+SUMIFS('Consulta Contratos'!$AL:$AL,'Consulta Contratos'!$O:$O,'Performance Vendas'!$B116,'Consulta Contratos'!$AM:$AM,'Performance Vendas'!#REF!,'Consulta Contratos'!$AT:$AT,1)</f>
        <v>0</v>
      </c>
      <c r="R116" s="19">
        <f>SUMIFS('Consulta Contratos'!$Z:$Z,'Consulta Contratos'!$O:$O,'Performance Vendas'!$B116,'Consulta Contratos'!$AM:$AM,'Performance Vendas'!R109,'Consulta Contratos'!$H:$H,"Ativo")+SUMIFS('Consulta Contratos'!$AL:$AL,'Consulta Contratos'!$O:$O,'Performance Vendas'!$B116,'Consulta Contratos'!$AM:$AM,'Performance Vendas'!#REF!,'Consulta Contratos'!$AT:$AT,1)</f>
        <v>0</v>
      </c>
      <c r="S116" s="19">
        <f>SUMIFS('Consulta Contratos'!$Z:$Z,'Consulta Contratos'!$O:$O,'Performance Vendas'!$B116,'Consulta Contratos'!$AM:$AM,'Performance Vendas'!S109,'Consulta Contratos'!$H:$H,"Ativo")+SUMIFS('Consulta Contratos'!$AL:$AL,'Consulta Contratos'!$O:$O,'Performance Vendas'!$B116,'Consulta Contratos'!$AM:$AM,'Performance Vendas'!#REF!,'Consulta Contratos'!$AT:$AT,1)</f>
        <v>0</v>
      </c>
      <c r="T116" s="19">
        <f>SUMIFS('Consulta Contratos'!$Z:$Z,'Consulta Contratos'!$O:$O,'Performance Vendas'!$B116,'Consulta Contratos'!$AM:$AM,'Performance Vendas'!T109,'Consulta Contratos'!$H:$H,"Ativo")+SUMIFS('Consulta Contratos'!$AL:$AL,'Consulta Contratos'!$O:$O,'Performance Vendas'!$B116,'Consulta Contratos'!$AM:$AM,'Performance Vendas'!#REF!,'Consulta Contratos'!$AT:$AT,1)</f>
        <v>0</v>
      </c>
      <c r="U116" s="19">
        <f>SUMIFS('Consulta Contratos'!$Z:$Z,'Consulta Contratos'!$O:$O,'Performance Vendas'!$B116,'Consulta Contratos'!$AM:$AM,'Performance Vendas'!U109,'Consulta Contratos'!$H:$H,"Ativo")+SUMIFS('Consulta Contratos'!$AL:$AL,'Consulta Contratos'!$O:$O,'Performance Vendas'!$B116,'Consulta Contratos'!$AM:$AM,'Performance Vendas'!#REF!,'Consulta Contratos'!$AT:$AT,1)</f>
        <v>0</v>
      </c>
      <c r="V116" s="19">
        <f>SUMIFS('Consulta Contratos'!$Z:$Z,'Consulta Contratos'!$O:$O,'Performance Vendas'!$B116,'Consulta Contratos'!$AM:$AM,'Performance Vendas'!V109,'Consulta Contratos'!$H:$H,"Ativo")+SUMIFS('Consulta Contratos'!$AL:$AL,'Consulta Contratos'!$O:$O,'Performance Vendas'!$B116,'Consulta Contratos'!$AM:$AM,'Performance Vendas'!#REF!,'Consulta Contratos'!$AT:$AT,1)</f>
        <v>0</v>
      </c>
      <c r="W116" s="86">
        <f>SUM(K116:V116)</f>
        <v>4771795</v>
      </c>
      <c r="X116" s="19">
        <f>SUMIFS('Consulta Contratos'!$Z:$Z,'Consulta Contratos'!$O:$O,'Performance Vendas'!$B116,'Consulta Contratos'!$AM:$AM,'Performance Vendas'!X109,'Consulta Contratos'!$H:$H,"Ativo")+SUMIFS('Consulta Contratos'!$AL:$AL,'Consulta Contratos'!$O:$O,'Performance Vendas'!$B116,'Consulta Contratos'!$AM:$AM,'Performance Vendas'!#REF!,'Consulta Contratos'!$AT:$AT,1)</f>
        <v>0</v>
      </c>
      <c r="Y116" s="19">
        <f>SUMIFS('Consulta Contratos'!$Z:$Z,'Consulta Contratos'!$O:$O,'Performance Vendas'!$B116,'Consulta Contratos'!$AM:$AM,'Performance Vendas'!Y109,'Consulta Contratos'!$H:$H,"Ativo")+SUMIFS('Consulta Contratos'!$AL:$AL,'Consulta Contratos'!$O:$O,'Performance Vendas'!$B116,'Consulta Contratos'!$AM:$AM,'Performance Vendas'!#REF!,'Consulta Contratos'!$AT:$AT,1)</f>
        <v>0</v>
      </c>
      <c r="Z116" s="19">
        <f>SUMIFS('Consulta Contratos'!$Z:$Z,'Consulta Contratos'!$O:$O,'Performance Vendas'!$B116,'Consulta Contratos'!$AM:$AM,'Performance Vendas'!Z109,'Consulta Contratos'!$H:$H,"Ativo")+SUMIFS('Consulta Contratos'!$AL:$AL,'Consulta Contratos'!$O:$O,'Performance Vendas'!$B116,'Consulta Contratos'!$AM:$AM,'Performance Vendas'!#REF!,'Consulta Contratos'!$AT:$AT,1)</f>
        <v>0</v>
      </c>
      <c r="AA116" s="19">
        <f>SUMIFS('Consulta Contratos'!$Z:$Z,'Consulta Contratos'!$O:$O,'Performance Vendas'!$B116,'Consulta Contratos'!$AM:$AM,'Performance Vendas'!AA109,'Consulta Contratos'!$H:$H,"Ativo")+SUMIFS('Consulta Contratos'!$AL:$AL,'Consulta Contratos'!$O:$O,'Performance Vendas'!$B116,'Consulta Contratos'!$AM:$AM,'Performance Vendas'!#REF!,'Consulta Contratos'!$AT:$AT,1)</f>
        <v>0</v>
      </c>
      <c r="AB116" s="19">
        <f>SUMIFS('Consulta Contratos'!$Z:$Z,'Consulta Contratos'!$O:$O,'Performance Vendas'!$B116,'Consulta Contratos'!$AM:$AM,'Performance Vendas'!AB109,'Consulta Contratos'!$H:$H,"Ativo")+SUMIFS('Consulta Contratos'!$AL:$AL,'Consulta Contratos'!$O:$O,'Performance Vendas'!$B116,'Consulta Contratos'!$AM:$AM,'Performance Vendas'!#REF!,'Consulta Contratos'!$AT:$AT,1)</f>
        <v>0</v>
      </c>
      <c r="AC116" s="19">
        <f>SUMIFS('Consulta Contratos'!$Z:$Z,'Consulta Contratos'!$O:$O,'Performance Vendas'!$B116,'Consulta Contratos'!$AM:$AM,'Performance Vendas'!AC109,'Consulta Contratos'!$H:$H,"Ativo")+SUMIFS('Consulta Contratos'!$AL:$AL,'Consulta Contratos'!$O:$O,'Performance Vendas'!$B116,'Consulta Contratos'!$AM:$AM,'Performance Vendas'!#REF!,'Consulta Contratos'!$AT:$AT,1)</f>
        <v>0</v>
      </c>
      <c r="AD116" s="19">
        <f>SUMIFS('Consulta Contratos'!$Z:$Z,'Consulta Contratos'!$O:$O,'Performance Vendas'!$B116,'Consulta Contratos'!$AM:$AM,'Performance Vendas'!AD109,'Consulta Contratos'!$H:$H,"Ativo")+SUMIFS('Consulta Contratos'!$AL:$AL,'Consulta Contratos'!$O:$O,'Performance Vendas'!$B116,'Consulta Contratos'!$AM:$AM,'Performance Vendas'!#REF!,'Consulta Contratos'!$AT:$AT,1)</f>
        <v>0</v>
      </c>
      <c r="AE116" s="19">
        <f>SUMIFS('Consulta Contratos'!$Z:$Z,'Consulta Contratos'!$O:$O,'Performance Vendas'!$B116,'Consulta Contratos'!$AM:$AM,'Performance Vendas'!AE109,'Consulta Contratos'!$H:$H,"Ativo")+SUMIFS('Consulta Contratos'!$AL:$AL,'Consulta Contratos'!$O:$O,'Performance Vendas'!$B116,'Consulta Contratos'!$AM:$AM,'Performance Vendas'!#REF!,'Consulta Contratos'!$AT:$AT,1)</f>
        <v>0</v>
      </c>
      <c r="AF116" s="19">
        <f>SUMIFS('Consulta Contratos'!$Z:$Z,'Consulta Contratos'!$O:$O,'Performance Vendas'!$B116,'Consulta Contratos'!$AM:$AM,'Performance Vendas'!AF109,'Consulta Contratos'!$H:$H,"Ativo")+SUMIFS('Consulta Contratos'!$AL:$AL,'Consulta Contratos'!$O:$O,'Performance Vendas'!$B116,'Consulta Contratos'!$AM:$AM,'Performance Vendas'!#REF!,'Consulta Contratos'!$AT:$AT,1)</f>
        <v>0</v>
      </c>
      <c r="AG116" s="19">
        <f>SUMIFS('Consulta Contratos'!$Z:$Z,'Consulta Contratos'!$O:$O,'Performance Vendas'!$B116,'Consulta Contratos'!$AM:$AM,'Performance Vendas'!AG109,'Consulta Contratos'!$H:$H,"Ativo")+SUMIFS('Consulta Contratos'!$AL:$AL,'Consulta Contratos'!$O:$O,'Performance Vendas'!$B116,'Consulta Contratos'!$AM:$AM,'Performance Vendas'!#REF!,'Consulta Contratos'!$AT:$AT,1)</f>
        <v>0</v>
      </c>
      <c r="AH116" s="19">
        <f>SUMIFS('Consulta Contratos'!$Z:$Z,'Consulta Contratos'!$O:$O,'Performance Vendas'!$B116,'Consulta Contratos'!$AM:$AM,'Performance Vendas'!AH109,'Consulta Contratos'!$H:$H,"Ativo")+SUMIFS('Consulta Contratos'!$AL:$AL,'Consulta Contratos'!$O:$O,'Performance Vendas'!$B116,'Consulta Contratos'!$AM:$AM,'Performance Vendas'!#REF!,'Consulta Contratos'!$AT:$AT,1)</f>
        <v>0</v>
      </c>
      <c r="AI116" s="19">
        <f>SUMIFS('Consulta Contratos'!$Z:$Z,'Consulta Contratos'!$O:$O,'Performance Vendas'!$B116,'Consulta Contratos'!$AM:$AM,'Performance Vendas'!AI109,'Consulta Contratos'!$H:$H,"Ativo")+SUMIFS('Consulta Contratos'!$AL:$AL,'Consulta Contratos'!$O:$O,'Performance Vendas'!$B116,'Consulta Contratos'!$AM:$AM,'Performance Vendas'!#REF!,'Consulta Contratos'!$AT:$AT,1)</f>
        <v>0</v>
      </c>
      <c r="AJ116" s="86">
        <f>SUM(X116:AI116)</f>
        <v>0</v>
      </c>
      <c r="AK116" s="19">
        <f>SUMIFS('Consulta Contratos'!$Z:$Z,'Consulta Contratos'!$O:$O,'Performance Vendas'!$B116,'Consulta Contratos'!$AM:$AM,'Performance Vendas'!AK109,'Consulta Contratos'!$H:$H,"Ativo")+SUMIFS('Consulta Contratos'!$AL:$AL,'Consulta Contratos'!$O:$O,'Performance Vendas'!$B116,'Consulta Contratos'!$AM:$AM,'Performance Vendas'!#REF!,'Consulta Contratos'!$AT:$AT,1)</f>
        <v>0</v>
      </c>
      <c r="AL116" s="19">
        <f>SUMIFS('Consulta Contratos'!$Z:$Z,'Consulta Contratos'!$O:$O,'Performance Vendas'!$B116,'Consulta Contratos'!$AM:$AM,'Performance Vendas'!AL109,'Consulta Contratos'!$H:$H,"Ativo")+SUMIFS('Consulta Contratos'!$AL:$AL,'Consulta Contratos'!$O:$O,'Performance Vendas'!$B116,'Consulta Contratos'!$AM:$AM,'Performance Vendas'!#REF!,'Consulta Contratos'!$AT:$AT,1)</f>
        <v>0</v>
      </c>
      <c r="AM116" s="19">
        <f>SUMIFS('Consulta Contratos'!$Z:$Z,'Consulta Contratos'!$O:$O,'Performance Vendas'!$B116,'Consulta Contratos'!$AM:$AM,'Performance Vendas'!AM109,'Consulta Contratos'!$H:$H,"Ativo")+SUMIFS('Consulta Contratos'!$AL:$AL,'Consulta Contratos'!$O:$O,'Performance Vendas'!$B116,'Consulta Contratos'!$AM:$AM,'Performance Vendas'!#REF!,'Consulta Contratos'!$AT:$AT,1)</f>
        <v>0</v>
      </c>
      <c r="AN116" s="19">
        <f>SUMIFS('Consulta Contratos'!$Z:$Z,'Consulta Contratos'!$O:$O,'Performance Vendas'!$B116,'Consulta Contratos'!$AM:$AM,'Performance Vendas'!AN109,'Consulta Contratos'!$H:$H,"Ativo")+SUMIFS('Consulta Contratos'!$AL:$AL,'Consulta Contratos'!$O:$O,'Performance Vendas'!$B116,'Consulta Contratos'!$AM:$AM,'Performance Vendas'!#REF!,'Consulta Contratos'!$AT:$AT,1)</f>
        <v>0</v>
      </c>
      <c r="AO116" s="19">
        <f>SUMIFS('Consulta Contratos'!$Z:$Z,'Consulta Contratos'!$O:$O,'Performance Vendas'!$B116,'Consulta Contratos'!$AM:$AM,'Performance Vendas'!AO109,'Consulta Contratos'!$H:$H,"Ativo")+SUMIFS('Consulta Contratos'!$AL:$AL,'Consulta Contratos'!$O:$O,'Performance Vendas'!$B116,'Consulta Contratos'!$AM:$AM,'Performance Vendas'!#REF!,'Consulta Contratos'!$AT:$AT,1)</f>
        <v>0</v>
      </c>
      <c r="AP116" s="19">
        <f>SUMIFS('Consulta Contratos'!$Z:$Z,'Consulta Contratos'!$O:$O,'Performance Vendas'!$B116,'Consulta Contratos'!$AM:$AM,'Performance Vendas'!AP109,'Consulta Contratos'!$H:$H,"Ativo")+SUMIFS('Consulta Contratos'!$AL:$AL,'Consulta Contratos'!$O:$O,'Performance Vendas'!$B116,'Consulta Contratos'!$AM:$AM,'Performance Vendas'!#REF!,'Consulta Contratos'!$AT:$AT,1)</f>
        <v>0</v>
      </c>
      <c r="AQ116" s="19">
        <f>SUMIFS('Consulta Contratos'!$Z:$Z,'Consulta Contratos'!$O:$O,'Performance Vendas'!$B116,'Consulta Contratos'!$AM:$AM,'Performance Vendas'!AQ109,'Consulta Contratos'!$H:$H,"Ativo")+SUMIFS('Consulta Contratos'!$AL:$AL,'Consulta Contratos'!$O:$O,'Performance Vendas'!$B116,'Consulta Contratos'!$AM:$AM,'Performance Vendas'!#REF!,'Consulta Contratos'!$AT:$AT,1)</f>
        <v>0</v>
      </c>
      <c r="AR116" s="19">
        <f>SUMIFS('Consulta Contratos'!$Z:$Z,'Consulta Contratos'!$O:$O,'Performance Vendas'!$B116,'Consulta Contratos'!$AM:$AM,'Performance Vendas'!AR109,'Consulta Contratos'!$H:$H,"Ativo")+SUMIFS('Consulta Contratos'!$AL:$AL,'Consulta Contratos'!$O:$O,'Performance Vendas'!$B116,'Consulta Contratos'!$AM:$AM,'Performance Vendas'!#REF!,'Consulta Contratos'!$AT:$AT,1)</f>
        <v>0</v>
      </c>
      <c r="AS116" s="19">
        <f>SUMIFS('Consulta Contratos'!$Z:$Z,'Consulta Contratos'!$O:$O,'Performance Vendas'!$B116,'Consulta Contratos'!$AM:$AM,'Performance Vendas'!AS109,'Consulta Contratos'!$H:$H,"Ativo")+SUMIFS('Consulta Contratos'!$AL:$AL,'Consulta Contratos'!$O:$O,'Performance Vendas'!$B116,'Consulta Contratos'!$AM:$AM,'Performance Vendas'!#REF!,'Consulta Contratos'!$AT:$AT,1)</f>
        <v>0</v>
      </c>
      <c r="AT116" s="19">
        <f>SUMIFS('Consulta Contratos'!$Z:$Z,'Consulta Contratos'!$O:$O,'Performance Vendas'!$B116,'Consulta Contratos'!$AM:$AM,'Performance Vendas'!AT109,'Consulta Contratos'!$H:$H,"Ativo")+SUMIFS('Consulta Contratos'!$AL:$AL,'Consulta Contratos'!$O:$O,'Performance Vendas'!$B116,'Consulta Contratos'!$AM:$AM,'Performance Vendas'!#REF!,'Consulta Contratos'!$AT:$AT,1)</f>
        <v>0</v>
      </c>
      <c r="AU116" s="19">
        <f>SUMIFS('Consulta Contratos'!$Z:$Z,'Consulta Contratos'!$O:$O,'Performance Vendas'!$B116,'Consulta Contratos'!$AM:$AM,'Performance Vendas'!AU109,'Consulta Contratos'!$H:$H,"Ativo")+SUMIFS('Consulta Contratos'!$AL:$AL,'Consulta Contratos'!$O:$O,'Performance Vendas'!$B116,'Consulta Contratos'!$AM:$AM,'Performance Vendas'!#REF!,'Consulta Contratos'!$AT:$AT,1)</f>
        <v>0</v>
      </c>
      <c r="AV116" s="19">
        <f>SUMIFS('Consulta Contratos'!$Z:$Z,'Consulta Contratos'!$O:$O,'Performance Vendas'!$B116,'Consulta Contratos'!$AM:$AM,'Performance Vendas'!AV109,'Consulta Contratos'!$H:$H,"Ativo")+SUMIFS('Consulta Contratos'!$AL:$AL,'Consulta Contratos'!$O:$O,'Performance Vendas'!$B116,'Consulta Contratos'!$AM:$AM,'Performance Vendas'!#REF!,'Consulta Contratos'!$AT:$AT,1)</f>
        <v>0</v>
      </c>
      <c r="AW116" s="86">
        <f>SUM(AK116:AV116)</f>
        <v>0</v>
      </c>
      <c r="AX116" s="86">
        <f>AJ116+W116+J116+AW116</f>
        <v>20808761</v>
      </c>
      <c r="AY116" s="81"/>
      <c r="AZ116" s="19">
        <f>SUMIFS('Consulta Contratos'!$Z:$Z,'Consulta Contratos'!$O:$O,'Performance Vendas'!$B116,'Consulta Contratos'!$AM:$AM,'Performance Vendas'!AZ109,'Consulta Contratos'!$H:$H,"Ativo")+SUMIFS('Consulta Contratos'!$AL:$AL,'Consulta Contratos'!$O:$O,'Performance Vendas'!$B116,'Consulta Contratos'!$AM:$AM,'Performance Vendas'!#REF!,'Consulta Contratos'!$AT:$AT,1)</f>
        <v>0</v>
      </c>
    </row>
    <row r="117" spans="1:65">
      <c r="A117" s="94"/>
      <c r="B117" s="457"/>
      <c r="C117" s="486"/>
      <c r="D117" s="192"/>
      <c r="E117" s="231">
        <f t="shared" ref="E117:Q117" si="223">E116/E$118</f>
        <v>7.4118219331167565E-2</v>
      </c>
      <c r="F117" s="231">
        <f t="shared" si="223"/>
        <v>0.21362619343475495</v>
      </c>
      <c r="G117" s="231">
        <f t="shared" si="223"/>
        <v>0.33620224549759881</v>
      </c>
      <c r="H117" s="231">
        <f t="shared" si="223"/>
        <v>0.39128031796052348</v>
      </c>
      <c r="I117" s="231">
        <f t="shared" si="223"/>
        <v>0.28041344378923239</v>
      </c>
      <c r="J117" s="193">
        <f t="shared" si="223"/>
        <v>0.25821539700731244</v>
      </c>
      <c r="K117" s="231">
        <f t="shared" si="223"/>
        <v>0.26572105888768688</v>
      </c>
      <c r="L117" s="231">
        <f t="shared" si="223"/>
        <v>0</v>
      </c>
      <c r="M117" s="231">
        <f t="shared" si="223"/>
        <v>2.2380894801959109E-2</v>
      </c>
      <c r="N117" s="231">
        <f t="shared" si="223"/>
        <v>0</v>
      </c>
      <c r="O117" s="231">
        <f t="shared" si="223"/>
        <v>0</v>
      </c>
      <c r="P117" s="231">
        <f t="shared" si="223"/>
        <v>0</v>
      </c>
      <c r="Q117" s="231">
        <f t="shared" si="223"/>
        <v>0</v>
      </c>
      <c r="R117" s="231">
        <f t="shared" ref="R117:AJ117" si="224">IFERROR(R116/R$118,0)</f>
        <v>0</v>
      </c>
      <c r="S117" s="231">
        <f t="shared" si="224"/>
        <v>0</v>
      </c>
      <c r="T117" s="231">
        <f t="shared" si="224"/>
        <v>0</v>
      </c>
      <c r="U117" s="231">
        <f t="shared" si="224"/>
        <v>0</v>
      </c>
      <c r="V117" s="231">
        <f t="shared" si="224"/>
        <v>0</v>
      </c>
      <c r="W117" s="193">
        <f t="shared" si="224"/>
        <v>2.3149642219655948E-2</v>
      </c>
      <c r="X117" s="231">
        <f t="shared" si="224"/>
        <v>0</v>
      </c>
      <c r="Y117" s="231">
        <f t="shared" si="224"/>
        <v>0</v>
      </c>
      <c r="Z117" s="231">
        <f t="shared" si="224"/>
        <v>0</v>
      </c>
      <c r="AA117" s="231">
        <f t="shared" si="224"/>
        <v>0</v>
      </c>
      <c r="AB117" s="231">
        <f t="shared" si="224"/>
        <v>0</v>
      </c>
      <c r="AC117" s="231">
        <f t="shared" si="224"/>
        <v>0</v>
      </c>
      <c r="AD117" s="231">
        <f t="shared" si="224"/>
        <v>0</v>
      </c>
      <c r="AE117" s="231">
        <f t="shared" si="224"/>
        <v>0</v>
      </c>
      <c r="AF117" s="231">
        <f t="shared" si="224"/>
        <v>0</v>
      </c>
      <c r="AG117" s="231">
        <f t="shared" si="224"/>
        <v>0</v>
      </c>
      <c r="AH117" s="231">
        <f t="shared" si="224"/>
        <v>0</v>
      </c>
      <c r="AI117" s="231">
        <f t="shared" si="224"/>
        <v>0</v>
      </c>
      <c r="AJ117" s="193">
        <f t="shared" si="224"/>
        <v>0</v>
      </c>
      <c r="AK117" s="231">
        <f t="shared" ref="AK117:AW117" si="225">IFERROR(AK116/AK$118,0)</f>
        <v>0</v>
      </c>
      <c r="AL117" s="231">
        <f t="shared" si="225"/>
        <v>0</v>
      </c>
      <c r="AM117" s="231">
        <f t="shared" si="225"/>
        <v>0</v>
      </c>
      <c r="AN117" s="231">
        <f t="shared" si="225"/>
        <v>0</v>
      </c>
      <c r="AO117" s="231">
        <f t="shared" si="225"/>
        <v>0</v>
      </c>
      <c r="AP117" s="231">
        <f t="shared" si="225"/>
        <v>0</v>
      </c>
      <c r="AQ117" s="231">
        <f t="shared" si="225"/>
        <v>0</v>
      </c>
      <c r="AR117" s="231">
        <f t="shared" si="225"/>
        <v>0</v>
      </c>
      <c r="AS117" s="231">
        <f t="shared" si="225"/>
        <v>0</v>
      </c>
      <c r="AT117" s="231">
        <f t="shared" si="225"/>
        <v>0</v>
      </c>
      <c r="AU117" s="231">
        <f t="shared" si="225"/>
        <v>0</v>
      </c>
      <c r="AV117" s="231">
        <f t="shared" si="225"/>
        <v>0</v>
      </c>
      <c r="AW117" s="193">
        <f t="shared" si="225"/>
        <v>0</v>
      </c>
      <c r="AX117" s="193">
        <f>AX116/AX$118</f>
        <v>4.8728673439363171E-2</v>
      </c>
      <c r="AY117" s="81"/>
      <c r="AZ117" s="231">
        <f t="shared" ref="AZ117" si="226">IFERROR(AZ116/AZ$118,0)</f>
        <v>0</v>
      </c>
    </row>
    <row r="118" spans="1:65">
      <c r="A118" s="93"/>
      <c r="B118" s="460" t="s">
        <v>124</v>
      </c>
      <c r="C118" s="460"/>
      <c r="D118" s="3"/>
      <c r="E118" s="449">
        <f t="shared" ref="E118:AX118" si="227">SUM(E116,E114,E112,E110)</f>
        <v>14261001</v>
      </c>
      <c r="F118" s="449">
        <f t="shared" si="227"/>
        <v>7068421.5999999996</v>
      </c>
      <c r="G118" s="449">
        <f t="shared" si="227"/>
        <v>14637023</v>
      </c>
      <c r="H118" s="449">
        <f t="shared" si="227"/>
        <v>10993566</v>
      </c>
      <c r="I118" s="449">
        <f t="shared" si="227"/>
        <v>15146920</v>
      </c>
      <c r="J118" s="90">
        <f t="shared" si="227"/>
        <v>62106931.600000001</v>
      </c>
      <c r="K118" s="449">
        <f t="shared" si="227"/>
        <v>16572999.59</v>
      </c>
      <c r="L118" s="449">
        <f t="shared" si="227"/>
        <v>4633154.25</v>
      </c>
      <c r="M118" s="449">
        <f t="shared" si="227"/>
        <v>16442595.493000001</v>
      </c>
      <c r="N118" s="449">
        <f t="shared" si="227"/>
        <v>15566000</v>
      </c>
      <c r="O118" s="449">
        <f t="shared" si="227"/>
        <v>11101293.20875</v>
      </c>
      <c r="P118" s="449">
        <f t="shared" si="227"/>
        <v>17029199.466000002</v>
      </c>
      <c r="Q118" s="449">
        <f t="shared" si="227"/>
        <v>15362969.162999999</v>
      </c>
      <c r="R118" s="449">
        <f t="shared" si="227"/>
        <v>13685813.389999999</v>
      </c>
      <c r="S118" s="449">
        <f t="shared" si="227"/>
        <v>23955691.252</v>
      </c>
      <c r="T118" s="449">
        <f t="shared" si="227"/>
        <v>27811289.905999999</v>
      </c>
      <c r="U118" s="449">
        <f t="shared" si="227"/>
        <v>16138002.375</v>
      </c>
      <c r="V118" s="449">
        <f t="shared" si="227"/>
        <v>27829231.588</v>
      </c>
      <c r="W118" s="90">
        <f t="shared" si="227"/>
        <v>206128239.68175</v>
      </c>
      <c r="X118" s="449">
        <f t="shared" si="227"/>
        <v>19193891.563999999</v>
      </c>
      <c r="Y118" s="449">
        <f t="shared" si="227"/>
        <v>4530065.71</v>
      </c>
      <c r="Z118" s="449">
        <f t="shared" si="227"/>
        <v>12437879.159999998</v>
      </c>
      <c r="AA118" s="449">
        <f t="shared" si="227"/>
        <v>13834404.690000001</v>
      </c>
      <c r="AB118" s="449">
        <f t="shared" si="227"/>
        <v>1657455.77</v>
      </c>
      <c r="AC118" s="449">
        <f t="shared" si="227"/>
        <v>2352582.48</v>
      </c>
      <c r="AD118" s="449">
        <f t="shared" si="227"/>
        <v>12688096.710000001</v>
      </c>
      <c r="AE118" s="449">
        <f t="shared" si="227"/>
        <v>23001650.100000001</v>
      </c>
      <c r="AF118" s="449">
        <f t="shared" si="227"/>
        <v>20367434.07</v>
      </c>
      <c r="AG118" s="449">
        <f t="shared" si="227"/>
        <v>3664333.7600000002</v>
      </c>
      <c r="AH118" s="449">
        <f t="shared" si="227"/>
        <v>8998563.5999999996</v>
      </c>
      <c r="AI118" s="449">
        <f t="shared" si="227"/>
        <v>18751525.600000001</v>
      </c>
      <c r="AJ118" s="90">
        <f t="shared" si="227"/>
        <v>141477883.21399999</v>
      </c>
      <c r="AK118" s="449">
        <f t="shared" ref="AK118:AW118" si="228">SUM(AK116,AK114,AK112,AK110)</f>
        <v>9980222.2199999988</v>
      </c>
      <c r="AL118" s="449">
        <f t="shared" si="228"/>
        <v>6937098.21</v>
      </c>
      <c r="AM118" s="449">
        <f t="shared" si="228"/>
        <v>402817.88</v>
      </c>
      <c r="AN118" s="449">
        <f t="shared" si="228"/>
        <v>0</v>
      </c>
      <c r="AO118" s="449">
        <f t="shared" si="228"/>
        <v>0</v>
      </c>
      <c r="AP118" s="449">
        <f t="shared" si="228"/>
        <v>0</v>
      </c>
      <c r="AQ118" s="449">
        <f t="shared" si="228"/>
        <v>0</v>
      </c>
      <c r="AR118" s="449">
        <f t="shared" si="228"/>
        <v>0</v>
      </c>
      <c r="AS118" s="449">
        <f t="shared" si="228"/>
        <v>0</v>
      </c>
      <c r="AT118" s="449">
        <f t="shared" si="228"/>
        <v>0</v>
      </c>
      <c r="AU118" s="449">
        <f t="shared" si="228"/>
        <v>0</v>
      </c>
      <c r="AV118" s="449">
        <f t="shared" si="228"/>
        <v>0</v>
      </c>
      <c r="AW118" s="90">
        <f t="shared" si="228"/>
        <v>17320138.309999999</v>
      </c>
      <c r="AX118" s="90">
        <f t="shared" si="227"/>
        <v>427033192.80574995</v>
      </c>
      <c r="AY118" s="121"/>
      <c r="AZ118" s="449">
        <f t="shared" ref="AZ118" si="229">SUM(AZ116,AZ114,AZ112,AZ110)</f>
        <v>1659873.99</v>
      </c>
    </row>
    <row r="119" spans="1:65">
      <c r="A119" s="94"/>
      <c r="B119" s="94"/>
      <c r="C119" s="187"/>
      <c r="E119" s="232"/>
      <c r="F119" s="232"/>
      <c r="G119" s="232"/>
      <c r="H119" s="232"/>
      <c r="I119" s="232"/>
      <c r="J119" s="233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3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3"/>
      <c r="AK119" s="232"/>
      <c r="AL119" s="232"/>
      <c r="AM119" s="232"/>
      <c r="AN119" s="232"/>
      <c r="AO119" s="232"/>
      <c r="AP119" s="232"/>
      <c r="AQ119" s="232"/>
      <c r="AR119" s="232"/>
      <c r="AS119" s="232"/>
      <c r="AT119" s="232"/>
      <c r="AU119" s="232"/>
      <c r="AV119" s="232"/>
      <c r="AW119" s="233"/>
      <c r="AX119" s="233"/>
      <c r="AY119" s="97"/>
      <c r="AZ119" s="99"/>
    </row>
    <row r="120" spans="1:65" ht="15.75">
      <c r="A120" s="94"/>
      <c r="B120" s="217"/>
      <c r="C120" s="169"/>
      <c r="E120" s="187"/>
      <c r="F120" s="94"/>
      <c r="G120" s="94"/>
      <c r="H120" s="94"/>
      <c r="I120" s="94"/>
      <c r="J120" s="220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220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220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220"/>
      <c r="AX120" s="220"/>
      <c r="AY120" s="81"/>
      <c r="AZ120" s="99"/>
    </row>
    <row r="121" spans="1:65" ht="15.75">
      <c r="A121" s="94"/>
      <c r="B121" s="217" t="s">
        <v>129</v>
      </c>
      <c r="C121" s="176"/>
      <c r="E121" s="94"/>
      <c r="F121" s="94"/>
      <c r="G121" s="94"/>
      <c r="H121" s="94"/>
      <c r="I121" s="229"/>
      <c r="J121" s="220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0"/>
      <c r="X121" s="229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220"/>
      <c r="AK121" s="229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220"/>
      <c r="AX121" s="220"/>
      <c r="AY121" s="81"/>
      <c r="AZ121" s="99"/>
    </row>
    <row r="122" spans="1:65">
      <c r="A122" s="204"/>
      <c r="B122" s="483" t="s">
        <v>130</v>
      </c>
      <c r="C122" s="483"/>
      <c r="D122" s="1"/>
      <c r="E122" s="156">
        <f>E5</f>
        <v>44804</v>
      </c>
      <c r="F122" s="156">
        <f>F5</f>
        <v>44834</v>
      </c>
      <c r="G122" s="156">
        <f>G5</f>
        <v>44865</v>
      </c>
      <c r="H122" s="156">
        <f>H5</f>
        <v>44895</v>
      </c>
      <c r="I122" s="156">
        <f>I5</f>
        <v>44926</v>
      </c>
      <c r="J122" s="226" t="s">
        <v>63</v>
      </c>
      <c r="K122" s="156">
        <f t="shared" ref="K122:AJ122" si="230">K5</f>
        <v>44957</v>
      </c>
      <c r="L122" s="156">
        <f t="shared" si="230"/>
        <v>44985</v>
      </c>
      <c r="M122" s="156">
        <f t="shared" si="230"/>
        <v>45016</v>
      </c>
      <c r="N122" s="156">
        <f t="shared" si="230"/>
        <v>45046</v>
      </c>
      <c r="O122" s="156">
        <f t="shared" si="230"/>
        <v>45077</v>
      </c>
      <c r="P122" s="156">
        <f t="shared" si="230"/>
        <v>45107</v>
      </c>
      <c r="Q122" s="156">
        <f t="shared" si="230"/>
        <v>45138</v>
      </c>
      <c r="R122" s="156">
        <f t="shared" si="230"/>
        <v>45169</v>
      </c>
      <c r="S122" s="156">
        <f t="shared" si="230"/>
        <v>45199</v>
      </c>
      <c r="T122" s="156">
        <f t="shared" si="230"/>
        <v>45230</v>
      </c>
      <c r="U122" s="156">
        <f t="shared" si="230"/>
        <v>45260</v>
      </c>
      <c r="V122" s="156">
        <f t="shared" si="230"/>
        <v>45291</v>
      </c>
      <c r="W122" s="127" t="str">
        <f t="shared" si="230"/>
        <v>2023</v>
      </c>
      <c r="X122" s="156">
        <f t="shared" si="230"/>
        <v>45322</v>
      </c>
      <c r="Y122" s="156">
        <f t="shared" si="230"/>
        <v>45351</v>
      </c>
      <c r="Z122" s="156">
        <f t="shared" si="230"/>
        <v>45382</v>
      </c>
      <c r="AA122" s="156">
        <f t="shared" si="230"/>
        <v>45412</v>
      </c>
      <c r="AB122" s="156">
        <f t="shared" si="230"/>
        <v>45443</v>
      </c>
      <c r="AC122" s="156">
        <f t="shared" si="230"/>
        <v>45473</v>
      </c>
      <c r="AD122" s="156">
        <f t="shared" si="230"/>
        <v>45504</v>
      </c>
      <c r="AE122" s="156">
        <f t="shared" si="230"/>
        <v>45535</v>
      </c>
      <c r="AF122" s="156">
        <f t="shared" si="230"/>
        <v>45565</v>
      </c>
      <c r="AG122" s="156">
        <f t="shared" si="230"/>
        <v>45596</v>
      </c>
      <c r="AH122" s="156">
        <f t="shared" si="230"/>
        <v>45626</v>
      </c>
      <c r="AI122" s="156">
        <f t="shared" si="230"/>
        <v>45657</v>
      </c>
      <c r="AJ122" s="127" t="str">
        <f t="shared" si="230"/>
        <v>2024</v>
      </c>
      <c r="AK122" s="156">
        <f t="shared" ref="AK122:AW122" si="231">AK5</f>
        <v>45688</v>
      </c>
      <c r="AL122" s="156">
        <f t="shared" si="231"/>
        <v>45716</v>
      </c>
      <c r="AM122" s="156">
        <f t="shared" si="231"/>
        <v>45747</v>
      </c>
      <c r="AN122" s="156">
        <f t="shared" si="231"/>
        <v>45777</v>
      </c>
      <c r="AO122" s="156">
        <f t="shared" si="231"/>
        <v>45808</v>
      </c>
      <c r="AP122" s="156">
        <f t="shared" si="231"/>
        <v>45838</v>
      </c>
      <c r="AQ122" s="156">
        <f t="shared" si="231"/>
        <v>45869</v>
      </c>
      <c r="AR122" s="156">
        <f t="shared" si="231"/>
        <v>45900</v>
      </c>
      <c r="AS122" s="156">
        <f t="shared" si="231"/>
        <v>45930</v>
      </c>
      <c r="AT122" s="156">
        <f t="shared" si="231"/>
        <v>45961</v>
      </c>
      <c r="AU122" s="156">
        <f t="shared" si="231"/>
        <v>45991</v>
      </c>
      <c r="AV122" s="156">
        <f t="shared" si="231"/>
        <v>46022</v>
      </c>
      <c r="AW122" s="127" t="str">
        <f t="shared" si="231"/>
        <v>2025</v>
      </c>
      <c r="AX122" s="226" t="s">
        <v>45</v>
      </c>
      <c r="AY122" s="126" t="s">
        <v>15</v>
      </c>
      <c r="AZ122" s="156" t="str">
        <f>AZ5</f>
        <v>Pendente</v>
      </c>
    </row>
    <row r="123" spans="1:65" s="87" customFormat="1">
      <c r="A123" s="148" t="s">
        <v>131</v>
      </c>
      <c r="B123" s="150" t="s">
        <v>18</v>
      </c>
      <c r="C123" s="151"/>
      <c r="D123" s="95"/>
      <c r="E123" s="152">
        <f>SUMIFS('Consulta Contratos'!$Z:$Z,'Consulta Contratos'!$AM:$AM,'Performance Vendas'!E$122,'Consulta Contratos'!$AU:$AU,'Performance Vendas'!$A123,'Consulta Contratos'!$H:$H,"Ativo")</f>
        <v>6225000</v>
      </c>
      <c r="F123" s="152">
        <f>SUMIFS('Consulta Contratos'!$Z:$Z,'Consulta Contratos'!$AM:$AM,'Performance Vendas'!F$122,'Consulta Contratos'!$AU:$AU,'Performance Vendas'!$A123,'Consulta Contratos'!$H:$H,"Ativo")</f>
        <v>1040000</v>
      </c>
      <c r="G123" s="152">
        <f>SUMIFS('Consulta Contratos'!$Z:$Z,'Consulta Contratos'!$AM:$AM,'Performance Vendas'!G$122,'Consulta Contratos'!$AU:$AU,'Performance Vendas'!$A123,'Consulta Contratos'!$H:$H,"Ativo")</f>
        <v>4591000</v>
      </c>
      <c r="H123" s="152">
        <f>SUMIFS('Consulta Contratos'!$Z:$Z,'Consulta Contratos'!$AM:$AM,'Performance Vendas'!H$122,'Consulta Contratos'!$AU:$AU,'Performance Vendas'!$A123,'Consulta Contratos'!$H:$H,"Ativo")</f>
        <v>0</v>
      </c>
      <c r="I123" s="152">
        <f>SUMIFS('Consulta Contratos'!$Z:$Z,'Consulta Contratos'!$AM:$AM,'Performance Vendas'!I$122,'Consulta Contratos'!$AU:$AU,'Performance Vendas'!$A123,'Consulta Contratos'!$H:$H,"Ativo")</f>
        <v>950000</v>
      </c>
      <c r="J123" s="153">
        <f t="shared" ref="J123:J136" si="232">SUM(E123:I123)</f>
        <v>12806000</v>
      </c>
      <c r="K123" s="152">
        <f>SUMIFS('Consulta Contratos'!$Z:$Z,'Consulta Contratos'!$AM:$AM,'Performance Vendas'!K$122,'Consulta Contratos'!$AU:$AU,'Performance Vendas'!$A123,'Consulta Contratos'!$H:$H,"Ativo")</f>
        <v>10270000</v>
      </c>
      <c r="L123" s="152">
        <f>SUMIFS('Consulta Contratos'!$Z:$Z,'Consulta Contratos'!$AM:$AM,'Performance Vendas'!L$122,'Consulta Contratos'!$AU:$AU,'Performance Vendas'!$A123,'Consulta Contratos'!$H:$H,"Ativo")</f>
        <v>1056825</v>
      </c>
      <c r="M123" s="152">
        <f>SUMIFS('Consulta Contratos'!$Z:$Z,'Consulta Contratos'!$AM:$AM,'Performance Vendas'!M$122,'Consulta Contratos'!$AU:$AU,'Performance Vendas'!$A123,'Consulta Contratos'!$H:$H,"Ativo")</f>
        <v>1289000</v>
      </c>
      <c r="N123" s="152">
        <f>SUMIFS('Consulta Contratos'!$Z:$Z,'Consulta Contratos'!$AM:$AM,'Performance Vendas'!N$122,'Consulta Contratos'!$AU:$AU,'Performance Vendas'!$A123,'Consulta Contratos'!$H:$H,"Ativo")</f>
        <v>12339992</v>
      </c>
      <c r="O123" s="152">
        <f>SUMIFS('Consulta Contratos'!$Z:$Z,'Consulta Contratos'!$AM:$AM,'Performance Vendas'!O$122,'Consulta Contratos'!$AU:$AU,'Performance Vendas'!$A123,'Consulta Contratos'!$H:$H,"Ativo")</f>
        <v>2580000</v>
      </c>
      <c r="P123" s="152">
        <f>SUMIFS('Consulta Contratos'!$Z:$Z,'Consulta Contratos'!$AM:$AM,'Performance Vendas'!P$122,'Consulta Contratos'!$AU:$AU,'Performance Vendas'!$A123,'Consulta Contratos'!$H:$H,"Ativo")</f>
        <v>10290776</v>
      </c>
      <c r="Q123" s="152">
        <f>SUMIFS('Consulta Contratos'!$Z:$Z,'Consulta Contratos'!$AM:$AM,'Performance Vendas'!Q$122,'Consulta Contratos'!$AU:$AU,'Performance Vendas'!$A123,'Consulta Contratos'!$H:$H,"Ativo")</f>
        <v>8210000</v>
      </c>
      <c r="R123" s="152">
        <f>SUMIFS('Consulta Contratos'!$Z:$Z,'Consulta Contratos'!$AM:$AM,'Performance Vendas'!R$122,'Consulta Contratos'!$AU:$AU,'Performance Vendas'!$A123,'Consulta Contratos'!$H:$H,"Ativo")</f>
        <v>1404490</v>
      </c>
      <c r="S123" s="152">
        <f>SUMIFS('Consulta Contratos'!$Z:$Z,'Consulta Contratos'!$AM:$AM,'Performance Vendas'!S$122,'Consulta Contratos'!$AU:$AU,'Performance Vendas'!$A123,'Consulta Contratos'!$H:$H,"Ativo")</f>
        <v>13856202.99</v>
      </c>
      <c r="T123" s="152">
        <f>SUMIFS('Consulta Contratos'!$Z:$Z,'Consulta Contratos'!$AM:$AM,'Performance Vendas'!T$122,'Consulta Contratos'!$AU:$AU,'Performance Vendas'!$A123,'Consulta Contratos'!$H:$H,"Ativo")</f>
        <v>6165331.4900000002</v>
      </c>
      <c r="U123" s="152">
        <f>SUMIFS('Consulta Contratos'!$Z:$Z,'Consulta Contratos'!$AM:$AM,'Performance Vendas'!U$122,'Consulta Contratos'!$AU:$AU,'Performance Vendas'!$A123,'Consulta Contratos'!$H:$H,"Ativo")</f>
        <v>4376000</v>
      </c>
      <c r="V123" s="152">
        <f>SUMIFS('Consulta Contratos'!$Z:$Z,'Consulta Contratos'!$AM:$AM,'Performance Vendas'!V$122,'Consulta Contratos'!$AU:$AU,'Performance Vendas'!$A123,'Consulta Contratos'!$H:$H,"Ativo")</f>
        <v>3820000</v>
      </c>
      <c r="W123" s="153">
        <f t="shared" ref="W123:W137" si="233">SUM(K123:V123)</f>
        <v>75658617.480000004</v>
      </c>
      <c r="X123" s="152">
        <f>SUMIFS('Consulta Contratos'!$Z:$Z,'Consulta Contratos'!$AM:$AM,'Performance Vendas'!X$122,'Consulta Contratos'!$AU:$AU,'Performance Vendas'!$A123,'Consulta Contratos'!$H:$H,"Ativo")</f>
        <v>2905000</v>
      </c>
      <c r="Y123" s="154">
        <f>SUMIFS('Consulta Contratos'!$Z:$Z,'Consulta Contratos'!$AM:$AM,'Performance Vendas'!Y$122,'Consulta Contratos'!$AU:$AU,'Performance Vendas'!$A123,'Consulta Contratos'!$H:$H,"Ativo")</f>
        <v>0</v>
      </c>
      <c r="Z123" s="154">
        <f>SUMIFS('Consulta Contratos'!$Z:$Z,'Consulta Contratos'!$AM:$AM,'Performance Vendas'!Z$122,'Consulta Contratos'!$AU:$AU,'Performance Vendas'!$A123,'Consulta Contratos'!$H:$H,"Ativo")</f>
        <v>9150000</v>
      </c>
      <c r="AA123" s="154">
        <f>SUMIFS('Consulta Contratos'!$Z:$Z,'Consulta Contratos'!$AM:$AM,'Performance Vendas'!AA$122,'Consulta Contratos'!$AU:$AU,'Performance Vendas'!$A123,'Consulta Contratos'!$H:$H,"Ativo")</f>
        <v>0</v>
      </c>
      <c r="AB123" s="154">
        <f>SUMIFS('Consulta Contratos'!$Z:$Z,'Consulta Contratos'!$AM:$AM,'Performance Vendas'!AB$122,'Consulta Contratos'!$AU:$AU,'Performance Vendas'!$A123,'Consulta Contratos'!$H:$H,"Ativo")</f>
        <v>0</v>
      </c>
      <c r="AC123" s="154">
        <f>SUMIFS('Consulta Contratos'!$Z:$Z,'Consulta Contratos'!$AM:$AM,'Performance Vendas'!AC$122,'Consulta Contratos'!$AU:$AU,'Performance Vendas'!$A123,'Consulta Contratos'!$H:$H,"Ativo")</f>
        <v>0</v>
      </c>
      <c r="AD123" s="154">
        <f>SUMIFS('Consulta Contratos'!$Z:$Z,'Consulta Contratos'!$AM:$AM,'Performance Vendas'!AD$122,'Consulta Contratos'!$AU:$AU,'Performance Vendas'!$A123,'Consulta Contratos'!$H:$H,"Ativo")</f>
        <v>0</v>
      </c>
      <c r="AE123" s="154">
        <f>SUMIFS('Consulta Contratos'!$Z:$Z,'Consulta Contratos'!$AM:$AM,'Performance Vendas'!AE$122,'Consulta Contratos'!$AU:$AU,'Performance Vendas'!$A123,'Consulta Contratos'!$H:$H,"Ativo")</f>
        <v>0</v>
      </c>
      <c r="AF123" s="154">
        <f>SUMIFS('Consulta Contratos'!$Z:$Z,'Consulta Contratos'!$AM:$AM,'Performance Vendas'!AF$122,'Consulta Contratos'!$AU:$AU,'Performance Vendas'!$A123,'Consulta Contratos'!$H:$H,"Ativo")</f>
        <v>0</v>
      </c>
      <c r="AG123" s="154">
        <f>SUMIFS('Consulta Contratos'!$Z:$Z,'Consulta Contratos'!$AM:$AM,'Performance Vendas'!AG$122,'Consulta Contratos'!$AU:$AU,'Performance Vendas'!$A123,'Consulta Contratos'!$H:$H,"Ativo")</f>
        <v>0</v>
      </c>
      <c r="AH123" s="154">
        <f>SUMIFS('Consulta Contratos'!$Z:$Z,'Consulta Contratos'!$AM:$AM,'Performance Vendas'!AH$122,'Consulta Contratos'!$AU:$AU,'Performance Vendas'!$A123,'Consulta Contratos'!$H:$H,"Ativo")</f>
        <v>0</v>
      </c>
      <c r="AI123" s="154">
        <f>SUMIFS('Consulta Contratos'!$Z:$Z,'Consulta Contratos'!$AM:$AM,'Performance Vendas'!AI$122,'Consulta Contratos'!$AU:$AU,'Performance Vendas'!$A123,'Consulta Contratos'!$H:$H,"Ativo")</f>
        <v>6105000</v>
      </c>
      <c r="AJ123" s="153">
        <f t="shared" ref="AJ123:AJ137" si="234">SUM(X123:AI123)</f>
        <v>18160000</v>
      </c>
      <c r="AK123" s="152">
        <f>SUMIFS('Consulta Contratos'!$Z:$Z,'Consulta Contratos'!$AM:$AM,'Performance Vendas'!AK$122,'Consulta Contratos'!$AU:$AU,'Performance Vendas'!$A123,'Consulta Contratos'!$H:$H,"Ativo")</f>
        <v>0</v>
      </c>
      <c r="AL123" s="154">
        <f>SUMIFS('Consulta Contratos'!$Z:$Z,'Consulta Contratos'!$AM:$AM,'Performance Vendas'!AL$122,'Consulta Contratos'!$AU:$AU,'Performance Vendas'!$A123,'Consulta Contratos'!$H:$H,"Ativo")</f>
        <v>0</v>
      </c>
      <c r="AM123" s="154">
        <f>SUMIFS('Consulta Contratos'!$Z:$Z,'Consulta Contratos'!$AM:$AM,'Performance Vendas'!AM$122,'Consulta Contratos'!$AU:$AU,'Performance Vendas'!$A123,'Consulta Contratos'!$H:$H,"Ativo")</f>
        <v>0</v>
      </c>
      <c r="AN123" s="154">
        <f>SUMIFS('Consulta Contratos'!$Z:$Z,'Consulta Contratos'!$AM:$AM,'Performance Vendas'!AN$122,'Consulta Contratos'!$AU:$AU,'Performance Vendas'!$A123,'Consulta Contratos'!$H:$H,"Ativo")</f>
        <v>0</v>
      </c>
      <c r="AO123" s="154">
        <f>SUMIFS('Consulta Contratos'!$Z:$Z,'Consulta Contratos'!$AM:$AM,'Performance Vendas'!AO$122,'Consulta Contratos'!$AU:$AU,'Performance Vendas'!$A123,'Consulta Contratos'!$H:$H,"Ativo")</f>
        <v>0</v>
      </c>
      <c r="AP123" s="154">
        <f>SUMIFS('Consulta Contratos'!$Z:$Z,'Consulta Contratos'!$AM:$AM,'Performance Vendas'!AP$122,'Consulta Contratos'!$AU:$AU,'Performance Vendas'!$A123,'Consulta Contratos'!$H:$H,"Ativo")</f>
        <v>0</v>
      </c>
      <c r="AQ123" s="154">
        <f>SUMIFS('Consulta Contratos'!$Z:$Z,'Consulta Contratos'!$AM:$AM,'Performance Vendas'!AQ$122,'Consulta Contratos'!$AU:$AU,'Performance Vendas'!$A123,'Consulta Contratos'!$H:$H,"Ativo")</f>
        <v>0</v>
      </c>
      <c r="AR123" s="154">
        <f>SUMIFS('Consulta Contratos'!$Z:$Z,'Consulta Contratos'!$AM:$AM,'Performance Vendas'!AR$122,'Consulta Contratos'!$AU:$AU,'Performance Vendas'!$A123,'Consulta Contratos'!$H:$H,"Ativo")</f>
        <v>0</v>
      </c>
      <c r="AS123" s="154">
        <f>SUMIFS('Consulta Contratos'!$Z:$Z,'Consulta Contratos'!$AM:$AM,'Performance Vendas'!AS$122,'Consulta Contratos'!$AU:$AU,'Performance Vendas'!$A123,'Consulta Contratos'!$H:$H,"Ativo")</f>
        <v>0</v>
      </c>
      <c r="AT123" s="154">
        <f>SUMIFS('Consulta Contratos'!$Z:$Z,'Consulta Contratos'!$AM:$AM,'Performance Vendas'!AT$122,'Consulta Contratos'!$AU:$AU,'Performance Vendas'!$A123,'Consulta Contratos'!$H:$H,"Ativo")</f>
        <v>0</v>
      </c>
      <c r="AU123" s="154">
        <f>SUMIFS('Consulta Contratos'!$Z:$Z,'Consulta Contratos'!$AM:$AM,'Performance Vendas'!AU$122,'Consulta Contratos'!$AU:$AU,'Performance Vendas'!$A123,'Consulta Contratos'!$H:$H,"Ativo")</f>
        <v>0</v>
      </c>
      <c r="AV123" s="154">
        <f>SUMIFS('Consulta Contratos'!$Z:$Z,'Consulta Contratos'!$AM:$AM,'Performance Vendas'!AV$122,'Consulta Contratos'!$AU:$AU,'Performance Vendas'!$A123,'Consulta Contratos'!$H:$H,"Ativo")</f>
        <v>0</v>
      </c>
      <c r="AW123" s="153">
        <f t="shared" ref="AW123:AW137" si="235">SUM(AK123:AV123)</f>
        <v>0</v>
      </c>
      <c r="AX123" s="153">
        <f>AJ123+W123+J123+AW123</f>
        <v>106624617.48</v>
      </c>
      <c r="AY123" s="149">
        <f>AX123/AX137</f>
        <v>0.27836060550159103</v>
      </c>
      <c r="AZ123" s="154">
        <f>SUMIFS('Consulta Contratos'!$Z:$Z,'Consulta Contratos'!$AM:$AM,'Performance Vendas'!AZ$122,'Consulta Contratos'!$AU:$AU,'Performance Vendas'!$A123,'Consulta Contratos'!$H:$H,"Ativo")</f>
        <v>0</v>
      </c>
    </row>
    <row r="124" spans="1:65" s="87" customFormat="1">
      <c r="A124" s="148" t="s">
        <v>6</v>
      </c>
      <c r="B124" s="194" t="s">
        <v>132</v>
      </c>
      <c r="C124" s="195"/>
      <c r="D124" s="196"/>
      <c r="E124" s="197">
        <f>SUMIFS('Consulta Contratos'!$Z:$Z,'Consulta Contratos'!$AM:$AM,'Performance Vendas'!E$122,'Consulta Contratos'!$AU:$AU,'Performance Vendas'!$A$123,'Consulta Contratos'!$H:$H,"Ativo",'Consulta Contratos'!$J:$J,$A124)</f>
        <v>5168000</v>
      </c>
      <c r="F124" s="197">
        <f>SUMIFS('Consulta Contratos'!$Z:$Z,'Consulta Contratos'!$AM:$AM,'Performance Vendas'!F$122,'Consulta Contratos'!$AU:$AU,'Performance Vendas'!$A$123,'Consulta Contratos'!$H:$H,"Ativo",'Consulta Contratos'!$J:$J,$A124)</f>
        <v>0</v>
      </c>
      <c r="G124" s="197">
        <f>SUMIFS('Consulta Contratos'!$Z:$Z,'Consulta Contratos'!$AM:$AM,'Performance Vendas'!G$122,'Consulta Contratos'!$AU:$AU,'Performance Vendas'!$A$123,'Consulta Contratos'!$H:$H,"Ativo",'Consulta Contratos'!$J:$J,$A124)</f>
        <v>4591000</v>
      </c>
      <c r="H124" s="197">
        <f>SUMIFS('Consulta Contratos'!$Z:$Z,'Consulta Contratos'!$AM:$AM,'Performance Vendas'!H$122,'Consulta Contratos'!$AU:$AU,'Performance Vendas'!$A$123,'Consulta Contratos'!$H:$H,"Ativo",'Consulta Contratos'!$J:$J,$A124)</f>
        <v>0</v>
      </c>
      <c r="I124" s="197">
        <f>SUMIFS('Consulta Contratos'!$Z:$Z,'Consulta Contratos'!$AM:$AM,'Performance Vendas'!I$122,'Consulta Contratos'!$AU:$AU,'Performance Vendas'!$A$123,'Consulta Contratos'!$H:$H,"Ativo",'Consulta Contratos'!$J:$J,$A124)</f>
        <v>0</v>
      </c>
      <c r="J124" s="198">
        <f t="shared" si="232"/>
        <v>9759000</v>
      </c>
      <c r="K124" s="197">
        <f>SUMIFS('Consulta Contratos'!$Z:$Z,'Consulta Contratos'!$AM:$AM,'Performance Vendas'!K$122,'Consulta Contratos'!$AU:$AU,'Performance Vendas'!$A$123,'Consulta Contratos'!$H:$H,"Ativo",'Consulta Contratos'!$J:$J,$A124)</f>
        <v>4900030</v>
      </c>
      <c r="L124" s="197">
        <f>SUMIFS('Consulta Contratos'!$Z:$Z,'Consulta Contratos'!$AM:$AM,'Performance Vendas'!L$122,'Consulta Contratos'!$AU:$AU,'Performance Vendas'!$A$123,'Consulta Contratos'!$H:$H,"Ativo",'Consulta Contratos'!$J:$J,$A124)</f>
        <v>0</v>
      </c>
      <c r="M124" s="197">
        <f>SUMIFS('Consulta Contratos'!$Z:$Z,'Consulta Contratos'!$AM:$AM,'Performance Vendas'!M$122,'Consulta Contratos'!$AU:$AU,'Performance Vendas'!$A$123,'Consulta Contratos'!$H:$H,"Ativo",'Consulta Contratos'!$J:$J,$A124)</f>
        <v>0</v>
      </c>
      <c r="N124" s="197">
        <f>SUMIFS('Consulta Contratos'!$Z:$Z,'Consulta Contratos'!$AM:$AM,'Performance Vendas'!N$122,'Consulta Contratos'!$AU:$AU,'Performance Vendas'!$A$123,'Consulta Contratos'!$H:$H,"Ativo",'Consulta Contratos'!$J:$J,$A124)</f>
        <v>12339992</v>
      </c>
      <c r="O124" s="197">
        <f>SUMIFS('Consulta Contratos'!$Z:$Z,'Consulta Contratos'!$AM:$AM,'Performance Vendas'!O$122,'Consulta Contratos'!$AU:$AU,'Performance Vendas'!$A$123,'Consulta Contratos'!$H:$H,"Ativo",'Consulta Contratos'!$J:$J,$A124)</f>
        <v>0</v>
      </c>
      <c r="P124" s="197">
        <f>SUMIFS('Consulta Contratos'!$Z:$Z,'Consulta Contratos'!$AM:$AM,'Performance Vendas'!P$122,'Consulta Contratos'!$AU:$AU,'Performance Vendas'!$A$123,'Consulta Contratos'!$H:$H,"Ativo",'Consulta Contratos'!$J:$J,$A124)</f>
        <v>4169760</v>
      </c>
      <c r="Q124" s="197">
        <f>SUMIFS('Consulta Contratos'!$Z:$Z,'Consulta Contratos'!$AM:$AM,'Performance Vendas'!Q$122,'Consulta Contratos'!$AU:$AU,'Performance Vendas'!$A$123,'Consulta Contratos'!$H:$H,"Ativo",'Consulta Contratos'!$J:$J,$A124)</f>
        <v>7300000</v>
      </c>
      <c r="R124" s="197">
        <f>SUMIFS('Consulta Contratos'!$Z:$Z,'Consulta Contratos'!$AM:$AM,'Performance Vendas'!R$122,'Consulta Contratos'!$AU:$AU,'Performance Vendas'!$A$123,'Consulta Contratos'!$H:$H,"Ativo",'Consulta Contratos'!$J:$J,$A124)</f>
        <v>0</v>
      </c>
      <c r="S124" s="197">
        <f>SUMIFS('Consulta Contratos'!$Z:$Z,'Consulta Contratos'!$AM:$AM,'Performance Vendas'!S$122,'Consulta Contratos'!$AU:$AU,'Performance Vendas'!$A$123,'Consulta Contratos'!$H:$H,"Ativo",'Consulta Contratos'!$J:$J,$A124)</f>
        <v>11700000</v>
      </c>
      <c r="T124" s="197">
        <f>SUMIFS('Consulta Contratos'!$Z:$Z,'Consulta Contratos'!$AM:$AM,'Performance Vendas'!T$122,'Consulta Contratos'!$AU:$AU,'Performance Vendas'!$A$123,'Consulta Contratos'!$H:$H,"Ativo",'Consulta Contratos'!$J:$J,$A124)</f>
        <v>0</v>
      </c>
      <c r="U124" s="197">
        <f>SUMIFS('Consulta Contratos'!$Z:$Z,'Consulta Contratos'!$AM:$AM,'Performance Vendas'!U$122,'Consulta Contratos'!$AU:$AU,'Performance Vendas'!$A$123,'Consulta Contratos'!$H:$H,"Ativo",'Consulta Contratos'!$J:$J,$A124)</f>
        <v>0</v>
      </c>
      <c r="V124" s="197">
        <f>SUMIFS('Consulta Contratos'!$Z:$Z,'Consulta Contratos'!$AM:$AM,'Performance Vendas'!V$122,'Consulta Contratos'!$AU:$AU,'Performance Vendas'!$A$123,'Consulta Contratos'!$H:$H,"Ativo",'Consulta Contratos'!$J:$J,$A124)</f>
        <v>3820000</v>
      </c>
      <c r="W124" s="198">
        <f t="shared" si="233"/>
        <v>44229782</v>
      </c>
      <c r="X124" s="197">
        <f>SUMIFS('Consulta Contratos'!$Z:$Z,'Consulta Contratos'!$AM:$AM,'Performance Vendas'!X$122,'Consulta Contratos'!$AU:$AU,'Performance Vendas'!$A$123,'Consulta Contratos'!$H:$H,"Ativo",'Consulta Contratos'!$J:$J,$A124)</f>
        <v>0</v>
      </c>
      <c r="Y124" s="197">
        <f>SUMIFS('Consulta Contratos'!$Z:$Z,'Consulta Contratos'!$AM:$AM,'Performance Vendas'!Y$122,'Consulta Contratos'!$AU:$AU,'Performance Vendas'!$A$123,'Consulta Contratos'!$H:$H,"Ativo",'Consulta Contratos'!$J:$J,$A124)</f>
        <v>0</v>
      </c>
      <c r="Z124" s="197">
        <f>SUMIFS('Consulta Contratos'!$Z:$Z,'Consulta Contratos'!$AM:$AM,'Performance Vendas'!Z$122,'Consulta Contratos'!$AU:$AU,'Performance Vendas'!$A$123,'Consulta Contratos'!$H:$H,"Ativo",'Consulta Contratos'!$J:$J,$A124)</f>
        <v>7450000</v>
      </c>
      <c r="AA124" s="197">
        <f>SUMIFS('Consulta Contratos'!$Z:$Z,'Consulta Contratos'!$AM:$AM,'Performance Vendas'!AA$122,'Consulta Contratos'!$AU:$AU,'Performance Vendas'!$A$123,'Consulta Contratos'!$H:$H,"Ativo",'Consulta Contratos'!$J:$J,$A124)</f>
        <v>0</v>
      </c>
      <c r="AB124" s="197">
        <f>SUMIFS('Consulta Contratos'!$Z:$Z,'Consulta Contratos'!$AM:$AM,'Performance Vendas'!AB$122,'Consulta Contratos'!$AU:$AU,'Performance Vendas'!$A$123,'Consulta Contratos'!$H:$H,"Ativo",'Consulta Contratos'!$J:$J,$A124)</f>
        <v>0</v>
      </c>
      <c r="AC124" s="197">
        <f>SUMIFS('Consulta Contratos'!$Z:$Z,'Consulta Contratos'!$AM:$AM,'Performance Vendas'!AC$122,'Consulta Contratos'!$AU:$AU,'Performance Vendas'!$A$123,'Consulta Contratos'!$H:$H,"Ativo",'Consulta Contratos'!$J:$J,$A124)</f>
        <v>0</v>
      </c>
      <c r="AD124" s="197">
        <f>SUMIFS('Consulta Contratos'!$Z:$Z,'Consulta Contratos'!$AM:$AM,'Performance Vendas'!AD$122,'Consulta Contratos'!$AU:$AU,'Performance Vendas'!$A$123,'Consulta Contratos'!$H:$H,"Ativo",'Consulta Contratos'!$J:$J,$A124)</f>
        <v>0</v>
      </c>
      <c r="AE124" s="197">
        <f>SUMIFS('Consulta Contratos'!$Z:$Z,'Consulta Contratos'!$AM:$AM,'Performance Vendas'!AE$122,'Consulta Contratos'!$AU:$AU,'Performance Vendas'!$A$123,'Consulta Contratos'!$H:$H,"Ativo",'Consulta Contratos'!$J:$J,$A124)</f>
        <v>0</v>
      </c>
      <c r="AF124" s="197">
        <f>SUMIFS('Consulta Contratos'!$Z:$Z,'Consulta Contratos'!$AM:$AM,'Performance Vendas'!AF$122,'Consulta Contratos'!$AU:$AU,'Performance Vendas'!$A$123,'Consulta Contratos'!$H:$H,"Ativo",'Consulta Contratos'!$J:$J,$A124)</f>
        <v>0</v>
      </c>
      <c r="AG124" s="197">
        <f>SUMIFS('Consulta Contratos'!$Z:$Z,'Consulta Contratos'!$AM:$AM,'Performance Vendas'!AG$122,'Consulta Contratos'!$AU:$AU,'Performance Vendas'!$A$123,'Consulta Contratos'!$H:$H,"Ativo",'Consulta Contratos'!$J:$J,$A124)</f>
        <v>0</v>
      </c>
      <c r="AH124" s="197">
        <f>SUMIFS('Consulta Contratos'!$Z:$Z,'Consulta Contratos'!$AM:$AM,'Performance Vendas'!AH$122,'Consulta Contratos'!$AU:$AU,'Performance Vendas'!$A$123,'Consulta Contratos'!$H:$H,"Ativo",'Consulta Contratos'!$J:$J,$A124)</f>
        <v>0</v>
      </c>
      <c r="AI124" s="197">
        <f>SUMIFS('Consulta Contratos'!$Z:$Z,'Consulta Contratos'!$AM:$AM,'Performance Vendas'!AI$122,'Consulta Contratos'!$AU:$AU,'Performance Vendas'!$A$123,'Consulta Contratos'!$H:$H,"Ativo",'Consulta Contratos'!$J:$J,$A124)</f>
        <v>6105000</v>
      </c>
      <c r="AJ124" s="198">
        <f t="shared" si="234"/>
        <v>13555000</v>
      </c>
      <c r="AK124" s="197">
        <f>SUMIFS('Consulta Contratos'!$Z:$Z,'Consulta Contratos'!$AM:$AM,'Performance Vendas'!AK$122,'Consulta Contratos'!$AU:$AU,'Performance Vendas'!$A$123,'Consulta Contratos'!$H:$H,"Ativo",'Consulta Contratos'!$J:$J,$A124)</f>
        <v>0</v>
      </c>
      <c r="AL124" s="197">
        <f>SUMIFS('Consulta Contratos'!$Z:$Z,'Consulta Contratos'!$AM:$AM,'Performance Vendas'!AL$122,'Consulta Contratos'!$AU:$AU,'Performance Vendas'!$A$123,'Consulta Contratos'!$H:$H,"Ativo",'Consulta Contratos'!$J:$J,$A124)</f>
        <v>0</v>
      </c>
      <c r="AM124" s="197">
        <f>SUMIFS('Consulta Contratos'!$Z:$Z,'Consulta Contratos'!$AM:$AM,'Performance Vendas'!AM$122,'Consulta Contratos'!$AU:$AU,'Performance Vendas'!$A$123,'Consulta Contratos'!$H:$H,"Ativo",'Consulta Contratos'!$J:$J,$A124)</f>
        <v>0</v>
      </c>
      <c r="AN124" s="197">
        <f>SUMIFS('Consulta Contratos'!$Z:$Z,'Consulta Contratos'!$AM:$AM,'Performance Vendas'!AN$122,'Consulta Contratos'!$AU:$AU,'Performance Vendas'!$A$123,'Consulta Contratos'!$H:$H,"Ativo",'Consulta Contratos'!$J:$J,$A124)</f>
        <v>0</v>
      </c>
      <c r="AO124" s="197">
        <f>SUMIFS('Consulta Contratos'!$Z:$Z,'Consulta Contratos'!$AM:$AM,'Performance Vendas'!AO$122,'Consulta Contratos'!$AU:$AU,'Performance Vendas'!$A$123,'Consulta Contratos'!$H:$H,"Ativo",'Consulta Contratos'!$J:$J,$A124)</f>
        <v>0</v>
      </c>
      <c r="AP124" s="197">
        <f>SUMIFS('Consulta Contratos'!$Z:$Z,'Consulta Contratos'!$AM:$AM,'Performance Vendas'!AP$122,'Consulta Contratos'!$AU:$AU,'Performance Vendas'!$A$123,'Consulta Contratos'!$H:$H,"Ativo",'Consulta Contratos'!$J:$J,$A124)</f>
        <v>0</v>
      </c>
      <c r="AQ124" s="197">
        <f>SUMIFS('Consulta Contratos'!$Z:$Z,'Consulta Contratos'!$AM:$AM,'Performance Vendas'!AQ$122,'Consulta Contratos'!$AU:$AU,'Performance Vendas'!$A$123,'Consulta Contratos'!$H:$H,"Ativo",'Consulta Contratos'!$J:$J,$A124)</f>
        <v>0</v>
      </c>
      <c r="AR124" s="197">
        <f>SUMIFS('Consulta Contratos'!$Z:$Z,'Consulta Contratos'!$AM:$AM,'Performance Vendas'!AR$122,'Consulta Contratos'!$AU:$AU,'Performance Vendas'!$A$123,'Consulta Contratos'!$H:$H,"Ativo",'Consulta Contratos'!$J:$J,$A124)</f>
        <v>0</v>
      </c>
      <c r="AS124" s="197">
        <f>SUMIFS('Consulta Contratos'!$Z:$Z,'Consulta Contratos'!$AM:$AM,'Performance Vendas'!AS$122,'Consulta Contratos'!$AU:$AU,'Performance Vendas'!$A$123,'Consulta Contratos'!$H:$H,"Ativo",'Consulta Contratos'!$J:$J,$A124)</f>
        <v>0</v>
      </c>
      <c r="AT124" s="197">
        <f>SUMIFS('Consulta Contratos'!$Z:$Z,'Consulta Contratos'!$AM:$AM,'Performance Vendas'!AT$122,'Consulta Contratos'!$AU:$AU,'Performance Vendas'!$A$123,'Consulta Contratos'!$H:$H,"Ativo",'Consulta Contratos'!$J:$J,$A124)</f>
        <v>0</v>
      </c>
      <c r="AU124" s="197">
        <f>SUMIFS('Consulta Contratos'!$Z:$Z,'Consulta Contratos'!$AM:$AM,'Performance Vendas'!AU$122,'Consulta Contratos'!$AU:$AU,'Performance Vendas'!$A$123,'Consulta Contratos'!$H:$H,"Ativo",'Consulta Contratos'!$J:$J,$A124)</f>
        <v>0</v>
      </c>
      <c r="AV124" s="197">
        <f>SUMIFS('Consulta Contratos'!$Z:$Z,'Consulta Contratos'!$AM:$AM,'Performance Vendas'!AV$122,'Consulta Contratos'!$AU:$AU,'Performance Vendas'!$A$123,'Consulta Contratos'!$H:$H,"Ativo",'Consulta Contratos'!$J:$J,$A124)</f>
        <v>0</v>
      </c>
      <c r="AW124" s="198">
        <f t="shared" si="235"/>
        <v>0</v>
      </c>
      <c r="AX124" s="198">
        <f>AJ124+W124+J124+AW124</f>
        <v>67543782</v>
      </c>
      <c r="AY124" s="199">
        <f t="shared" ref="AY124:AY125" si="236">AX124/AX$123</f>
        <v>0.63347267822714071</v>
      </c>
      <c r="AZ124" s="197">
        <f>SUMIFS('Consulta Contratos'!$Z:$Z,'Consulta Contratos'!$AM:$AM,'Performance Vendas'!AZ$122,'Consulta Contratos'!$AU:$AU,'Performance Vendas'!$A$123,'Consulta Contratos'!$H:$H,"Ativo",'Consulta Contratos'!$J:$J,$A124)</f>
        <v>0</v>
      </c>
    </row>
    <row r="125" spans="1:65" s="87" customFormat="1">
      <c r="A125" s="148">
        <v>13</v>
      </c>
      <c r="B125" s="200" t="s">
        <v>133</v>
      </c>
      <c r="C125" s="201"/>
      <c r="D125" s="196"/>
      <c r="E125" s="202">
        <f>SUMIFS('Consulta Contratos'!$Z:$Z,'Consulta Contratos'!$AM:$AM,'Performance Vendas'!E$122,'Consulta Contratos'!$AU:$AU,'Performance Vendas'!$A$123,'Consulta Contratos'!$H:$H,"Ativo",'Consulta Contratos'!$J:$J,$A125)</f>
        <v>1057000</v>
      </c>
      <c r="F125" s="202">
        <f>SUMIFS('Consulta Contratos'!$Z:$Z,'Consulta Contratos'!$AM:$AM,'Performance Vendas'!F$122,'Consulta Contratos'!$AU:$AU,'Performance Vendas'!$A$123,'Consulta Contratos'!$H:$H,"Ativo",'Consulta Contratos'!$J:$J,$A125)</f>
        <v>1040000</v>
      </c>
      <c r="G125" s="202">
        <f>SUMIFS('Consulta Contratos'!$Z:$Z,'Consulta Contratos'!$AM:$AM,'Performance Vendas'!G$122,'Consulta Contratos'!$AU:$AU,'Performance Vendas'!$A$123,'Consulta Contratos'!$H:$H,"Ativo",'Consulta Contratos'!$J:$J,$A125)</f>
        <v>0</v>
      </c>
      <c r="H125" s="202">
        <f>SUMIFS('Consulta Contratos'!$Z:$Z,'Consulta Contratos'!$AM:$AM,'Performance Vendas'!H$122,'Consulta Contratos'!$AU:$AU,'Performance Vendas'!$A$123,'Consulta Contratos'!$H:$H,"Ativo",'Consulta Contratos'!$J:$J,$A125)</f>
        <v>0</v>
      </c>
      <c r="I125" s="202">
        <f>SUMIFS('Consulta Contratos'!$Z:$Z,'Consulta Contratos'!$AM:$AM,'Performance Vendas'!I$122,'Consulta Contratos'!$AU:$AU,'Performance Vendas'!$A$123,'Consulta Contratos'!$H:$H,"Ativo",'Consulta Contratos'!$J:$J,$A125)</f>
        <v>950000</v>
      </c>
      <c r="J125" s="203">
        <f t="shared" si="232"/>
        <v>3047000</v>
      </c>
      <c r="K125" s="202">
        <f>SUMIFS('Consulta Contratos'!$Z:$Z,'Consulta Contratos'!$AM:$AM,'Performance Vendas'!K$122,'Consulta Contratos'!$AU:$AU,'Performance Vendas'!$A$123,'Consulta Contratos'!$H:$H,"Ativo",'Consulta Contratos'!$J:$J,$A125)</f>
        <v>5369970</v>
      </c>
      <c r="L125" s="202">
        <f>SUMIFS('Consulta Contratos'!$Z:$Z,'Consulta Contratos'!$AM:$AM,'Performance Vendas'!L$122,'Consulta Contratos'!$AU:$AU,'Performance Vendas'!$A$123,'Consulta Contratos'!$H:$H,"Ativo",'Consulta Contratos'!$J:$J,$A125)</f>
        <v>1056825</v>
      </c>
      <c r="M125" s="202">
        <f>SUMIFS('Consulta Contratos'!$Z:$Z,'Consulta Contratos'!$AM:$AM,'Performance Vendas'!M$122,'Consulta Contratos'!$AU:$AU,'Performance Vendas'!$A$123,'Consulta Contratos'!$H:$H,"Ativo",'Consulta Contratos'!$J:$J,$A125)</f>
        <v>1289000</v>
      </c>
      <c r="N125" s="202">
        <f>SUMIFS('Consulta Contratos'!$Z:$Z,'Consulta Contratos'!$AM:$AM,'Performance Vendas'!N$122,'Consulta Contratos'!$AU:$AU,'Performance Vendas'!$A$123,'Consulta Contratos'!$H:$H,"Ativo",'Consulta Contratos'!$J:$J,$A125)</f>
        <v>0</v>
      </c>
      <c r="O125" s="202">
        <f>SUMIFS('Consulta Contratos'!$Z:$Z,'Consulta Contratos'!$AM:$AM,'Performance Vendas'!O$122,'Consulta Contratos'!$AU:$AU,'Performance Vendas'!$A$123,'Consulta Contratos'!$H:$H,"Ativo",'Consulta Contratos'!$J:$J,$A125)</f>
        <v>2580000</v>
      </c>
      <c r="P125" s="202">
        <f>SUMIFS('Consulta Contratos'!$Z:$Z,'Consulta Contratos'!$AM:$AM,'Performance Vendas'!P$122,'Consulta Contratos'!$AU:$AU,'Performance Vendas'!$A$123,'Consulta Contratos'!$H:$H,"Ativo",'Consulta Contratos'!$J:$J,$A125)</f>
        <v>6121016</v>
      </c>
      <c r="Q125" s="202">
        <f>SUMIFS('Consulta Contratos'!$Z:$Z,'Consulta Contratos'!$AM:$AM,'Performance Vendas'!Q$122,'Consulta Contratos'!$AU:$AU,'Performance Vendas'!$A$123,'Consulta Contratos'!$H:$H,"Ativo",'Consulta Contratos'!$J:$J,$A125)</f>
        <v>910000</v>
      </c>
      <c r="R125" s="202">
        <f>SUMIFS('Consulta Contratos'!$Z:$Z,'Consulta Contratos'!$AM:$AM,'Performance Vendas'!R$122,'Consulta Contratos'!$AU:$AU,'Performance Vendas'!$A$123,'Consulta Contratos'!$H:$H,"Ativo",'Consulta Contratos'!$J:$J,$A125)</f>
        <v>1404490</v>
      </c>
      <c r="S125" s="202">
        <f>SUMIFS('Consulta Contratos'!$Z:$Z,'Consulta Contratos'!$AM:$AM,'Performance Vendas'!S$122,'Consulta Contratos'!$AU:$AU,'Performance Vendas'!$A$123,'Consulta Contratos'!$H:$H,"Ativo",'Consulta Contratos'!$J:$J,$A125)</f>
        <v>2156202.9900000002</v>
      </c>
      <c r="T125" s="202">
        <f>SUMIFS('Consulta Contratos'!$Z:$Z,'Consulta Contratos'!$AM:$AM,'Performance Vendas'!T$122,'Consulta Contratos'!$AU:$AU,'Performance Vendas'!$A$123,'Consulta Contratos'!$H:$H,"Ativo",'Consulta Contratos'!$J:$J,$A125)</f>
        <v>6165331.4900000002</v>
      </c>
      <c r="U125" s="202">
        <f>SUMIFS('Consulta Contratos'!$Z:$Z,'Consulta Contratos'!$AM:$AM,'Performance Vendas'!U$122,'Consulta Contratos'!$AU:$AU,'Performance Vendas'!$A$123,'Consulta Contratos'!$H:$H,"Ativo",'Consulta Contratos'!$J:$J,$A125)</f>
        <v>4376000</v>
      </c>
      <c r="V125" s="202">
        <f>SUMIFS('Consulta Contratos'!$Z:$Z,'Consulta Contratos'!$AM:$AM,'Performance Vendas'!V$122,'Consulta Contratos'!$AU:$AU,'Performance Vendas'!$A$123,'Consulta Contratos'!$H:$H,"Ativo",'Consulta Contratos'!$J:$J,$A125)</f>
        <v>0</v>
      </c>
      <c r="W125" s="203">
        <f t="shared" si="233"/>
        <v>31428835.480000004</v>
      </c>
      <c r="X125" s="202">
        <f>SUMIFS('Consulta Contratos'!$Z:$Z,'Consulta Contratos'!$AM:$AM,'Performance Vendas'!X$122,'Consulta Contratos'!$AU:$AU,'Performance Vendas'!$A$123,'Consulta Contratos'!$H:$H,"Ativo",'Consulta Contratos'!$J:$J,$A125)</f>
        <v>2905000</v>
      </c>
      <c r="Y125" s="202">
        <f>SUMIFS('Consulta Contratos'!$Z:$Z,'Consulta Contratos'!$AM:$AM,'Performance Vendas'!Y$122,'Consulta Contratos'!$AU:$AU,'Performance Vendas'!$A$123,'Consulta Contratos'!$H:$H,"Ativo",'Consulta Contratos'!$J:$J,$A125)</f>
        <v>0</v>
      </c>
      <c r="Z125" s="202">
        <f>SUMIFS('Consulta Contratos'!$Z:$Z,'Consulta Contratos'!$AM:$AM,'Performance Vendas'!Z$122,'Consulta Contratos'!$AU:$AU,'Performance Vendas'!$A$123,'Consulta Contratos'!$H:$H,"Ativo",'Consulta Contratos'!$J:$J,$A125)</f>
        <v>1700000</v>
      </c>
      <c r="AA125" s="202">
        <f>SUMIFS('Consulta Contratos'!$Z:$Z,'Consulta Contratos'!$AM:$AM,'Performance Vendas'!AA$122,'Consulta Contratos'!$AU:$AU,'Performance Vendas'!$A$123,'Consulta Contratos'!$H:$H,"Ativo",'Consulta Contratos'!$J:$J,$A125)</f>
        <v>0</v>
      </c>
      <c r="AB125" s="202">
        <f>SUMIFS('Consulta Contratos'!$Z:$Z,'Consulta Contratos'!$AM:$AM,'Performance Vendas'!AB$122,'Consulta Contratos'!$AU:$AU,'Performance Vendas'!$A$123,'Consulta Contratos'!$H:$H,"Ativo",'Consulta Contratos'!$J:$J,$A125)</f>
        <v>0</v>
      </c>
      <c r="AC125" s="202">
        <f>SUMIFS('Consulta Contratos'!$Z:$Z,'Consulta Contratos'!$AM:$AM,'Performance Vendas'!AC$122,'Consulta Contratos'!$AU:$AU,'Performance Vendas'!$A$123,'Consulta Contratos'!$H:$H,"Ativo",'Consulta Contratos'!$J:$J,$A125)</f>
        <v>0</v>
      </c>
      <c r="AD125" s="202">
        <f>SUMIFS('Consulta Contratos'!$Z:$Z,'Consulta Contratos'!$AM:$AM,'Performance Vendas'!AD$122,'Consulta Contratos'!$AU:$AU,'Performance Vendas'!$A$123,'Consulta Contratos'!$H:$H,"Ativo",'Consulta Contratos'!$J:$J,$A125)</f>
        <v>0</v>
      </c>
      <c r="AE125" s="202">
        <f>SUMIFS('Consulta Contratos'!$Z:$Z,'Consulta Contratos'!$AM:$AM,'Performance Vendas'!AE$122,'Consulta Contratos'!$AU:$AU,'Performance Vendas'!$A$123,'Consulta Contratos'!$H:$H,"Ativo",'Consulta Contratos'!$J:$J,$A125)</f>
        <v>0</v>
      </c>
      <c r="AF125" s="202">
        <f>SUMIFS('Consulta Contratos'!$Z:$Z,'Consulta Contratos'!$AM:$AM,'Performance Vendas'!AF$122,'Consulta Contratos'!$AU:$AU,'Performance Vendas'!$A$123,'Consulta Contratos'!$H:$H,"Ativo",'Consulta Contratos'!$J:$J,$A125)</f>
        <v>0</v>
      </c>
      <c r="AG125" s="202">
        <f>SUMIFS('Consulta Contratos'!$Z:$Z,'Consulta Contratos'!$AM:$AM,'Performance Vendas'!AG$122,'Consulta Contratos'!$AU:$AU,'Performance Vendas'!$A$123,'Consulta Contratos'!$H:$H,"Ativo",'Consulta Contratos'!$J:$J,$A125)</f>
        <v>0</v>
      </c>
      <c r="AH125" s="202">
        <f>SUMIFS('Consulta Contratos'!$Z:$Z,'Consulta Contratos'!$AM:$AM,'Performance Vendas'!AH$122,'Consulta Contratos'!$AU:$AU,'Performance Vendas'!$A$123,'Consulta Contratos'!$H:$H,"Ativo",'Consulta Contratos'!$J:$J,$A125)</f>
        <v>0</v>
      </c>
      <c r="AI125" s="202">
        <f>SUMIFS('Consulta Contratos'!$Z:$Z,'Consulta Contratos'!$AM:$AM,'Performance Vendas'!AI$122,'Consulta Contratos'!$AU:$AU,'Performance Vendas'!$A$123,'Consulta Contratos'!$H:$H,"Ativo",'Consulta Contratos'!$J:$J,$A125)</f>
        <v>0</v>
      </c>
      <c r="AJ125" s="203">
        <f t="shared" si="234"/>
        <v>4605000</v>
      </c>
      <c r="AK125" s="202">
        <f>SUMIFS('Consulta Contratos'!$Z:$Z,'Consulta Contratos'!$AM:$AM,'Performance Vendas'!AK$122,'Consulta Contratos'!$AU:$AU,'Performance Vendas'!$A$123,'Consulta Contratos'!$H:$H,"Ativo",'Consulta Contratos'!$J:$J,$A125)</f>
        <v>0</v>
      </c>
      <c r="AL125" s="202">
        <f>SUMIFS('Consulta Contratos'!$Z:$Z,'Consulta Contratos'!$AM:$AM,'Performance Vendas'!AL$122,'Consulta Contratos'!$AU:$AU,'Performance Vendas'!$A$123,'Consulta Contratos'!$H:$H,"Ativo",'Consulta Contratos'!$J:$J,$A125)</f>
        <v>0</v>
      </c>
      <c r="AM125" s="202">
        <f>SUMIFS('Consulta Contratos'!$Z:$Z,'Consulta Contratos'!$AM:$AM,'Performance Vendas'!AM$122,'Consulta Contratos'!$AU:$AU,'Performance Vendas'!$A$123,'Consulta Contratos'!$H:$H,"Ativo",'Consulta Contratos'!$J:$J,$A125)</f>
        <v>0</v>
      </c>
      <c r="AN125" s="202">
        <f>SUMIFS('Consulta Contratos'!$Z:$Z,'Consulta Contratos'!$AM:$AM,'Performance Vendas'!AN$122,'Consulta Contratos'!$AU:$AU,'Performance Vendas'!$A$123,'Consulta Contratos'!$H:$H,"Ativo",'Consulta Contratos'!$J:$J,$A125)</f>
        <v>0</v>
      </c>
      <c r="AO125" s="202">
        <f>SUMIFS('Consulta Contratos'!$Z:$Z,'Consulta Contratos'!$AM:$AM,'Performance Vendas'!AO$122,'Consulta Contratos'!$AU:$AU,'Performance Vendas'!$A$123,'Consulta Contratos'!$H:$H,"Ativo",'Consulta Contratos'!$J:$J,$A125)</f>
        <v>0</v>
      </c>
      <c r="AP125" s="202">
        <f>SUMIFS('Consulta Contratos'!$Z:$Z,'Consulta Contratos'!$AM:$AM,'Performance Vendas'!AP$122,'Consulta Contratos'!$AU:$AU,'Performance Vendas'!$A$123,'Consulta Contratos'!$H:$H,"Ativo",'Consulta Contratos'!$J:$J,$A125)</f>
        <v>0</v>
      </c>
      <c r="AQ125" s="202">
        <f>SUMIFS('Consulta Contratos'!$Z:$Z,'Consulta Contratos'!$AM:$AM,'Performance Vendas'!AQ$122,'Consulta Contratos'!$AU:$AU,'Performance Vendas'!$A$123,'Consulta Contratos'!$H:$H,"Ativo",'Consulta Contratos'!$J:$J,$A125)</f>
        <v>0</v>
      </c>
      <c r="AR125" s="202">
        <f>SUMIFS('Consulta Contratos'!$Z:$Z,'Consulta Contratos'!$AM:$AM,'Performance Vendas'!AR$122,'Consulta Contratos'!$AU:$AU,'Performance Vendas'!$A$123,'Consulta Contratos'!$H:$H,"Ativo",'Consulta Contratos'!$J:$J,$A125)</f>
        <v>0</v>
      </c>
      <c r="AS125" s="202">
        <f>SUMIFS('Consulta Contratos'!$Z:$Z,'Consulta Contratos'!$AM:$AM,'Performance Vendas'!AS$122,'Consulta Contratos'!$AU:$AU,'Performance Vendas'!$A$123,'Consulta Contratos'!$H:$H,"Ativo",'Consulta Contratos'!$J:$J,$A125)</f>
        <v>0</v>
      </c>
      <c r="AT125" s="202">
        <f>SUMIFS('Consulta Contratos'!$Z:$Z,'Consulta Contratos'!$AM:$AM,'Performance Vendas'!AT$122,'Consulta Contratos'!$AU:$AU,'Performance Vendas'!$A$123,'Consulta Contratos'!$H:$H,"Ativo",'Consulta Contratos'!$J:$J,$A125)</f>
        <v>0</v>
      </c>
      <c r="AU125" s="202">
        <f>SUMIFS('Consulta Contratos'!$Z:$Z,'Consulta Contratos'!$AM:$AM,'Performance Vendas'!AU$122,'Consulta Contratos'!$AU:$AU,'Performance Vendas'!$A$123,'Consulta Contratos'!$H:$H,"Ativo",'Consulta Contratos'!$J:$J,$A125)</f>
        <v>0</v>
      </c>
      <c r="AV125" s="202">
        <f>SUMIFS('Consulta Contratos'!$Z:$Z,'Consulta Contratos'!$AM:$AM,'Performance Vendas'!AV$122,'Consulta Contratos'!$AU:$AU,'Performance Vendas'!$A$123,'Consulta Contratos'!$H:$H,"Ativo",'Consulta Contratos'!$J:$J,$A125)</f>
        <v>0</v>
      </c>
      <c r="AW125" s="203">
        <f t="shared" si="235"/>
        <v>0</v>
      </c>
      <c r="AX125" s="203">
        <f>AJ125+W125+J125+AW125</f>
        <v>39080835.480000004</v>
      </c>
      <c r="AY125" s="199">
        <f t="shared" si="236"/>
        <v>0.36652732177285935</v>
      </c>
      <c r="AZ125" s="202">
        <f>SUMIFS('Consulta Contratos'!$Z:$Z,'Consulta Contratos'!$AM:$AM,'Performance Vendas'!AZ$122,'Consulta Contratos'!$AU:$AU,'Performance Vendas'!$A$123,'Consulta Contratos'!$H:$H,"Ativo",'Consulta Contratos'!$J:$J,$A125)</f>
        <v>0</v>
      </c>
    </row>
    <row r="126" spans="1:65" s="87" customFormat="1">
      <c r="A126" s="148" t="s">
        <v>134</v>
      </c>
      <c r="B126" s="150" t="s">
        <v>19</v>
      </c>
      <c r="C126" s="151"/>
      <c r="D126" s="95"/>
      <c r="E126" s="152">
        <f>SUMIFS('Consulta Contratos'!$Z:$Z,'Consulta Contratos'!$AM:$AM,'Performance Vendas'!E$122,'Consulta Contratos'!$AU:$AU,'Performance Vendas'!$A126,'Consulta Contratos'!$H:$H,"Ativo")</f>
        <v>3107000</v>
      </c>
      <c r="F126" s="152">
        <f>SUMIFS('Consulta Contratos'!$Z:$Z,'Consulta Contratos'!$AM:$AM,'Performance Vendas'!F$122,'Consulta Contratos'!$AU:$AU,'Performance Vendas'!$A126,'Consulta Contratos'!$H:$H,"Ativo")</f>
        <v>5330748.3</v>
      </c>
      <c r="G126" s="152">
        <f>SUMIFS('Consulta Contratos'!$Z:$Z,'Consulta Contratos'!$AM:$AM,'Performance Vendas'!G$122,'Consulta Contratos'!$AU:$AU,'Performance Vendas'!$A126,'Consulta Contratos'!$H:$H,"Ativo")</f>
        <v>2644039</v>
      </c>
      <c r="H126" s="152">
        <f>SUMIFS('Consulta Contratos'!$Z:$Z,'Consulta Contratos'!$AM:$AM,'Performance Vendas'!H$122,'Consulta Contratos'!$AU:$AU,'Performance Vendas'!$A126,'Consulta Contratos'!$H:$H,"Ativo")</f>
        <v>10992566</v>
      </c>
      <c r="I126" s="152">
        <f>SUMIFS('Consulta Contratos'!$Z:$Z,'Consulta Contratos'!$AM:$AM,'Performance Vendas'!I$122,'Consulta Contratos'!$AU:$AU,'Performance Vendas'!$A126,'Consulta Contratos'!$H:$H,"Ativo")</f>
        <v>7747740</v>
      </c>
      <c r="J126" s="153">
        <f t="shared" si="232"/>
        <v>29822093.300000001</v>
      </c>
      <c r="K126" s="152">
        <f>SUMIFS('Consulta Contratos'!$Z:$Z,'Consulta Contratos'!$AM:$AM,'Performance Vendas'!K$122,'Consulta Contratos'!$AU:$AU,'Performance Vendas'!$A126,'Consulta Contratos'!$H:$H,"Ativo")</f>
        <v>4759384.1899999995</v>
      </c>
      <c r="L126" s="152">
        <f>SUMIFS('Consulta Contratos'!$Z:$Z,'Consulta Contratos'!$AM:$AM,'Performance Vendas'!L$122,'Consulta Contratos'!$AU:$AU,'Performance Vendas'!$A126,'Consulta Contratos'!$H:$H,"Ativo")</f>
        <v>3291000</v>
      </c>
      <c r="M126" s="152">
        <f>SUMIFS('Consulta Contratos'!$Z:$Z,'Consulta Contratos'!$AM:$AM,'Performance Vendas'!M$122,'Consulta Contratos'!$AU:$AU,'Performance Vendas'!$A126,'Consulta Contratos'!$H:$H,"Ativo")</f>
        <v>3202340</v>
      </c>
      <c r="N126" s="152">
        <f>SUMIFS('Consulta Contratos'!$Z:$Z,'Consulta Contratos'!$AM:$AM,'Performance Vendas'!N$122,'Consulta Contratos'!$AU:$AU,'Performance Vendas'!$A126,'Consulta Contratos'!$H:$H,"Ativo")</f>
        <v>1464604.76</v>
      </c>
      <c r="O126" s="152">
        <f>SUMIFS('Consulta Contratos'!$Z:$Z,'Consulta Contratos'!$AM:$AM,'Performance Vendas'!O$122,'Consulta Contratos'!$AU:$AU,'Performance Vendas'!$A126,'Consulta Contratos'!$H:$H,"Ativo")</f>
        <v>5657811.2000000002</v>
      </c>
      <c r="P126" s="152">
        <f>SUMIFS('Consulta Contratos'!$Z:$Z,'Consulta Contratos'!$AM:$AM,'Performance Vendas'!P$122,'Consulta Contratos'!$AU:$AU,'Performance Vendas'!$A126,'Consulta Contratos'!$H:$H,"Ativo")</f>
        <v>4789957.3</v>
      </c>
      <c r="Q126" s="152">
        <f>SUMIFS('Consulta Contratos'!$Z:$Z,'Consulta Contratos'!$AM:$AM,'Performance Vendas'!Q$122,'Consulta Contratos'!$AU:$AU,'Performance Vendas'!$A126,'Consulta Contratos'!$H:$H,"Ativo")</f>
        <v>5092758.63</v>
      </c>
      <c r="R126" s="152">
        <f>SUMIFS('Consulta Contratos'!$Z:$Z,'Consulta Contratos'!$AM:$AM,'Performance Vendas'!R$122,'Consulta Contratos'!$AU:$AU,'Performance Vendas'!$A126,'Consulta Contratos'!$H:$H,"Ativo")</f>
        <v>10291539.219999999</v>
      </c>
      <c r="S126" s="152">
        <f>SUMIFS('Consulta Contratos'!$Z:$Z,'Consulta Contratos'!$AM:$AM,'Performance Vendas'!S$122,'Consulta Contratos'!$AU:$AU,'Performance Vendas'!$A126,'Consulta Contratos'!$H:$H,"Ativo")</f>
        <v>6447599.8399999999</v>
      </c>
      <c r="T126" s="152">
        <f>SUMIFS('Consulta Contratos'!$Z:$Z,'Consulta Contratos'!$AM:$AM,'Performance Vendas'!T$122,'Consulta Contratos'!$AU:$AU,'Performance Vendas'!$A126,'Consulta Contratos'!$H:$H,"Ativo")</f>
        <v>18869160</v>
      </c>
      <c r="U126" s="152">
        <f>SUMIFS('Consulta Contratos'!$Z:$Z,'Consulta Contratos'!$AM:$AM,'Performance Vendas'!U$122,'Consulta Contratos'!$AU:$AU,'Performance Vendas'!$A126,'Consulta Contratos'!$H:$H,"Ativo")</f>
        <v>9886217.0999999996</v>
      </c>
      <c r="V126" s="152">
        <f>SUMIFS('Consulta Contratos'!$Z:$Z,'Consulta Contratos'!$AM:$AM,'Performance Vendas'!V$122,'Consulta Contratos'!$AU:$AU,'Performance Vendas'!$A126,'Consulta Contratos'!$H:$H,"Ativo")</f>
        <v>10287645</v>
      </c>
      <c r="W126" s="153">
        <f t="shared" si="233"/>
        <v>84040017.239999995</v>
      </c>
      <c r="X126" s="152">
        <f>SUMIFS('Consulta Contratos'!$Z:$Z,'Consulta Contratos'!$AM:$AM,'Performance Vendas'!X$122,'Consulta Contratos'!$AU:$AU,'Performance Vendas'!$A126,'Consulta Contratos'!$H:$H,"Ativo")</f>
        <v>3322821.96</v>
      </c>
      <c r="Y126" s="154">
        <f>SUMIFS('Consulta Contratos'!$Z:$Z,'Consulta Contratos'!$AM:$AM,'Performance Vendas'!Y$122,'Consulta Contratos'!$AU:$AU,'Performance Vendas'!$A126,'Consulta Contratos'!$H:$H,"Ativo")</f>
        <v>4083584.23</v>
      </c>
      <c r="Z126" s="154">
        <f>SUMIFS('Consulta Contratos'!$Z:$Z,'Consulta Contratos'!$AM:$AM,'Performance Vendas'!Z$122,'Consulta Contratos'!$AU:$AU,'Performance Vendas'!$A126,'Consulta Contratos'!$H:$H,"Ativo")</f>
        <v>2031784</v>
      </c>
      <c r="AA126" s="154">
        <f>SUMIFS('Consulta Contratos'!$Z:$Z,'Consulta Contratos'!$AM:$AM,'Performance Vendas'!AA$122,'Consulta Contratos'!$AU:$AU,'Performance Vendas'!$A126,'Consulta Contratos'!$H:$H,"Ativo")</f>
        <v>7178520</v>
      </c>
      <c r="AB126" s="154">
        <f>SUMIFS('Consulta Contratos'!$Z:$Z,'Consulta Contratos'!$AM:$AM,'Performance Vendas'!AB$122,'Consulta Contratos'!$AU:$AU,'Performance Vendas'!$A126,'Consulta Contratos'!$H:$H,"Ativo")</f>
        <v>1405406.28</v>
      </c>
      <c r="AC126" s="154">
        <f>SUMIFS('Consulta Contratos'!$Z:$Z,'Consulta Contratos'!$AM:$AM,'Performance Vendas'!AC$122,'Consulta Contratos'!$AU:$AU,'Performance Vendas'!$A126,'Consulta Contratos'!$H:$H,"Ativo")</f>
        <v>2130000</v>
      </c>
      <c r="AD126" s="154">
        <f>SUMIFS('Consulta Contratos'!$Z:$Z,'Consulta Contratos'!$AM:$AM,'Performance Vendas'!AD$122,'Consulta Contratos'!$AU:$AU,'Performance Vendas'!$A126,'Consulta Contratos'!$H:$H,"Ativo")</f>
        <v>11736970.66</v>
      </c>
      <c r="AE126" s="154">
        <f>SUMIFS('Consulta Contratos'!$Z:$Z,'Consulta Contratos'!$AM:$AM,'Performance Vendas'!AE$122,'Consulta Contratos'!$AU:$AU,'Performance Vendas'!$A126,'Consulta Contratos'!$H:$H,"Ativo")</f>
        <v>21660841.460000001</v>
      </c>
      <c r="AF126" s="154">
        <f>SUMIFS('Consulta Contratos'!$Z:$Z,'Consulta Contratos'!$AM:$AM,'Performance Vendas'!AF$122,'Consulta Contratos'!$AU:$AU,'Performance Vendas'!$A126,'Consulta Contratos'!$H:$H,"Ativo")</f>
        <v>12283910.310000001</v>
      </c>
      <c r="AG126" s="154">
        <f>SUMIFS('Consulta Contratos'!$Z:$Z,'Consulta Contratos'!$AM:$AM,'Performance Vendas'!AG$122,'Consulta Contratos'!$AU:$AU,'Performance Vendas'!$A126,'Consulta Contratos'!$H:$H,"Ativo")</f>
        <v>2640000</v>
      </c>
      <c r="AH126" s="154">
        <f>SUMIFS('Consulta Contratos'!$Z:$Z,'Consulta Contratos'!$AM:$AM,'Performance Vendas'!AH$122,'Consulta Contratos'!$AU:$AU,'Performance Vendas'!$A126,'Consulta Contratos'!$H:$H,"Ativo")</f>
        <v>0</v>
      </c>
      <c r="AI126" s="154">
        <f>SUMIFS('Consulta Contratos'!$Z:$Z,'Consulta Contratos'!$AM:$AM,'Performance Vendas'!AI$122,'Consulta Contratos'!$AU:$AU,'Performance Vendas'!$A126,'Consulta Contratos'!$H:$H,"Ativo")</f>
        <v>0</v>
      </c>
      <c r="AJ126" s="153">
        <f t="shared" si="234"/>
        <v>68473838.900000006</v>
      </c>
      <c r="AK126" s="152">
        <f>SUMIFS('Consulta Contratos'!$Z:$Z,'Consulta Contratos'!$AM:$AM,'Performance Vendas'!AK$122,'Consulta Contratos'!$AU:$AU,'Performance Vendas'!$A126,'Consulta Contratos'!$H:$H,"Ativo")</f>
        <v>4797738.1999999993</v>
      </c>
      <c r="AL126" s="154">
        <f>SUMIFS('Consulta Contratos'!$Z:$Z,'Consulta Contratos'!$AM:$AM,'Performance Vendas'!AL$122,'Consulta Contratos'!$AU:$AU,'Performance Vendas'!$A126,'Consulta Contratos'!$H:$H,"Ativo")</f>
        <v>4925295.3100000005</v>
      </c>
      <c r="AM126" s="154">
        <f>SUMIFS('Consulta Contratos'!$Z:$Z,'Consulta Contratos'!$AM:$AM,'Performance Vendas'!AM$122,'Consulta Contratos'!$AU:$AU,'Performance Vendas'!$A126,'Consulta Contratos'!$H:$H,"Ativo")</f>
        <v>328000</v>
      </c>
      <c r="AN126" s="154">
        <f>SUMIFS('Consulta Contratos'!$Z:$Z,'Consulta Contratos'!$AM:$AM,'Performance Vendas'!AN$122,'Consulta Contratos'!$AU:$AU,'Performance Vendas'!$A126,'Consulta Contratos'!$H:$H,"Ativo")</f>
        <v>0</v>
      </c>
      <c r="AO126" s="154">
        <f>SUMIFS('Consulta Contratos'!$Z:$Z,'Consulta Contratos'!$AM:$AM,'Performance Vendas'!AO$122,'Consulta Contratos'!$AU:$AU,'Performance Vendas'!$A126,'Consulta Contratos'!$H:$H,"Ativo")</f>
        <v>0</v>
      </c>
      <c r="AP126" s="154">
        <f>SUMIFS('Consulta Contratos'!$Z:$Z,'Consulta Contratos'!$AM:$AM,'Performance Vendas'!AP$122,'Consulta Contratos'!$AU:$AU,'Performance Vendas'!$A126,'Consulta Contratos'!$H:$H,"Ativo")</f>
        <v>0</v>
      </c>
      <c r="AQ126" s="154">
        <f>SUMIFS('Consulta Contratos'!$Z:$Z,'Consulta Contratos'!$AM:$AM,'Performance Vendas'!AQ$122,'Consulta Contratos'!$AU:$AU,'Performance Vendas'!$A126,'Consulta Contratos'!$H:$H,"Ativo")</f>
        <v>0</v>
      </c>
      <c r="AR126" s="154">
        <f>SUMIFS('Consulta Contratos'!$Z:$Z,'Consulta Contratos'!$AM:$AM,'Performance Vendas'!AR$122,'Consulta Contratos'!$AU:$AU,'Performance Vendas'!$A126,'Consulta Contratos'!$H:$H,"Ativo")</f>
        <v>0</v>
      </c>
      <c r="AS126" s="154">
        <f>SUMIFS('Consulta Contratos'!$Z:$Z,'Consulta Contratos'!$AM:$AM,'Performance Vendas'!AS$122,'Consulta Contratos'!$AU:$AU,'Performance Vendas'!$A126,'Consulta Contratos'!$H:$H,"Ativo")</f>
        <v>0</v>
      </c>
      <c r="AT126" s="154">
        <f>SUMIFS('Consulta Contratos'!$Z:$Z,'Consulta Contratos'!$AM:$AM,'Performance Vendas'!AT$122,'Consulta Contratos'!$AU:$AU,'Performance Vendas'!$A126,'Consulta Contratos'!$H:$H,"Ativo")</f>
        <v>0</v>
      </c>
      <c r="AU126" s="154">
        <f>SUMIFS('Consulta Contratos'!$Z:$Z,'Consulta Contratos'!$AM:$AM,'Performance Vendas'!AU$122,'Consulta Contratos'!$AU:$AU,'Performance Vendas'!$A126,'Consulta Contratos'!$H:$H,"Ativo")</f>
        <v>0</v>
      </c>
      <c r="AV126" s="154">
        <f>SUMIFS('Consulta Contratos'!$Z:$Z,'Consulta Contratos'!$AM:$AM,'Performance Vendas'!AV$122,'Consulta Contratos'!$AU:$AU,'Performance Vendas'!$A126,'Consulta Contratos'!$H:$H,"Ativo")</f>
        <v>0</v>
      </c>
      <c r="AW126" s="153">
        <f t="shared" si="235"/>
        <v>10051033.51</v>
      </c>
      <c r="AX126" s="153">
        <f>AJ126+W126+J126+AW126</f>
        <v>192386982.94999999</v>
      </c>
      <c r="AY126" s="149">
        <f>AX126/$AX$12</f>
        <v>0.50225696776479789</v>
      </c>
      <c r="AZ126" s="154">
        <f>SUMIFS('Consulta Contratos'!$Z:$Z,'Consulta Contratos'!$AM:$AM,'Performance Vendas'!AZ$122,'Consulta Contratos'!$AU:$AU,'Performance Vendas'!$A126,'Consulta Contratos'!$H:$H,"Ativo")</f>
        <v>1498219.6800000002</v>
      </c>
    </row>
    <row r="127" spans="1:65" s="87" customFormat="1">
      <c r="A127" s="148" t="s">
        <v>6</v>
      </c>
      <c r="B127" s="194" t="s">
        <v>132</v>
      </c>
      <c r="C127" s="195"/>
      <c r="D127" s="196"/>
      <c r="E127" s="197">
        <f>SUMIFS('Consulta Contratos'!$Z:$Z,'Consulta Contratos'!$AM:$AM,'Performance Vendas'!E$122,'Consulta Contratos'!$AU:$AU,'Performance Vendas'!$A$126,'Consulta Contratos'!$H:$H,"Ativo",'Consulta Contratos'!$J:$J,$A127)</f>
        <v>2765000</v>
      </c>
      <c r="F127" s="197">
        <f>SUMIFS('Consulta Contratos'!$Z:$Z,'Consulta Contratos'!$AM:$AM,'Performance Vendas'!F$122,'Consulta Contratos'!$AU:$AU,'Performance Vendas'!$A$126,'Consulta Contratos'!$H:$H,"Ativo",'Consulta Contratos'!$J:$J,$A127)</f>
        <v>2040000</v>
      </c>
      <c r="G127" s="197">
        <f>SUMIFS('Consulta Contratos'!$Z:$Z,'Consulta Contratos'!$AM:$AM,'Performance Vendas'!G$122,'Consulta Contratos'!$AU:$AU,'Performance Vendas'!$A$126,'Consulta Contratos'!$H:$H,"Ativo",'Consulta Contratos'!$J:$J,$A127)</f>
        <v>0</v>
      </c>
      <c r="H127" s="197">
        <f>SUMIFS('Consulta Contratos'!$Z:$Z,'Consulta Contratos'!$AM:$AM,'Performance Vendas'!H$122,'Consulta Contratos'!$AU:$AU,'Performance Vendas'!$A$126,'Consulta Contratos'!$H:$H,"Ativo",'Consulta Contratos'!$J:$J,$A127)</f>
        <v>6240000</v>
      </c>
      <c r="I127" s="197">
        <f>SUMIFS('Consulta Contratos'!$Z:$Z,'Consulta Contratos'!$AM:$AM,'Performance Vendas'!I$122,'Consulta Contratos'!$AU:$AU,'Performance Vendas'!$A$126,'Consulta Contratos'!$H:$H,"Ativo",'Consulta Contratos'!$J:$J,$A127)</f>
        <v>0</v>
      </c>
      <c r="J127" s="198">
        <f t="shared" si="232"/>
        <v>11045000</v>
      </c>
      <c r="K127" s="197">
        <f>SUMIFS('Consulta Contratos'!$Z:$Z,'Consulta Contratos'!$AM:$AM,'Performance Vendas'!K$122,'Consulta Contratos'!$AU:$AU,'Performance Vendas'!$A$126,'Consulta Contratos'!$H:$H,"Ativo",'Consulta Contratos'!$J:$J,$A127)</f>
        <v>0</v>
      </c>
      <c r="L127" s="197">
        <f>SUMIFS('Consulta Contratos'!$Z:$Z,'Consulta Contratos'!$AM:$AM,'Performance Vendas'!L$122,'Consulta Contratos'!$AU:$AU,'Performance Vendas'!$A$126,'Consulta Contratos'!$H:$H,"Ativo",'Consulta Contratos'!$J:$J,$A127)</f>
        <v>0</v>
      </c>
      <c r="M127" s="197">
        <f>SUMIFS('Consulta Contratos'!$Z:$Z,'Consulta Contratos'!$AM:$AM,'Performance Vendas'!M$122,'Consulta Contratos'!$AU:$AU,'Performance Vendas'!$A$126,'Consulta Contratos'!$H:$H,"Ativo",'Consulta Contratos'!$J:$J,$A127)</f>
        <v>0</v>
      </c>
      <c r="N127" s="197">
        <f>SUMIFS('Consulta Contratos'!$Z:$Z,'Consulta Contratos'!$AM:$AM,'Performance Vendas'!N$122,'Consulta Contratos'!$AU:$AU,'Performance Vendas'!$A$126,'Consulta Contratos'!$H:$H,"Ativo",'Consulta Contratos'!$J:$J,$A127)</f>
        <v>0</v>
      </c>
      <c r="O127" s="197">
        <f>SUMIFS('Consulta Contratos'!$Z:$Z,'Consulta Contratos'!$AM:$AM,'Performance Vendas'!O$122,'Consulta Contratos'!$AU:$AU,'Performance Vendas'!$A$126,'Consulta Contratos'!$H:$H,"Ativo",'Consulta Contratos'!$J:$J,$A127)</f>
        <v>0</v>
      </c>
      <c r="P127" s="197">
        <f>SUMIFS('Consulta Contratos'!$Z:$Z,'Consulta Contratos'!$AM:$AM,'Performance Vendas'!P$122,'Consulta Contratos'!$AU:$AU,'Performance Vendas'!$A$126,'Consulta Contratos'!$H:$H,"Ativo",'Consulta Contratos'!$J:$J,$A127)</f>
        <v>0</v>
      </c>
      <c r="Q127" s="197">
        <f>SUMIFS('Consulta Contratos'!$Z:$Z,'Consulta Contratos'!$AM:$AM,'Performance Vendas'!Q$122,'Consulta Contratos'!$AU:$AU,'Performance Vendas'!$A$126,'Consulta Contratos'!$H:$H,"Ativo",'Consulta Contratos'!$J:$J,$A127)</f>
        <v>0</v>
      </c>
      <c r="R127" s="197">
        <f>SUMIFS('Consulta Contratos'!$Z:$Z,'Consulta Contratos'!$AM:$AM,'Performance Vendas'!R$122,'Consulta Contratos'!$AU:$AU,'Performance Vendas'!$A$126,'Consulta Contratos'!$H:$H,"Ativo",'Consulta Contratos'!$J:$J,$A127)</f>
        <v>3170000</v>
      </c>
      <c r="S127" s="197">
        <f>SUMIFS('Consulta Contratos'!$Z:$Z,'Consulta Contratos'!$AM:$AM,'Performance Vendas'!S$122,'Consulta Contratos'!$AU:$AU,'Performance Vendas'!$A$126,'Consulta Contratos'!$H:$H,"Ativo",'Consulta Contratos'!$J:$J,$A127)</f>
        <v>0</v>
      </c>
      <c r="T127" s="197">
        <f>SUMIFS('Consulta Contratos'!$Z:$Z,'Consulta Contratos'!$AM:$AM,'Performance Vendas'!T$122,'Consulta Contratos'!$AU:$AU,'Performance Vendas'!$A$126,'Consulta Contratos'!$H:$H,"Ativo",'Consulta Contratos'!$J:$J,$A127)</f>
        <v>11242000</v>
      </c>
      <c r="U127" s="197">
        <f>SUMIFS('Consulta Contratos'!$Z:$Z,'Consulta Contratos'!$AM:$AM,'Performance Vendas'!U$122,'Consulta Contratos'!$AU:$AU,'Performance Vendas'!$A$126,'Consulta Contratos'!$H:$H,"Ativo",'Consulta Contratos'!$J:$J,$A127)</f>
        <v>0</v>
      </c>
      <c r="V127" s="197">
        <f>SUMIFS('Consulta Contratos'!$Z:$Z,'Consulta Contratos'!$AM:$AM,'Performance Vendas'!V$122,'Consulta Contratos'!$AU:$AU,'Performance Vendas'!$A$126,'Consulta Contratos'!$H:$H,"Ativo",'Consulta Contratos'!$J:$J,$A127)</f>
        <v>4770000</v>
      </c>
      <c r="W127" s="198">
        <f t="shared" si="233"/>
        <v>19182000</v>
      </c>
      <c r="X127" s="197">
        <f>SUMIFS('Consulta Contratos'!$Z:$Z,'Consulta Contratos'!$AM:$AM,'Performance Vendas'!X$122,'Consulta Contratos'!$AU:$AU,'Performance Vendas'!$A$126,'Consulta Contratos'!$H:$H,"Ativo",'Consulta Contratos'!$J:$J,$A127)</f>
        <v>0</v>
      </c>
      <c r="Y127" s="197">
        <f>SUMIFS('Consulta Contratos'!$Z:$Z,'Consulta Contratos'!$AM:$AM,'Performance Vendas'!Y$122,'Consulta Contratos'!$AU:$AU,'Performance Vendas'!$A$126,'Consulta Contratos'!$H:$H,"Ativo",'Consulta Contratos'!$J:$J,$A127)</f>
        <v>0</v>
      </c>
      <c r="Z127" s="197">
        <f>SUMIFS('Consulta Contratos'!$Z:$Z,'Consulta Contratos'!$AM:$AM,'Performance Vendas'!Z$122,'Consulta Contratos'!$AU:$AU,'Performance Vendas'!$A$126,'Consulta Contratos'!$H:$H,"Ativo",'Consulta Contratos'!$J:$J,$A127)</f>
        <v>0</v>
      </c>
      <c r="AA127" s="197">
        <f>SUMIFS('Consulta Contratos'!$Z:$Z,'Consulta Contratos'!$AM:$AM,'Performance Vendas'!AA$122,'Consulta Contratos'!$AU:$AU,'Performance Vendas'!$A$126,'Consulta Contratos'!$H:$H,"Ativo",'Consulta Contratos'!$J:$J,$A127)</f>
        <v>2813000</v>
      </c>
      <c r="AB127" s="197">
        <f>SUMIFS('Consulta Contratos'!$Z:$Z,'Consulta Contratos'!$AM:$AM,'Performance Vendas'!AB$122,'Consulta Contratos'!$AU:$AU,'Performance Vendas'!$A$126,'Consulta Contratos'!$H:$H,"Ativo",'Consulta Contratos'!$J:$J,$A127)</f>
        <v>0</v>
      </c>
      <c r="AC127" s="197">
        <f>SUMIFS('Consulta Contratos'!$Z:$Z,'Consulta Contratos'!$AM:$AM,'Performance Vendas'!AC$122,'Consulta Contratos'!$AU:$AU,'Performance Vendas'!$A$126,'Consulta Contratos'!$H:$H,"Ativo",'Consulta Contratos'!$J:$J,$A127)</f>
        <v>0</v>
      </c>
      <c r="AD127" s="197">
        <f>SUMIFS('Consulta Contratos'!$Z:$Z,'Consulta Contratos'!$AM:$AM,'Performance Vendas'!AD$122,'Consulta Contratos'!$AU:$AU,'Performance Vendas'!$A$126,'Consulta Contratos'!$H:$H,"Ativo",'Consulta Contratos'!$J:$J,$A127)</f>
        <v>2845000</v>
      </c>
      <c r="AE127" s="197">
        <f>SUMIFS('Consulta Contratos'!$Z:$Z,'Consulta Contratos'!$AM:$AM,'Performance Vendas'!AE$122,'Consulta Contratos'!$AU:$AU,'Performance Vendas'!$A$126,'Consulta Contratos'!$H:$H,"Ativo",'Consulta Contratos'!$J:$J,$A127)</f>
        <v>9793980</v>
      </c>
      <c r="AF127" s="197">
        <f>SUMIFS('Consulta Contratos'!$Z:$Z,'Consulta Contratos'!$AM:$AM,'Performance Vendas'!AF$122,'Consulta Contratos'!$AU:$AU,'Performance Vendas'!$A$126,'Consulta Contratos'!$H:$H,"Ativo",'Consulta Contratos'!$J:$J,$A127)</f>
        <v>4788000</v>
      </c>
      <c r="AG127" s="197">
        <f>SUMIFS('Consulta Contratos'!$Z:$Z,'Consulta Contratos'!$AM:$AM,'Performance Vendas'!AG$122,'Consulta Contratos'!$AU:$AU,'Performance Vendas'!$A$126,'Consulta Contratos'!$H:$H,"Ativo",'Consulta Contratos'!$J:$J,$A127)</f>
        <v>2640000</v>
      </c>
      <c r="AH127" s="197">
        <f>SUMIFS('Consulta Contratos'!$Z:$Z,'Consulta Contratos'!$AM:$AM,'Performance Vendas'!AH$122,'Consulta Contratos'!$AU:$AU,'Performance Vendas'!$A$126,'Consulta Contratos'!$H:$H,"Ativo",'Consulta Contratos'!$J:$J,$A127)</f>
        <v>0</v>
      </c>
      <c r="AI127" s="197">
        <f>SUMIFS('Consulta Contratos'!$Z:$Z,'Consulta Contratos'!$AM:$AM,'Performance Vendas'!AI$122,'Consulta Contratos'!$AU:$AU,'Performance Vendas'!$A$126,'Consulta Contratos'!$H:$H,"Ativo",'Consulta Contratos'!$J:$J,$A127)</f>
        <v>0</v>
      </c>
      <c r="AJ127" s="198">
        <f t="shared" si="234"/>
        <v>22879980</v>
      </c>
      <c r="AK127" s="197">
        <f>SUMIFS('Consulta Contratos'!$Z:$Z,'Consulta Contratos'!$AM:$AM,'Performance Vendas'!AK$122,'Consulta Contratos'!$AU:$AU,'Performance Vendas'!$A$126,'Consulta Contratos'!$H:$H,"Ativo",'Consulta Contratos'!$J:$J,$A127)</f>
        <v>0</v>
      </c>
      <c r="AL127" s="197">
        <f>SUMIFS('Consulta Contratos'!$Z:$Z,'Consulta Contratos'!$AM:$AM,'Performance Vendas'!AL$122,'Consulta Contratos'!$AU:$AU,'Performance Vendas'!$A$126,'Consulta Contratos'!$H:$H,"Ativo",'Consulta Contratos'!$J:$J,$A127)</f>
        <v>0</v>
      </c>
      <c r="AM127" s="197">
        <f>SUMIFS('Consulta Contratos'!$Z:$Z,'Consulta Contratos'!$AM:$AM,'Performance Vendas'!AM$122,'Consulta Contratos'!$AU:$AU,'Performance Vendas'!$A$126,'Consulta Contratos'!$H:$H,"Ativo",'Consulta Contratos'!$J:$J,$A127)</f>
        <v>0</v>
      </c>
      <c r="AN127" s="197">
        <f>SUMIFS('Consulta Contratos'!$Z:$Z,'Consulta Contratos'!$AM:$AM,'Performance Vendas'!AN$122,'Consulta Contratos'!$AU:$AU,'Performance Vendas'!$A$126,'Consulta Contratos'!$H:$H,"Ativo",'Consulta Contratos'!$J:$J,$A127)</f>
        <v>0</v>
      </c>
      <c r="AO127" s="197">
        <f>SUMIFS('Consulta Contratos'!$Z:$Z,'Consulta Contratos'!$AM:$AM,'Performance Vendas'!AO$122,'Consulta Contratos'!$AU:$AU,'Performance Vendas'!$A$126,'Consulta Contratos'!$H:$H,"Ativo",'Consulta Contratos'!$J:$J,$A127)</f>
        <v>0</v>
      </c>
      <c r="AP127" s="197">
        <f>SUMIFS('Consulta Contratos'!$Z:$Z,'Consulta Contratos'!$AM:$AM,'Performance Vendas'!AP$122,'Consulta Contratos'!$AU:$AU,'Performance Vendas'!$A$126,'Consulta Contratos'!$H:$H,"Ativo",'Consulta Contratos'!$J:$J,$A127)</f>
        <v>0</v>
      </c>
      <c r="AQ127" s="197">
        <f>SUMIFS('Consulta Contratos'!$Z:$Z,'Consulta Contratos'!$AM:$AM,'Performance Vendas'!AQ$122,'Consulta Contratos'!$AU:$AU,'Performance Vendas'!$A$126,'Consulta Contratos'!$H:$H,"Ativo",'Consulta Contratos'!$J:$J,$A127)</f>
        <v>0</v>
      </c>
      <c r="AR127" s="197">
        <f>SUMIFS('Consulta Contratos'!$Z:$Z,'Consulta Contratos'!$AM:$AM,'Performance Vendas'!AR$122,'Consulta Contratos'!$AU:$AU,'Performance Vendas'!$A$126,'Consulta Contratos'!$H:$H,"Ativo",'Consulta Contratos'!$J:$J,$A127)</f>
        <v>0</v>
      </c>
      <c r="AS127" s="197">
        <f>SUMIFS('Consulta Contratos'!$Z:$Z,'Consulta Contratos'!$AM:$AM,'Performance Vendas'!AS$122,'Consulta Contratos'!$AU:$AU,'Performance Vendas'!$A$126,'Consulta Contratos'!$H:$H,"Ativo",'Consulta Contratos'!$J:$J,$A127)</f>
        <v>0</v>
      </c>
      <c r="AT127" s="197">
        <f>SUMIFS('Consulta Contratos'!$Z:$Z,'Consulta Contratos'!$AM:$AM,'Performance Vendas'!AT$122,'Consulta Contratos'!$AU:$AU,'Performance Vendas'!$A$126,'Consulta Contratos'!$H:$H,"Ativo",'Consulta Contratos'!$J:$J,$A127)</f>
        <v>0</v>
      </c>
      <c r="AU127" s="197">
        <f>SUMIFS('Consulta Contratos'!$Z:$Z,'Consulta Contratos'!$AM:$AM,'Performance Vendas'!AU$122,'Consulta Contratos'!$AU:$AU,'Performance Vendas'!$A$126,'Consulta Contratos'!$H:$H,"Ativo",'Consulta Contratos'!$J:$J,$A127)</f>
        <v>0</v>
      </c>
      <c r="AV127" s="197">
        <f>SUMIFS('Consulta Contratos'!$Z:$Z,'Consulta Contratos'!$AM:$AM,'Performance Vendas'!AV$122,'Consulta Contratos'!$AU:$AU,'Performance Vendas'!$A$126,'Consulta Contratos'!$H:$H,"Ativo",'Consulta Contratos'!$J:$J,$A127)</f>
        <v>0</v>
      </c>
      <c r="AW127" s="198">
        <f t="shared" si="235"/>
        <v>0</v>
      </c>
      <c r="AX127" s="198">
        <f>AJ127+W127+J127+AW127</f>
        <v>53106980</v>
      </c>
      <c r="AY127" s="199">
        <f t="shared" ref="AY127:AY130" si="237">AX127/AX$126</f>
        <v>0.27604248055494546</v>
      </c>
      <c r="AZ127" s="197">
        <f>SUMIFS('Consulta Contratos'!$Z:$Z,'Consulta Contratos'!$AM:$AM,'Performance Vendas'!AZ$122,'Consulta Contratos'!$AU:$AU,'Performance Vendas'!$A$126,'Consulta Contratos'!$H:$H,"Ativo",'Consulta Contratos'!$J:$J,$A127)</f>
        <v>0</v>
      </c>
    </row>
    <row r="128" spans="1:65" s="87" customFormat="1">
      <c r="A128" s="148">
        <v>13</v>
      </c>
      <c r="B128" s="194" t="s">
        <v>133</v>
      </c>
      <c r="C128" s="195"/>
      <c r="D128" s="196"/>
      <c r="E128" s="197">
        <f>SUMIFS('Consulta Contratos'!$Z:$Z,'Consulta Contratos'!$AM:$AM,'Performance Vendas'!E$122,'Consulta Contratos'!$AU:$AU,'Performance Vendas'!$A$126,'Consulta Contratos'!$H:$H,"Ativo",'Consulta Contratos'!$J:$J,$A128)</f>
        <v>0</v>
      </c>
      <c r="F128" s="197">
        <f>SUMIFS('Consulta Contratos'!$Z:$Z,'Consulta Contratos'!$AM:$AM,'Performance Vendas'!F$122,'Consulta Contratos'!$AU:$AU,'Performance Vendas'!$A$126,'Consulta Contratos'!$H:$H,"Ativo",'Consulta Contratos'!$J:$J,$A128)</f>
        <v>341500</v>
      </c>
      <c r="G128" s="197">
        <f>SUMIFS('Consulta Contratos'!$Z:$Z,'Consulta Contratos'!$AM:$AM,'Performance Vendas'!G$122,'Consulta Contratos'!$AU:$AU,'Performance Vendas'!$A$126,'Consulta Contratos'!$H:$H,"Ativo",'Consulta Contratos'!$J:$J,$A128)</f>
        <v>0</v>
      </c>
      <c r="H128" s="197">
        <f>SUMIFS('Consulta Contratos'!$Z:$Z,'Consulta Contratos'!$AM:$AM,'Performance Vendas'!H$122,'Consulta Contratos'!$AU:$AU,'Performance Vendas'!$A$126,'Consulta Contratos'!$H:$H,"Ativo",'Consulta Contratos'!$J:$J,$A128)</f>
        <v>2188000</v>
      </c>
      <c r="I128" s="197">
        <f>SUMIFS('Consulta Contratos'!$Z:$Z,'Consulta Contratos'!$AM:$AM,'Performance Vendas'!I$122,'Consulta Contratos'!$AU:$AU,'Performance Vendas'!$A$126,'Consulta Contratos'!$H:$H,"Ativo",'Consulta Contratos'!$J:$J,$A128)</f>
        <v>1470000</v>
      </c>
      <c r="J128" s="198">
        <f t="shared" si="232"/>
        <v>3999500</v>
      </c>
      <c r="K128" s="197">
        <f>SUMIFS('Consulta Contratos'!$Z:$Z,'Consulta Contratos'!$AM:$AM,'Performance Vendas'!K$122,'Consulta Contratos'!$AU:$AU,'Performance Vendas'!$A$126,'Consulta Contratos'!$H:$H,"Ativo",'Consulta Contratos'!$J:$J,$A128)</f>
        <v>673200</v>
      </c>
      <c r="L128" s="197">
        <f>SUMIFS('Consulta Contratos'!$Z:$Z,'Consulta Contratos'!$AM:$AM,'Performance Vendas'!L$122,'Consulta Contratos'!$AU:$AU,'Performance Vendas'!$A$126,'Consulta Contratos'!$H:$H,"Ativo",'Consulta Contratos'!$J:$J,$A128)</f>
        <v>0</v>
      </c>
      <c r="M128" s="197">
        <f>SUMIFS('Consulta Contratos'!$Z:$Z,'Consulta Contratos'!$AM:$AM,'Performance Vendas'!M$122,'Consulta Contratos'!$AU:$AU,'Performance Vendas'!$A$126,'Consulta Contratos'!$H:$H,"Ativo",'Consulta Contratos'!$J:$J,$A128)</f>
        <v>847000</v>
      </c>
      <c r="N128" s="197">
        <f>SUMIFS('Consulta Contratos'!$Z:$Z,'Consulta Contratos'!$AM:$AM,'Performance Vendas'!N$122,'Consulta Contratos'!$AU:$AU,'Performance Vendas'!$A$126,'Consulta Contratos'!$H:$H,"Ativo",'Consulta Contratos'!$J:$J,$A128)</f>
        <v>0</v>
      </c>
      <c r="O128" s="197">
        <f>SUMIFS('Consulta Contratos'!$Z:$Z,'Consulta Contratos'!$AM:$AM,'Performance Vendas'!O$122,'Consulta Contratos'!$AU:$AU,'Performance Vendas'!$A$126,'Consulta Contratos'!$H:$H,"Ativo",'Consulta Contratos'!$J:$J,$A128)</f>
        <v>755000</v>
      </c>
      <c r="P128" s="197">
        <f>SUMIFS('Consulta Contratos'!$Z:$Z,'Consulta Contratos'!$AM:$AM,'Performance Vendas'!P$122,'Consulta Contratos'!$AU:$AU,'Performance Vendas'!$A$126,'Consulta Contratos'!$H:$H,"Ativo",'Consulta Contratos'!$J:$J,$A128)</f>
        <v>0</v>
      </c>
      <c r="Q128" s="197">
        <f>SUMIFS('Consulta Contratos'!$Z:$Z,'Consulta Contratos'!$AM:$AM,'Performance Vendas'!Q$122,'Consulta Contratos'!$AU:$AU,'Performance Vendas'!$A$126,'Consulta Contratos'!$H:$H,"Ativo",'Consulta Contratos'!$J:$J,$A128)</f>
        <v>0</v>
      </c>
      <c r="R128" s="197">
        <f>SUMIFS('Consulta Contratos'!$Z:$Z,'Consulta Contratos'!$AM:$AM,'Performance Vendas'!R$122,'Consulta Contratos'!$AU:$AU,'Performance Vendas'!$A$126,'Consulta Contratos'!$H:$H,"Ativo",'Consulta Contratos'!$J:$J,$A128)</f>
        <v>0</v>
      </c>
      <c r="S128" s="197">
        <f>SUMIFS('Consulta Contratos'!$Z:$Z,'Consulta Contratos'!$AM:$AM,'Performance Vendas'!S$122,'Consulta Contratos'!$AU:$AU,'Performance Vendas'!$A$126,'Consulta Contratos'!$H:$H,"Ativo",'Consulta Contratos'!$J:$J,$A128)</f>
        <v>0</v>
      </c>
      <c r="T128" s="197">
        <f>SUMIFS('Consulta Contratos'!$Z:$Z,'Consulta Contratos'!$AM:$AM,'Performance Vendas'!T$122,'Consulta Contratos'!$AU:$AU,'Performance Vendas'!$A$126,'Consulta Contratos'!$H:$H,"Ativo",'Consulta Contratos'!$J:$J,$A128)</f>
        <v>0</v>
      </c>
      <c r="U128" s="197">
        <f>SUMIFS('Consulta Contratos'!$Z:$Z,'Consulta Contratos'!$AM:$AM,'Performance Vendas'!U$122,'Consulta Contratos'!$AU:$AU,'Performance Vendas'!$A$126,'Consulta Contratos'!$H:$H,"Ativo",'Consulta Contratos'!$J:$J,$A128)</f>
        <v>0</v>
      </c>
      <c r="V128" s="197">
        <f>SUMIFS('Consulta Contratos'!$Z:$Z,'Consulta Contratos'!$AM:$AM,'Performance Vendas'!V$122,'Consulta Contratos'!$AU:$AU,'Performance Vendas'!$A$126,'Consulta Contratos'!$H:$H,"Ativo",'Consulta Contratos'!$J:$J,$A128)</f>
        <v>0</v>
      </c>
      <c r="W128" s="198">
        <f t="shared" si="233"/>
        <v>2275200</v>
      </c>
      <c r="X128" s="197">
        <f>SUMIFS('Consulta Contratos'!$Z:$Z,'Consulta Contratos'!$AM:$AM,'Performance Vendas'!X$122,'Consulta Contratos'!$AU:$AU,'Performance Vendas'!$A$126,'Consulta Contratos'!$H:$H,"Ativo",'Consulta Contratos'!$J:$J,$A128)</f>
        <v>0</v>
      </c>
      <c r="Y128" s="197">
        <f>SUMIFS('Consulta Contratos'!$Z:$Z,'Consulta Contratos'!$AM:$AM,'Performance Vendas'!Y$122,'Consulta Contratos'!$AU:$AU,'Performance Vendas'!$A$126,'Consulta Contratos'!$H:$H,"Ativo",'Consulta Contratos'!$J:$J,$A128)</f>
        <v>0</v>
      </c>
      <c r="Z128" s="197">
        <f>SUMIFS('Consulta Contratos'!$Z:$Z,'Consulta Contratos'!$AM:$AM,'Performance Vendas'!Z$122,'Consulta Contratos'!$AU:$AU,'Performance Vendas'!$A$126,'Consulta Contratos'!$H:$H,"Ativo",'Consulta Contratos'!$J:$J,$A128)</f>
        <v>0</v>
      </c>
      <c r="AA128" s="197">
        <f>SUMIFS('Consulta Contratos'!$Z:$Z,'Consulta Contratos'!$AM:$AM,'Performance Vendas'!AA$122,'Consulta Contratos'!$AU:$AU,'Performance Vendas'!$A$126,'Consulta Contratos'!$H:$H,"Ativo",'Consulta Contratos'!$J:$J,$A128)</f>
        <v>0</v>
      </c>
      <c r="AB128" s="197">
        <f>SUMIFS('Consulta Contratos'!$Z:$Z,'Consulta Contratos'!$AM:$AM,'Performance Vendas'!AB$122,'Consulta Contratos'!$AU:$AU,'Performance Vendas'!$A$126,'Consulta Contratos'!$H:$H,"Ativo",'Consulta Contratos'!$J:$J,$A128)</f>
        <v>0</v>
      </c>
      <c r="AC128" s="197">
        <f>SUMIFS('Consulta Contratos'!$Z:$Z,'Consulta Contratos'!$AM:$AM,'Performance Vendas'!AC$122,'Consulta Contratos'!$AU:$AU,'Performance Vendas'!$A$126,'Consulta Contratos'!$H:$H,"Ativo",'Consulta Contratos'!$J:$J,$A128)</f>
        <v>0</v>
      </c>
      <c r="AD128" s="197">
        <f>SUMIFS('Consulta Contratos'!$Z:$Z,'Consulta Contratos'!$AM:$AM,'Performance Vendas'!AD$122,'Consulta Contratos'!$AU:$AU,'Performance Vendas'!$A$126,'Consulta Contratos'!$H:$H,"Ativo",'Consulta Contratos'!$J:$J,$A128)</f>
        <v>0</v>
      </c>
      <c r="AE128" s="197">
        <f>SUMIFS('Consulta Contratos'!$Z:$Z,'Consulta Contratos'!$AM:$AM,'Performance Vendas'!AE$122,'Consulta Contratos'!$AU:$AU,'Performance Vendas'!$A$126,'Consulta Contratos'!$H:$H,"Ativo",'Consulta Contratos'!$J:$J,$A128)</f>
        <v>0</v>
      </c>
      <c r="AF128" s="197">
        <f>SUMIFS('Consulta Contratos'!$Z:$Z,'Consulta Contratos'!$AM:$AM,'Performance Vendas'!AF$122,'Consulta Contratos'!$AU:$AU,'Performance Vendas'!$A$126,'Consulta Contratos'!$H:$H,"Ativo",'Consulta Contratos'!$J:$J,$A128)</f>
        <v>0</v>
      </c>
      <c r="AG128" s="197">
        <f>SUMIFS('Consulta Contratos'!$Z:$Z,'Consulta Contratos'!$AM:$AM,'Performance Vendas'!AG$122,'Consulta Contratos'!$AU:$AU,'Performance Vendas'!$A$126,'Consulta Contratos'!$H:$H,"Ativo",'Consulta Contratos'!$J:$J,$A128)</f>
        <v>0</v>
      </c>
      <c r="AH128" s="197">
        <f>SUMIFS('Consulta Contratos'!$Z:$Z,'Consulta Contratos'!$AM:$AM,'Performance Vendas'!AH$122,'Consulta Contratos'!$AU:$AU,'Performance Vendas'!$A$126,'Consulta Contratos'!$H:$H,"Ativo",'Consulta Contratos'!$J:$J,$A128)</f>
        <v>0</v>
      </c>
      <c r="AI128" s="197">
        <f>SUMIFS('Consulta Contratos'!$Z:$Z,'Consulta Contratos'!$AM:$AM,'Performance Vendas'!AI$122,'Consulta Contratos'!$AU:$AU,'Performance Vendas'!$A$126,'Consulta Contratos'!$H:$H,"Ativo",'Consulta Contratos'!$J:$J,$A128)</f>
        <v>0</v>
      </c>
      <c r="AJ128" s="198">
        <f t="shared" si="234"/>
        <v>0</v>
      </c>
      <c r="AK128" s="197">
        <f>SUMIFS('Consulta Contratos'!$Z:$Z,'Consulta Contratos'!$AM:$AM,'Performance Vendas'!AK$122,'Consulta Contratos'!$AU:$AU,'Performance Vendas'!$A$126,'Consulta Contratos'!$H:$H,"Ativo",'Consulta Contratos'!$J:$J,$A128)</f>
        <v>0</v>
      </c>
      <c r="AL128" s="197">
        <f>SUMIFS('Consulta Contratos'!$Z:$Z,'Consulta Contratos'!$AM:$AM,'Performance Vendas'!AL$122,'Consulta Contratos'!$AU:$AU,'Performance Vendas'!$A$126,'Consulta Contratos'!$H:$H,"Ativo",'Consulta Contratos'!$J:$J,$A128)</f>
        <v>1446000</v>
      </c>
      <c r="AM128" s="197">
        <f>SUMIFS('Consulta Contratos'!$Z:$Z,'Consulta Contratos'!$AM:$AM,'Performance Vendas'!AM$122,'Consulta Contratos'!$AU:$AU,'Performance Vendas'!$A$126,'Consulta Contratos'!$H:$H,"Ativo",'Consulta Contratos'!$J:$J,$A128)</f>
        <v>0</v>
      </c>
      <c r="AN128" s="197">
        <f>SUMIFS('Consulta Contratos'!$Z:$Z,'Consulta Contratos'!$AM:$AM,'Performance Vendas'!AN$122,'Consulta Contratos'!$AU:$AU,'Performance Vendas'!$A$126,'Consulta Contratos'!$H:$H,"Ativo",'Consulta Contratos'!$J:$J,$A128)</f>
        <v>0</v>
      </c>
      <c r="AO128" s="197">
        <f>SUMIFS('Consulta Contratos'!$Z:$Z,'Consulta Contratos'!$AM:$AM,'Performance Vendas'!AO$122,'Consulta Contratos'!$AU:$AU,'Performance Vendas'!$A$126,'Consulta Contratos'!$H:$H,"Ativo",'Consulta Contratos'!$J:$J,$A128)</f>
        <v>0</v>
      </c>
      <c r="AP128" s="197">
        <f>SUMIFS('Consulta Contratos'!$Z:$Z,'Consulta Contratos'!$AM:$AM,'Performance Vendas'!AP$122,'Consulta Contratos'!$AU:$AU,'Performance Vendas'!$A$126,'Consulta Contratos'!$H:$H,"Ativo",'Consulta Contratos'!$J:$J,$A128)</f>
        <v>0</v>
      </c>
      <c r="AQ128" s="197">
        <f>SUMIFS('Consulta Contratos'!$Z:$Z,'Consulta Contratos'!$AM:$AM,'Performance Vendas'!AQ$122,'Consulta Contratos'!$AU:$AU,'Performance Vendas'!$A$126,'Consulta Contratos'!$H:$H,"Ativo",'Consulta Contratos'!$J:$J,$A128)</f>
        <v>0</v>
      </c>
      <c r="AR128" s="197">
        <f>SUMIFS('Consulta Contratos'!$Z:$Z,'Consulta Contratos'!$AM:$AM,'Performance Vendas'!AR$122,'Consulta Contratos'!$AU:$AU,'Performance Vendas'!$A$126,'Consulta Contratos'!$H:$H,"Ativo",'Consulta Contratos'!$J:$J,$A128)</f>
        <v>0</v>
      </c>
      <c r="AS128" s="197">
        <f>SUMIFS('Consulta Contratos'!$Z:$Z,'Consulta Contratos'!$AM:$AM,'Performance Vendas'!AS$122,'Consulta Contratos'!$AU:$AU,'Performance Vendas'!$A$126,'Consulta Contratos'!$H:$H,"Ativo",'Consulta Contratos'!$J:$J,$A128)</f>
        <v>0</v>
      </c>
      <c r="AT128" s="197">
        <f>SUMIFS('Consulta Contratos'!$Z:$Z,'Consulta Contratos'!$AM:$AM,'Performance Vendas'!AT$122,'Consulta Contratos'!$AU:$AU,'Performance Vendas'!$A$126,'Consulta Contratos'!$H:$H,"Ativo",'Consulta Contratos'!$J:$J,$A128)</f>
        <v>0</v>
      </c>
      <c r="AU128" s="197">
        <f>SUMIFS('Consulta Contratos'!$Z:$Z,'Consulta Contratos'!$AM:$AM,'Performance Vendas'!AU$122,'Consulta Contratos'!$AU:$AU,'Performance Vendas'!$A$126,'Consulta Contratos'!$H:$H,"Ativo",'Consulta Contratos'!$J:$J,$A128)</f>
        <v>0</v>
      </c>
      <c r="AV128" s="197">
        <f>SUMIFS('Consulta Contratos'!$Z:$Z,'Consulta Contratos'!$AM:$AM,'Performance Vendas'!AV$122,'Consulta Contratos'!$AU:$AU,'Performance Vendas'!$A$126,'Consulta Contratos'!$H:$H,"Ativo",'Consulta Contratos'!$J:$J,$A128)</f>
        <v>0</v>
      </c>
      <c r="AW128" s="198">
        <f t="shared" si="235"/>
        <v>1446000</v>
      </c>
      <c r="AX128" s="198">
        <f>AJ128+W128+J128+AW128</f>
        <v>7720700</v>
      </c>
      <c r="AY128" s="199">
        <f t="shared" si="237"/>
        <v>4.0131093495065384E-2</v>
      </c>
      <c r="AZ128" s="197">
        <f>SUMIFS('Consulta Contratos'!$Z:$Z,'Consulta Contratos'!$AM:$AM,'Performance Vendas'!AZ$122,'Consulta Contratos'!$AU:$AU,'Performance Vendas'!$A$126,'Consulta Contratos'!$H:$H,"Ativo",'Consulta Contratos'!$J:$J,$A128)</f>
        <v>676219.68</v>
      </c>
    </row>
    <row r="129" spans="1:52" s="87" customFormat="1">
      <c r="A129" s="204">
        <v>4</v>
      </c>
      <c r="B129" s="194" t="s">
        <v>135</v>
      </c>
      <c r="C129" s="195"/>
      <c r="D129" s="196"/>
      <c r="E129" s="197">
        <f>SUMIFS('Consulta Contratos'!$Z:$Z,'Consulta Contratos'!$AM:$AM,'Performance Vendas'!E$122,'Consulta Contratos'!$AU:$AU,'Performance Vendas'!$A$126,'Consulta Contratos'!$H:$H,"Ativo",'Consulta Contratos'!$J:$J,$A129)</f>
        <v>0</v>
      </c>
      <c r="F129" s="197">
        <f>SUMIFS('Consulta Contratos'!$Z:$Z,'Consulta Contratos'!$AM:$AM,'Performance Vendas'!F$122,'Consulta Contratos'!$AU:$AU,'Performance Vendas'!$A$126,'Consulta Contratos'!$H:$H,"Ativo",'Consulta Contratos'!$J:$J,$A129)</f>
        <v>963100</v>
      </c>
      <c r="G129" s="197">
        <f>SUMIFS('Consulta Contratos'!$Z:$Z,'Consulta Contratos'!$AM:$AM,'Performance Vendas'!G$122,'Consulta Contratos'!$AU:$AU,'Performance Vendas'!$A$126,'Consulta Contratos'!$H:$H,"Ativo",'Consulta Contratos'!$J:$J,$A129)</f>
        <v>1027000</v>
      </c>
      <c r="H129" s="197">
        <f>SUMIFS('Consulta Contratos'!$Z:$Z,'Consulta Contratos'!$AM:$AM,'Performance Vendas'!H$122,'Consulta Contratos'!$AU:$AU,'Performance Vendas'!$A$126,'Consulta Contratos'!$H:$H,"Ativo",'Consulta Contratos'!$J:$J,$A129)</f>
        <v>895000</v>
      </c>
      <c r="I129" s="197">
        <f>SUMIFS('Consulta Contratos'!$Z:$Z,'Consulta Contratos'!$AM:$AM,'Performance Vendas'!I$122,'Consulta Contratos'!$AU:$AU,'Performance Vendas'!$A$126,'Consulta Contratos'!$H:$H,"Ativo",'Consulta Contratos'!$J:$J,$A129)</f>
        <v>4144754</v>
      </c>
      <c r="J129" s="198">
        <f t="shared" si="232"/>
        <v>7029854</v>
      </c>
      <c r="K129" s="197">
        <f>SUMIFS('Consulta Contratos'!$Z:$Z,'Consulta Contratos'!$AM:$AM,'Performance Vendas'!K$122,'Consulta Contratos'!$AU:$AU,'Performance Vendas'!$A$126,'Consulta Contratos'!$H:$H,"Ativo",'Consulta Contratos'!$J:$J,$A129)</f>
        <v>960840</v>
      </c>
      <c r="L129" s="197">
        <f>SUMIFS('Consulta Contratos'!$Z:$Z,'Consulta Contratos'!$AM:$AM,'Performance Vendas'!L$122,'Consulta Contratos'!$AU:$AU,'Performance Vendas'!$A$126,'Consulta Contratos'!$H:$H,"Ativo",'Consulta Contratos'!$J:$J,$A129)</f>
        <v>1428000</v>
      </c>
      <c r="M129" s="197">
        <f>SUMIFS('Consulta Contratos'!$Z:$Z,'Consulta Contratos'!$AM:$AM,'Performance Vendas'!M$122,'Consulta Contratos'!$AU:$AU,'Performance Vendas'!$A$126,'Consulta Contratos'!$H:$H,"Ativo",'Consulta Contratos'!$J:$J,$A129)</f>
        <v>558840</v>
      </c>
      <c r="N129" s="197">
        <f>SUMIFS('Consulta Contratos'!$Z:$Z,'Consulta Contratos'!$AM:$AM,'Performance Vendas'!N$122,'Consulta Contratos'!$AU:$AU,'Performance Vendas'!$A$126,'Consulta Contratos'!$H:$H,"Ativo",'Consulta Contratos'!$J:$J,$A129)</f>
        <v>0</v>
      </c>
      <c r="O129" s="197">
        <f>SUMIFS('Consulta Contratos'!$Z:$Z,'Consulta Contratos'!$AM:$AM,'Performance Vendas'!O$122,'Consulta Contratos'!$AU:$AU,'Performance Vendas'!$A$126,'Consulta Contratos'!$H:$H,"Ativo",'Consulta Contratos'!$J:$J,$A129)</f>
        <v>0</v>
      </c>
      <c r="P129" s="197">
        <f>SUMIFS('Consulta Contratos'!$Z:$Z,'Consulta Contratos'!$AM:$AM,'Performance Vendas'!P$122,'Consulta Contratos'!$AU:$AU,'Performance Vendas'!$A$126,'Consulta Contratos'!$H:$H,"Ativo",'Consulta Contratos'!$J:$J,$A129)</f>
        <v>230000</v>
      </c>
      <c r="Q129" s="197">
        <f>SUMIFS('Consulta Contratos'!$Z:$Z,'Consulta Contratos'!$AM:$AM,'Performance Vendas'!Q$122,'Consulta Contratos'!$AU:$AU,'Performance Vendas'!$A$126,'Consulta Contratos'!$H:$H,"Ativo",'Consulta Contratos'!$J:$J,$A129)</f>
        <v>0</v>
      </c>
      <c r="R129" s="197">
        <f>SUMIFS('Consulta Contratos'!$Z:$Z,'Consulta Contratos'!$AM:$AM,'Performance Vendas'!R$122,'Consulta Contratos'!$AU:$AU,'Performance Vendas'!$A$126,'Consulta Contratos'!$H:$H,"Ativo",'Consulta Contratos'!$J:$J,$A129)</f>
        <v>0</v>
      </c>
      <c r="S129" s="197">
        <f>SUMIFS('Consulta Contratos'!$Z:$Z,'Consulta Contratos'!$AM:$AM,'Performance Vendas'!S$122,'Consulta Contratos'!$AU:$AU,'Performance Vendas'!$A$126,'Consulta Contratos'!$H:$H,"Ativo",'Consulta Contratos'!$J:$J,$A129)</f>
        <v>0</v>
      </c>
      <c r="T129" s="197">
        <f>SUMIFS('Consulta Contratos'!$Z:$Z,'Consulta Contratos'!$AM:$AM,'Performance Vendas'!T$122,'Consulta Contratos'!$AU:$AU,'Performance Vendas'!$A$126,'Consulta Contratos'!$H:$H,"Ativo",'Consulta Contratos'!$J:$J,$A129)</f>
        <v>0</v>
      </c>
      <c r="U129" s="197">
        <f>SUMIFS('Consulta Contratos'!$Z:$Z,'Consulta Contratos'!$AM:$AM,'Performance Vendas'!U$122,'Consulta Contratos'!$AU:$AU,'Performance Vendas'!$A$126,'Consulta Contratos'!$H:$H,"Ativo",'Consulta Contratos'!$J:$J,$A129)</f>
        <v>2379085.08</v>
      </c>
      <c r="V129" s="197">
        <f>SUMIFS('Consulta Contratos'!$Z:$Z,'Consulta Contratos'!$AM:$AM,'Performance Vendas'!V$122,'Consulta Contratos'!$AU:$AU,'Performance Vendas'!$A$126,'Consulta Contratos'!$H:$H,"Ativo",'Consulta Contratos'!$J:$J,$A129)</f>
        <v>2136045</v>
      </c>
      <c r="W129" s="198">
        <f t="shared" si="233"/>
        <v>7692810.0800000001</v>
      </c>
      <c r="X129" s="197">
        <f>SUMIFS('Consulta Contratos'!$Z:$Z,'Consulta Contratos'!$AM:$AM,'Performance Vendas'!X$122,'Consulta Contratos'!$AU:$AU,'Performance Vendas'!$A$126,'Consulta Contratos'!$H:$H,"Ativo",'Consulta Contratos'!$J:$J,$A129)</f>
        <v>0</v>
      </c>
      <c r="Y129" s="197">
        <f>SUMIFS('Consulta Contratos'!$Z:$Z,'Consulta Contratos'!$AM:$AM,'Performance Vendas'!Y$122,'Consulta Contratos'!$AU:$AU,'Performance Vendas'!$A$126,'Consulta Contratos'!$H:$H,"Ativo",'Consulta Contratos'!$J:$J,$A129)</f>
        <v>0</v>
      </c>
      <c r="Z129" s="197">
        <f>SUMIFS('Consulta Contratos'!$Z:$Z,'Consulta Contratos'!$AM:$AM,'Performance Vendas'!Z$122,'Consulta Contratos'!$AU:$AU,'Performance Vendas'!$A$126,'Consulta Contratos'!$H:$H,"Ativo",'Consulta Contratos'!$J:$J,$A129)</f>
        <v>0</v>
      </c>
      <c r="AA129" s="197">
        <f>SUMIFS('Consulta Contratos'!$Z:$Z,'Consulta Contratos'!$AM:$AM,'Performance Vendas'!AA$122,'Consulta Contratos'!$AU:$AU,'Performance Vendas'!$A$126,'Consulta Contratos'!$H:$H,"Ativo",'Consulta Contratos'!$J:$J,$A129)</f>
        <v>0</v>
      </c>
      <c r="AB129" s="197">
        <f>SUMIFS('Consulta Contratos'!$Z:$Z,'Consulta Contratos'!$AM:$AM,'Performance Vendas'!AB$122,'Consulta Contratos'!$AU:$AU,'Performance Vendas'!$A$126,'Consulta Contratos'!$H:$H,"Ativo",'Consulta Contratos'!$J:$J,$A129)</f>
        <v>339166.28</v>
      </c>
      <c r="AC129" s="197">
        <f>SUMIFS('Consulta Contratos'!$Z:$Z,'Consulta Contratos'!$AM:$AM,'Performance Vendas'!AC$122,'Consulta Contratos'!$AU:$AU,'Performance Vendas'!$A$126,'Consulta Contratos'!$H:$H,"Ativo",'Consulta Contratos'!$J:$J,$A129)</f>
        <v>751000</v>
      </c>
      <c r="AD129" s="197">
        <f>SUMIFS('Consulta Contratos'!$Z:$Z,'Consulta Contratos'!$AM:$AM,'Performance Vendas'!AD$122,'Consulta Contratos'!$AU:$AU,'Performance Vendas'!$A$126,'Consulta Contratos'!$H:$H,"Ativo",'Consulta Contratos'!$J:$J,$A129)</f>
        <v>1533500</v>
      </c>
      <c r="AE129" s="197">
        <f>SUMIFS('Consulta Contratos'!$Z:$Z,'Consulta Contratos'!$AM:$AM,'Performance Vendas'!AE$122,'Consulta Contratos'!$AU:$AU,'Performance Vendas'!$A$126,'Consulta Contratos'!$H:$H,"Ativo",'Consulta Contratos'!$J:$J,$A129)</f>
        <v>3728600.42</v>
      </c>
      <c r="AF129" s="197">
        <f>SUMIFS('Consulta Contratos'!$Z:$Z,'Consulta Contratos'!$AM:$AM,'Performance Vendas'!AF$122,'Consulta Contratos'!$AU:$AU,'Performance Vendas'!$A$126,'Consulta Contratos'!$H:$H,"Ativo",'Consulta Contratos'!$J:$J,$A129)</f>
        <v>3743060.0000000005</v>
      </c>
      <c r="AG129" s="197">
        <f>SUMIFS('Consulta Contratos'!$Z:$Z,'Consulta Contratos'!$AM:$AM,'Performance Vendas'!AG$122,'Consulta Contratos'!$AU:$AU,'Performance Vendas'!$A$126,'Consulta Contratos'!$H:$H,"Ativo",'Consulta Contratos'!$J:$J,$A129)</f>
        <v>0</v>
      </c>
      <c r="AH129" s="197">
        <f>SUMIFS('Consulta Contratos'!$Z:$Z,'Consulta Contratos'!$AM:$AM,'Performance Vendas'!AH$122,'Consulta Contratos'!$AU:$AU,'Performance Vendas'!$A$126,'Consulta Contratos'!$H:$H,"Ativo",'Consulta Contratos'!$J:$J,$A129)</f>
        <v>0</v>
      </c>
      <c r="AI129" s="197">
        <f>SUMIFS('Consulta Contratos'!$Z:$Z,'Consulta Contratos'!$AM:$AM,'Performance Vendas'!AI$122,'Consulta Contratos'!$AU:$AU,'Performance Vendas'!$A$126,'Consulta Contratos'!$H:$H,"Ativo",'Consulta Contratos'!$J:$J,$A129)</f>
        <v>0</v>
      </c>
      <c r="AJ129" s="198">
        <f t="shared" si="234"/>
        <v>10095326.700000001</v>
      </c>
      <c r="AK129" s="197">
        <f>SUMIFS('Consulta Contratos'!$Z:$Z,'Consulta Contratos'!$AM:$AM,'Performance Vendas'!AK$122,'Consulta Contratos'!$AU:$AU,'Performance Vendas'!$A$126,'Consulta Contratos'!$H:$H,"Ativo",'Consulta Contratos'!$J:$J,$A129)</f>
        <v>1821738.4</v>
      </c>
      <c r="AL129" s="197">
        <f>SUMIFS('Consulta Contratos'!$Z:$Z,'Consulta Contratos'!$AM:$AM,'Performance Vendas'!AL$122,'Consulta Contratos'!$AU:$AU,'Performance Vendas'!$A$126,'Consulta Contratos'!$H:$H,"Ativo",'Consulta Contratos'!$J:$J,$A129)</f>
        <v>0</v>
      </c>
      <c r="AM129" s="197">
        <f>SUMIFS('Consulta Contratos'!$Z:$Z,'Consulta Contratos'!$AM:$AM,'Performance Vendas'!AM$122,'Consulta Contratos'!$AU:$AU,'Performance Vendas'!$A$126,'Consulta Contratos'!$H:$H,"Ativo",'Consulta Contratos'!$J:$J,$A129)</f>
        <v>0</v>
      </c>
      <c r="AN129" s="197">
        <f>SUMIFS('Consulta Contratos'!$Z:$Z,'Consulta Contratos'!$AM:$AM,'Performance Vendas'!AN$122,'Consulta Contratos'!$AU:$AU,'Performance Vendas'!$A$126,'Consulta Contratos'!$H:$H,"Ativo",'Consulta Contratos'!$J:$J,$A129)</f>
        <v>0</v>
      </c>
      <c r="AO129" s="197">
        <f>SUMIFS('Consulta Contratos'!$Z:$Z,'Consulta Contratos'!$AM:$AM,'Performance Vendas'!AO$122,'Consulta Contratos'!$AU:$AU,'Performance Vendas'!$A$126,'Consulta Contratos'!$H:$H,"Ativo",'Consulta Contratos'!$J:$J,$A129)</f>
        <v>0</v>
      </c>
      <c r="AP129" s="197">
        <f>SUMIFS('Consulta Contratos'!$Z:$Z,'Consulta Contratos'!$AM:$AM,'Performance Vendas'!AP$122,'Consulta Contratos'!$AU:$AU,'Performance Vendas'!$A$126,'Consulta Contratos'!$H:$H,"Ativo",'Consulta Contratos'!$J:$J,$A129)</f>
        <v>0</v>
      </c>
      <c r="AQ129" s="197">
        <f>SUMIFS('Consulta Contratos'!$Z:$Z,'Consulta Contratos'!$AM:$AM,'Performance Vendas'!AQ$122,'Consulta Contratos'!$AU:$AU,'Performance Vendas'!$A$126,'Consulta Contratos'!$H:$H,"Ativo",'Consulta Contratos'!$J:$J,$A129)</f>
        <v>0</v>
      </c>
      <c r="AR129" s="197">
        <f>SUMIFS('Consulta Contratos'!$Z:$Z,'Consulta Contratos'!$AM:$AM,'Performance Vendas'!AR$122,'Consulta Contratos'!$AU:$AU,'Performance Vendas'!$A$126,'Consulta Contratos'!$H:$H,"Ativo",'Consulta Contratos'!$J:$J,$A129)</f>
        <v>0</v>
      </c>
      <c r="AS129" s="197">
        <f>SUMIFS('Consulta Contratos'!$Z:$Z,'Consulta Contratos'!$AM:$AM,'Performance Vendas'!AS$122,'Consulta Contratos'!$AU:$AU,'Performance Vendas'!$A$126,'Consulta Contratos'!$H:$H,"Ativo",'Consulta Contratos'!$J:$J,$A129)</f>
        <v>0</v>
      </c>
      <c r="AT129" s="197">
        <f>SUMIFS('Consulta Contratos'!$Z:$Z,'Consulta Contratos'!$AM:$AM,'Performance Vendas'!AT$122,'Consulta Contratos'!$AU:$AU,'Performance Vendas'!$A$126,'Consulta Contratos'!$H:$H,"Ativo",'Consulta Contratos'!$J:$J,$A129)</f>
        <v>0</v>
      </c>
      <c r="AU129" s="197">
        <f>SUMIFS('Consulta Contratos'!$Z:$Z,'Consulta Contratos'!$AM:$AM,'Performance Vendas'!AU$122,'Consulta Contratos'!$AU:$AU,'Performance Vendas'!$A$126,'Consulta Contratos'!$H:$H,"Ativo",'Consulta Contratos'!$J:$J,$A129)</f>
        <v>0</v>
      </c>
      <c r="AV129" s="197">
        <f>SUMIFS('Consulta Contratos'!$Z:$Z,'Consulta Contratos'!$AM:$AM,'Performance Vendas'!AV$122,'Consulta Contratos'!$AU:$AU,'Performance Vendas'!$A$126,'Consulta Contratos'!$H:$H,"Ativo",'Consulta Contratos'!$J:$J,$A129)</f>
        <v>0</v>
      </c>
      <c r="AW129" s="198">
        <f t="shared" si="235"/>
        <v>1821738.4</v>
      </c>
      <c r="AX129" s="198">
        <f>AJ129+W129+J129+AW129</f>
        <v>26639729.18</v>
      </c>
      <c r="AY129" s="199">
        <f t="shared" si="237"/>
        <v>0.13846949919123933</v>
      </c>
      <c r="AZ129" s="197">
        <f>SUMIFS('Consulta Contratos'!$Z:$Z,'Consulta Contratos'!$AM:$AM,'Performance Vendas'!AZ$122,'Consulta Contratos'!$AU:$AU,'Performance Vendas'!$A$126,'Consulta Contratos'!$H:$H,"Ativo",'Consulta Contratos'!$J:$J,$A129)</f>
        <v>0</v>
      </c>
    </row>
    <row r="130" spans="1:52" s="87" customFormat="1">
      <c r="A130" s="204">
        <v>6</v>
      </c>
      <c r="B130" s="200" t="s">
        <v>136</v>
      </c>
      <c r="C130" s="201"/>
      <c r="D130" s="196"/>
      <c r="E130" s="202">
        <f>SUMIFS('Consulta Contratos'!$Z:$Z,'Consulta Contratos'!$AM:$AM,'Performance Vendas'!E$122,'Consulta Contratos'!$AU:$AU,'Performance Vendas'!$A$126,'Consulta Contratos'!$H:$H,"Ativo",'Consulta Contratos'!$J:$J,$A130)</f>
        <v>342000</v>
      </c>
      <c r="F130" s="202">
        <f>SUMIFS('Consulta Contratos'!$Z:$Z,'Consulta Contratos'!$AM:$AM,'Performance Vendas'!F$122,'Consulta Contratos'!$AU:$AU,'Performance Vendas'!$A$126,'Consulta Contratos'!$H:$H,"Ativo",'Consulta Contratos'!$J:$J,$A130)</f>
        <v>1986148.2999999998</v>
      </c>
      <c r="G130" s="202">
        <f>SUMIFS('Consulta Contratos'!$Z:$Z,'Consulta Contratos'!$AM:$AM,'Performance Vendas'!G$122,'Consulta Contratos'!$AU:$AU,'Performance Vendas'!$A$126,'Consulta Contratos'!$H:$H,"Ativo",'Consulta Contratos'!$J:$J,$A130)</f>
        <v>1617039</v>
      </c>
      <c r="H130" s="202">
        <f>SUMIFS('Consulta Contratos'!$Z:$Z,'Consulta Contratos'!$AM:$AM,'Performance Vendas'!H$122,'Consulta Contratos'!$AU:$AU,'Performance Vendas'!$A$126,'Consulta Contratos'!$H:$H,"Ativo",'Consulta Contratos'!$J:$J,$A130)</f>
        <v>1669566</v>
      </c>
      <c r="I130" s="202">
        <f>SUMIFS('Consulta Contratos'!$Z:$Z,'Consulta Contratos'!$AM:$AM,'Performance Vendas'!I$122,'Consulta Contratos'!$AU:$AU,'Performance Vendas'!$A$126,'Consulta Contratos'!$H:$H,"Ativo",'Consulta Contratos'!$J:$J,$A130)</f>
        <v>2132986</v>
      </c>
      <c r="J130" s="203">
        <f t="shared" si="232"/>
        <v>7747739.2999999998</v>
      </c>
      <c r="K130" s="202">
        <f>SUMIFS('Consulta Contratos'!$Z:$Z,'Consulta Contratos'!$AM:$AM,'Performance Vendas'!K$122,'Consulta Contratos'!$AU:$AU,'Performance Vendas'!$A$126,'Consulta Contratos'!$H:$H,"Ativo",'Consulta Contratos'!$J:$J,$A130)</f>
        <v>3125344.19</v>
      </c>
      <c r="L130" s="202">
        <f>SUMIFS('Consulta Contratos'!$Z:$Z,'Consulta Contratos'!$AM:$AM,'Performance Vendas'!L$122,'Consulta Contratos'!$AU:$AU,'Performance Vendas'!$A$126,'Consulta Contratos'!$H:$H,"Ativo",'Consulta Contratos'!$J:$J,$A130)</f>
        <v>1863000</v>
      </c>
      <c r="M130" s="202">
        <f>SUMIFS('Consulta Contratos'!$Z:$Z,'Consulta Contratos'!$AM:$AM,'Performance Vendas'!M$122,'Consulta Contratos'!$AU:$AU,'Performance Vendas'!$A$126,'Consulta Contratos'!$H:$H,"Ativo",'Consulta Contratos'!$J:$J,$A130)</f>
        <v>1796500</v>
      </c>
      <c r="N130" s="202">
        <f>SUMIFS('Consulta Contratos'!$Z:$Z,'Consulta Contratos'!$AM:$AM,'Performance Vendas'!N$122,'Consulta Contratos'!$AU:$AU,'Performance Vendas'!$A$126,'Consulta Contratos'!$H:$H,"Ativo",'Consulta Contratos'!$J:$J,$A130)</f>
        <v>1464604.76</v>
      </c>
      <c r="O130" s="202">
        <f>SUMIFS('Consulta Contratos'!$Z:$Z,'Consulta Contratos'!$AM:$AM,'Performance Vendas'!O$122,'Consulta Contratos'!$AU:$AU,'Performance Vendas'!$A$126,'Consulta Contratos'!$H:$H,"Ativo",'Consulta Contratos'!$J:$J,$A130)</f>
        <v>4902811.2</v>
      </c>
      <c r="P130" s="202">
        <f>SUMIFS('Consulta Contratos'!$Z:$Z,'Consulta Contratos'!$AM:$AM,'Performance Vendas'!P$122,'Consulta Contratos'!$AU:$AU,'Performance Vendas'!$A$126,'Consulta Contratos'!$H:$H,"Ativo",'Consulta Contratos'!$J:$J,$A130)</f>
        <v>4559957.3</v>
      </c>
      <c r="Q130" s="202">
        <f>SUMIFS('Consulta Contratos'!$Z:$Z,'Consulta Contratos'!$AM:$AM,'Performance Vendas'!Q$122,'Consulta Contratos'!$AU:$AU,'Performance Vendas'!$A$126,'Consulta Contratos'!$H:$H,"Ativo",'Consulta Contratos'!$J:$J,$A130)</f>
        <v>5092758.63</v>
      </c>
      <c r="R130" s="202">
        <f>SUMIFS('Consulta Contratos'!$Z:$Z,'Consulta Contratos'!$AM:$AM,'Performance Vendas'!R$122,'Consulta Contratos'!$AU:$AU,'Performance Vendas'!$A$126,'Consulta Contratos'!$H:$H,"Ativo",'Consulta Contratos'!$J:$J,$A130)</f>
        <v>7121539.2199999988</v>
      </c>
      <c r="S130" s="202">
        <f>SUMIFS('Consulta Contratos'!$Z:$Z,'Consulta Contratos'!$AM:$AM,'Performance Vendas'!S$122,'Consulta Contratos'!$AU:$AU,'Performance Vendas'!$A$126,'Consulta Contratos'!$H:$H,"Ativo",'Consulta Contratos'!$J:$J,$A130)</f>
        <v>6447599.8399999999</v>
      </c>
      <c r="T130" s="202">
        <f>SUMIFS('Consulta Contratos'!$Z:$Z,'Consulta Contratos'!$AM:$AM,'Performance Vendas'!T$122,'Consulta Contratos'!$AU:$AU,'Performance Vendas'!$A$126,'Consulta Contratos'!$H:$H,"Ativo",'Consulta Contratos'!$J:$J,$A130)</f>
        <v>7627160</v>
      </c>
      <c r="U130" s="202">
        <f>SUMIFS('Consulta Contratos'!$Z:$Z,'Consulta Contratos'!$AM:$AM,'Performance Vendas'!U$122,'Consulta Contratos'!$AU:$AU,'Performance Vendas'!$A$126,'Consulta Contratos'!$H:$H,"Ativo",'Consulta Contratos'!$J:$J,$A130)</f>
        <v>7507132.0199999996</v>
      </c>
      <c r="V130" s="202">
        <f>SUMIFS('Consulta Contratos'!$Z:$Z,'Consulta Contratos'!$AM:$AM,'Performance Vendas'!V$122,'Consulta Contratos'!$AU:$AU,'Performance Vendas'!$A$126,'Consulta Contratos'!$H:$H,"Ativo",'Consulta Contratos'!$J:$J,$A130)</f>
        <v>3381600</v>
      </c>
      <c r="W130" s="203">
        <f t="shared" si="233"/>
        <v>54890007.159999996</v>
      </c>
      <c r="X130" s="202">
        <f>SUMIFS('Consulta Contratos'!$Z:$Z,'Consulta Contratos'!$AM:$AM,'Performance Vendas'!X$122,'Consulta Contratos'!$AU:$AU,'Performance Vendas'!$A$126,'Consulta Contratos'!$H:$H,"Ativo",'Consulta Contratos'!$J:$J,$A130)</f>
        <v>3322821.96</v>
      </c>
      <c r="Y130" s="202">
        <f>SUMIFS('Consulta Contratos'!$Z:$Z,'Consulta Contratos'!$AM:$AM,'Performance Vendas'!Y$122,'Consulta Contratos'!$AU:$AU,'Performance Vendas'!$A$126,'Consulta Contratos'!$H:$H,"Ativo",'Consulta Contratos'!$J:$J,$A130)</f>
        <v>4083584.23</v>
      </c>
      <c r="Z130" s="202">
        <f>SUMIFS('Consulta Contratos'!$Z:$Z,'Consulta Contratos'!$AM:$AM,'Performance Vendas'!Z$122,'Consulta Contratos'!$AU:$AU,'Performance Vendas'!$A$126,'Consulta Contratos'!$H:$H,"Ativo",'Consulta Contratos'!$J:$J,$A130)</f>
        <v>2031784</v>
      </c>
      <c r="AA130" s="202">
        <f>SUMIFS('Consulta Contratos'!$Z:$Z,'Consulta Contratos'!$AM:$AM,'Performance Vendas'!AA$122,'Consulta Contratos'!$AU:$AU,'Performance Vendas'!$A$126,'Consulta Contratos'!$H:$H,"Ativo",'Consulta Contratos'!$J:$J,$A130)</f>
        <v>4365520</v>
      </c>
      <c r="AB130" s="202">
        <f>SUMIFS('Consulta Contratos'!$Z:$Z,'Consulta Contratos'!$AM:$AM,'Performance Vendas'!AB$122,'Consulta Contratos'!$AU:$AU,'Performance Vendas'!$A$126,'Consulta Contratos'!$H:$H,"Ativo",'Consulta Contratos'!$J:$J,$A130)</f>
        <v>1066240</v>
      </c>
      <c r="AC130" s="202">
        <f>SUMIFS('Consulta Contratos'!$Z:$Z,'Consulta Contratos'!$AM:$AM,'Performance Vendas'!AC$122,'Consulta Contratos'!$AU:$AU,'Performance Vendas'!$A$126,'Consulta Contratos'!$H:$H,"Ativo",'Consulta Contratos'!$J:$J,$A130)</f>
        <v>1379000</v>
      </c>
      <c r="AD130" s="202">
        <f>SUMIFS('Consulta Contratos'!$Z:$Z,'Consulta Contratos'!$AM:$AM,'Performance Vendas'!AD$122,'Consulta Contratos'!$AU:$AU,'Performance Vendas'!$A$126,'Consulta Contratos'!$H:$H,"Ativo",'Consulta Contratos'!$J:$J,$A130)</f>
        <v>7358470.6600000001</v>
      </c>
      <c r="AE130" s="202">
        <f>SUMIFS('Consulta Contratos'!$Z:$Z,'Consulta Contratos'!$AM:$AM,'Performance Vendas'!AE$122,'Consulta Contratos'!$AU:$AU,'Performance Vendas'!$A$126,'Consulta Contratos'!$H:$H,"Ativo",'Consulta Contratos'!$J:$J,$A130)</f>
        <v>8138261.04</v>
      </c>
      <c r="AF130" s="202">
        <f>SUMIFS('Consulta Contratos'!$Z:$Z,'Consulta Contratos'!$AM:$AM,'Performance Vendas'!AF$122,'Consulta Contratos'!$AU:$AU,'Performance Vendas'!$A$126,'Consulta Contratos'!$H:$H,"Ativo",'Consulta Contratos'!$J:$J,$A130)</f>
        <v>3752850.31</v>
      </c>
      <c r="AG130" s="202">
        <f>SUMIFS('Consulta Contratos'!$Z:$Z,'Consulta Contratos'!$AM:$AM,'Performance Vendas'!AG$122,'Consulta Contratos'!$AU:$AU,'Performance Vendas'!$A$126,'Consulta Contratos'!$H:$H,"Ativo",'Consulta Contratos'!$J:$J,$A130)</f>
        <v>0</v>
      </c>
      <c r="AH130" s="202">
        <f>SUMIFS('Consulta Contratos'!$Z:$Z,'Consulta Contratos'!$AM:$AM,'Performance Vendas'!AH$122,'Consulta Contratos'!$AU:$AU,'Performance Vendas'!$A$126,'Consulta Contratos'!$H:$H,"Ativo",'Consulta Contratos'!$J:$J,$A130)</f>
        <v>0</v>
      </c>
      <c r="AI130" s="202">
        <f>SUMIFS('Consulta Contratos'!$Z:$Z,'Consulta Contratos'!$AM:$AM,'Performance Vendas'!AI$122,'Consulta Contratos'!$AU:$AU,'Performance Vendas'!$A$126,'Consulta Contratos'!$H:$H,"Ativo",'Consulta Contratos'!$J:$J,$A130)</f>
        <v>0</v>
      </c>
      <c r="AJ130" s="203">
        <f t="shared" si="234"/>
        <v>35498532.200000003</v>
      </c>
      <c r="AK130" s="202">
        <f>SUMIFS('Consulta Contratos'!$Z:$Z,'Consulta Contratos'!$AM:$AM,'Performance Vendas'!AK$122,'Consulta Contratos'!$AU:$AU,'Performance Vendas'!$A$126,'Consulta Contratos'!$H:$H,"Ativo",'Consulta Contratos'!$J:$J,$A130)</f>
        <v>2975999.8</v>
      </c>
      <c r="AL130" s="202">
        <f>SUMIFS('Consulta Contratos'!$Z:$Z,'Consulta Contratos'!$AM:$AM,'Performance Vendas'!AL$122,'Consulta Contratos'!$AU:$AU,'Performance Vendas'!$A$126,'Consulta Contratos'!$H:$H,"Ativo",'Consulta Contratos'!$J:$J,$A130)</f>
        <v>3479295.31</v>
      </c>
      <c r="AM130" s="202">
        <f>SUMIFS('Consulta Contratos'!$Z:$Z,'Consulta Contratos'!$AM:$AM,'Performance Vendas'!AM$122,'Consulta Contratos'!$AU:$AU,'Performance Vendas'!$A$126,'Consulta Contratos'!$H:$H,"Ativo",'Consulta Contratos'!$J:$J,$A130)</f>
        <v>328000</v>
      </c>
      <c r="AN130" s="202">
        <f>SUMIFS('Consulta Contratos'!$Z:$Z,'Consulta Contratos'!$AM:$AM,'Performance Vendas'!AN$122,'Consulta Contratos'!$AU:$AU,'Performance Vendas'!$A$126,'Consulta Contratos'!$H:$H,"Ativo",'Consulta Contratos'!$J:$J,$A130)</f>
        <v>0</v>
      </c>
      <c r="AO130" s="202">
        <f>SUMIFS('Consulta Contratos'!$Z:$Z,'Consulta Contratos'!$AM:$AM,'Performance Vendas'!AO$122,'Consulta Contratos'!$AU:$AU,'Performance Vendas'!$A$126,'Consulta Contratos'!$H:$H,"Ativo",'Consulta Contratos'!$J:$J,$A130)</f>
        <v>0</v>
      </c>
      <c r="AP130" s="202">
        <f>SUMIFS('Consulta Contratos'!$Z:$Z,'Consulta Contratos'!$AM:$AM,'Performance Vendas'!AP$122,'Consulta Contratos'!$AU:$AU,'Performance Vendas'!$A$126,'Consulta Contratos'!$H:$H,"Ativo",'Consulta Contratos'!$J:$J,$A130)</f>
        <v>0</v>
      </c>
      <c r="AQ130" s="202">
        <f>SUMIFS('Consulta Contratos'!$Z:$Z,'Consulta Contratos'!$AM:$AM,'Performance Vendas'!AQ$122,'Consulta Contratos'!$AU:$AU,'Performance Vendas'!$A$126,'Consulta Contratos'!$H:$H,"Ativo",'Consulta Contratos'!$J:$J,$A130)</f>
        <v>0</v>
      </c>
      <c r="AR130" s="202">
        <f>SUMIFS('Consulta Contratos'!$Z:$Z,'Consulta Contratos'!$AM:$AM,'Performance Vendas'!AR$122,'Consulta Contratos'!$AU:$AU,'Performance Vendas'!$A$126,'Consulta Contratos'!$H:$H,"Ativo",'Consulta Contratos'!$J:$J,$A130)</f>
        <v>0</v>
      </c>
      <c r="AS130" s="202">
        <f>SUMIFS('Consulta Contratos'!$Z:$Z,'Consulta Contratos'!$AM:$AM,'Performance Vendas'!AS$122,'Consulta Contratos'!$AU:$AU,'Performance Vendas'!$A$126,'Consulta Contratos'!$H:$H,"Ativo",'Consulta Contratos'!$J:$J,$A130)</f>
        <v>0</v>
      </c>
      <c r="AT130" s="202">
        <f>SUMIFS('Consulta Contratos'!$Z:$Z,'Consulta Contratos'!$AM:$AM,'Performance Vendas'!AT$122,'Consulta Contratos'!$AU:$AU,'Performance Vendas'!$A$126,'Consulta Contratos'!$H:$H,"Ativo",'Consulta Contratos'!$J:$J,$A130)</f>
        <v>0</v>
      </c>
      <c r="AU130" s="202">
        <f>SUMIFS('Consulta Contratos'!$Z:$Z,'Consulta Contratos'!$AM:$AM,'Performance Vendas'!AU$122,'Consulta Contratos'!$AU:$AU,'Performance Vendas'!$A$126,'Consulta Contratos'!$H:$H,"Ativo",'Consulta Contratos'!$J:$J,$A130)</f>
        <v>0</v>
      </c>
      <c r="AV130" s="202">
        <f>SUMIFS('Consulta Contratos'!$Z:$Z,'Consulta Contratos'!$AM:$AM,'Performance Vendas'!AV$122,'Consulta Contratos'!$AU:$AU,'Performance Vendas'!$A$126,'Consulta Contratos'!$H:$H,"Ativo",'Consulta Contratos'!$J:$J,$A130)</f>
        <v>0</v>
      </c>
      <c r="AW130" s="203">
        <f t="shared" si="235"/>
        <v>6783295.1099999994</v>
      </c>
      <c r="AX130" s="203">
        <f>AJ130+W130+J130+AW130</f>
        <v>104919573.77</v>
      </c>
      <c r="AY130" s="199">
        <f t="shared" si="237"/>
        <v>0.5453569267587498</v>
      </c>
      <c r="AZ130" s="202">
        <f>SUMIFS('Consulta Contratos'!$Z:$Z,'Consulta Contratos'!$AM:$AM,'Performance Vendas'!AZ$122,'Consulta Contratos'!$AU:$AU,'Performance Vendas'!$A$126,'Consulta Contratos'!$H:$H,"Ativo",'Consulta Contratos'!$J:$J,$A130)</f>
        <v>822000</v>
      </c>
    </row>
    <row r="131" spans="1:52" s="87" customFormat="1">
      <c r="A131" s="148" t="s">
        <v>137</v>
      </c>
      <c r="B131" s="150" t="s">
        <v>20</v>
      </c>
      <c r="C131" s="151"/>
      <c r="D131" s="95"/>
      <c r="E131" s="152">
        <f>SUMIFS('Consulta Contratos'!$Z:$Z,'Consulta Contratos'!$AM:$AM,'Performance Vendas'!E$122,'Consulta Contratos'!$AU:$AU,'Performance Vendas'!$A131,'Consulta Contratos'!$H:$H,"Ativo")</f>
        <v>4911000</v>
      </c>
      <c r="F131" s="152">
        <f>SUMIFS('Consulta Contratos'!$Z:$Z,'Consulta Contratos'!$AM:$AM,'Performance Vendas'!F$122,'Consulta Contratos'!$AU:$AU,'Performance Vendas'!$A131,'Consulta Contratos'!$H:$H,"Ativo")</f>
        <v>0</v>
      </c>
      <c r="G131" s="152">
        <f>SUMIFS('Consulta Contratos'!$Z:$Z,'Consulta Contratos'!$AM:$AM,'Performance Vendas'!G$122,'Consulta Contratos'!$AU:$AU,'Performance Vendas'!$A131,'Consulta Contratos'!$H:$H,"Ativo")</f>
        <v>7053682.3600000003</v>
      </c>
      <c r="H131" s="152">
        <f>SUMIFS('Consulta Contratos'!$Z:$Z,'Consulta Contratos'!$AM:$AM,'Performance Vendas'!H$122,'Consulta Contratos'!$AU:$AU,'Performance Vendas'!$A131,'Consulta Contratos'!$H:$H,"Ativo")</f>
        <v>0</v>
      </c>
      <c r="I131" s="152">
        <f>SUMIFS('Consulta Contratos'!$Z:$Z,'Consulta Contratos'!$AM:$AM,'Performance Vendas'!I$122,'Consulta Contratos'!$AU:$AU,'Performance Vendas'!$A131,'Consulta Contratos'!$H:$H,"Ativo")</f>
        <v>4950000</v>
      </c>
      <c r="J131" s="153">
        <f t="shared" si="232"/>
        <v>16914682.359999999</v>
      </c>
      <c r="K131" s="152">
        <f>SUMIFS('Consulta Contratos'!$Z:$Z,'Consulta Contratos'!$AM:$AM,'Performance Vendas'!K$122,'Consulta Contratos'!$AU:$AU,'Performance Vendas'!$A131,'Consulta Contratos'!$H:$H,"Ativo")</f>
        <v>0</v>
      </c>
      <c r="L131" s="152">
        <f>SUMIFS('Consulta Contratos'!$Z:$Z,'Consulta Contratos'!$AM:$AM,'Performance Vendas'!L$122,'Consulta Contratos'!$AU:$AU,'Performance Vendas'!$A131,'Consulta Contratos'!$H:$H,"Ativo")</f>
        <v>0</v>
      </c>
      <c r="M131" s="152">
        <f>SUMIFS('Consulta Contratos'!$Z:$Z,'Consulta Contratos'!$AM:$AM,'Performance Vendas'!M$122,'Consulta Contratos'!$AU:$AU,'Performance Vendas'!$A131,'Consulta Contratos'!$H:$H,"Ativo")</f>
        <v>7800000</v>
      </c>
      <c r="N131" s="152">
        <f>SUMIFS('Consulta Contratos'!$Z:$Z,'Consulta Contratos'!$AM:$AM,'Performance Vendas'!N$122,'Consulta Contratos'!$AU:$AU,'Performance Vendas'!$A131,'Consulta Contratos'!$H:$H,"Ativo")</f>
        <v>0</v>
      </c>
      <c r="O131" s="152">
        <f>SUMIFS('Consulta Contratos'!$Z:$Z,'Consulta Contratos'!$AM:$AM,'Performance Vendas'!O$122,'Consulta Contratos'!$AU:$AU,'Performance Vendas'!$A131,'Consulta Contratos'!$H:$H,"Ativo")</f>
        <v>1699500</v>
      </c>
      <c r="P131" s="152">
        <f>SUMIFS('Consulta Contratos'!$Z:$Z,'Consulta Contratos'!$AM:$AM,'Performance Vendas'!P$122,'Consulta Contratos'!$AU:$AU,'Performance Vendas'!$A131,'Consulta Contratos'!$H:$H,"Ativo")</f>
        <v>0</v>
      </c>
      <c r="Q131" s="152">
        <f>SUMIFS('Consulta Contratos'!$Z:$Z,'Consulta Contratos'!$AM:$AM,'Performance Vendas'!Q$122,'Consulta Contratos'!$AU:$AU,'Performance Vendas'!$A131,'Consulta Contratos'!$H:$H,"Ativo")</f>
        <v>0</v>
      </c>
      <c r="R131" s="152">
        <f>SUMIFS('Consulta Contratos'!$Z:$Z,'Consulta Contratos'!$AM:$AM,'Performance Vendas'!R$122,'Consulta Contratos'!$AU:$AU,'Performance Vendas'!$A131,'Consulta Contratos'!$H:$H,"Ativo")</f>
        <v>0</v>
      </c>
      <c r="S131" s="152">
        <f>SUMIFS('Consulta Contratos'!$Z:$Z,'Consulta Contratos'!$AM:$AM,'Performance Vendas'!S$122,'Consulta Contratos'!$AU:$AU,'Performance Vendas'!$A131,'Consulta Contratos'!$H:$H,"Ativo")</f>
        <v>0</v>
      </c>
      <c r="T131" s="152">
        <f>SUMIFS('Consulta Contratos'!$Z:$Z,'Consulta Contratos'!$AM:$AM,'Performance Vendas'!T$122,'Consulta Contratos'!$AU:$AU,'Performance Vendas'!$A131,'Consulta Contratos'!$H:$H,"Ativo")</f>
        <v>0</v>
      </c>
      <c r="U131" s="152">
        <f>SUMIFS('Consulta Contratos'!$Z:$Z,'Consulta Contratos'!$AM:$AM,'Performance Vendas'!U$122,'Consulta Contratos'!$AU:$AU,'Performance Vendas'!$A131,'Consulta Contratos'!$H:$H,"Ativo")</f>
        <v>0</v>
      </c>
      <c r="V131" s="152">
        <f>SUMIFS('Consulta Contratos'!$Z:$Z,'Consulta Contratos'!$AM:$AM,'Performance Vendas'!V$122,'Consulta Contratos'!$AU:$AU,'Performance Vendas'!$A131,'Consulta Contratos'!$H:$H,"Ativo")</f>
        <v>9630001</v>
      </c>
      <c r="W131" s="153">
        <f t="shared" si="233"/>
        <v>19129501</v>
      </c>
      <c r="X131" s="152">
        <f>SUMIFS('Consulta Contratos'!$Z:$Z,'Consulta Contratos'!$AM:$AM,'Performance Vendas'!X$122,'Consulta Contratos'!$AU:$AU,'Performance Vendas'!$A131,'Consulta Contratos'!$H:$H,"Ativo")</f>
        <v>10157000</v>
      </c>
      <c r="Y131" s="154">
        <f>SUMIFS('Consulta Contratos'!$Z:$Z,'Consulta Contratos'!$AM:$AM,'Performance Vendas'!Y$122,'Consulta Contratos'!$AU:$AU,'Performance Vendas'!$A131,'Consulta Contratos'!$H:$H,"Ativo")</f>
        <v>0</v>
      </c>
      <c r="Z131" s="154">
        <f>SUMIFS('Consulta Contratos'!$Z:$Z,'Consulta Contratos'!$AM:$AM,'Performance Vendas'!Z$122,'Consulta Contratos'!$AU:$AU,'Performance Vendas'!$A131,'Consulta Contratos'!$H:$H,"Ativo")</f>
        <v>0</v>
      </c>
      <c r="AA131" s="154">
        <f>SUMIFS('Consulta Contratos'!$Z:$Z,'Consulta Contratos'!$AM:$AM,'Performance Vendas'!AA$122,'Consulta Contratos'!$AU:$AU,'Performance Vendas'!$A131,'Consulta Contratos'!$H:$H,"Ativo")</f>
        <v>3484000</v>
      </c>
      <c r="AB131" s="154">
        <f>SUMIFS('Consulta Contratos'!$Z:$Z,'Consulta Contratos'!$AM:$AM,'Performance Vendas'!AB$122,'Consulta Contratos'!$AU:$AU,'Performance Vendas'!$A131,'Consulta Contratos'!$H:$H,"Ativo")</f>
        <v>0</v>
      </c>
      <c r="AC131" s="154">
        <f>SUMIFS('Consulta Contratos'!$Z:$Z,'Consulta Contratos'!$AM:$AM,'Performance Vendas'!AC$122,'Consulta Contratos'!$AU:$AU,'Performance Vendas'!$A131,'Consulta Contratos'!$H:$H,"Ativo")</f>
        <v>0</v>
      </c>
      <c r="AD131" s="154">
        <f>SUMIFS('Consulta Contratos'!$Z:$Z,'Consulta Contratos'!$AM:$AM,'Performance Vendas'!AD$122,'Consulta Contratos'!$AU:$AU,'Performance Vendas'!$A131,'Consulta Contratos'!$H:$H,"Ativo")</f>
        <v>0</v>
      </c>
      <c r="AE131" s="154">
        <f>SUMIFS('Consulta Contratos'!$Z:$Z,'Consulta Contratos'!$AM:$AM,'Performance Vendas'!AE$122,'Consulta Contratos'!$AU:$AU,'Performance Vendas'!$A131,'Consulta Contratos'!$H:$H,"Ativo")</f>
        <v>0</v>
      </c>
      <c r="AF131" s="154">
        <f>SUMIFS('Consulta Contratos'!$Z:$Z,'Consulta Contratos'!$AM:$AM,'Performance Vendas'!AF$122,'Consulta Contratos'!$AU:$AU,'Performance Vendas'!$A131,'Consulta Contratos'!$H:$H,"Ativo")</f>
        <v>6344212.8300000001</v>
      </c>
      <c r="AG131" s="154">
        <f>SUMIFS('Consulta Contratos'!$Z:$Z,'Consulta Contratos'!$AM:$AM,'Performance Vendas'!AG$122,'Consulta Contratos'!$AU:$AU,'Performance Vendas'!$A131,'Consulta Contratos'!$H:$H,"Ativo")</f>
        <v>606000</v>
      </c>
      <c r="AH131" s="154">
        <f>SUMIFS('Consulta Contratos'!$Z:$Z,'Consulta Contratos'!$AM:$AM,'Performance Vendas'!AH$122,'Consulta Contratos'!$AU:$AU,'Performance Vendas'!$A131,'Consulta Contratos'!$H:$H,"Ativo")</f>
        <v>8056699.7199999997</v>
      </c>
      <c r="AI131" s="154">
        <f>SUMIFS('Consulta Contratos'!$Z:$Z,'Consulta Contratos'!$AM:$AM,'Performance Vendas'!AI$122,'Consulta Contratos'!$AU:$AU,'Performance Vendas'!$A131,'Consulta Contratos'!$H:$H,"Ativo")</f>
        <v>10931514.85</v>
      </c>
      <c r="AJ131" s="153">
        <f t="shared" si="234"/>
        <v>39579427.399999999</v>
      </c>
      <c r="AK131" s="152">
        <f>SUMIFS('Consulta Contratos'!$Z:$Z,'Consulta Contratos'!$AM:$AM,'Performance Vendas'!AK$122,'Consulta Contratos'!$AU:$AU,'Performance Vendas'!$A131,'Consulta Contratos'!$H:$H,"Ativo")</f>
        <v>4550713.6099999994</v>
      </c>
      <c r="AL131" s="154">
        <f>SUMIFS('Consulta Contratos'!$Z:$Z,'Consulta Contratos'!$AM:$AM,'Performance Vendas'!AL$122,'Consulta Contratos'!$AU:$AU,'Performance Vendas'!$A131,'Consulta Contratos'!$H:$H,"Ativo")</f>
        <v>1559000</v>
      </c>
      <c r="AM131" s="154">
        <f>SUMIFS('Consulta Contratos'!$Z:$Z,'Consulta Contratos'!$AM:$AM,'Performance Vendas'!AM$122,'Consulta Contratos'!$AU:$AU,'Performance Vendas'!$A131,'Consulta Contratos'!$H:$H,"Ativo")</f>
        <v>0</v>
      </c>
      <c r="AN131" s="154">
        <f>SUMIFS('Consulta Contratos'!$Z:$Z,'Consulta Contratos'!$AM:$AM,'Performance Vendas'!AN$122,'Consulta Contratos'!$AU:$AU,'Performance Vendas'!$A131,'Consulta Contratos'!$H:$H,"Ativo")</f>
        <v>0</v>
      </c>
      <c r="AO131" s="154">
        <f>SUMIFS('Consulta Contratos'!$Z:$Z,'Consulta Contratos'!$AM:$AM,'Performance Vendas'!AO$122,'Consulta Contratos'!$AU:$AU,'Performance Vendas'!$A131,'Consulta Contratos'!$H:$H,"Ativo")</f>
        <v>0</v>
      </c>
      <c r="AP131" s="154">
        <f>SUMIFS('Consulta Contratos'!$Z:$Z,'Consulta Contratos'!$AM:$AM,'Performance Vendas'!AP$122,'Consulta Contratos'!$AU:$AU,'Performance Vendas'!$A131,'Consulta Contratos'!$H:$H,"Ativo")</f>
        <v>0</v>
      </c>
      <c r="AQ131" s="154">
        <f>SUMIFS('Consulta Contratos'!$Z:$Z,'Consulta Contratos'!$AM:$AM,'Performance Vendas'!AQ$122,'Consulta Contratos'!$AU:$AU,'Performance Vendas'!$A131,'Consulta Contratos'!$H:$H,"Ativo")</f>
        <v>0</v>
      </c>
      <c r="AR131" s="154">
        <f>SUMIFS('Consulta Contratos'!$Z:$Z,'Consulta Contratos'!$AM:$AM,'Performance Vendas'!AR$122,'Consulta Contratos'!$AU:$AU,'Performance Vendas'!$A131,'Consulta Contratos'!$H:$H,"Ativo")</f>
        <v>0</v>
      </c>
      <c r="AS131" s="154">
        <f>SUMIFS('Consulta Contratos'!$Z:$Z,'Consulta Contratos'!$AM:$AM,'Performance Vendas'!AS$122,'Consulta Contratos'!$AU:$AU,'Performance Vendas'!$A131,'Consulta Contratos'!$H:$H,"Ativo")</f>
        <v>0</v>
      </c>
      <c r="AT131" s="154">
        <f>SUMIFS('Consulta Contratos'!$Z:$Z,'Consulta Contratos'!$AM:$AM,'Performance Vendas'!AT$122,'Consulta Contratos'!$AU:$AU,'Performance Vendas'!$A131,'Consulta Contratos'!$H:$H,"Ativo")</f>
        <v>0</v>
      </c>
      <c r="AU131" s="154">
        <f>SUMIFS('Consulta Contratos'!$Z:$Z,'Consulta Contratos'!$AM:$AM,'Performance Vendas'!AU$122,'Consulta Contratos'!$AU:$AU,'Performance Vendas'!$A131,'Consulta Contratos'!$H:$H,"Ativo")</f>
        <v>0</v>
      </c>
      <c r="AV131" s="154">
        <f>SUMIFS('Consulta Contratos'!$Z:$Z,'Consulta Contratos'!$AM:$AM,'Performance Vendas'!AV$122,'Consulta Contratos'!$AU:$AU,'Performance Vendas'!$A131,'Consulta Contratos'!$H:$H,"Ativo")</f>
        <v>0</v>
      </c>
      <c r="AW131" s="153">
        <f t="shared" si="235"/>
        <v>6109713.6099999994</v>
      </c>
      <c r="AX131" s="153">
        <f>AJ131+W131+J131+AW131</f>
        <v>81733324.36999999</v>
      </c>
      <c r="AY131" s="149">
        <f>AX131/$AX$12</f>
        <v>0.21337790651918356</v>
      </c>
      <c r="AZ131" s="154">
        <f>SUMIFS('Consulta Contratos'!$Z:$Z,'Consulta Contratos'!$AM:$AM,'Performance Vendas'!AZ$122,'Consulta Contratos'!$AU:$AU,'Performance Vendas'!$A131,'Consulta Contratos'!$H:$H,"Ativo")</f>
        <v>0</v>
      </c>
    </row>
    <row r="132" spans="1:52" s="87" customFormat="1">
      <c r="A132" s="148" t="s">
        <v>6</v>
      </c>
      <c r="B132" s="194" t="s">
        <v>132</v>
      </c>
      <c r="C132" s="195"/>
      <c r="D132" s="196"/>
      <c r="E132" s="197">
        <f>SUMIFS('Consulta Contratos'!$Z:$Z,'Consulta Contratos'!$AM:$AM,'Performance Vendas'!E$122,'Consulta Contratos'!$AU:$AU,'Performance Vendas'!$A$131,'Consulta Contratos'!$H:$H,"Ativo",'Consulta Contratos'!$J:$J,$A132)</f>
        <v>4911000</v>
      </c>
      <c r="F132" s="197">
        <f>SUMIFS('Consulta Contratos'!$Z:$Z,'Consulta Contratos'!$AM:$AM,'Performance Vendas'!F$122,'Consulta Contratos'!$AU:$AU,'Performance Vendas'!$A$131,'Consulta Contratos'!$H:$H,"Ativo",'Consulta Contratos'!$J:$J,$A132)</f>
        <v>0</v>
      </c>
      <c r="G132" s="197">
        <f>SUMIFS('Consulta Contratos'!$Z:$Z,'Consulta Contratos'!$AM:$AM,'Performance Vendas'!G$122,'Consulta Contratos'!$AU:$AU,'Performance Vendas'!$A$131,'Consulta Contratos'!$H:$H,"Ativo",'Consulta Contratos'!$J:$J,$A132)</f>
        <v>7053682.3600000003</v>
      </c>
      <c r="H132" s="197">
        <f>SUMIFS('Consulta Contratos'!$Z:$Z,'Consulta Contratos'!$AM:$AM,'Performance Vendas'!H$122,'Consulta Contratos'!$AU:$AU,'Performance Vendas'!$A$131,'Consulta Contratos'!$H:$H,"Ativo",'Consulta Contratos'!$J:$J,$A132)</f>
        <v>0</v>
      </c>
      <c r="I132" s="197">
        <f>SUMIFS('Consulta Contratos'!$Z:$Z,'Consulta Contratos'!$AM:$AM,'Performance Vendas'!I$122,'Consulta Contratos'!$AU:$AU,'Performance Vendas'!$A$131,'Consulta Contratos'!$H:$H,"Ativo",'Consulta Contratos'!$J:$J,$A132)</f>
        <v>4950000</v>
      </c>
      <c r="J132" s="198">
        <f t="shared" si="232"/>
        <v>16914682.359999999</v>
      </c>
      <c r="K132" s="197">
        <f>SUMIFS('Consulta Contratos'!$Z:$Z,'Consulta Contratos'!$AM:$AM,'Performance Vendas'!K$122,'Consulta Contratos'!$AU:$AU,'Performance Vendas'!$A$131,'Consulta Contratos'!$H:$H,"Ativo",'Consulta Contratos'!$J:$J,$A132)</f>
        <v>0</v>
      </c>
      <c r="L132" s="197">
        <f>SUMIFS('Consulta Contratos'!$Z:$Z,'Consulta Contratos'!$AM:$AM,'Performance Vendas'!L$122,'Consulta Contratos'!$AU:$AU,'Performance Vendas'!$A$131,'Consulta Contratos'!$H:$H,"Ativo",'Consulta Contratos'!$J:$J,$A132)</f>
        <v>0</v>
      </c>
      <c r="M132" s="197">
        <f>SUMIFS('Consulta Contratos'!$Z:$Z,'Consulta Contratos'!$AM:$AM,'Performance Vendas'!M$122,'Consulta Contratos'!$AU:$AU,'Performance Vendas'!$A$131,'Consulta Contratos'!$H:$H,"Ativo",'Consulta Contratos'!$J:$J,$A132)</f>
        <v>7800000</v>
      </c>
      <c r="N132" s="197">
        <f>SUMIFS('Consulta Contratos'!$Z:$Z,'Consulta Contratos'!$AM:$AM,'Performance Vendas'!N$122,'Consulta Contratos'!$AU:$AU,'Performance Vendas'!$A$131,'Consulta Contratos'!$H:$H,"Ativo",'Consulta Contratos'!$J:$J,$A132)</f>
        <v>0</v>
      </c>
      <c r="O132" s="197">
        <f>SUMIFS('Consulta Contratos'!$Z:$Z,'Consulta Contratos'!$AM:$AM,'Performance Vendas'!O$122,'Consulta Contratos'!$AU:$AU,'Performance Vendas'!$A$131,'Consulta Contratos'!$H:$H,"Ativo",'Consulta Contratos'!$J:$J,$A132)</f>
        <v>0</v>
      </c>
      <c r="P132" s="197">
        <f>SUMIFS('Consulta Contratos'!$Z:$Z,'Consulta Contratos'!$AM:$AM,'Performance Vendas'!P$122,'Consulta Contratos'!$AU:$AU,'Performance Vendas'!$A$131,'Consulta Contratos'!$H:$H,"Ativo",'Consulta Contratos'!$J:$J,$A132)</f>
        <v>0</v>
      </c>
      <c r="Q132" s="197">
        <f>SUMIFS('Consulta Contratos'!$Z:$Z,'Consulta Contratos'!$AM:$AM,'Performance Vendas'!Q$122,'Consulta Contratos'!$AU:$AU,'Performance Vendas'!$A$131,'Consulta Contratos'!$H:$H,"Ativo",'Consulta Contratos'!$J:$J,$A132)</f>
        <v>0</v>
      </c>
      <c r="R132" s="197">
        <f>SUMIFS('Consulta Contratos'!$Z:$Z,'Consulta Contratos'!$AM:$AM,'Performance Vendas'!R$122,'Consulta Contratos'!$AU:$AU,'Performance Vendas'!$A$131,'Consulta Contratos'!$H:$H,"Ativo",'Consulta Contratos'!$J:$J,$A132)</f>
        <v>0</v>
      </c>
      <c r="S132" s="197">
        <f>SUMIFS('Consulta Contratos'!$Z:$Z,'Consulta Contratos'!$AM:$AM,'Performance Vendas'!S$122,'Consulta Contratos'!$AU:$AU,'Performance Vendas'!$A$131,'Consulta Contratos'!$H:$H,"Ativo",'Consulta Contratos'!$J:$J,$A132)</f>
        <v>0</v>
      </c>
      <c r="T132" s="197">
        <f>SUMIFS('Consulta Contratos'!$Z:$Z,'Consulta Contratos'!$AM:$AM,'Performance Vendas'!T$122,'Consulta Contratos'!$AU:$AU,'Performance Vendas'!$A$131,'Consulta Contratos'!$H:$H,"Ativo",'Consulta Contratos'!$J:$J,$A132)</f>
        <v>0</v>
      </c>
      <c r="U132" s="197">
        <f>SUMIFS('Consulta Contratos'!$Z:$Z,'Consulta Contratos'!$AM:$AM,'Performance Vendas'!U$122,'Consulta Contratos'!$AU:$AU,'Performance Vendas'!$A$131,'Consulta Contratos'!$H:$H,"Ativo",'Consulta Contratos'!$J:$J,$A132)</f>
        <v>0</v>
      </c>
      <c r="V132" s="197">
        <f>SUMIFS('Consulta Contratos'!$Z:$Z,'Consulta Contratos'!$AM:$AM,'Performance Vendas'!V$122,'Consulta Contratos'!$AU:$AU,'Performance Vendas'!$A$131,'Consulta Contratos'!$H:$H,"Ativo",'Consulta Contratos'!$J:$J,$A132)</f>
        <v>9630001</v>
      </c>
      <c r="W132" s="198">
        <f t="shared" si="233"/>
        <v>17430001</v>
      </c>
      <c r="X132" s="197">
        <f>SUMIFS('Consulta Contratos'!$Z:$Z,'Consulta Contratos'!$AM:$AM,'Performance Vendas'!X$122,'Consulta Contratos'!$AU:$AU,'Performance Vendas'!$A$131,'Consulta Contratos'!$H:$H,"Ativo",'Consulta Contratos'!$J:$J,$A132)</f>
        <v>10157000</v>
      </c>
      <c r="Y132" s="197">
        <f>SUMIFS('Consulta Contratos'!$Z:$Z,'Consulta Contratos'!$AM:$AM,'Performance Vendas'!Y$122,'Consulta Contratos'!$AU:$AU,'Performance Vendas'!$A$131,'Consulta Contratos'!$H:$H,"Ativo",'Consulta Contratos'!$J:$J,$A132)</f>
        <v>0</v>
      </c>
      <c r="Z132" s="197">
        <f>SUMIFS('Consulta Contratos'!$Z:$Z,'Consulta Contratos'!$AM:$AM,'Performance Vendas'!Z$122,'Consulta Contratos'!$AU:$AU,'Performance Vendas'!$A$131,'Consulta Contratos'!$H:$H,"Ativo",'Consulta Contratos'!$J:$J,$A132)</f>
        <v>0</v>
      </c>
      <c r="AA132" s="197">
        <f>SUMIFS('Consulta Contratos'!$Z:$Z,'Consulta Contratos'!$AM:$AM,'Performance Vendas'!AA$122,'Consulta Contratos'!$AU:$AU,'Performance Vendas'!$A$131,'Consulta Contratos'!$H:$H,"Ativo",'Consulta Contratos'!$J:$J,$A132)</f>
        <v>3484000</v>
      </c>
      <c r="AB132" s="197">
        <f>SUMIFS('Consulta Contratos'!$Z:$Z,'Consulta Contratos'!$AM:$AM,'Performance Vendas'!AB$122,'Consulta Contratos'!$AU:$AU,'Performance Vendas'!$A$131,'Consulta Contratos'!$H:$H,"Ativo",'Consulta Contratos'!$J:$J,$A132)</f>
        <v>0</v>
      </c>
      <c r="AC132" s="197">
        <f>SUMIFS('Consulta Contratos'!$Z:$Z,'Consulta Contratos'!$AM:$AM,'Performance Vendas'!AC$122,'Consulta Contratos'!$AU:$AU,'Performance Vendas'!$A$131,'Consulta Contratos'!$H:$H,"Ativo",'Consulta Contratos'!$J:$J,$A132)</f>
        <v>0</v>
      </c>
      <c r="AD132" s="197">
        <f>SUMIFS('Consulta Contratos'!$Z:$Z,'Consulta Contratos'!$AM:$AM,'Performance Vendas'!AD$122,'Consulta Contratos'!$AU:$AU,'Performance Vendas'!$A$131,'Consulta Contratos'!$H:$H,"Ativo",'Consulta Contratos'!$J:$J,$A132)</f>
        <v>0</v>
      </c>
      <c r="AE132" s="197">
        <f>SUMIFS('Consulta Contratos'!$Z:$Z,'Consulta Contratos'!$AM:$AM,'Performance Vendas'!AE$122,'Consulta Contratos'!$AU:$AU,'Performance Vendas'!$A$131,'Consulta Contratos'!$H:$H,"Ativo",'Consulta Contratos'!$J:$J,$A132)</f>
        <v>0</v>
      </c>
      <c r="AF132" s="197">
        <f>SUMIFS('Consulta Contratos'!$Z:$Z,'Consulta Contratos'!$AM:$AM,'Performance Vendas'!AF$122,'Consulta Contratos'!$AU:$AU,'Performance Vendas'!$A$131,'Consulta Contratos'!$H:$H,"Ativo",'Consulta Contratos'!$J:$J,$A132)</f>
        <v>0</v>
      </c>
      <c r="AG132" s="197">
        <f>SUMIFS('Consulta Contratos'!$Z:$Z,'Consulta Contratos'!$AM:$AM,'Performance Vendas'!AG$122,'Consulta Contratos'!$AU:$AU,'Performance Vendas'!$A$131,'Consulta Contratos'!$H:$H,"Ativo",'Consulta Contratos'!$J:$J,$A132)</f>
        <v>0</v>
      </c>
      <c r="AH132" s="197">
        <f>SUMIFS('Consulta Contratos'!$Z:$Z,'Consulta Contratos'!$AM:$AM,'Performance Vendas'!AH$122,'Consulta Contratos'!$AU:$AU,'Performance Vendas'!$A$131,'Consulta Contratos'!$H:$H,"Ativo",'Consulta Contratos'!$J:$J,$A132)</f>
        <v>0</v>
      </c>
      <c r="AI132" s="197">
        <f>SUMIFS('Consulta Contratos'!$Z:$Z,'Consulta Contratos'!$AM:$AM,'Performance Vendas'!AI$122,'Consulta Contratos'!$AU:$AU,'Performance Vendas'!$A$131,'Consulta Contratos'!$H:$H,"Ativo",'Consulta Contratos'!$J:$J,$A132)</f>
        <v>0</v>
      </c>
      <c r="AJ132" s="198">
        <f t="shared" si="234"/>
        <v>13641000</v>
      </c>
      <c r="AK132" s="197">
        <f>SUMIFS('Consulta Contratos'!$Z:$Z,'Consulta Contratos'!$AM:$AM,'Performance Vendas'!AK$122,'Consulta Contratos'!$AU:$AU,'Performance Vendas'!$A$131,'Consulta Contratos'!$H:$H,"Ativo",'Consulta Contratos'!$J:$J,$A132)</f>
        <v>0</v>
      </c>
      <c r="AL132" s="197">
        <f>SUMIFS('Consulta Contratos'!$Z:$Z,'Consulta Contratos'!$AM:$AM,'Performance Vendas'!AL$122,'Consulta Contratos'!$AU:$AU,'Performance Vendas'!$A$131,'Consulta Contratos'!$H:$H,"Ativo",'Consulta Contratos'!$J:$J,$A132)</f>
        <v>0</v>
      </c>
      <c r="AM132" s="197">
        <f>SUMIFS('Consulta Contratos'!$Z:$Z,'Consulta Contratos'!$AM:$AM,'Performance Vendas'!AM$122,'Consulta Contratos'!$AU:$AU,'Performance Vendas'!$A$131,'Consulta Contratos'!$H:$H,"Ativo",'Consulta Contratos'!$J:$J,$A132)</f>
        <v>0</v>
      </c>
      <c r="AN132" s="197">
        <f>SUMIFS('Consulta Contratos'!$Z:$Z,'Consulta Contratos'!$AM:$AM,'Performance Vendas'!AN$122,'Consulta Contratos'!$AU:$AU,'Performance Vendas'!$A$131,'Consulta Contratos'!$H:$H,"Ativo",'Consulta Contratos'!$J:$J,$A132)</f>
        <v>0</v>
      </c>
      <c r="AO132" s="197">
        <f>SUMIFS('Consulta Contratos'!$Z:$Z,'Consulta Contratos'!$AM:$AM,'Performance Vendas'!AO$122,'Consulta Contratos'!$AU:$AU,'Performance Vendas'!$A$131,'Consulta Contratos'!$H:$H,"Ativo",'Consulta Contratos'!$J:$J,$A132)</f>
        <v>0</v>
      </c>
      <c r="AP132" s="197">
        <f>SUMIFS('Consulta Contratos'!$Z:$Z,'Consulta Contratos'!$AM:$AM,'Performance Vendas'!AP$122,'Consulta Contratos'!$AU:$AU,'Performance Vendas'!$A$131,'Consulta Contratos'!$H:$H,"Ativo",'Consulta Contratos'!$J:$J,$A132)</f>
        <v>0</v>
      </c>
      <c r="AQ132" s="197">
        <f>SUMIFS('Consulta Contratos'!$Z:$Z,'Consulta Contratos'!$AM:$AM,'Performance Vendas'!AQ$122,'Consulta Contratos'!$AU:$AU,'Performance Vendas'!$A$131,'Consulta Contratos'!$H:$H,"Ativo",'Consulta Contratos'!$J:$J,$A132)</f>
        <v>0</v>
      </c>
      <c r="AR132" s="197">
        <f>SUMIFS('Consulta Contratos'!$Z:$Z,'Consulta Contratos'!$AM:$AM,'Performance Vendas'!AR$122,'Consulta Contratos'!$AU:$AU,'Performance Vendas'!$A$131,'Consulta Contratos'!$H:$H,"Ativo",'Consulta Contratos'!$J:$J,$A132)</f>
        <v>0</v>
      </c>
      <c r="AS132" s="197">
        <f>SUMIFS('Consulta Contratos'!$Z:$Z,'Consulta Contratos'!$AM:$AM,'Performance Vendas'!AS$122,'Consulta Contratos'!$AU:$AU,'Performance Vendas'!$A$131,'Consulta Contratos'!$H:$H,"Ativo",'Consulta Contratos'!$J:$J,$A132)</f>
        <v>0</v>
      </c>
      <c r="AT132" s="197">
        <f>SUMIFS('Consulta Contratos'!$Z:$Z,'Consulta Contratos'!$AM:$AM,'Performance Vendas'!AT$122,'Consulta Contratos'!$AU:$AU,'Performance Vendas'!$A$131,'Consulta Contratos'!$H:$H,"Ativo",'Consulta Contratos'!$J:$J,$A132)</f>
        <v>0</v>
      </c>
      <c r="AU132" s="197">
        <f>SUMIFS('Consulta Contratos'!$Z:$Z,'Consulta Contratos'!$AM:$AM,'Performance Vendas'!AU$122,'Consulta Contratos'!$AU:$AU,'Performance Vendas'!$A$131,'Consulta Contratos'!$H:$H,"Ativo",'Consulta Contratos'!$J:$J,$A132)</f>
        <v>0</v>
      </c>
      <c r="AV132" s="197">
        <f>SUMIFS('Consulta Contratos'!$Z:$Z,'Consulta Contratos'!$AM:$AM,'Performance Vendas'!AV$122,'Consulta Contratos'!$AU:$AU,'Performance Vendas'!$A$131,'Consulta Contratos'!$H:$H,"Ativo",'Consulta Contratos'!$J:$J,$A132)</f>
        <v>0</v>
      </c>
      <c r="AW132" s="198">
        <f t="shared" si="235"/>
        <v>0</v>
      </c>
      <c r="AX132" s="198">
        <f>AJ132+W132+J132+AW132</f>
        <v>47985683.359999999</v>
      </c>
      <c r="AY132" s="199">
        <f t="shared" ref="AY132:AY135" si="238">AX132/AX$131</f>
        <v>0.58710059489043642</v>
      </c>
      <c r="AZ132" s="197">
        <f>SUMIFS('Consulta Contratos'!$Z:$Z,'Consulta Contratos'!$AM:$AM,'Performance Vendas'!AZ$122,'Consulta Contratos'!$AU:$AU,'Performance Vendas'!$A$131,'Consulta Contratos'!$H:$H,"Ativo",'Consulta Contratos'!$J:$J,$A132)</f>
        <v>0</v>
      </c>
    </row>
    <row r="133" spans="1:52" s="87" customFormat="1">
      <c r="A133" s="148">
        <v>13</v>
      </c>
      <c r="B133" s="194" t="s">
        <v>133</v>
      </c>
      <c r="C133" s="195"/>
      <c r="D133" s="196"/>
      <c r="E133" s="197">
        <f>SUMIFS('Consulta Contratos'!$Z:$Z,'Consulta Contratos'!$AM:$AM,'Performance Vendas'!E$122,'Consulta Contratos'!$AU:$AU,'Performance Vendas'!$A$131,'Consulta Contratos'!$H:$H,"Ativo",'Consulta Contratos'!$J:$J,$A133)</f>
        <v>0</v>
      </c>
      <c r="F133" s="197">
        <f>SUMIFS('Consulta Contratos'!$Z:$Z,'Consulta Contratos'!$AM:$AM,'Performance Vendas'!F$122,'Consulta Contratos'!$AU:$AU,'Performance Vendas'!$A$131,'Consulta Contratos'!$H:$H,"Ativo",'Consulta Contratos'!$J:$J,$A133)</f>
        <v>0</v>
      </c>
      <c r="G133" s="197">
        <f>SUMIFS('Consulta Contratos'!$Z:$Z,'Consulta Contratos'!$AM:$AM,'Performance Vendas'!G$122,'Consulta Contratos'!$AU:$AU,'Performance Vendas'!$A$131,'Consulta Contratos'!$H:$H,"Ativo",'Consulta Contratos'!$J:$J,$A133)</f>
        <v>0</v>
      </c>
      <c r="H133" s="197">
        <f>SUMIFS('Consulta Contratos'!$Z:$Z,'Consulta Contratos'!$AM:$AM,'Performance Vendas'!H$122,'Consulta Contratos'!$AU:$AU,'Performance Vendas'!$A$131,'Consulta Contratos'!$H:$H,"Ativo",'Consulta Contratos'!$J:$J,$A133)</f>
        <v>0</v>
      </c>
      <c r="I133" s="197">
        <f>SUMIFS('Consulta Contratos'!$Z:$Z,'Consulta Contratos'!$AM:$AM,'Performance Vendas'!I$122,'Consulta Contratos'!$AU:$AU,'Performance Vendas'!$A$131,'Consulta Contratos'!$H:$H,"Ativo",'Consulta Contratos'!$J:$J,$A133)</f>
        <v>0</v>
      </c>
      <c r="J133" s="198">
        <f t="shared" ref="J133:J134" si="239">SUM(E133:I133)</f>
        <v>0</v>
      </c>
      <c r="K133" s="197">
        <f>SUMIFS('Consulta Contratos'!$Z:$Z,'Consulta Contratos'!$AM:$AM,'Performance Vendas'!K$122,'Consulta Contratos'!$AU:$AU,'Performance Vendas'!$A$131,'Consulta Contratos'!$H:$H,"Ativo",'Consulta Contratos'!$J:$J,$A133)</f>
        <v>0</v>
      </c>
      <c r="L133" s="197">
        <f>SUMIFS('Consulta Contratos'!$Z:$Z,'Consulta Contratos'!$AM:$AM,'Performance Vendas'!L$122,'Consulta Contratos'!$AU:$AU,'Performance Vendas'!$A$131,'Consulta Contratos'!$H:$H,"Ativo",'Consulta Contratos'!$J:$J,$A133)</f>
        <v>0</v>
      </c>
      <c r="M133" s="197">
        <f>SUMIFS('Consulta Contratos'!$Z:$Z,'Consulta Contratos'!$AM:$AM,'Performance Vendas'!M$122,'Consulta Contratos'!$AU:$AU,'Performance Vendas'!$A$131,'Consulta Contratos'!$H:$H,"Ativo",'Consulta Contratos'!$J:$J,$A133)</f>
        <v>0</v>
      </c>
      <c r="N133" s="197">
        <f>SUMIFS('Consulta Contratos'!$Z:$Z,'Consulta Contratos'!$AM:$AM,'Performance Vendas'!N$122,'Consulta Contratos'!$AU:$AU,'Performance Vendas'!$A$131,'Consulta Contratos'!$H:$H,"Ativo",'Consulta Contratos'!$J:$J,$A133)</f>
        <v>0</v>
      </c>
      <c r="O133" s="197">
        <f>SUMIFS('Consulta Contratos'!$Z:$Z,'Consulta Contratos'!$AM:$AM,'Performance Vendas'!O$122,'Consulta Contratos'!$AU:$AU,'Performance Vendas'!$A$131,'Consulta Contratos'!$H:$H,"Ativo",'Consulta Contratos'!$J:$J,$A133)</f>
        <v>1699500</v>
      </c>
      <c r="P133" s="197">
        <f>SUMIFS('Consulta Contratos'!$Z:$Z,'Consulta Contratos'!$AM:$AM,'Performance Vendas'!P$122,'Consulta Contratos'!$AU:$AU,'Performance Vendas'!$A$131,'Consulta Contratos'!$H:$H,"Ativo",'Consulta Contratos'!$J:$J,$A133)</f>
        <v>0</v>
      </c>
      <c r="Q133" s="197">
        <f>SUMIFS('Consulta Contratos'!$Z:$Z,'Consulta Contratos'!$AM:$AM,'Performance Vendas'!Q$122,'Consulta Contratos'!$AU:$AU,'Performance Vendas'!$A$131,'Consulta Contratos'!$H:$H,"Ativo",'Consulta Contratos'!$J:$J,$A133)</f>
        <v>0</v>
      </c>
      <c r="R133" s="197">
        <f>SUMIFS('Consulta Contratos'!$Z:$Z,'Consulta Contratos'!$AM:$AM,'Performance Vendas'!R$122,'Consulta Contratos'!$AU:$AU,'Performance Vendas'!$A$131,'Consulta Contratos'!$H:$H,"Ativo",'Consulta Contratos'!$J:$J,$A133)</f>
        <v>0</v>
      </c>
      <c r="S133" s="197">
        <f>SUMIFS('Consulta Contratos'!$Z:$Z,'Consulta Contratos'!$AM:$AM,'Performance Vendas'!S$122,'Consulta Contratos'!$AU:$AU,'Performance Vendas'!$A$131,'Consulta Contratos'!$H:$H,"Ativo",'Consulta Contratos'!$J:$J,$A133)</f>
        <v>0</v>
      </c>
      <c r="T133" s="197">
        <f>SUMIFS('Consulta Contratos'!$Z:$Z,'Consulta Contratos'!$AM:$AM,'Performance Vendas'!T$122,'Consulta Contratos'!$AU:$AU,'Performance Vendas'!$A$131,'Consulta Contratos'!$H:$H,"Ativo",'Consulta Contratos'!$J:$J,$A133)</f>
        <v>0</v>
      </c>
      <c r="U133" s="197">
        <f>SUMIFS('Consulta Contratos'!$Z:$Z,'Consulta Contratos'!$AM:$AM,'Performance Vendas'!U$122,'Consulta Contratos'!$AU:$AU,'Performance Vendas'!$A$131,'Consulta Contratos'!$H:$H,"Ativo",'Consulta Contratos'!$J:$J,$A133)</f>
        <v>0</v>
      </c>
      <c r="V133" s="197">
        <f>SUMIFS('Consulta Contratos'!$Z:$Z,'Consulta Contratos'!$AM:$AM,'Performance Vendas'!V$122,'Consulta Contratos'!$AU:$AU,'Performance Vendas'!$A$131,'Consulta Contratos'!$H:$H,"Ativo",'Consulta Contratos'!$J:$J,$A133)</f>
        <v>0</v>
      </c>
      <c r="W133" s="198">
        <f t="shared" ref="W133:W134" si="240">SUM(K133:V133)</f>
        <v>1699500</v>
      </c>
      <c r="X133" s="197">
        <f>SUMIFS('Consulta Contratos'!$Z:$Z,'Consulta Contratos'!$AM:$AM,'Performance Vendas'!X$122,'Consulta Contratos'!$AU:$AU,'Performance Vendas'!$A$131,'Consulta Contratos'!$H:$H,"Ativo",'Consulta Contratos'!$J:$J,$A133)</f>
        <v>0</v>
      </c>
      <c r="Y133" s="197">
        <f>SUMIFS('Consulta Contratos'!$Z:$Z,'Consulta Contratos'!$AM:$AM,'Performance Vendas'!Y$122,'Consulta Contratos'!$AU:$AU,'Performance Vendas'!$A$131,'Consulta Contratos'!$H:$H,"Ativo",'Consulta Contratos'!$J:$J,$A133)</f>
        <v>0</v>
      </c>
      <c r="Z133" s="197">
        <f>SUMIFS('Consulta Contratos'!$Z:$Z,'Consulta Contratos'!$AM:$AM,'Performance Vendas'!Z$122,'Consulta Contratos'!$AU:$AU,'Performance Vendas'!$A$131,'Consulta Contratos'!$H:$H,"Ativo",'Consulta Contratos'!$J:$J,$A133)</f>
        <v>0</v>
      </c>
      <c r="AA133" s="197">
        <f>SUMIFS('Consulta Contratos'!$Z:$Z,'Consulta Contratos'!$AM:$AM,'Performance Vendas'!AA$122,'Consulta Contratos'!$AU:$AU,'Performance Vendas'!$A$131,'Consulta Contratos'!$H:$H,"Ativo",'Consulta Contratos'!$J:$J,$A133)</f>
        <v>0</v>
      </c>
      <c r="AB133" s="197">
        <f>SUMIFS('Consulta Contratos'!$Z:$Z,'Consulta Contratos'!$AM:$AM,'Performance Vendas'!AB$122,'Consulta Contratos'!$AU:$AU,'Performance Vendas'!$A$131,'Consulta Contratos'!$H:$H,"Ativo",'Consulta Contratos'!$J:$J,$A133)</f>
        <v>0</v>
      </c>
      <c r="AC133" s="197">
        <f>SUMIFS('Consulta Contratos'!$Z:$Z,'Consulta Contratos'!$AM:$AM,'Performance Vendas'!AC$122,'Consulta Contratos'!$AU:$AU,'Performance Vendas'!$A$131,'Consulta Contratos'!$H:$H,"Ativo",'Consulta Contratos'!$J:$J,$A133)</f>
        <v>0</v>
      </c>
      <c r="AD133" s="197">
        <f>SUMIFS('Consulta Contratos'!$Z:$Z,'Consulta Contratos'!$AM:$AM,'Performance Vendas'!AD$122,'Consulta Contratos'!$AU:$AU,'Performance Vendas'!$A$131,'Consulta Contratos'!$H:$H,"Ativo",'Consulta Contratos'!$J:$J,$A133)</f>
        <v>0</v>
      </c>
      <c r="AE133" s="197">
        <f>SUMIFS('Consulta Contratos'!$Z:$Z,'Consulta Contratos'!$AM:$AM,'Performance Vendas'!AE$122,'Consulta Contratos'!$AU:$AU,'Performance Vendas'!$A$131,'Consulta Contratos'!$H:$H,"Ativo",'Consulta Contratos'!$J:$J,$A133)</f>
        <v>0</v>
      </c>
      <c r="AF133" s="197">
        <f>SUMIFS('Consulta Contratos'!$Z:$Z,'Consulta Contratos'!$AM:$AM,'Performance Vendas'!AF$122,'Consulta Contratos'!$AU:$AU,'Performance Vendas'!$A$131,'Consulta Contratos'!$H:$H,"Ativo",'Consulta Contratos'!$J:$J,$A133)</f>
        <v>0</v>
      </c>
      <c r="AG133" s="197">
        <f>SUMIFS('Consulta Contratos'!$Z:$Z,'Consulta Contratos'!$AM:$AM,'Performance Vendas'!AG$122,'Consulta Contratos'!$AU:$AU,'Performance Vendas'!$A$131,'Consulta Contratos'!$H:$H,"Ativo",'Consulta Contratos'!$J:$J,$A133)</f>
        <v>0</v>
      </c>
      <c r="AH133" s="197">
        <f>SUMIFS('Consulta Contratos'!$Z:$Z,'Consulta Contratos'!$AM:$AM,'Performance Vendas'!AH$122,'Consulta Contratos'!$AU:$AU,'Performance Vendas'!$A$131,'Consulta Contratos'!$H:$H,"Ativo",'Consulta Contratos'!$J:$J,$A133)</f>
        <v>6117499.7199999997</v>
      </c>
      <c r="AI133" s="197">
        <f>SUMIFS('Consulta Contratos'!$Z:$Z,'Consulta Contratos'!$AM:$AM,'Performance Vendas'!AI$122,'Consulta Contratos'!$AU:$AU,'Performance Vendas'!$A$131,'Consulta Contratos'!$H:$H,"Ativo",'Consulta Contratos'!$J:$J,$A133)</f>
        <v>8330720</v>
      </c>
      <c r="AJ133" s="198">
        <f t="shared" ref="AJ133:AJ134" si="241">SUM(X133:AI133)</f>
        <v>14448219.719999999</v>
      </c>
      <c r="AK133" s="197">
        <f>SUMIFS('Consulta Contratos'!$Z:$Z,'Consulta Contratos'!$AM:$AM,'Performance Vendas'!AK$122,'Consulta Contratos'!$AU:$AU,'Performance Vendas'!$A$131,'Consulta Contratos'!$H:$H,"Ativo",'Consulta Contratos'!$J:$J,$A133)</f>
        <v>2994000.4</v>
      </c>
      <c r="AL133" s="197">
        <f>SUMIFS('Consulta Contratos'!$Z:$Z,'Consulta Contratos'!$AM:$AM,'Performance Vendas'!AL$122,'Consulta Contratos'!$AU:$AU,'Performance Vendas'!$A$131,'Consulta Contratos'!$H:$H,"Ativo",'Consulta Contratos'!$J:$J,$A133)</f>
        <v>1060000</v>
      </c>
      <c r="AM133" s="197">
        <f>SUMIFS('Consulta Contratos'!$Z:$Z,'Consulta Contratos'!$AM:$AM,'Performance Vendas'!AM$122,'Consulta Contratos'!$AU:$AU,'Performance Vendas'!$A$131,'Consulta Contratos'!$H:$H,"Ativo",'Consulta Contratos'!$J:$J,$A133)</f>
        <v>0</v>
      </c>
      <c r="AN133" s="197">
        <f>SUMIFS('Consulta Contratos'!$Z:$Z,'Consulta Contratos'!$AM:$AM,'Performance Vendas'!AN$122,'Consulta Contratos'!$AU:$AU,'Performance Vendas'!$A$131,'Consulta Contratos'!$H:$H,"Ativo",'Consulta Contratos'!$J:$J,$A133)</f>
        <v>0</v>
      </c>
      <c r="AO133" s="197">
        <f>SUMIFS('Consulta Contratos'!$Z:$Z,'Consulta Contratos'!$AM:$AM,'Performance Vendas'!AO$122,'Consulta Contratos'!$AU:$AU,'Performance Vendas'!$A$131,'Consulta Contratos'!$H:$H,"Ativo",'Consulta Contratos'!$J:$J,$A133)</f>
        <v>0</v>
      </c>
      <c r="AP133" s="197">
        <f>SUMIFS('Consulta Contratos'!$Z:$Z,'Consulta Contratos'!$AM:$AM,'Performance Vendas'!AP$122,'Consulta Contratos'!$AU:$AU,'Performance Vendas'!$A$131,'Consulta Contratos'!$H:$H,"Ativo",'Consulta Contratos'!$J:$J,$A133)</f>
        <v>0</v>
      </c>
      <c r="AQ133" s="197">
        <f>SUMIFS('Consulta Contratos'!$Z:$Z,'Consulta Contratos'!$AM:$AM,'Performance Vendas'!AQ$122,'Consulta Contratos'!$AU:$AU,'Performance Vendas'!$A$131,'Consulta Contratos'!$H:$H,"Ativo",'Consulta Contratos'!$J:$J,$A133)</f>
        <v>0</v>
      </c>
      <c r="AR133" s="197">
        <f>SUMIFS('Consulta Contratos'!$Z:$Z,'Consulta Contratos'!$AM:$AM,'Performance Vendas'!AR$122,'Consulta Contratos'!$AU:$AU,'Performance Vendas'!$A$131,'Consulta Contratos'!$H:$H,"Ativo",'Consulta Contratos'!$J:$J,$A133)</f>
        <v>0</v>
      </c>
      <c r="AS133" s="197">
        <f>SUMIFS('Consulta Contratos'!$Z:$Z,'Consulta Contratos'!$AM:$AM,'Performance Vendas'!AS$122,'Consulta Contratos'!$AU:$AU,'Performance Vendas'!$A$131,'Consulta Contratos'!$H:$H,"Ativo",'Consulta Contratos'!$J:$J,$A133)</f>
        <v>0</v>
      </c>
      <c r="AT133" s="197">
        <f>SUMIFS('Consulta Contratos'!$Z:$Z,'Consulta Contratos'!$AM:$AM,'Performance Vendas'!AT$122,'Consulta Contratos'!$AU:$AU,'Performance Vendas'!$A$131,'Consulta Contratos'!$H:$H,"Ativo",'Consulta Contratos'!$J:$J,$A133)</f>
        <v>0</v>
      </c>
      <c r="AU133" s="197">
        <f>SUMIFS('Consulta Contratos'!$Z:$Z,'Consulta Contratos'!$AM:$AM,'Performance Vendas'!AU$122,'Consulta Contratos'!$AU:$AU,'Performance Vendas'!$A$131,'Consulta Contratos'!$H:$H,"Ativo",'Consulta Contratos'!$J:$J,$A133)</f>
        <v>0</v>
      </c>
      <c r="AV133" s="197">
        <f>SUMIFS('Consulta Contratos'!$Z:$Z,'Consulta Contratos'!$AM:$AM,'Performance Vendas'!AV$122,'Consulta Contratos'!$AU:$AU,'Performance Vendas'!$A$131,'Consulta Contratos'!$H:$H,"Ativo",'Consulta Contratos'!$J:$J,$A133)</f>
        <v>0</v>
      </c>
      <c r="AW133" s="198">
        <f t="shared" si="235"/>
        <v>4054000.4</v>
      </c>
      <c r="AX133" s="198">
        <f>AJ133+W133+J133+AW133</f>
        <v>20201720.119999997</v>
      </c>
      <c r="AY133" s="199">
        <f t="shared" ref="AY133:AY134" si="242">AX133/AX$131</f>
        <v>0.24716626022145488</v>
      </c>
      <c r="AZ133" s="197">
        <f>SUMIFS('Consulta Contratos'!$Z:$Z,'Consulta Contratos'!$AM:$AM,'Performance Vendas'!AZ$122,'Consulta Contratos'!$AU:$AU,'Performance Vendas'!$A$131,'Consulta Contratos'!$H:$H,"Ativo",'Consulta Contratos'!$J:$J,$A133)</f>
        <v>0</v>
      </c>
    </row>
    <row r="134" spans="1:52" s="87" customFormat="1">
      <c r="A134" s="148">
        <v>4</v>
      </c>
      <c r="B134" s="375" t="s">
        <v>138</v>
      </c>
      <c r="C134" s="195"/>
      <c r="D134" s="196"/>
      <c r="E134" s="197">
        <f>SUMIFS('Consulta Contratos'!$Z:$Z,'Consulta Contratos'!$AM:$AM,'Performance Vendas'!E$122,'Consulta Contratos'!$AU:$AU,'Performance Vendas'!$A$131,'Consulta Contratos'!$H:$H,"Ativo",'Consulta Contratos'!$J:$J,$A134)</f>
        <v>0</v>
      </c>
      <c r="F134" s="197">
        <f>SUMIFS('Consulta Contratos'!$Z:$Z,'Consulta Contratos'!$AM:$AM,'Performance Vendas'!F$122,'Consulta Contratos'!$AU:$AU,'Performance Vendas'!$A$131,'Consulta Contratos'!$H:$H,"Ativo",'Consulta Contratos'!$J:$J,$A134)</f>
        <v>0</v>
      </c>
      <c r="G134" s="197">
        <f>SUMIFS('Consulta Contratos'!$Z:$Z,'Consulta Contratos'!$AM:$AM,'Performance Vendas'!G$122,'Consulta Contratos'!$AU:$AU,'Performance Vendas'!$A$131,'Consulta Contratos'!$H:$H,"Ativo",'Consulta Contratos'!$J:$J,$A134)</f>
        <v>0</v>
      </c>
      <c r="H134" s="197">
        <f>SUMIFS('Consulta Contratos'!$Z:$Z,'Consulta Contratos'!$AM:$AM,'Performance Vendas'!H$122,'Consulta Contratos'!$AU:$AU,'Performance Vendas'!$A$131,'Consulta Contratos'!$H:$H,"Ativo",'Consulta Contratos'!$J:$J,$A134)</f>
        <v>0</v>
      </c>
      <c r="I134" s="197">
        <f>SUMIFS('Consulta Contratos'!$Z:$Z,'Consulta Contratos'!$AM:$AM,'Performance Vendas'!I$122,'Consulta Contratos'!$AU:$AU,'Performance Vendas'!$A$131,'Consulta Contratos'!$H:$H,"Ativo",'Consulta Contratos'!$J:$J,$A134)</f>
        <v>0</v>
      </c>
      <c r="J134" s="198">
        <f t="shared" si="239"/>
        <v>0</v>
      </c>
      <c r="K134" s="197">
        <f>SUMIFS('Consulta Contratos'!$Z:$Z,'Consulta Contratos'!$AM:$AM,'Performance Vendas'!K$122,'Consulta Contratos'!$AU:$AU,'Performance Vendas'!$A$131,'Consulta Contratos'!$H:$H,"Ativo",'Consulta Contratos'!$J:$J,$A134)</f>
        <v>0</v>
      </c>
      <c r="L134" s="197">
        <f>SUMIFS('Consulta Contratos'!$Z:$Z,'Consulta Contratos'!$AM:$AM,'Performance Vendas'!L$122,'Consulta Contratos'!$AU:$AU,'Performance Vendas'!$A$131,'Consulta Contratos'!$H:$H,"Ativo",'Consulta Contratos'!$J:$J,$A134)</f>
        <v>0</v>
      </c>
      <c r="M134" s="197">
        <f>SUMIFS('Consulta Contratos'!$Z:$Z,'Consulta Contratos'!$AM:$AM,'Performance Vendas'!M$122,'Consulta Contratos'!$AU:$AU,'Performance Vendas'!$A$131,'Consulta Contratos'!$H:$H,"Ativo",'Consulta Contratos'!$J:$J,$A134)</f>
        <v>0</v>
      </c>
      <c r="N134" s="197">
        <f>SUMIFS('Consulta Contratos'!$Z:$Z,'Consulta Contratos'!$AM:$AM,'Performance Vendas'!N$122,'Consulta Contratos'!$AU:$AU,'Performance Vendas'!$A$131,'Consulta Contratos'!$H:$H,"Ativo",'Consulta Contratos'!$J:$J,$A134)</f>
        <v>0</v>
      </c>
      <c r="O134" s="197">
        <f>SUMIFS('Consulta Contratos'!$Z:$Z,'Consulta Contratos'!$AM:$AM,'Performance Vendas'!O$122,'Consulta Contratos'!$AU:$AU,'Performance Vendas'!$A$131,'Consulta Contratos'!$H:$H,"Ativo",'Consulta Contratos'!$J:$J,$A134)</f>
        <v>0</v>
      </c>
      <c r="P134" s="197">
        <f>SUMIFS('Consulta Contratos'!$Z:$Z,'Consulta Contratos'!$AM:$AM,'Performance Vendas'!P$122,'Consulta Contratos'!$AU:$AU,'Performance Vendas'!$A$131,'Consulta Contratos'!$H:$H,"Ativo",'Consulta Contratos'!$J:$J,$A134)</f>
        <v>0</v>
      </c>
      <c r="Q134" s="197">
        <f>SUMIFS('Consulta Contratos'!$Z:$Z,'Consulta Contratos'!$AM:$AM,'Performance Vendas'!Q$122,'Consulta Contratos'!$AU:$AU,'Performance Vendas'!$A$131,'Consulta Contratos'!$H:$H,"Ativo",'Consulta Contratos'!$J:$J,$A134)</f>
        <v>0</v>
      </c>
      <c r="R134" s="197">
        <f>SUMIFS('Consulta Contratos'!$Z:$Z,'Consulta Contratos'!$AM:$AM,'Performance Vendas'!R$122,'Consulta Contratos'!$AU:$AU,'Performance Vendas'!$A$131,'Consulta Contratos'!$H:$H,"Ativo",'Consulta Contratos'!$J:$J,$A134)</f>
        <v>0</v>
      </c>
      <c r="S134" s="197">
        <f>SUMIFS('Consulta Contratos'!$Z:$Z,'Consulta Contratos'!$AM:$AM,'Performance Vendas'!S$122,'Consulta Contratos'!$AU:$AU,'Performance Vendas'!$A$131,'Consulta Contratos'!$H:$H,"Ativo",'Consulta Contratos'!$J:$J,$A134)</f>
        <v>0</v>
      </c>
      <c r="T134" s="197">
        <f>SUMIFS('Consulta Contratos'!$Z:$Z,'Consulta Contratos'!$AM:$AM,'Performance Vendas'!T$122,'Consulta Contratos'!$AU:$AU,'Performance Vendas'!$A$131,'Consulta Contratos'!$H:$H,"Ativo",'Consulta Contratos'!$J:$J,$A134)</f>
        <v>0</v>
      </c>
      <c r="U134" s="197">
        <f>SUMIFS('Consulta Contratos'!$Z:$Z,'Consulta Contratos'!$AM:$AM,'Performance Vendas'!U$122,'Consulta Contratos'!$AU:$AU,'Performance Vendas'!$A$131,'Consulta Contratos'!$H:$H,"Ativo",'Consulta Contratos'!$J:$J,$A134)</f>
        <v>0</v>
      </c>
      <c r="V134" s="197">
        <f>SUMIFS('Consulta Contratos'!$Z:$Z,'Consulta Contratos'!$AM:$AM,'Performance Vendas'!V$122,'Consulta Contratos'!$AU:$AU,'Performance Vendas'!$A$131,'Consulta Contratos'!$H:$H,"Ativo",'Consulta Contratos'!$J:$J,$A134)</f>
        <v>0</v>
      </c>
      <c r="W134" s="198">
        <f t="shared" si="240"/>
        <v>0</v>
      </c>
      <c r="X134" s="197">
        <f>SUMIFS('Consulta Contratos'!$Z:$Z,'Consulta Contratos'!$AM:$AM,'Performance Vendas'!X$122,'Consulta Contratos'!$AU:$AU,'Performance Vendas'!$A$131,'Consulta Contratos'!$H:$H,"Ativo",'Consulta Contratos'!$J:$J,$A134)</f>
        <v>0</v>
      </c>
      <c r="Y134" s="197">
        <f>SUMIFS('Consulta Contratos'!$Z:$Z,'Consulta Contratos'!$AM:$AM,'Performance Vendas'!Y$122,'Consulta Contratos'!$AU:$AU,'Performance Vendas'!$A$131,'Consulta Contratos'!$H:$H,"Ativo",'Consulta Contratos'!$J:$J,$A134)</f>
        <v>0</v>
      </c>
      <c r="Z134" s="197">
        <f>SUMIFS('Consulta Contratos'!$Z:$Z,'Consulta Contratos'!$AM:$AM,'Performance Vendas'!Z$122,'Consulta Contratos'!$AU:$AU,'Performance Vendas'!$A$131,'Consulta Contratos'!$H:$H,"Ativo",'Consulta Contratos'!$J:$J,$A134)</f>
        <v>0</v>
      </c>
      <c r="AA134" s="197">
        <f>SUMIFS('Consulta Contratos'!$Z:$Z,'Consulta Contratos'!$AM:$AM,'Performance Vendas'!AA$122,'Consulta Contratos'!$AU:$AU,'Performance Vendas'!$A$131,'Consulta Contratos'!$H:$H,"Ativo",'Consulta Contratos'!$J:$J,$A134)</f>
        <v>0</v>
      </c>
      <c r="AB134" s="197">
        <f>SUMIFS('Consulta Contratos'!$Z:$Z,'Consulta Contratos'!$AM:$AM,'Performance Vendas'!AB$122,'Consulta Contratos'!$AU:$AU,'Performance Vendas'!$A$131,'Consulta Contratos'!$H:$H,"Ativo",'Consulta Contratos'!$J:$J,$A134)</f>
        <v>0</v>
      </c>
      <c r="AC134" s="197">
        <f>SUMIFS('Consulta Contratos'!$Z:$Z,'Consulta Contratos'!$AM:$AM,'Performance Vendas'!AC$122,'Consulta Contratos'!$AU:$AU,'Performance Vendas'!$A$131,'Consulta Contratos'!$H:$H,"Ativo",'Consulta Contratos'!$J:$J,$A134)</f>
        <v>0</v>
      </c>
      <c r="AD134" s="197">
        <f>SUMIFS('Consulta Contratos'!$Z:$Z,'Consulta Contratos'!$AM:$AM,'Performance Vendas'!AD$122,'Consulta Contratos'!$AU:$AU,'Performance Vendas'!$A$131,'Consulta Contratos'!$H:$H,"Ativo",'Consulta Contratos'!$J:$J,$A134)</f>
        <v>0</v>
      </c>
      <c r="AE134" s="197">
        <f>SUMIFS('Consulta Contratos'!$Z:$Z,'Consulta Contratos'!$AM:$AM,'Performance Vendas'!AE$122,'Consulta Contratos'!$AU:$AU,'Performance Vendas'!$A$131,'Consulta Contratos'!$H:$H,"Ativo",'Consulta Contratos'!$J:$J,$A134)</f>
        <v>0</v>
      </c>
      <c r="AF134" s="197">
        <f>SUMIFS('Consulta Contratos'!$Z:$Z,'Consulta Contratos'!$AM:$AM,'Performance Vendas'!AF$122,'Consulta Contratos'!$AU:$AU,'Performance Vendas'!$A$131,'Consulta Contratos'!$H:$H,"Ativo",'Consulta Contratos'!$J:$J,$A134)</f>
        <v>1514785</v>
      </c>
      <c r="AG134" s="197">
        <f>SUMIFS('Consulta Contratos'!$Z:$Z,'Consulta Contratos'!$AM:$AM,'Performance Vendas'!AG$122,'Consulta Contratos'!$AU:$AU,'Performance Vendas'!$A$131,'Consulta Contratos'!$H:$H,"Ativo",'Consulta Contratos'!$J:$J,$A134)</f>
        <v>606000</v>
      </c>
      <c r="AH134" s="197">
        <f>SUMIFS('Consulta Contratos'!$Z:$Z,'Consulta Contratos'!$AM:$AM,'Performance Vendas'!AH$122,'Consulta Contratos'!$AU:$AU,'Performance Vendas'!$A$131,'Consulta Contratos'!$H:$H,"Ativo",'Consulta Contratos'!$J:$J,$A134)</f>
        <v>0</v>
      </c>
      <c r="AI134" s="197">
        <f>SUMIFS('Consulta Contratos'!$Z:$Z,'Consulta Contratos'!$AM:$AM,'Performance Vendas'!AI$122,'Consulta Contratos'!$AU:$AU,'Performance Vendas'!$A$131,'Consulta Contratos'!$H:$H,"Ativo",'Consulta Contratos'!$J:$J,$A134)</f>
        <v>1101644.8500000001</v>
      </c>
      <c r="AJ134" s="198">
        <f t="shared" si="241"/>
        <v>3222429.85</v>
      </c>
      <c r="AK134" s="197">
        <f>SUMIFS('Consulta Contratos'!$Z:$Z,'Consulta Contratos'!$AM:$AM,'Performance Vendas'!AK$122,'Consulta Contratos'!$AU:$AU,'Performance Vendas'!$A$131,'Consulta Contratos'!$H:$H,"Ativo",'Consulta Contratos'!$J:$J,$A134)</f>
        <v>493713.21</v>
      </c>
      <c r="AL134" s="197">
        <f>SUMIFS('Consulta Contratos'!$Z:$Z,'Consulta Contratos'!$AM:$AM,'Performance Vendas'!AL$122,'Consulta Contratos'!$AU:$AU,'Performance Vendas'!$A$131,'Consulta Contratos'!$H:$H,"Ativo",'Consulta Contratos'!$J:$J,$A134)</f>
        <v>0</v>
      </c>
      <c r="AM134" s="197">
        <f>SUMIFS('Consulta Contratos'!$Z:$Z,'Consulta Contratos'!$AM:$AM,'Performance Vendas'!AM$122,'Consulta Contratos'!$AU:$AU,'Performance Vendas'!$A$131,'Consulta Contratos'!$H:$H,"Ativo",'Consulta Contratos'!$J:$J,$A134)</f>
        <v>0</v>
      </c>
      <c r="AN134" s="197">
        <f>SUMIFS('Consulta Contratos'!$Z:$Z,'Consulta Contratos'!$AM:$AM,'Performance Vendas'!AN$122,'Consulta Contratos'!$AU:$AU,'Performance Vendas'!$A$131,'Consulta Contratos'!$H:$H,"Ativo",'Consulta Contratos'!$J:$J,$A134)</f>
        <v>0</v>
      </c>
      <c r="AO134" s="197">
        <f>SUMIFS('Consulta Contratos'!$Z:$Z,'Consulta Contratos'!$AM:$AM,'Performance Vendas'!AO$122,'Consulta Contratos'!$AU:$AU,'Performance Vendas'!$A$131,'Consulta Contratos'!$H:$H,"Ativo",'Consulta Contratos'!$J:$J,$A134)</f>
        <v>0</v>
      </c>
      <c r="AP134" s="197">
        <f>SUMIFS('Consulta Contratos'!$Z:$Z,'Consulta Contratos'!$AM:$AM,'Performance Vendas'!AP$122,'Consulta Contratos'!$AU:$AU,'Performance Vendas'!$A$131,'Consulta Contratos'!$H:$H,"Ativo",'Consulta Contratos'!$J:$J,$A134)</f>
        <v>0</v>
      </c>
      <c r="AQ134" s="197">
        <f>SUMIFS('Consulta Contratos'!$Z:$Z,'Consulta Contratos'!$AM:$AM,'Performance Vendas'!AQ$122,'Consulta Contratos'!$AU:$AU,'Performance Vendas'!$A$131,'Consulta Contratos'!$H:$H,"Ativo",'Consulta Contratos'!$J:$J,$A134)</f>
        <v>0</v>
      </c>
      <c r="AR134" s="197">
        <f>SUMIFS('Consulta Contratos'!$Z:$Z,'Consulta Contratos'!$AM:$AM,'Performance Vendas'!AR$122,'Consulta Contratos'!$AU:$AU,'Performance Vendas'!$A$131,'Consulta Contratos'!$H:$H,"Ativo",'Consulta Contratos'!$J:$J,$A134)</f>
        <v>0</v>
      </c>
      <c r="AS134" s="197">
        <f>SUMIFS('Consulta Contratos'!$Z:$Z,'Consulta Contratos'!$AM:$AM,'Performance Vendas'!AS$122,'Consulta Contratos'!$AU:$AU,'Performance Vendas'!$A$131,'Consulta Contratos'!$H:$H,"Ativo",'Consulta Contratos'!$J:$J,$A134)</f>
        <v>0</v>
      </c>
      <c r="AT134" s="197">
        <f>SUMIFS('Consulta Contratos'!$Z:$Z,'Consulta Contratos'!$AM:$AM,'Performance Vendas'!AT$122,'Consulta Contratos'!$AU:$AU,'Performance Vendas'!$A$131,'Consulta Contratos'!$H:$H,"Ativo",'Consulta Contratos'!$J:$J,$A134)</f>
        <v>0</v>
      </c>
      <c r="AU134" s="197">
        <f>SUMIFS('Consulta Contratos'!$Z:$Z,'Consulta Contratos'!$AM:$AM,'Performance Vendas'!AU$122,'Consulta Contratos'!$AU:$AU,'Performance Vendas'!$A$131,'Consulta Contratos'!$H:$H,"Ativo",'Consulta Contratos'!$J:$J,$A134)</f>
        <v>0</v>
      </c>
      <c r="AV134" s="197">
        <f>SUMIFS('Consulta Contratos'!$Z:$Z,'Consulta Contratos'!$AM:$AM,'Performance Vendas'!AV$122,'Consulta Contratos'!$AU:$AU,'Performance Vendas'!$A$131,'Consulta Contratos'!$H:$H,"Ativo",'Consulta Contratos'!$J:$J,$A134)</f>
        <v>0</v>
      </c>
      <c r="AW134" s="198">
        <f t="shared" si="235"/>
        <v>493713.21</v>
      </c>
      <c r="AX134" s="198">
        <f>AJ134+W134+J134+AW134</f>
        <v>3716143.06</v>
      </c>
      <c r="AY134" s="199">
        <f t="shared" si="242"/>
        <v>4.5466681902932619E-2</v>
      </c>
      <c r="AZ134" s="197">
        <f>SUMIFS('Consulta Contratos'!$Z:$Z,'Consulta Contratos'!$AM:$AM,'Performance Vendas'!AZ$122,'Consulta Contratos'!$AU:$AU,'Performance Vendas'!$A$131,'Consulta Contratos'!$H:$H,"Ativo",'Consulta Contratos'!$J:$J,$A134)</f>
        <v>0</v>
      </c>
    </row>
    <row r="135" spans="1:52" s="87" customFormat="1">
      <c r="A135" s="148">
        <v>6</v>
      </c>
      <c r="B135" s="375" t="s">
        <v>136</v>
      </c>
      <c r="C135" s="195"/>
      <c r="D135" s="196"/>
      <c r="E135" s="197">
        <f>SUMIFS('Consulta Contratos'!$Z:$Z,'Consulta Contratos'!$AM:$AM,'Performance Vendas'!E$122,'Consulta Contratos'!$AU:$AU,'Performance Vendas'!$A$131,'Consulta Contratos'!$H:$H,"Ativo",'Consulta Contratos'!$J:$J,$A135)</f>
        <v>0</v>
      </c>
      <c r="F135" s="197">
        <f>SUMIFS('Consulta Contratos'!$Z:$Z,'Consulta Contratos'!$AM:$AM,'Performance Vendas'!F$122,'Consulta Contratos'!$AU:$AU,'Performance Vendas'!$A$131,'Consulta Contratos'!$H:$H,"Ativo",'Consulta Contratos'!$J:$J,$A135)</f>
        <v>0</v>
      </c>
      <c r="G135" s="197">
        <f>SUMIFS('Consulta Contratos'!$Z:$Z,'Consulta Contratos'!$AM:$AM,'Performance Vendas'!G$122,'Consulta Contratos'!$AU:$AU,'Performance Vendas'!$A$131,'Consulta Contratos'!$H:$H,"Ativo",'Consulta Contratos'!$J:$J,$A135)</f>
        <v>0</v>
      </c>
      <c r="H135" s="197">
        <f>SUMIFS('Consulta Contratos'!$Z:$Z,'Consulta Contratos'!$AM:$AM,'Performance Vendas'!H$122,'Consulta Contratos'!$AU:$AU,'Performance Vendas'!$A$131,'Consulta Contratos'!$H:$H,"Ativo",'Consulta Contratos'!$J:$J,$A135)</f>
        <v>0</v>
      </c>
      <c r="I135" s="197">
        <f>SUMIFS('Consulta Contratos'!$Z:$Z,'Consulta Contratos'!$AM:$AM,'Performance Vendas'!I$122,'Consulta Contratos'!$AU:$AU,'Performance Vendas'!$A$131,'Consulta Contratos'!$H:$H,"Ativo",'Consulta Contratos'!$J:$J,$A135)</f>
        <v>0</v>
      </c>
      <c r="J135" s="198">
        <f t="shared" si="232"/>
        <v>0</v>
      </c>
      <c r="K135" s="197">
        <f>SUMIFS('Consulta Contratos'!$Z:$Z,'Consulta Contratos'!$AM:$AM,'Performance Vendas'!K$122,'Consulta Contratos'!$AU:$AU,'Performance Vendas'!$A$131,'Consulta Contratos'!$H:$H,"Ativo",'Consulta Contratos'!$J:$J,$A135)</f>
        <v>0</v>
      </c>
      <c r="L135" s="197">
        <f>SUMIFS('Consulta Contratos'!$Z:$Z,'Consulta Contratos'!$AM:$AM,'Performance Vendas'!L$122,'Consulta Contratos'!$AU:$AU,'Performance Vendas'!$A$131,'Consulta Contratos'!$H:$H,"Ativo",'Consulta Contratos'!$J:$J,$A135)</f>
        <v>0</v>
      </c>
      <c r="M135" s="197">
        <f>SUMIFS('Consulta Contratos'!$Z:$Z,'Consulta Contratos'!$AM:$AM,'Performance Vendas'!M$122,'Consulta Contratos'!$AU:$AU,'Performance Vendas'!$A$131,'Consulta Contratos'!$H:$H,"Ativo",'Consulta Contratos'!$J:$J,$A135)</f>
        <v>0</v>
      </c>
      <c r="N135" s="197">
        <f>SUMIFS('Consulta Contratos'!$Z:$Z,'Consulta Contratos'!$AM:$AM,'Performance Vendas'!N$122,'Consulta Contratos'!$AU:$AU,'Performance Vendas'!$A$131,'Consulta Contratos'!$H:$H,"Ativo",'Consulta Contratos'!$J:$J,$A135)</f>
        <v>0</v>
      </c>
      <c r="O135" s="197">
        <f>SUMIFS('Consulta Contratos'!$Z:$Z,'Consulta Contratos'!$AM:$AM,'Performance Vendas'!O$122,'Consulta Contratos'!$AU:$AU,'Performance Vendas'!$A$131,'Consulta Contratos'!$H:$H,"Ativo",'Consulta Contratos'!$J:$J,$A135)</f>
        <v>0</v>
      </c>
      <c r="P135" s="197">
        <f>SUMIFS('Consulta Contratos'!$Z:$Z,'Consulta Contratos'!$AM:$AM,'Performance Vendas'!P$122,'Consulta Contratos'!$AU:$AU,'Performance Vendas'!$A$131,'Consulta Contratos'!$H:$H,"Ativo",'Consulta Contratos'!$J:$J,$A135)</f>
        <v>0</v>
      </c>
      <c r="Q135" s="197">
        <f>SUMIFS('Consulta Contratos'!$Z:$Z,'Consulta Contratos'!$AM:$AM,'Performance Vendas'!Q$122,'Consulta Contratos'!$AU:$AU,'Performance Vendas'!$A$131,'Consulta Contratos'!$H:$H,"Ativo",'Consulta Contratos'!$J:$J,$A135)</f>
        <v>0</v>
      </c>
      <c r="R135" s="197">
        <f>SUMIFS('Consulta Contratos'!$Z:$Z,'Consulta Contratos'!$AM:$AM,'Performance Vendas'!R$122,'Consulta Contratos'!$AU:$AU,'Performance Vendas'!$A$131,'Consulta Contratos'!$H:$H,"Ativo",'Consulta Contratos'!$J:$J,$A135)</f>
        <v>0</v>
      </c>
      <c r="S135" s="197">
        <f>SUMIFS('Consulta Contratos'!$Z:$Z,'Consulta Contratos'!$AM:$AM,'Performance Vendas'!S$122,'Consulta Contratos'!$AU:$AU,'Performance Vendas'!$A$131,'Consulta Contratos'!$H:$H,"Ativo",'Consulta Contratos'!$J:$J,$A135)</f>
        <v>0</v>
      </c>
      <c r="T135" s="197">
        <f>SUMIFS('Consulta Contratos'!$Z:$Z,'Consulta Contratos'!$AM:$AM,'Performance Vendas'!T$122,'Consulta Contratos'!$AU:$AU,'Performance Vendas'!$A$131,'Consulta Contratos'!$H:$H,"Ativo",'Consulta Contratos'!$J:$J,$A135)</f>
        <v>0</v>
      </c>
      <c r="U135" s="197">
        <f>SUMIFS('Consulta Contratos'!$Z:$Z,'Consulta Contratos'!$AM:$AM,'Performance Vendas'!U$122,'Consulta Contratos'!$AU:$AU,'Performance Vendas'!$A$131,'Consulta Contratos'!$H:$H,"Ativo",'Consulta Contratos'!$J:$J,$A135)</f>
        <v>0</v>
      </c>
      <c r="V135" s="197">
        <f>SUMIFS('Consulta Contratos'!$Z:$Z,'Consulta Contratos'!$AM:$AM,'Performance Vendas'!V$122,'Consulta Contratos'!$AU:$AU,'Performance Vendas'!$A$131,'Consulta Contratos'!$H:$H,"Ativo",'Consulta Contratos'!$J:$J,$A135)</f>
        <v>0</v>
      </c>
      <c r="W135" s="198">
        <f t="shared" si="233"/>
        <v>0</v>
      </c>
      <c r="X135" s="197">
        <f>SUMIFS('Consulta Contratos'!$Z:$Z,'Consulta Contratos'!$AM:$AM,'Performance Vendas'!X$122,'Consulta Contratos'!$AU:$AU,'Performance Vendas'!$A$131,'Consulta Contratos'!$H:$H,"Ativo",'Consulta Contratos'!$J:$J,$A135)</f>
        <v>0</v>
      </c>
      <c r="Y135" s="197">
        <f>SUMIFS('Consulta Contratos'!$Z:$Z,'Consulta Contratos'!$AM:$AM,'Performance Vendas'!Y$122,'Consulta Contratos'!$AU:$AU,'Performance Vendas'!$A$131,'Consulta Contratos'!$H:$H,"Ativo",'Consulta Contratos'!$J:$J,$A135)</f>
        <v>0</v>
      </c>
      <c r="Z135" s="197">
        <f>SUMIFS('Consulta Contratos'!$Z:$Z,'Consulta Contratos'!$AM:$AM,'Performance Vendas'!Z$122,'Consulta Contratos'!$AU:$AU,'Performance Vendas'!$A$131,'Consulta Contratos'!$H:$H,"Ativo",'Consulta Contratos'!$J:$J,$A135)</f>
        <v>0</v>
      </c>
      <c r="AA135" s="197">
        <f>SUMIFS('Consulta Contratos'!$Z:$Z,'Consulta Contratos'!$AM:$AM,'Performance Vendas'!AA$122,'Consulta Contratos'!$AU:$AU,'Performance Vendas'!$A$131,'Consulta Contratos'!$H:$H,"Ativo",'Consulta Contratos'!$J:$J,$A135)</f>
        <v>0</v>
      </c>
      <c r="AB135" s="197">
        <f>SUMIFS('Consulta Contratos'!$Z:$Z,'Consulta Contratos'!$AM:$AM,'Performance Vendas'!AB$122,'Consulta Contratos'!$AU:$AU,'Performance Vendas'!$A$131,'Consulta Contratos'!$H:$H,"Ativo",'Consulta Contratos'!$J:$J,$A135)</f>
        <v>0</v>
      </c>
      <c r="AC135" s="197">
        <f>SUMIFS('Consulta Contratos'!$Z:$Z,'Consulta Contratos'!$AM:$AM,'Performance Vendas'!AC$122,'Consulta Contratos'!$AU:$AU,'Performance Vendas'!$A$131,'Consulta Contratos'!$H:$H,"Ativo",'Consulta Contratos'!$J:$J,$A135)</f>
        <v>0</v>
      </c>
      <c r="AD135" s="197">
        <f>SUMIFS('Consulta Contratos'!$Z:$Z,'Consulta Contratos'!$AM:$AM,'Performance Vendas'!AD$122,'Consulta Contratos'!$AU:$AU,'Performance Vendas'!$A$131,'Consulta Contratos'!$H:$H,"Ativo",'Consulta Contratos'!$J:$J,$A135)</f>
        <v>0</v>
      </c>
      <c r="AE135" s="197">
        <f>SUMIFS('Consulta Contratos'!$Z:$Z,'Consulta Contratos'!$AM:$AM,'Performance Vendas'!AE$122,'Consulta Contratos'!$AU:$AU,'Performance Vendas'!$A$131,'Consulta Contratos'!$H:$H,"Ativo",'Consulta Contratos'!$J:$J,$A135)</f>
        <v>0</v>
      </c>
      <c r="AF135" s="197">
        <f>SUMIFS('Consulta Contratos'!$Z:$Z,'Consulta Contratos'!$AM:$AM,'Performance Vendas'!AF$122,'Consulta Contratos'!$AU:$AU,'Performance Vendas'!$A$131,'Consulta Contratos'!$H:$H,"Ativo",'Consulta Contratos'!$J:$J,$A135)</f>
        <v>4829427.83</v>
      </c>
      <c r="AG135" s="197">
        <f>SUMIFS('Consulta Contratos'!$Z:$Z,'Consulta Contratos'!$AM:$AM,'Performance Vendas'!AG$122,'Consulta Contratos'!$AU:$AU,'Performance Vendas'!$A$131,'Consulta Contratos'!$H:$H,"Ativo",'Consulta Contratos'!$J:$J,$A135)</f>
        <v>0</v>
      </c>
      <c r="AH135" s="197">
        <f>SUMIFS('Consulta Contratos'!$Z:$Z,'Consulta Contratos'!$AM:$AM,'Performance Vendas'!AH$122,'Consulta Contratos'!$AU:$AU,'Performance Vendas'!$A$131,'Consulta Contratos'!$H:$H,"Ativo",'Consulta Contratos'!$J:$J,$A135)</f>
        <v>1939200</v>
      </c>
      <c r="AI135" s="197">
        <f>SUMIFS('Consulta Contratos'!$Z:$Z,'Consulta Contratos'!$AM:$AM,'Performance Vendas'!AI$122,'Consulta Contratos'!$AU:$AU,'Performance Vendas'!$A$131,'Consulta Contratos'!$H:$H,"Ativo",'Consulta Contratos'!$J:$J,$A135)</f>
        <v>1499150</v>
      </c>
      <c r="AJ135" s="198">
        <f t="shared" si="234"/>
        <v>8267777.8300000001</v>
      </c>
      <c r="AK135" s="197">
        <f>SUMIFS('Consulta Contratos'!$Z:$Z,'Consulta Contratos'!$AM:$AM,'Performance Vendas'!AK$122,'Consulta Contratos'!$AU:$AU,'Performance Vendas'!$A$131,'Consulta Contratos'!$H:$H,"Ativo",'Consulta Contratos'!$J:$J,$A135)</f>
        <v>1063000</v>
      </c>
      <c r="AL135" s="197">
        <f>SUMIFS('Consulta Contratos'!$Z:$Z,'Consulta Contratos'!$AM:$AM,'Performance Vendas'!AL$122,'Consulta Contratos'!$AU:$AU,'Performance Vendas'!$A$131,'Consulta Contratos'!$H:$H,"Ativo",'Consulta Contratos'!$J:$J,$A135)</f>
        <v>499000</v>
      </c>
      <c r="AM135" s="197">
        <f>SUMIFS('Consulta Contratos'!$Z:$Z,'Consulta Contratos'!$AM:$AM,'Performance Vendas'!AM$122,'Consulta Contratos'!$AU:$AU,'Performance Vendas'!$A$131,'Consulta Contratos'!$H:$H,"Ativo",'Consulta Contratos'!$J:$J,$A135)</f>
        <v>0</v>
      </c>
      <c r="AN135" s="197">
        <f>SUMIFS('Consulta Contratos'!$Z:$Z,'Consulta Contratos'!$AM:$AM,'Performance Vendas'!AN$122,'Consulta Contratos'!$AU:$AU,'Performance Vendas'!$A$131,'Consulta Contratos'!$H:$H,"Ativo",'Consulta Contratos'!$J:$J,$A135)</f>
        <v>0</v>
      </c>
      <c r="AO135" s="197">
        <f>SUMIFS('Consulta Contratos'!$Z:$Z,'Consulta Contratos'!$AM:$AM,'Performance Vendas'!AO$122,'Consulta Contratos'!$AU:$AU,'Performance Vendas'!$A$131,'Consulta Contratos'!$H:$H,"Ativo",'Consulta Contratos'!$J:$J,$A135)</f>
        <v>0</v>
      </c>
      <c r="AP135" s="197">
        <f>SUMIFS('Consulta Contratos'!$Z:$Z,'Consulta Contratos'!$AM:$AM,'Performance Vendas'!AP$122,'Consulta Contratos'!$AU:$AU,'Performance Vendas'!$A$131,'Consulta Contratos'!$H:$H,"Ativo",'Consulta Contratos'!$J:$J,$A135)</f>
        <v>0</v>
      </c>
      <c r="AQ135" s="197">
        <f>SUMIFS('Consulta Contratos'!$Z:$Z,'Consulta Contratos'!$AM:$AM,'Performance Vendas'!AQ$122,'Consulta Contratos'!$AU:$AU,'Performance Vendas'!$A$131,'Consulta Contratos'!$H:$H,"Ativo",'Consulta Contratos'!$J:$J,$A135)</f>
        <v>0</v>
      </c>
      <c r="AR135" s="197">
        <f>SUMIFS('Consulta Contratos'!$Z:$Z,'Consulta Contratos'!$AM:$AM,'Performance Vendas'!AR$122,'Consulta Contratos'!$AU:$AU,'Performance Vendas'!$A$131,'Consulta Contratos'!$H:$H,"Ativo",'Consulta Contratos'!$J:$J,$A135)</f>
        <v>0</v>
      </c>
      <c r="AS135" s="197">
        <f>SUMIFS('Consulta Contratos'!$Z:$Z,'Consulta Contratos'!$AM:$AM,'Performance Vendas'!AS$122,'Consulta Contratos'!$AU:$AU,'Performance Vendas'!$A$131,'Consulta Contratos'!$H:$H,"Ativo",'Consulta Contratos'!$J:$J,$A135)</f>
        <v>0</v>
      </c>
      <c r="AT135" s="197">
        <f>SUMIFS('Consulta Contratos'!$Z:$Z,'Consulta Contratos'!$AM:$AM,'Performance Vendas'!AT$122,'Consulta Contratos'!$AU:$AU,'Performance Vendas'!$A$131,'Consulta Contratos'!$H:$H,"Ativo",'Consulta Contratos'!$J:$J,$A135)</f>
        <v>0</v>
      </c>
      <c r="AU135" s="197">
        <f>SUMIFS('Consulta Contratos'!$Z:$Z,'Consulta Contratos'!$AM:$AM,'Performance Vendas'!AU$122,'Consulta Contratos'!$AU:$AU,'Performance Vendas'!$A$131,'Consulta Contratos'!$H:$H,"Ativo",'Consulta Contratos'!$J:$J,$A135)</f>
        <v>0</v>
      </c>
      <c r="AV135" s="197">
        <f>SUMIFS('Consulta Contratos'!$Z:$Z,'Consulta Contratos'!$AM:$AM,'Performance Vendas'!AV$122,'Consulta Contratos'!$AU:$AU,'Performance Vendas'!$A$131,'Consulta Contratos'!$H:$H,"Ativo",'Consulta Contratos'!$J:$J,$A135)</f>
        <v>0</v>
      </c>
      <c r="AW135" s="198">
        <f t="shared" si="235"/>
        <v>1562000</v>
      </c>
      <c r="AX135" s="198">
        <f>AJ135+W135+J135+AW135</f>
        <v>9829777.8300000001</v>
      </c>
      <c r="AY135" s="199">
        <f t="shared" si="238"/>
        <v>0.12026646298517615</v>
      </c>
      <c r="AZ135" s="197">
        <f>SUMIFS('Consulta Contratos'!$Z:$Z,'Consulta Contratos'!$AM:$AM,'Performance Vendas'!AZ$122,'Consulta Contratos'!$AU:$AU,'Performance Vendas'!$A$131,'Consulta Contratos'!$H:$H,"Ativo",'Consulta Contratos'!$J:$J,$A135)</f>
        <v>0</v>
      </c>
    </row>
    <row r="136" spans="1:52">
      <c r="A136" s="148" t="s">
        <v>139</v>
      </c>
      <c r="B136" s="194" t="s">
        <v>140</v>
      </c>
      <c r="C136" s="195"/>
      <c r="D136" s="196"/>
      <c r="E136" s="197">
        <f>SUMIFS('Consulta Contratos'!$Z:$Z,'Consulta Contratos'!$AM:$AM,'Performance Vendas'!E$122,'Consulta Contratos'!$AU:$AU,'Performance Vendas'!$A136,'Consulta Contratos'!$H:$H,"Ativo")</f>
        <v>1</v>
      </c>
      <c r="F136" s="197">
        <f>SUMIFS('Consulta Contratos'!$Z:$Z,'Consulta Contratos'!$AM:$AM,'Performance Vendas'!F$122,'Consulta Contratos'!$AU:$AU,'Performance Vendas'!$A136,'Consulta Contratos'!$H:$H,"Ativo")</f>
        <v>0</v>
      </c>
      <c r="G136" s="197">
        <f>SUMIFS('Consulta Contratos'!$Z:$Z,'Consulta Contratos'!$AM:$AM,'Performance Vendas'!G$122,'Consulta Contratos'!$AU:$AU,'Performance Vendas'!$A136,'Consulta Contratos'!$H:$H,"Ativo")</f>
        <v>0</v>
      </c>
      <c r="H136" s="197">
        <f>SUMIFS('Consulta Contratos'!$Z:$Z,'Consulta Contratos'!$AM:$AM,'Performance Vendas'!H$122,'Consulta Contratos'!$AU:$AU,'Performance Vendas'!$A136,'Consulta Contratos'!$H:$H,"Ativo")</f>
        <v>0</v>
      </c>
      <c r="I136" s="197">
        <f>SUMIFS('Consulta Contratos'!$Z:$Z,'Consulta Contratos'!$AM:$AM,'Performance Vendas'!I$122,'Consulta Contratos'!$AU:$AU,'Performance Vendas'!$A136,'Consulta Contratos'!$H:$H,"Ativo")</f>
        <v>200000</v>
      </c>
      <c r="J136" s="198">
        <f t="shared" si="232"/>
        <v>200001</v>
      </c>
      <c r="K136" s="197">
        <f>SUMIFS('Consulta Contratos'!$Z:$Z,'Consulta Contratos'!$AM:$AM,'Performance Vendas'!K$122,'Consulta Contratos'!$AU:$AU,'Performance Vendas'!$A136,'Consulta Contratos'!$H:$H,"Ativo")</f>
        <v>0</v>
      </c>
      <c r="L136" s="197">
        <f>SUMIFS('Consulta Contratos'!$Z:$Z,'Consulta Contratos'!$AM:$AM,'Performance Vendas'!L$122,'Consulta Contratos'!$AU:$AU,'Performance Vendas'!$A136,'Consulta Contratos'!$H:$H,"Ativo")</f>
        <v>0</v>
      </c>
      <c r="M136" s="197">
        <f>SUMIFS('Consulta Contratos'!$Z:$Z,'Consulta Contratos'!$AM:$AM,'Performance Vendas'!M$122,'Consulta Contratos'!$AU:$AU,'Performance Vendas'!$A136,'Consulta Contratos'!$H:$H,"Ativo")</f>
        <v>200000</v>
      </c>
      <c r="N136" s="197">
        <f>SUMIFS('Consulta Contratos'!$Z:$Z,'Consulta Contratos'!$AM:$AM,'Performance Vendas'!N$122,'Consulta Contratos'!$AU:$AU,'Performance Vendas'!$A136,'Consulta Contratos'!$H:$H,"Ativo")</f>
        <v>0</v>
      </c>
      <c r="O136" s="197">
        <f>SUMIFS('Consulta Contratos'!$Z:$Z,'Consulta Contratos'!$AM:$AM,'Performance Vendas'!O$122,'Consulta Contratos'!$AU:$AU,'Performance Vendas'!$A136,'Consulta Contratos'!$H:$H,"Ativo")</f>
        <v>0</v>
      </c>
      <c r="P136" s="197">
        <f>SUMIFS('Consulta Contratos'!$Z:$Z,'Consulta Contratos'!$AM:$AM,'Performance Vendas'!P$122,'Consulta Contratos'!$AU:$AU,'Performance Vendas'!$A136,'Consulta Contratos'!$H:$H,"Ativo")</f>
        <v>0</v>
      </c>
      <c r="Q136" s="197">
        <f>SUMIFS('Consulta Contratos'!$Z:$Z,'Consulta Contratos'!$AM:$AM,'Performance Vendas'!Q$122,'Consulta Contratos'!$AU:$AU,'Performance Vendas'!$A136,'Consulta Contratos'!$H:$H,"Ativo")</f>
        <v>300000</v>
      </c>
      <c r="R136" s="197">
        <f>SUMIFS('Consulta Contratos'!$Z:$Z,'Consulta Contratos'!$AM:$AM,'Performance Vendas'!R$122,'Consulta Contratos'!$AU:$AU,'Performance Vendas'!$A136,'Consulta Contratos'!$H:$H,"Ativo")</f>
        <v>0</v>
      </c>
      <c r="S136" s="197">
        <f>SUMIFS('Consulta Contratos'!$Z:$Z,'Consulta Contratos'!$AM:$AM,'Performance Vendas'!S$122,'Consulta Contratos'!$AU:$AU,'Performance Vendas'!$A136,'Consulta Contratos'!$H:$H,"Ativo")</f>
        <v>400000</v>
      </c>
      <c r="T136" s="197">
        <f>SUMIFS('Consulta Contratos'!$Z:$Z,'Consulta Contratos'!$AM:$AM,'Performance Vendas'!T$122,'Consulta Contratos'!$AU:$AU,'Performance Vendas'!$A136,'Consulta Contratos'!$H:$H,"Ativo")</f>
        <v>0</v>
      </c>
      <c r="U136" s="197">
        <f>SUMIFS('Consulta Contratos'!$Z:$Z,'Consulta Contratos'!$AM:$AM,'Performance Vendas'!U$122,'Consulta Contratos'!$AU:$AU,'Performance Vendas'!$A136,'Consulta Contratos'!$H:$H,"Ativo")</f>
        <v>0</v>
      </c>
      <c r="V136" s="197">
        <f>SUMIFS('Consulta Contratos'!$Z:$Z,'Consulta Contratos'!$AM:$AM,'Performance Vendas'!V$122,'Consulta Contratos'!$AU:$AU,'Performance Vendas'!$A136,'Consulta Contratos'!$H:$H,"Ativo")</f>
        <v>400000</v>
      </c>
      <c r="W136" s="198">
        <f t="shared" si="233"/>
        <v>1300000</v>
      </c>
      <c r="X136" s="197">
        <f>SUMIFS('Consulta Contratos'!$Z:$Z,'Consulta Contratos'!$AM:$AM,'Performance Vendas'!X$122,'Consulta Contratos'!$AU:$AU,'Performance Vendas'!$A136,'Consulta Contratos'!$H:$H,"Ativo")</f>
        <v>200000</v>
      </c>
      <c r="Y136" s="197">
        <f>SUMIFS('Consulta Contratos'!$Z:$Z,'Consulta Contratos'!$AM:$AM,'Performance Vendas'!Y$122,'Consulta Contratos'!$AU:$AU,'Performance Vendas'!$A136,'Consulta Contratos'!$H:$H,"Ativo")</f>
        <v>0</v>
      </c>
      <c r="Z136" s="197">
        <f>SUMIFS('Consulta Contratos'!$Z:$Z,'Consulta Contratos'!$AM:$AM,'Performance Vendas'!Z$122,'Consulta Contratos'!$AU:$AU,'Performance Vendas'!$A136,'Consulta Contratos'!$H:$H,"Ativo")</f>
        <v>200000</v>
      </c>
      <c r="AA136" s="197">
        <f>SUMIFS('Consulta Contratos'!$Z:$Z,'Consulta Contratos'!$AM:$AM,'Performance Vendas'!AA$122,'Consulta Contratos'!$AU:$AU,'Performance Vendas'!$A136,'Consulta Contratos'!$H:$H,"Ativo")</f>
        <v>200000</v>
      </c>
      <c r="AB136" s="197">
        <f>SUMIFS('Consulta Contratos'!$Z:$Z,'Consulta Contratos'!$AM:$AM,'Performance Vendas'!AB$122,'Consulta Contratos'!$AU:$AU,'Performance Vendas'!$A136,'Consulta Contratos'!$H:$H,"Ativo")</f>
        <v>0</v>
      </c>
      <c r="AC136" s="197">
        <f>SUMIFS('Consulta Contratos'!$Z:$Z,'Consulta Contratos'!$AM:$AM,'Performance Vendas'!AC$122,'Consulta Contratos'!$AU:$AU,'Performance Vendas'!$A136,'Consulta Contratos'!$H:$H,"Ativo")</f>
        <v>0</v>
      </c>
      <c r="AD136" s="197">
        <f>SUMIFS('Consulta Contratos'!$Z:$Z,'Consulta Contratos'!$AM:$AM,'Performance Vendas'!AD$122,'Consulta Contratos'!$AU:$AU,'Performance Vendas'!$A136,'Consulta Contratos'!$H:$H,"Ativo")</f>
        <v>0</v>
      </c>
      <c r="AE136" s="197">
        <f>SUMIFS('Consulta Contratos'!$Z:$Z,'Consulta Contratos'!$AM:$AM,'Performance Vendas'!AE$122,'Consulta Contratos'!$AU:$AU,'Performance Vendas'!$A136,'Consulta Contratos'!$H:$H,"Ativo")</f>
        <v>0</v>
      </c>
      <c r="AF136" s="197">
        <f>SUMIFS('Consulta Contratos'!$Z:$Z,'Consulta Contratos'!$AM:$AM,'Performance Vendas'!AF$122,'Consulta Contratos'!$AU:$AU,'Performance Vendas'!$A136,'Consulta Contratos'!$H:$H,"Ativo")</f>
        <v>0</v>
      </c>
      <c r="AG136" s="197">
        <f>SUMIFS('Consulta Contratos'!$Z:$Z,'Consulta Contratos'!$AM:$AM,'Performance Vendas'!AG$122,'Consulta Contratos'!$AU:$AU,'Performance Vendas'!$A136,'Consulta Contratos'!$H:$H,"Ativo")</f>
        <v>0</v>
      </c>
      <c r="AH136" s="197">
        <f>SUMIFS('Consulta Contratos'!$Z:$Z,'Consulta Contratos'!$AM:$AM,'Performance Vendas'!AH$122,'Consulta Contratos'!$AU:$AU,'Performance Vendas'!$A136,'Consulta Contratos'!$H:$H,"Ativo")</f>
        <v>0</v>
      </c>
      <c r="AI136" s="197">
        <f>SUMIFS('Consulta Contratos'!$Z:$Z,'Consulta Contratos'!$AM:$AM,'Performance Vendas'!AI$122,'Consulta Contratos'!$AU:$AU,'Performance Vendas'!$A136,'Consulta Contratos'!$H:$H,"Ativo")</f>
        <v>200000</v>
      </c>
      <c r="AJ136" s="198">
        <f t="shared" si="234"/>
        <v>800000</v>
      </c>
      <c r="AK136" s="197">
        <f>SUMIFS('Consulta Contratos'!$Z:$Z,'Consulta Contratos'!$AM:$AM,'Performance Vendas'!AK$122,'Consulta Contratos'!$AU:$AU,'Performance Vendas'!$A136,'Consulta Contratos'!$H:$H,"Ativo")</f>
        <v>0</v>
      </c>
      <c r="AL136" s="197">
        <f>SUMIFS('Consulta Contratos'!$Z:$Z,'Consulta Contratos'!$AM:$AM,'Performance Vendas'!AL$122,'Consulta Contratos'!$AU:$AU,'Performance Vendas'!$A136,'Consulta Contratos'!$H:$H,"Ativo")</f>
        <v>0</v>
      </c>
      <c r="AM136" s="197">
        <f>SUMIFS('Consulta Contratos'!$Z:$Z,'Consulta Contratos'!$AM:$AM,'Performance Vendas'!AM$122,'Consulta Contratos'!$AU:$AU,'Performance Vendas'!$A136,'Consulta Contratos'!$H:$H,"Ativo")</f>
        <v>0</v>
      </c>
      <c r="AN136" s="197">
        <f>SUMIFS('Consulta Contratos'!$Z:$Z,'Consulta Contratos'!$AM:$AM,'Performance Vendas'!AN$122,'Consulta Contratos'!$AU:$AU,'Performance Vendas'!$A136,'Consulta Contratos'!$H:$H,"Ativo")</f>
        <v>0</v>
      </c>
      <c r="AO136" s="197">
        <f>SUMIFS('Consulta Contratos'!$Z:$Z,'Consulta Contratos'!$AM:$AM,'Performance Vendas'!AO$122,'Consulta Contratos'!$AU:$AU,'Performance Vendas'!$A136,'Consulta Contratos'!$H:$H,"Ativo")</f>
        <v>0</v>
      </c>
      <c r="AP136" s="197">
        <f>SUMIFS('Consulta Contratos'!$Z:$Z,'Consulta Contratos'!$AM:$AM,'Performance Vendas'!AP$122,'Consulta Contratos'!$AU:$AU,'Performance Vendas'!$A136,'Consulta Contratos'!$H:$H,"Ativo")</f>
        <v>0</v>
      </c>
      <c r="AQ136" s="197">
        <f>SUMIFS('Consulta Contratos'!$Z:$Z,'Consulta Contratos'!$AM:$AM,'Performance Vendas'!AQ$122,'Consulta Contratos'!$AU:$AU,'Performance Vendas'!$A136,'Consulta Contratos'!$H:$H,"Ativo")</f>
        <v>0</v>
      </c>
      <c r="AR136" s="197">
        <f>SUMIFS('Consulta Contratos'!$Z:$Z,'Consulta Contratos'!$AM:$AM,'Performance Vendas'!AR$122,'Consulta Contratos'!$AU:$AU,'Performance Vendas'!$A136,'Consulta Contratos'!$H:$H,"Ativo")</f>
        <v>0</v>
      </c>
      <c r="AS136" s="197">
        <f>SUMIFS('Consulta Contratos'!$Z:$Z,'Consulta Contratos'!$AM:$AM,'Performance Vendas'!AS$122,'Consulta Contratos'!$AU:$AU,'Performance Vendas'!$A136,'Consulta Contratos'!$H:$H,"Ativo")</f>
        <v>0</v>
      </c>
      <c r="AT136" s="197">
        <f>SUMIFS('Consulta Contratos'!$Z:$Z,'Consulta Contratos'!$AM:$AM,'Performance Vendas'!AT$122,'Consulta Contratos'!$AU:$AU,'Performance Vendas'!$A136,'Consulta Contratos'!$H:$H,"Ativo")</f>
        <v>0</v>
      </c>
      <c r="AU136" s="197">
        <f>SUMIFS('Consulta Contratos'!$Z:$Z,'Consulta Contratos'!$AM:$AM,'Performance Vendas'!AU$122,'Consulta Contratos'!$AU:$AU,'Performance Vendas'!$A136,'Consulta Contratos'!$H:$H,"Ativo")</f>
        <v>0</v>
      </c>
      <c r="AV136" s="197">
        <f>SUMIFS('Consulta Contratos'!$Z:$Z,'Consulta Contratos'!$AM:$AM,'Performance Vendas'!AV$122,'Consulta Contratos'!$AU:$AU,'Performance Vendas'!$A136,'Consulta Contratos'!$H:$H,"Ativo")</f>
        <v>0</v>
      </c>
      <c r="AW136" s="198">
        <f t="shared" si="235"/>
        <v>0</v>
      </c>
      <c r="AX136" s="198">
        <f>AJ136+W136+J136+AW136</f>
        <v>2300001</v>
      </c>
      <c r="AY136" s="199">
        <f>AX136/$AX$12</f>
        <v>6.0045202144275479E-3</v>
      </c>
      <c r="AZ136" s="197">
        <f>SUMIFS('Consulta Contratos'!$Z:$Z,'Consulta Contratos'!$AM:$AM,'Performance Vendas'!AZ$122,'Consulta Contratos'!$AU:$AU,'Performance Vendas'!$A136,'Consulta Contratos'!$H:$H,"Ativo")</f>
        <v>0</v>
      </c>
    </row>
    <row r="137" spans="1:52">
      <c r="A137" s="204"/>
      <c r="B137" s="482" t="str">
        <f>B122</f>
        <v>VGV POR BLOCO</v>
      </c>
      <c r="C137" s="482"/>
      <c r="D137" s="1"/>
      <c r="E137" s="234">
        <f t="shared" ref="E137:V137" si="243">E136+E131+E126+E123</f>
        <v>14243001</v>
      </c>
      <c r="F137" s="234">
        <f t="shared" si="243"/>
        <v>6370748.2999999998</v>
      </c>
      <c r="G137" s="234">
        <f t="shared" si="243"/>
        <v>14288721.359999999</v>
      </c>
      <c r="H137" s="234">
        <f t="shared" si="243"/>
        <v>10992566</v>
      </c>
      <c r="I137" s="234">
        <f t="shared" si="243"/>
        <v>13847740</v>
      </c>
      <c r="J137" s="235">
        <f t="shared" si="243"/>
        <v>59742776.659999996</v>
      </c>
      <c r="K137" s="234">
        <f t="shared" si="243"/>
        <v>15029384.189999999</v>
      </c>
      <c r="L137" s="234">
        <f t="shared" si="243"/>
        <v>4347825</v>
      </c>
      <c r="M137" s="234">
        <f t="shared" si="243"/>
        <v>12491340</v>
      </c>
      <c r="N137" s="234">
        <f t="shared" si="243"/>
        <v>13804596.76</v>
      </c>
      <c r="O137" s="234">
        <f t="shared" si="243"/>
        <v>9937311.1999999993</v>
      </c>
      <c r="P137" s="234">
        <f t="shared" si="243"/>
        <v>15080733.300000001</v>
      </c>
      <c r="Q137" s="234">
        <f t="shared" si="243"/>
        <v>13602758.629999999</v>
      </c>
      <c r="R137" s="234">
        <f t="shared" si="243"/>
        <v>11696029.219999999</v>
      </c>
      <c r="S137" s="234">
        <f t="shared" si="243"/>
        <v>20703802.829999998</v>
      </c>
      <c r="T137" s="234">
        <f t="shared" si="243"/>
        <v>25034491.490000002</v>
      </c>
      <c r="U137" s="234">
        <f t="shared" si="243"/>
        <v>14262217.1</v>
      </c>
      <c r="V137" s="234">
        <f t="shared" si="243"/>
        <v>24137646</v>
      </c>
      <c r="W137" s="235">
        <f t="shared" si="233"/>
        <v>180128135.71999997</v>
      </c>
      <c r="X137" s="234">
        <f t="shared" ref="X137:AI137" si="244">X136+X131+X126+X123</f>
        <v>16584821.960000001</v>
      </c>
      <c r="Y137" s="234">
        <f t="shared" si="244"/>
        <v>4083584.23</v>
      </c>
      <c r="Z137" s="234">
        <f t="shared" si="244"/>
        <v>11381784</v>
      </c>
      <c r="AA137" s="234">
        <f t="shared" si="244"/>
        <v>10862520</v>
      </c>
      <c r="AB137" s="234">
        <f t="shared" si="244"/>
        <v>1405406.28</v>
      </c>
      <c r="AC137" s="234">
        <f t="shared" si="244"/>
        <v>2130000</v>
      </c>
      <c r="AD137" s="234">
        <f t="shared" si="244"/>
        <v>11736970.66</v>
      </c>
      <c r="AE137" s="234">
        <f t="shared" si="244"/>
        <v>21660841.460000001</v>
      </c>
      <c r="AF137" s="234">
        <f t="shared" si="244"/>
        <v>18628123.140000001</v>
      </c>
      <c r="AG137" s="234">
        <f t="shared" si="244"/>
        <v>3246000</v>
      </c>
      <c r="AH137" s="234">
        <f t="shared" si="244"/>
        <v>8056699.7199999997</v>
      </c>
      <c r="AI137" s="234">
        <f t="shared" si="244"/>
        <v>17236514.850000001</v>
      </c>
      <c r="AJ137" s="235">
        <f t="shared" si="234"/>
        <v>127013266.30000001</v>
      </c>
      <c r="AK137" s="234">
        <f t="shared" ref="AK137:AV137" si="245">AK136+AK131+AK126+AK123</f>
        <v>9348451.8099999987</v>
      </c>
      <c r="AL137" s="234">
        <f t="shared" si="245"/>
        <v>6484295.3100000005</v>
      </c>
      <c r="AM137" s="234">
        <f t="shared" si="245"/>
        <v>328000</v>
      </c>
      <c r="AN137" s="234">
        <f t="shared" si="245"/>
        <v>0</v>
      </c>
      <c r="AO137" s="234">
        <f t="shared" si="245"/>
        <v>0</v>
      </c>
      <c r="AP137" s="234">
        <f t="shared" si="245"/>
        <v>0</v>
      </c>
      <c r="AQ137" s="234">
        <f t="shared" si="245"/>
        <v>0</v>
      </c>
      <c r="AR137" s="234">
        <f t="shared" si="245"/>
        <v>0</v>
      </c>
      <c r="AS137" s="234">
        <f t="shared" si="245"/>
        <v>0</v>
      </c>
      <c r="AT137" s="234">
        <f t="shared" si="245"/>
        <v>0</v>
      </c>
      <c r="AU137" s="234">
        <f t="shared" si="245"/>
        <v>0</v>
      </c>
      <c r="AV137" s="234">
        <f t="shared" si="245"/>
        <v>0</v>
      </c>
      <c r="AW137" s="235">
        <f t="shared" si="235"/>
        <v>16160747.119999999</v>
      </c>
      <c r="AX137" s="235">
        <f>AJ137+W137+J137+AW137</f>
        <v>383044925.79999995</v>
      </c>
      <c r="AY137" s="91"/>
      <c r="AZ137" s="234">
        <f t="shared" ref="AZ137" si="246">AZ136+AZ131+AZ126+AZ123</f>
        <v>1498219.6800000002</v>
      </c>
    </row>
    <row r="138" spans="1:52">
      <c r="A138" s="94"/>
      <c r="B138" s="94"/>
      <c r="C138" s="187"/>
      <c r="E138" s="94"/>
      <c r="F138" s="94"/>
      <c r="G138" s="94"/>
      <c r="H138" s="94"/>
      <c r="I138" s="94"/>
      <c r="J138" s="220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220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220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220"/>
      <c r="AX138" s="220"/>
      <c r="AY138" s="97"/>
      <c r="AZ138" s="99"/>
    </row>
    <row r="139" spans="1:52" ht="15.75">
      <c r="A139" s="94"/>
      <c r="B139" s="217"/>
      <c r="C139" s="169"/>
      <c r="E139" s="187"/>
      <c r="F139" s="94"/>
      <c r="G139" s="94"/>
      <c r="H139" s="94"/>
      <c r="I139" s="94"/>
      <c r="J139" s="220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220"/>
      <c r="X139" s="94"/>
      <c r="Y139" s="94"/>
      <c r="Z139" s="94"/>
      <c r="AA139" s="94"/>
      <c r="AB139" s="94"/>
      <c r="AC139" s="94"/>
      <c r="AD139" s="94"/>
      <c r="AE139" s="94"/>
      <c r="AF139" s="229"/>
      <c r="AG139" s="94"/>
      <c r="AH139" s="94"/>
      <c r="AI139" s="94"/>
      <c r="AJ139" s="220"/>
      <c r="AK139" s="94"/>
      <c r="AL139" s="94"/>
      <c r="AM139" s="94"/>
      <c r="AN139" s="94"/>
      <c r="AO139" s="94"/>
      <c r="AP139" s="94"/>
      <c r="AQ139" s="94"/>
      <c r="AR139" s="94"/>
      <c r="AS139" s="229"/>
      <c r="AT139" s="94"/>
      <c r="AU139" s="94"/>
      <c r="AV139" s="94"/>
      <c r="AW139" s="220"/>
      <c r="AX139" s="220"/>
      <c r="AY139" s="81"/>
      <c r="AZ139" s="99"/>
    </row>
    <row r="140" spans="1:52" ht="15.75">
      <c r="A140" s="94"/>
      <c r="B140" s="217" t="s">
        <v>141</v>
      </c>
      <c r="C140" s="176"/>
      <c r="E140" s="94"/>
      <c r="F140" s="94"/>
      <c r="G140" s="94"/>
      <c r="H140" s="94"/>
      <c r="I140" s="229"/>
      <c r="J140" s="220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0"/>
      <c r="X140" s="229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220"/>
      <c r="AK140" s="229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220"/>
      <c r="AX140" s="220"/>
      <c r="AY140" s="81"/>
      <c r="AZ140" s="99"/>
    </row>
    <row r="141" spans="1:52">
      <c r="A141" s="204"/>
      <c r="B141" s="156" t="s">
        <v>62</v>
      </c>
      <c r="C141" s="110"/>
      <c r="D141" s="1"/>
      <c r="E141" s="156">
        <f t="shared" ref="E141:AZ141" si="247">E25</f>
        <v>44804</v>
      </c>
      <c r="F141" s="156">
        <f t="shared" si="247"/>
        <v>44834</v>
      </c>
      <c r="G141" s="156">
        <f t="shared" si="247"/>
        <v>44865</v>
      </c>
      <c r="H141" s="156">
        <f t="shared" si="247"/>
        <v>44895</v>
      </c>
      <c r="I141" s="156">
        <f t="shared" si="247"/>
        <v>44926</v>
      </c>
      <c r="J141" s="127" t="str">
        <f t="shared" si="247"/>
        <v>2022</v>
      </c>
      <c r="K141" s="156">
        <f t="shared" si="247"/>
        <v>44957</v>
      </c>
      <c r="L141" s="156">
        <f t="shared" si="247"/>
        <v>44985</v>
      </c>
      <c r="M141" s="156">
        <f t="shared" si="247"/>
        <v>45016</v>
      </c>
      <c r="N141" s="156">
        <f t="shared" si="247"/>
        <v>45046</v>
      </c>
      <c r="O141" s="156">
        <f t="shared" si="247"/>
        <v>45077</v>
      </c>
      <c r="P141" s="156">
        <f t="shared" si="247"/>
        <v>45107</v>
      </c>
      <c r="Q141" s="156">
        <f t="shared" si="247"/>
        <v>45138</v>
      </c>
      <c r="R141" s="156">
        <f t="shared" si="247"/>
        <v>45169</v>
      </c>
      <c r="S141" s="156">
        <f t="shared" si="247"/>
        <v>45199</v>
      </c>
      <c r="T141" s="156">
        <f t="shared" si="247"/>
        <v>45230</v>
      </c>
      <c r="U141" s="156">
        <f t="shared" si="247"/>
        <v>45260</v>
      </c>
      <c r="V141" s="156">
        <f t="shared" si="247"/>
        <v>45291</v>
      </c>
      <c r="W141" s="127" t="str">
        <f t="shared" si="247"/>
        <v>2023</v>
      </c>
      <c r="X141" s="156">
        <f t="shared" si="247"/>
        <v>45322</v>
      </c>
      <c r="Y141" s="156">
        <f t="shared" si="247"/>
        <v>45351</v>
      </c>
      <c r="Z141" s="156">
        <f t="shared" si="247"/>
        <v>45382</v>
      </c>
      <c r="AA141" s="156">
        <f t="shared" si="247"/>
        <v>45412</v>
      </c>
      <c r="AB141" s="156">
        <f t="shared" si="247"/>
        <v>45443</v>
      </c>
      <c r="AC141" s="156">
        <f t="shared" si="247"/>
        <v>45473</v>
      </c>
      <c r="AD141" s="156">
        <f t="shared" si="247"/>
        <v>45504</v>
      </c>
      <c r="AE141" s="156">
        <f t="shared" si="247"/>
        <v>45535</v>
      </c>
      <c r="AF141" s="156">
        <f t="shared" si="247"/>
        <v>45565</v>
      </c>
      <c r="AG141" s="156">
        <f t="shared" si="247"/>
        <v>45596</v>
      </c>
      <c r="AH141" s="156">
        <f t="shared" si="247"/>
        <v>45626</v>
      </c>
      <c r="AI141" s="156">
        <f t="shared" si="247"/>
        <v>45657</v>
      </c>
      <c r="AJ141" s="127" t="str">
        <f t="shared" si="247"/>
        <v>2024</v>
      </c>
      <c r="AK141" s="156">
        <f t="shared" ref="AK141:AW141" si="248">AK25</f>
        <v>45688</v>
      </c>
      <c r="AL141" s="156">
        <f t="shared" si="248"/>
        <v>45716</v>
      </c>
      <c r="AM141" s="156">
        <f t="shared" si="248"/>
        <v>45747</v>
      </c>
      <c r="AN141" s="156">
        <f t="shared" si="248"/>
        <v>45777</v>
      </c>
      <c r="AO141" s="156">
        <f t="shared" si="248"/>
        <v>45808</v>
      </c>
      <c r="AP141" s="156">
        <f t="shared" si="248"/>
        <v>45838</v>
      </c>
      <c r="AQ141" s="156">
        <f t="shared" si="248"/>
        <v>45869</v>
      </c>
      <c r="AR141" s="156">
        <f t="shared" si="248"/>
        <v>45900</v>
      </c>
      <c r="AS141" s="156">
        <f t="shared" si="248"/>
        <v>45930</v>
      </c>
      <c r="AT141" s="156">
        <f t="shared" si="248"/>
        <v>45961</v>
      </c>
      <c r="AU141" s="156">
        <f t="shared" si="248"/>
        <v>45991</v>
      </c>
      <c r="AV141" s="156">
        <f t="shared" si="248"/>
        <v>46022</v>
      </c>
      <c r="AW141" s="127" t="str">
        <f t="shared" si="248"/>
        <v>2025</v>
      </c>
      <c r="AX141" s="127" t="str">
        <f t="shared" si="247"/>
        <v>Total</v>
      </c>
      <c r="AY141" s="126" t="str">
        <f t="shared" si="247"/>
        <v>%</v>
      </c>
      <c r="AZ141" s="227" t="str">
        <f t="shared" si="247"/>
        <v>Pendente</v>
      </c>
    </row>
    <row r="142" spans="1:52" s="87" customFormat="1">
      <c r="A142" s="148"/>
      <c r="B142" s="155" t="s">
        <v>142</v>
      </c>
      <c r="C142" s="151"/>
      <c r="D142" s="95"/>
      <c r="E142" s="154">
        <f t="shared" ref="E142:V142" si="249">SUM(E143:E145)</f>
        <v>10559751</v>
      </c>
      <c r="F142" s="154">
        <f t="shared" si="249"/>
        <v>5741748.3000000007</v>
      </c>
      <c r="G142" s="154">
        <f t="shared" si="249"/>
        <v>8230721.3599999994</v>
      </c>
      <c r="H142" s="154">
        <f t="shared" si="249"/>
        <v>10652566</v>
      </c>
      <c r="I142" s="154">
        <f t="shared" si="249"/>
        <v>9314040</v>
      </c>
      <c r="J142" s="153">
        <f t="shared" si="249"/>
        <v>44498826.659999996</v>
      </c>
      <c r="K142" s="154">
        <f t="shared" si="249"/>
        <v>8153424.1899999995</v>
      </c>
      <c r="L142" s="154">
        <f t="shared" si="249"/>
        <v>3387825</v>
      </c>
      <c r="M142" s="154">
        <f t="shared" si="249"/>
        <v>10323840</v>
      </c>
      <c r="N142" s="154">
        <f t="shared" si="249"/>
        <v>9301325</v>
      </c>
      <c r="O142" s="154">
        <f t="shared" si="249"/>
        <v>6071335.2000000002</v>
      </c>
      <c r="P142" s="154">
        <f t="shared" si="249"/>
        <v>3716416</v>
      </c>
      <c r="Q142" s="154">
        <f t="shared" si="249"/>
        <v>1498000</v>
      </c>
      <c r="R142" s="154">
        <f t="shared" si="249"/>
        <v>7815184</v>
      </c>
      <c r="S142" s="154">
        <f t="shared" si="249"/>
        <v>16666979.82</v>
      </c>
      <c r="T142" s="154">
        <f t="shared" si="249"/>
        <v>9937941.4900000002</v>
      </c>
      <c r="U142" s="154">
        <f t="shared" si="249"/>
        <v>8236342</v>
      </c>
      <c r="V142" s="154">
        <f t="shared" si="249"/>
        <v>16651601</v>
      </c>
      <c r="W142" s="153">
        <f t="shared" ref="W142:W173" si="250">SUM(K142:V142)</f>
        <v>101760213.7</v>
      </c>
      <c r="X142" s="154">
        <f t="shared" ref="X142:AI142" si="251">SUM(X143:X145)</f>
        <v>12229500</v>
      </c>
      <c r="Y142" s="154">
        <f t="shared" si="251"/>
        <v>3623584.23</v>
      </c>
      <c r="Z142" s="154">
        <f t="shared" si="251"/>
        <v>8470000</v>
      </c>
      <c r="AA142" s="154">
        <f t="shared" si="251"/>
        <v>2880970</v>
      </c>
      <c r="AB142" s="154">
        <f t="shared" si="251"/>
        <v>339166.28</v>
      </c>
      <c r="AC142" s="154">
        <f t="shared" si="251"/>
        <v>930000</v>
      </c>
      <c r="AD142" s="154">
        <f t="shared" si="251"/>
        <v>5305500</v>
      </c>
      <c r="AE142" s="154">
        <f t="shared" si="251"/>
        <v>11787161.460000001</v>
      </c>
      <c r="AF142" s="154">
        <f t="shared" si="251"/>
        <v>7375149.8300000001</v>
      </c>
      <c r="AG142" s="154">
        <f t="shared" si="251"/>
        <v>606000</v>
      </c>
      <c r="AH142" s="154">
        <f t="shared" si="251"/>
        <v>2035200</v>
      </c>
      <c r="AI142" s="154">
        <f t="shared" si="251"/>
        <v>14698951.85</v>
      </c>
      <c r="AJ142" s="153">
        <f t="shared" ref="AJ142:AJ173" si="252">SUM(X142:AI142)</f>
        <v>70281183.650000006</v>
      </c>
      <c r="AK142" s="154">
        <f t="shared" ref="AK142:AV142" si="253">SUM(AK143:AK145)</f>
        <v>2958713.21</v>
      </c>
      <c r="AL142" s="154">
        <f t="shared" si="253"/>
        <v>1887142.25</v>
      </c>
      <c r="AM142" s="154">
        <f t="shared" si="253"/>
        <v>328000</v>
      </c>
      <c r="AN142" s="154">
        <f t="shared" si="253"/>
        <v>0</v>
      </c>
      <c r="AO142" s="154">
        <f t="shared" si="253"/>
        <v>0</v>
      </c>
      <c r="AP142" s="154">
        <f t="shared" si="253"/>
        <v>0</v>
      </c>
      <c r="AQ142" s="154">
        <f t="shared" si="253"/>
        <v>0</v>
      </c>
      <c r="AR142" s="154">
        <f t="shared" si="253"/>
        <v>0</v>
      </c>
      <c r="AS142" s="154">
        <f t="shared" si="253"/>
        <v>0</v>
      </c>
      <c r="AT142" s="154">
        <f t="shared" si="253"/>
        <v>0</v>
      </c>
      <c r="AU142" s="154">
        <f t="shared" si="253"/>
        <v>0</v>
      </c>
      <c r="AV142" s="154">
        <f t="shared" si="253"/>
        <v>0</v>
      </c>
      <c r="AW142" s="153">
        <f t="shared" ref="AW142:AW173" si="254">SUM(AK142:AV142)</f>
        <v>5173855.46</v>
      </c>
      <c r="AX142" s="153">
        <f>AJ142+W142+J142+AW142</f>
        <v>221714079.47000003</v>
      </c>
      <c r="AY142" s="149">
        <f t="shared" ref="AY142:AY169" si="255">AX142/$AX$171</f>
        <v>0.57882004051337843</v>
      </c>
      <c r="AZ142" s="154">
        <f>SUM(AZ143:AZ145)</f>
        <v>1088219.6800000002</v>
      </c>
    </row>
    <row r="143" spans="1:52" s="87" customFormat="1">
      <c r="A143" s="148"/>
      <c r="B143" s="205" t="s">
        <v>143</v>
      </c>
      <c r="C143" s="195"/>
      <c r="D143" s="196"/>
      <c r="E143" s="197">
        <f>SUMIFS('Consulta Contratos'!$Z:$Z,'Consulta Contratos'!$AM:$AM,'Performance Vendas'!E$25,'Consulta Contratos'!$S:$S,'Performance Vendas'!$B143,'Consulta Contratos'!$H:$H,"Ativo")</f>
        <v>7794751</v>
      </c>
      <c r="F143" s="197">
        <f>SUMIFS('Consulta Contratos'!$Z:$Z,'Consulta Contratos'!$AM:$AM,'Performance Vendas'!F$25,'Consulta Contratos'!$S:$S,'Performance Vendas'!$B143,'Consulta Contratos'!$H:$H,"Ativo")</f>
        <v>2537669.2000000002</v>
      </c>
      <c r="G143" s="197">
        <f>SUMIFS('Consulta Contratos'!$Z:$Z,'Consulta Contratos'!$AM:$AM,'Performance Vendas'!G$25,'Consulta Contratos'!$S:$S,'Performance Vendas'!$B143,'Consulta Contratos'!$H:$H,"Ativo")</f>
        <v>4383880.18</v>
      </c>
      <c r="H143" s="197">
        <f>SUMIFS('Consulta Contratos'!$Z:$Z,'Consulta Contratos'!$AM:$AM,'Performance Vendas'!H$25,'Consulta Contratos'!$S:$S,'Performance Vendas'!$B143,'Consulta Contratos'!$H:$H,"Ativo")</f>
        <v>10317566</v>
      </c>
      <c r="I143" s="197">
        <f>SUMIFS('Consulta Contratos'!$Z:$Z,'Consulta Contratos'!$AM:$AM,'Performance Vendas'!I$25,'Consulta Contratos'!$S:$S,'Performance Vendas'!$B143,'Consulta Contratos'!$H:$H,"Ativo")</f>
        <v>8485640</v>
      </c>
      <c r="J143" s="198">
        <f t="shared" ref="J143:J145" si="256">SUM(E143:I143)</f>
        <v>33519506.379999999</v>
      </c>
      <c r="K143" s="197">
        <f>SUMIFS('Consulta Contratos'!$Z:$Z,'Consulta Contratos'!$AM:$AM,'Performance Vendas'!K$25,'Consulta Contratos'!$S:$S,'Performance Vendas'!$B143,'Consulta Contratos'!$H:$H,"Ativo")</f>
        <v>7816549.1899999995</v>
      </c>
      <c r="L143" s="197">
        <f>SUMIFS('Consulta Contratos'!$Z:$Z,'Consulta Contratos'!$AM:$AM,'Performance Vendas'!L$25,'Consulta Contratos'!$S:$S,'Performance Vendas'!$B143,'Consulta Contratos'!$H:$H,"Ativo")</f>
        <v>1198000</v>
      </c>
      <c r="M143" s="197">
        <f>SUMIFS('Consulta Contratos'!$Z:$Z,'Consulta Contratos'!$AM:$AM,'Performance Vendas'!M$25,'Consulta Contratos'!$S:$S,'Performance Vendas'!$B143,'Consulta Contratos'!$H:$H,"Ativo")</f>
        <v>9034840</v>
      </c>
      <c r="N143" s="197">
        <f>SUMIFS('Consulta Contratos'!$Z:$Z,'Consulta Contratos'!$AM:$AM,'Performance Vendas'!N$25,'Consulta Contratos'!$S:$S,'Performance Vendas'!$B143,'Consulta Contratos'!$H:$H,"Ativo")</f>
        <v>9301325</v>
      </c>
      <c r="O143" s="197">
        <f>SUMIFS('Consulta Contratos'!$Z:$Z,'Consulta Contratos'!$AM:$AM,'Performance Vendas'!O$25,'Consulta Contratos'!$S:$S,'Performance Vendas'!$B143,'Consulta Contratos'!$H:$H,"Ativo")</f>
        <v>2084001</v>
      </c>
      <c r="P143" s="197">
        <f>SUMIFS('Consulta Contratos'!$Z:$Z,'Consulta Contratos'!$AM:$AM,'Performance Vendas'!P$25,'Consulta Contratos'!$S:$S,'Performance Vendas'!$B143,'Consulta Contratos'!$H:$H,"Ativo")</f>
        <v>3090016</v>
      </c>
      <c r="Q143" s="197">
        <f>SUMIFS('Consulta Contratos'!$Z:$Z,'Consulta Contratos'!$AM:$AM,'Performance Vendas'!Q$25,'Consulta Contratos'!$S:$S,'Performance Vendas'!$B143,'Consulta Contratos'!$H:$H,"Ativo")</f>
        <v>588000</v>
      </c>
      <c r="R143" s="197">
        <f>SUMIFS('Consulta Contratos'!$Z:$Z,'Consulta Contratos'!$AM:$AM,'Performance Vendas'!R$25,'Consulta Contratos'!$S:$S,'Performance Vendas'!$B143,'Consulta Contratos'!$H:$H,"Ativo")</f>
        <v>2696490</v>
      </c>
      <c r="S143" s="197">
        <f>SUMIFS('Consulta Contratos'!$Z:$Z,'Consulta Contratos'!$AM:$AM,'Performance Vendas'!S$25,'Consulta Contratos'!$S:$S,'Performance Vendas'!$B143,'Consulta Contratos'!$H:$H,"Ativo")</f>
        <v>1482899.8</v>
      </c>
      <c r="T143" s="197">
        <f>SUMIFS('Consulta Contratos'!$Z:$Z,'Consulta Contratos'!$AM:$AM,'Performance Vendas'!T$25,'Consulta Contratos'!$S:$S,'Performance Vendas'!$B143,'Consulta Contratos'!$H:$H,"Ativo")</f>
        <v>6422651.4900000002</v>
      </c>
      <c r="U143" s="197">
        <f>SUMIFS('Consulta Contratos'!$Z:$Z,'Consulta Contratos'!$AM:$AM,'Performance Vendas'!U$25,'Consulta Contratos'!$S:$S,'Performance Vendas'!$B143,'Consulta Contratos'!$H:$H,"Ativo")</f>
        <v>1508342</v>
      </c>
      <c r="V143" s="197">
        <f>SUMIFS('Consulta Contratos'!$Z:$Z,'Consulta Contratos'!$AM:$AM,'Performance Vendas'!V$25,'Consulta Contratos'!$S:$S,'Performance Vendas'!$B143,'Consulta Contratos'!$H:$H,"Ativo")</f>
        <v>2540000</v>
      </c>
      <c r="W143" s="198">
        <f t="shared" si="250"/>
        <v>47763114.479999997</v>
      </c>
      <c r="X143" s="197">
        <f>SUMIFS('Consulta Contratos'!$Z:$Z,'Consulta Contratos'!$AM:$AM,'Performance Vendas'!X$25,'Consulta Contratos'!$S:$S,'Performance Vendas'!$B143,'Consulta Contratos'!$H:$H,"Ativo")</f>
        <v>12229500</v>
      </c>
      <c r="Y143" s="197">
        <f>SUMIFS('Consulta Contratos'!$Z:$Z,'Consulta Contratos'!$AM:$AM,'Performance Vendas'!Y$25,'Consulta Contratos'!$S:$S,'Performance Vendas'!$B143,'Consulta Contratos'!$H:$H,"Ativo")</f>
        <v>2763880</v>
      </c>
      <c r="Z143" s="197">
        <f>SUMIFS('Consulta Contratos'!$Z:$Z,'Consulta Contratos'!$AM:$AM,'Performance Vendas'!Z$25,'Consulta Contratos'!$S:$S,'Performance Vendas'!$B143,'Consulta Contratos'!$H:$H,"Ativo")</f>
        <v>7970000</v>
      </c>
      <c r="AA143" s="197">
        <f>SUMIFS('Consulta Contratos'!$Z:$Z,'Consulta Contratos'!$AM:$AM,'Performance Vendas'!AA$25,'Consulta Contratos'!$S:$S,'Performance Vendas'!$B143,'Consulta Contratos'!$H:$H,"Ativo")</f>
        <v>2036000</v>
      </c>
      <c r="AB143" s="197">
        <f>SUMIFS('Consulta Contratos'!$Z:$Z,'Consulta Contratos'!$AM:$AM,'Performance Vendas'!AB$25,'Consulta Contratos'!$S:$S,'Performance Vendas'!$B143,'Consulta Contratos'!$H:$H,"Ativo")</f>
        <v>339166.28</v>
      </c>
      <c r="AC143" s="197">
        <f>SUMIFS('Consulta Contratos'!$Z:$Z,'Consulta Contratos'!$AM:$AM,'Performance Vendas'!AC$25,'Consulta Contratos'!$S:$S,'Performance Vendas'!$B143,'Consulta Contratos'!$H:$H,"Ativo")</f>
        <v>930000</v>
      </c>
      <c r="AD143" s="197">
        <f>SUMIFS('Consulta Contratos'!$Z:$Z,'Consulta Contratos'!$AM:$AM,'Performance Vendas'!AD$25,'Consulta Contratos'!$S:$S,'Performance Vendas'!$B143,'Consulta Contratos'!$H:$H,"Ativo")</f>
        <v>3957900</v>
      </c>
      <c r="AE143" s="197">
        <f>SUMIFS('Consulta Contratos'!$Z:$Z,'Consulta Contratos'!$AM:$AM,'Performance Vendas'!AE$25,'Consulta Contratos'!$S:$S,'Performance Vendas'!$B143,'Consulta Contratos'!$H:$H,"Ativo")</f>
        <v>2885331.45</v>
      </c>
      <c r="AF143" s="197">
        <f>SUMIFS('Consulta Contratos'!$Z:$Z,'Consulta Contratos'!$AM:$AM,'Performance Vendas'!AF$25,'Consulta Contratos'!$S:$S,'Performance Vendas'!$B143,'Consulta Contratos'!$H:$H,"Ativo")</f>
        <v>3186810.23</v>
      </c>
      <c r="AG143" s="197">
        <f>SUMIFS('Consulta Contratos'!$Z:$Z,'Consulta Contratos'!$AM:$AM,'Performance Vendas'!AG$25,'Consulta Contratos'!$S:$S,'Performance Vendas'!$B143,'Consulta Contratos'!$H:$H,"Ativo")</f>
        <v>606000</v>
      </c>
      <c r="AH143" s="197">
        <f>SUMIFS('Consulta Contratos'!$Z:$Z,'Consulta Contratos'!$AM:$AM,'Performance Vendas'!AH$25,'Consulta Contratos'!$S:$S,'Performance Vendas'!$B143,'Consulta Contratos'!$H:$H,"Ativo")</f>
        <v>1003200</v>
      </c>
      <c r="AI143" s="197">
        <f>SUMIFS('Consulta Contratos'!$Z:$Z,'Consulta Contratos'!$AM:$AM,'Performance Vendas'!AI$25,'Consulta Contratos'!$S:$S,'Performance Vendas'!$B143,'Consulta Contratos'!$H:$H,"Ativo")</f>
        <v>1543120</v>
      </c>
      <c r="AJ143" s="198">
        <f t="shared" si="252"/>
        <v>39450907.960000001</v>
      </c>
      <c r="AK143" s="197">
        <f>SUMIFS('Consulta Contratos'!$Z:$Z,'Consulta Contratos'!$AM:$AM,'Performance Vendas'!AK$25,'Consulta Contratos'!$S:$S,'Performance Vendas'!$B143,'Consulta Contratos'!$H:$H,"Ativo")</f>
        <v>2579713.41</v>
      </c>
      <c r="AL143" s="197">
        <f>SUMIFS('Consulta Contratos'!$Z:$Z,'Consulta Contratos'!$AM:$AM,'Performance Vendas'!AL$25,'Consulta Contratos'!$S:$S,'Performance Vendas'!$B143,'Consulta Contratos'!$H:$H,"Ativo")</f>
        <v>1145576.48</v>
      </c>
      <c r="AM143" s="197">
        <f>SUMIFS('Consulta Contratos'!$Z:$Z,'Consulta Contratos'!$AM:$AM,'Performance Vendas'!AM$25,'Consulta Contratos'!$S:$S,'Performance Vendas'!$B143,'Consulta Contratos'!$H:$H,"Ativo")</f>
        <v>328000</v>
      </c>
      <c r="AN143" s="197">
        <f>SUMIFS('Consulta Contratos'!$Z:$Z,'Consulta Contratos'!$AM:$AM,'Performance Vendas'!AN$25,'Consulta Contratos'!$S:$S,'Performance Vendas'!$B143,'Consulta Contratos'!$H:$H,"Ativo")</f>
        <v>0</v>
      </c>
      <c r="AO143" s="197">
        <f>SUMIFS('Consulta Contratos'!$Z:$Z,'Consulta Contratos'!$AM:$AM,'Performance Vendas'!AO$25,'Consulta Contratos'!$S:$S,'Performance Vendas'!$B143,'Consulta Contratos'!$H:$H,"Ativo")</f>
        <v>0</v>
      </c>
      <c r="AP143" s="197">
        <f>SUMIFS('Consulta Contratos'!$Z:$Z,'Consulta Contratos'!$AM:$AM,'Performance Vendas'!AP$25,'Consulta Contratos'!$S:$S,'Performance Vendas'!$B143,'Consulta Contratos'!$H:$H,"Ativo")</f>
        <v>0</v>
      </c>
      <c r="AQ143" s="197">
        <f>SUMIFS('Consulta Contratos'!$Z:$Z,'Consulta Contratos'!$AM:$AM,'Performance Vendas'!AQ$25,'Consulta Contratos'!$S:$S,'Performance Vendas'!$B143,'Consulta Contratos'!$H:$H,"Ativo")</f>
        <v>0</v>
      </c>
      <c r="AR143" s="197">
        <f>SUMIFS('Consulta Contratos'!$Z:$Z,'Consulta Contratos'!$AM:$AM,'Performance Vendas'!AR$25,'Consulta Contratos'!$S:$S,'Performance Vendas'!$B143,'Consulta Contratos'!$H:$H,"Ativo")</f>
        <v>0</v>
      </c>
      <c r="AS143" s="197">
        <f>SUMIFS('Consulta Contratos'!$Z:$Z,'Consulta Contratos'!$AM:$AM,'Performance Vendas'!AS$25,'Consulta Contratos'!$S:$S,'Performance Vendas'!$B143,'Consulta Contratos'!$H:$H,"Ativo")</f>
        <v>0</v>
      </c>
      <c r="AT143" s="197">
        <f>SUMIFS('Consulta Contratos'!$Z:$Z,'Consulta Contratos'!$AM:$AM,'Performance Vendas'!AT$25,'Consulta Contratos'!$S:$S,'Performance Vendas'!$B143,'Consulta Contratos'!$H:$H,"Ativo")</f>
        <v>0</v>
      </c>
      <c r="AU143" s="197">
        <f>SUMIFS('Consulta Contratos'!$Z:$Z,'Consulta Contratos'!$AM:$AM,'Performance Vendas'!AU$25,'Consulta Contratos'!$S:$S,'Performance Vendas'!$B143,'Consulta Contratos'!$H:$H,"Ativo")</f>
        <v>0</v>
      </c>
      <c r="AV143" s="197">
        <f>SUMIFS('Consulta Contratos'!$Z:$Z,'Consulta Contratos'!$AM:$AM,'Performance Vendas'!AV$25,'Consulta Contratos'!$S:$S,'Performance Vendas'!$B143,'Consulta Contratos'!$H:$H,"Ativo")</f>
        <v>0</v>
      </c>
      <c r="AW143" s="198">
        <f t="shared" si="254"/>
        <v>4053289.89</v>
      </c>
      <c r="AX143" s="198">
        <f>AJ143+W143+J143+AW143</f>
        <v>124786818.70999999</v>
      </c>
      <c r="AY143" s="199">
        <f t="shared" si="255"/>
        <v>0.32577593463581134</v>
      </c>
      <c r="AZ143" s="197">
        <f>SUMIFS('Consulta Contratos'!$Z:$Z,'Consulta Contratos'!$AM:$AM,'Performance Vendas'!AZ$25,'Consulta Contratos'!$S:$S,'Performance Vendas'!$B143,'Consulta Contratos'!$H:$H,"Ativo")</f>
        <v>676219.68</v>
      </c>
    </row>
    <row r="144" spans="1:52" s="87" customFormat="1">
      <c r="A144" s="148"/>
      <c r="B144" s="205" t="s">
        <v>144</v>
      </c>
      <c r="C144" s="195"/>
      <c r="D144" s="196"/>
      <c r="E144" s="197">
        <f>SUMIFS('Consulta Contratos'!$Z:$Z,'Consulta Contratos'!$AM:$AM,'Performance Vendas'!E$25,'Consulta Contratos'!$S:$S,'Performance Vendas'!$B144,'Consulta Contratos'!$H:$H,"Ativo")</f>
        <v>0</v>
      </c>
      <c r="F144" s="197">
        <f>SUMIFS('Consulta Contratos'!$Z:$Z,'Consulta Contratos'!$AM:$AM,'Performance Vendas'!F$25,'Consulta Contratos'!$S:$S,'Performance Vendas'!$B144,'Consulta Contratos'!$H:$H,"Ativo")</f>
        <v>0</v>
      </c>
      <c r="G144" s="197">
        <f>SUMIFS('Consulta Contratos'!$Z:$Z,'Consulta Contratos'!$AM:$AM,'Performance Vendas'!G$25,'Consulta Contratos'!$S:$S,'Performance Vendas'!$B144,'Consulta Contratos'!$H:$H,"Ativo")</f>
        <v>0</v>
      </c>
      <c r="H144" s="197">
        <f>SUMIFS('Consulta Contratos'!$Z:$Z,'Consulta Contratos'!$AM:$AM,'Performance Vendas'!H$25,'Consulta Contratos'!$S:$S,'Performance Vendas'!$B144,'Consulta Contratos'!$H:$H,"Ativo")</f>
        <v>335000</v>
      </c>
      <c r="I144" s="197">
        <f>SUMIFS('Consulta Contratos'!$Z:$Z,'Consulta Contratos'!$AM:$AM,'Performance Vendas'!I$25,'Consulta Contratos'!$S:$S,'Performance Vendas'!$B144,'Consulta Contratos'!$H:$H,"Ativo")</f>
        <v>350000</v>
      </c>
      <c r="J144" s="198">
        <f t="shared" si="256"/>
        <v>685000</v>
      </c>
      <c r="K144" s="197">
        <f>SUMIFS('Consulta Contratos'!$Z:$Z,'Consulta Contratos'!$AM:$AM,'Performance Vendas'!K$25,'Consulta Contratos'!$S:$S,'Performance Vendas'!$B144,'Consulta Contratos'!$H:$H,"Ativo")</f>
        <v>0</v>
      </c>
      <c r="L144" s="197">
        <f>SUMIFS('Consulta Contratos'!$Z:$Z,'Consulta Contratos'!$AM:$AM,'Performance Vendas'!L$25,'Consulta Contratos'!$S:$S,'Performance Vendas'!$B144,'Consulta Contratos'!$H:$H,"Ativo")</f>
        <v>665000</v>
      </c>
      <c r="M144" s="197">
        <f>SUMIFS('Consulta Contratos'!$Z:$Z,'Consulta Contratos'!$AM:$AM,'Performance Vendas'!M$25,'Consulta Contratos'!$S:$S,'Performance Vendas'!$B144,'Consulta Contratos'!$H:$H,"Ativo")</f>
        <v>0</v>
      </c>
      <c r="N144" s="197">
        <f>SUMIFS('Consulta Contratos'!$Z:$Z,'Consulta Contratos'!$AM:$AM,'Performance Vendas'!N$25,'Consulta Contratos'!$S:$S,'Performance Vendas'!$B144,'Consulta Contratos'!$H:$H,"Ativo")</f>
        <v>0</v>
      </c>
      <c r="O144" s="197">
        <f>SUMIFS('Consulta Contratos'!$Z:$Z,'Consulta Contratos'!$AM:$AM,'Performance Vendas'!O$25,'Consulta Contratos'!$S:$S,'Performance Vendas'!$B144,'Consulta Contratos'!$H:$H,"Ativo")</f>
        <v>0</v>
      </c>
      <c r="P144" s="197">
        <f>SUMIFS('Consulta Contratos'!$Z:$Z,'Consulta Contratos'!$AM:$AM,'Performance Vendas'!P$25,'Consulta Contratos'!$S:$S,'Performance Vendas'!$B144,'Consulta Contratos'!$H:$H,"Ativo")</f>
        <v>0</v>
      </c>
      <c r="Q144" s="197">
        <f>SUMIFS('Consulta Contratos'!$Z:$Z,'Consulta Contratos'!$AM:$AM,'Performance Vendas'!Q$25,'Consulta Contratos'!$S:$S,'Performance Vendas'!$B144,'Consulta Contratos'!$H:$H,"Ativo")</f>
        <v>910000</v>
      </c>
      <c r="R144" s="197">
        <f>SUMIFS('Consulta Contratos'!$Z:$Z,'Consulta Contratos'!$AM:$AM,'Performance Vendas'!R$25,'Consulta Contratos'!$S:$S,'Performance Vendas'!$B144,'Consulta Contratos'!$H:$H,"Ativo")</f>
        <v>720695</v>
      </c>
      <c r="S144" s="197">
        <f>SUMIFS('Consulta Contratos'!$Z:$Z,'Consulta Contratos'!$AM:$AM,'Performance Vendas'!S$25,'Consulta Contratos'!$S:$S,'Performance Vendas'!$B144,'Consulta Contratos'!$H:$H,"Ativo")</f>
        <v>862400.02</v>
      </c>
      <c r="T144" s="197">
        <f>SUMIFS('Consulta Contratos'!$Z:$Z,'Consulta Contratos'!$AM:$AM,'Performance Vendas'!T$25,'Consulta Contratos'!$S:$S,'Performance Vendas'!$B144,'Consulta Contratos'!$H:$H,"Ativo")</f>
        <v>2079634</v>
      </c>
      <c r="U144" s="197">
        <f>SUMIFS('Consulta Contratos'!$Z:$Z,'Consulta Contratos'!$AM:$AM,'Performance Vendas'!U$25,'Consulta Contratos'!$S:$S,'Performance Vendas'!$B144,'Consulta Contratos'!$H:$H,"Ativo")</f>
        <v>2597984</v>
      </c>
      <c r="V144" s="197">
        <f>SUMIFS('Consulta Contratos'!$Z:$Z,'Consulta Contratos'!$AM:$AM,'Performance Vendas'!V$25,'Consulta Contratos'!$S:$S,'Performance Vendas'!$B144,'Consulta Contratos'!$H:$H,"Ativo")</f>
        <v>0</v>
      </c>
      <c r="W144" s="198">
        <f t="shared" si="250"/>
        <v>7835713.0199999996</v>
      </c>
      <c r="X144" s="197">
        <f>SUMIFS('Consulta Contratos'!$Z:$Z,'Consulta Contratos'!$AM:$AM,'Performance Vendas'!X$25,'Consulta Contratos'!$S:$S,'Performance Vendas'!$B144,'Consulta Contratos'!$H:$H,"Ativo")</f>
        <v>0</v>
      </c>
      <c r="Y144" s="197">
        <f>SUMIFS('Consulta Contratos'!$Z:$Z,'Consulta Contratos'!$AM:$AM,'Performance Vendas'!Y$25,'Consulta Contratos'!$S:$S,'Performance Vendas'!$B144,'Consulta Contratos'!$H:$H,"Ativo")</f>
        <v>0</v>
      </c>
      <c r="Z144" s="197">
        <f>SUMIFS('Consulta Contratos'!$Z:$Z,'Consulta Contratos'!$AM:$AM,'Performance Vendas'!Z$25,'Consulta Contratos'!$S:$S,'Performance Vendas'!$B144,'Consulta Contratos'!$H:$H,"Ativo")</f>
        <v>0</v>
      </c>
      <c r="AA144" s="197">
        <f>SUMIFS('Consulta Contratos'!$Z:$Z,'Consulta Contratos'!$AM:$AM,'Performance Vendas'!AA$25,'Consulta Contratos'!$S:$S,'Performance Vendas'!$B144,'Consulta Contratos'!$H:$H,"Ativo")</f>
        <v>464970</v>
      </c>
      <c r="AB144" s="197">
        <f>SUMIFS('Consulta Contratos'!$Z:$Z,'Consulta Contratos'!$AM:$AM,'Performance Vendas'!AB$25,'Consulta Contratos'!$S:$S,'Performance Vendas'!$B144,'Consulta Contratos'!$H:$H,"Ativo")</f>
        <v>0</v>
      </c>
      <c r="AC144" s="197">
        <f>SUMIFS('Consulta Contratos'!$Z:$Z,'Consulta Contratos'!$AM:$AM,'Performance Vendas'!AC$25,'Consulta Contratos'!$S:$S,'Performance Vendas'!$B144,'Consulta Contratos'!$H:$H,"Ativo")</f>
        <v>0</v>
      </c>
      <c r="AD144" s="197">
        <f>SUMIFS('Consulta Contratos'!$Z:$Z,'Consulta Contratos'!$AM:$AM,'Performance Vendas'!AD$25,'Consulta Contratos'!$S:$S,'Performance Vendas'!$B144,'Consulta Contratos'!$H:$H,"Ativo")</f>
        <v>580000</v>
      </c>
      <c r="AE144" s="197">
        <f>SUMIFS('Consulta Contratos'!$Z:$Z,'Consulta Contratos'!$AM:$AM,'Performance Vendas'!AE$25,'Consulta Contratos'!$S:$S,'Performance Vendas'!$B144,'Consulta Contratos'!$H:$H,"Ativo")</f>
        <v>598429.59</v>
      </c>
      <c r="AF144" s="197">
        <f>SUMIFS('Consulta Contratos'!$Z:$Z,'Consulta Contratos'!$AM:$AM,'Performance Vendas'!AF$25,'Consulta Contratos'!$S:$S,'Performance Vendas'!$B144,'Consulta Contratos'!$H:$H,"Ativo")</f>
        <v>1142160</v>
      </c>
      <c r="AG144" s="197">
        <f>SUMIFS('Consulta Contratos'!$Z:$Z,'Consulta Contratos'!$AM:$AM,'Performance Vendas'!AG$25,'Consulta Contratos'!$S:$S,'Performance Vendas'!$B144,'Consulta Contratos'!$H:$H,"Ativo")</f>
        <v>0</v>
      </c>
      <c r="AH144" s="197">
        <f>SUMIFS('Consulta Contratos'!$Z:$Z,'Consulta Contratos'!$AM:$AM,'Performance Vendas'!AH$25,'Consulta Contratos'!$S:$S,'Performance Vendas'!$B144,'Consulta Contratos'!$H:$H,"Ativo")</f>
        <v>0</v>
      </c>
      <c r="AI144" s="197">
        <f>SUMIFS('Consulta Contratos'!$Z:$Z,'Consulta Contratos'!$AM:$AM,'Performance Vendas'!AI$25,'Consulta Contratos'!$S:$S,'Performance Vendas'!$B144,'Consulta Contratos'!$H:$H,"Ativo")</f>
        <v>5100000</v>
      </c>
      <c r="AJ144" s="198">
        <f t="shared" si="252"/>
        <v>7885559.5899999999</v>
      </c>
      <c r="AK144" s="197">
        <f>SUMIFS('Consulta Contratos'!$Z:$Z,'Consulta Contratos'!$AM:$AM,'Performance Vendas'!AK$25,'Consulta Contratos'!$S:$S,'Performance Vendas'!$B144,'Consulta Contratos'!$H:$H,"Ativo")</f>
        <v>378999.8</v>
      </c>
      <c r="AL144" s="197">
        <f>SUMIFS('Consulta Contratos'!$Z:$Z,'Consulta Contratos'!$AM:$AM,'Performance Vendas'!AL$25,'Consulta Contratos'!$S:$S,'Performance Vendas'!$B144,'Consulta Contratos'!$H:$H,"Ativo")</f>
        <v>0</v>
      </c>
      <c r="AM144" s="197">
        <f>SUMIFS('Consulta Contratos'!$Z:$Z,'Consulta Contratos'!$AM:$AM,'Performance Vendas'!AM$25,'Consulta Contratos'!$S:$S,'Performance Vendas'!$B144,'Consulta Contratos'!$H:$H,"Ativo")</f>
        <v>0</v>
      </c>
      <c r="AN144" s="197">
        <f>SUMIFS('Consulta Contratos'!$Z:$Z,'Consulta Contratos'!$AM:$AM,'Performance Vendas'!AN$25,'Consulta Contratos'!$S:$S,'Performance Vendas'!$B144,'Consulta Contratos'!$H:$H,"Ativo")</f>
        <v>0</v>
      </c>
      <c r="AO144" s="197">
        <f>SUMIFS('Consulta Contratos'!$Z:$Z,'Consulta Contratos'!$AM:$AM,'Performance Vendas'!AO$25,'Consulta Contratos'!$S:$S,'Performance Vendas'!$B144,'Consulta Contratos'!$H:$H,"Ativo")</f>
        <v>0</v>
      </c>
      <c r="AP144" s="197">
        <f>SUMIFS('Consulta Contratos'!$Z:$Z,'Consulta Contratos'!$AM:$AM,'Performance Vendas'!AP$25,'Consulta Contratos'!$S:$S,'Performance Vendas'!$B144,'Consulta Contratos'!$H:$H,"Ativo")</f>
        <v>0</v>
      </c>
      <c r="AQ144" s="197">
        <f>SUMIFS('Consulta Contratos'!$Z:$Z,'Consulta Contratos'!$AM:$AM,'Performance Vendas'!AQ$25,'Consulta Contratos'!$S:$S,'Performance Vendas'!$B144,'Consulta Contratos'!$H:$H,"Ativo")</f>
        <v>0</v>
      </c>
      <c r="AR144" s="197">
        <f>SUMIFS('Consulta Contratos'!$Z:$Z,'Consulta Contratos'!$AM:$AM,'Performance Vendas'!AR$25,'Consulta Contratos'!$S:$S,'Performance Vendas'!$B144,'Consulta Contratos'!$H:$H,"Ativo")</f>
        <v>0</v>
      </c>
      <c r="AS144" s="197">
        <f>SUMIFS('Consulta Contratos'!$Z:$Z,'Consulta Contratos'!$AM:$AM,'Performance Vendas'!AS$25,'Consulta Contratos'!$S:$S,'Performance Vendas'!$B144,'Consulta Contratos'!$H:$H,"Ativo")</f>
        <v>0</v>
      </c>
      <c r="AT144" s="197">
        <f>SUMIFS('Consulta Contratos'!$Z:$Z,'Consulta Contratos'!$AM:$AM,'Performance Vendas'!AT$25,'Consulta Contratos'!$S:$S,'Performance Vendas'!$B144,'Consulta Contratos'!$H:$H,"Ativo")</f>
        <v>0</v>
      </c>
      <c r="AU144" s="197">
        <f>SUMIFS('Consulta Contratos'!$Z:$Z,'Consulta Contratos'!$AM:$AM,'Performance Vendas'!AU$25,'Consulta Contratos'!$S:$S,'Performance Vendas'!$B144,'Consulta Contratos'!$H:$H,"Ativo")</f>
        <v>0</v>
      </c>
      <c r="AV144" s="197">
        <f>SUMIFS('Consulta Contratos'!$Z:$Z,'Consulta Contratos'!$AM:$AM,'Performance Vendas'!AV$25,'Consulta Contratos'!$S:$S,'Performance Vendas'!$B144,'Consulta Contratos'!$H:$H,"Ativo")</f>
        <v>0</v>
      </c>
      <c r="AW144" s="198">
        <f t="shared" si="254"/>
        <v>378999.8</v>
      </c>
      <c r="AX144" s="198">
        <f>AJ144+W144+J144+AW144</f>
        <v>16785272.41</v>
      </c>
      <c r="AY144" s="199">
        <f t="shared" si="255"/>
        <v>4.3820636378209404E-2</v>
      </c>
      <c r="AZ144" s="197">
        <f>SUMIFS('Consulta Contratos'!$Z:$Z,'Consulta Contratos'!$AM:$AM,'Performance Vendas'!AZ$25,'Consulta Contratos'!$S:$S,'Performance Vendas'!$B144,'Consulta Contratos'!$H:$H,"Ativo")</f>
        <v>0</v>
      </c>
    </row>
    <row r="145" spans="2:52" s="87" customFormat="1">
      <c r="B145" s="206" t="s">
        <v>145</v>
      </c>
      <c r="C145" s="201"/>
      <c r="D145" s="196"/>
      <c r="E145" s="202">
        <f>SUMIFS('Consulta Contratos'!$Z:$Z,'Consulta Contratos'!$AM:$AM,'Performance Vendas'!E$25,'Consulta Contratos'!$S:$S,'Performance Vendas'!$B145,'Consulta Contratos'!$H:$H,"Ativo")</f>
        <v>2765000</v>
      </c>
      <c r="F145" s="202">
        <f>SUMIFS('Consulta Contratos'!$Z:$Z,'Consulta Contratos'!$AM:$AM,'Performance Vendas'!F$25,'Consulta Contratos'!$S:$S,'Performance Vendas'!$B145,'Consulta Contratos'!$H:$H,"Ativo")</f>
        <v>3204079.1</v>
      </c>
      <c r="G145" s="202">
        <f>SUMIFS('Consulta Contratos'!$Z:$Z,'Consulta Contratos'!$AM:$AM,'Performance Vendas'!G$25,'Consulta Contratos'!$S:$S,'Performance Vendas'!$B145,'Consulta Contratos'!$H:$H,"Ativo")</f>
        <v>3846841.18</v>
      </c>
      <c r="H145" s="202">
        <f>SUMIFS('Consulta Contratos'!$Z:$Z,'Consulta Contratos'!$AM:$AM,'Performance Vendas'!H$25,'Consulta Contratos'!$S:$S,'Performance Vendas'!$B145,'Consulta Contratos'!$H:$H,"Ativo")</f>
        <v>0</v>
      </c>
      <c r="I145" s="202">
        <f>SUMIFS('Consulta Contratos'!$Z:$Z,'Consulta Contratos'!$AM:$AM,'Performance Vendas'!I$25,'Consulta Contratos'!$S:$S,'Performance Vendas'!$B145,'Consulta Contratos'!$H:$H,"Ativo")</f>
        <v>478400</v>
      </c>
      <c r="J145" s="203">
        <f t="shared" si="256"/>
        <v>10294320.279999999</v>
      </c>
      <c r="K145" s="202">
        <f>SUMIFS('Consulta Contratos'!$Z:$Z,'Consulta Contratos'!$AM:$AM,'Performance Vendas'!K$25,'Consulta Contratos'!$S:$S,'Performance Vendas'!$B145,'Consulta Contratos'!$H:$H,"Ativo")</f>
        <v>336875</v>
      </c>
      <c r="L145" s="202">
        <f>SUMIFS('Consulta Contratos'!$Z:$Z,'Consulta Contratos'!$AM:$AM,'Performance Vendas'!L$25,'Consulta Contratos'!$S:$S,'Performance Vendas'!$B145,'Consulta Contratos'!$H:$H,"Ativo")</f>
        <v>1524825</v>
      </c>
      <c r="M145" s="202">
        <f>SUMIFS('Consulta Contratos'!$Z:$Z,'Consulta Contratos'!$AM:$AM,'Performance Vendas'!M$25,'Consulta Contratos'!$S:$S,'Performance Vendas'!$B145,'Consulta Contratos'!$H:$H,"Ativo")</f>
        <v>1289000</v>
      </c>
      <c r="N145" s="202">
        <f>SUMIFS('Consulta Contratos'!$Z:$Z,'Consulta Contratos'!$AM:$AM,'Performance Vendas'!N$25,'Consulta Contratos'!$S:$S,'Performance Vendas'!$B145,'Consulta Contratos'!$H:$H,"Ativo")</f>
        <v>0</v>
      </c>
      <c r="O145" s="202">
        <f>SUMIFS('Consulta Contratos'!$Z:$Z,'Consulta Contratos'!$AM:$AM,'Performance Vendas'!O$25,'Consulta Contratos'!$S:$S,'Performance Vendas'!$B145,'Consulta Contratos'!$H:$H,"Ativo")</f>
        <v>3987334.2</v>
      </c>
      <c r="P145" s="202">
        <f>SUMIFS('Consulta Contratos'!$Z:$Z,'Consulta Contratos'!$AM:$AM,'Performance Vendas'!P$25,'Consulta Contratos'!$S:$S,'Performance Vendas'!$B145,'Consulta Contratos'!$H:$H,"Ativo")</f>
        <v>626400</v>
      </c>
      <c r="Q145" s="202">
        <f>SUMIFS('Consulta Contratos'!$Z:$Z,'Consulta Contratos'!$AM:$AM,'Performance Vendas'!Q$25,'Consulta Contratos'!$S:$S,'Performance Vendas'!$B145,'Consulta Contratos'!$H:$H,"Ativo")</f>
        <v>0</v>
      </c>
      <c r="R145" s="202">
        <f>SUMIFS('Consulta Contratos'!$Z:$Z,'Consulta Contratos'!$AM:$AM,'Performance Vendas'!R$25,'Consulta Contratos'!$S:$S,'Performance Vendas'!$B145,'Consulta Contratos'!$H:$H,"Ativo")</f>
        <v>4397999</v>
      </c>
      <c r="S145" s="202">
        <f>SUMIFS('Consulta Contratos'!$Z:$Z,'Consulta Contratos'!$AM:$AM,'Performance Vendas'!S$25,'Consulta Contratos'!$S:$S,'Performance Vendas'!$B145,'Consulta Contratos'!$H:$H,"Ativo")</f>
        <v>14321680</v>
      </c>
      <c r="T145" s="202">
        <f>SUMIFS('Consulta Contratos'!$Z:$Z,'Consulta Contratos'!$AM:$AM,'Performance Vendas'!T$25,'Consulta Contratos'!$S:$S,'Performance Vendas'!$B145,'Consulta Contratos'!$H:$H,"Ativo")</f>
        <v>1435656</v>
      </c>
      <c r="U145" s="202">
        <f>SUMIFS('Consulta Contratos'!$Z:$Z,'Consulta Contratos'!$AM:$AM,'Performance Vendas'!U$25,'Consulta Contratos'!$S:$S,'Performance Vendas'!$B145,'Consulta Contratos'!$H:$H,"Ativo")</f>
        <v>4130016</v>
      </c>
      <c r="V145" s="202">
        <f>SUMIFS('Consulta Contratos'!$Z:$Z,'Consulta Contratos'!$AM:$AM,'Performance Vendas'!V$25,'Consulta Contratos'!$S:$S,'Performance Vendas'!$B145,'Consulta Contratos'!$H:$H,"Ativo")</f>
        <v>14111601</v>
      </c>
      <c r="W145" s="203">
        <f t="shared" si="250"/>
        <v>46161386.200000003</v>
      </c>
      <c r="X145" s="202">
        <f>SUMIFS('Consulta Contratos'!$Z:$Z,'Consulta Contratos'!$AM:$AM,'Performance Vendas'!X$25,'Consulta Contratos'!$S:$S,'Performance Vendas'!$B145,'Consulta Contratos'!$H:$H,"Ativo")</f>
        <v>0</v>
      </c>
      <c r="Y145" s="202">
        <f>SUMIFS('Consulta Contratos'!$Z:$Z,'Consulta Contratos'!$AM:$AM,'Performance Vendas'!Y$25,'Consulta Contratos'!$S:$S,'Performance Vendas'!$B145,'Consulta Contratos'!$H:$H,"Ativo")</f>
        <v>859704.23</v>
      </c>
      <c r="Z145" s="202">
        <f>SUMIFS('Consulta Contratos'!$Z:$Z,'Consulta Contratos'!$AM:$AM,'Performance Vendas'!Z$25,'Consulta Contratos'!$S:$S,'Performance Vendas'!$B145,'Consulta Contratos'!$H:$H,"Ativo")</f>
        <v>500000</v>
      </c>
      <c r="AA145" s="202">
        <f>SUMIFS('Consulta Contratos'!$Z:$Z,'Consulta Contratos'!$AM:$AM,'Performance Vendas'!AA$25,'Consulta Contratos'!$S:$S,'Performance Vendas'!$B145,'Consulta Contratos'!$H:$H,"Ativo")</f>
        <v>380000</v>
      </c>
      <c r="AB145" s="202">
        <f>SUMIFS('Consulta Contratos'!$Z:$Z,'Consulta Contratos'!$AM:$AM,'Performance Vendas'!AB$25,'Consulta Contratos'!$S:$S,'Performance Vendas'!$B145,'Consulta Contratos'!$H:$H,"Ativo")</f>
        <v>0</v>
      </c>
      <c r="AC145" s="202">
        <f>SUMIFS('Consulta Contratos'!$Z:$Z,'Consulta Contratos'!$AM:$AM,'Performance Vendas'!AC$25,'Consulta Contratos'!$S:$S,'Performance Vendas'!$B145,'Consulta Contratos'!$H:$H,"Ativo")</f>
        <v>0</v>
      </c>
      <c r="AD145" s="202">
        <f>SUMIFS('Consulta Contratos'!$Z:$Z,'Consulta Contratos'!$AM:$AM,'Performance Vendas'!AD$25,'Consulta Contratos'!$S:$S,'Performance Vendas'!$B145,'Consulta Contratos'!$H:$H,"Ativo")</f>
        <v>767600</v>
      </c>
      <c r="AE145" s="202">
        <f>SUMIFS('Consulta Contratos'!$Z:$Z,'Consulta Contratos'!$AM:$AM,'Performance Vendas'!AE$25,'Consulta Contratos'!$S:$S,'Performance Vendas'!$B145,'Consulta Contratos'!$H:$H,"Ativo")</f>
        <v>8303400.4199999999</v>
      </c>
      <c r="AF145" s="202">
        <f>SUMIFS('Consulta Contratos'!$Z:$Z,'Consulta Contratos'!$AM:$AM,'Performance Vendas'!AF$25,'Consulta Contratos'!$S:$S,'Performance Vendas'!$B145,'Consulta Contratos'!$H:$H,"Ativo")</f>
        <v>3046179.5999999996</v>
      </c>
      <c r="AG145" s="202">
        <f>SUMIFS('Consulta Contratos'!$Z:$Z,'Consulta Contratos'!$AM:$AM,'Performance Vendas'!AG$25,'Consulta Contratos'!$S:$S,'Performance Vendas'!$B145,'Consulta Contratos'!$H:$H,"Ativo")</f>
        <v>0</v>
      </c>
      <c r="AH145" s="202">
        <f>SUMIFS('Consulta Contratos'!$Z:$Z,'Consulta Contratos'!$AM:$AM,'Performance Vendas'!AH$25,'Consulta Contratos'!$S:$S,'Performance Vendas'!$B145,'Consulta Contratos'!$H:$H,"Ativo")</f>
        <v>1032000</v>
      </c>
      <c r="AI145" s="202">
        <f>SUMIFS('Consulta Contratos'!$Z:$Z,'Consulta Contratos'!$AM:$AM,'Performance Vendas'!AI$25,'Consulta Contratos'!$S:$S,'Performance Vendas'!$B145,'Consulta Contratos'!$H:$H,"Ativo")</f>
        <v>8055831.8499999996</v>
      </c>
      <c r="AJ145" s="203">
        <f t="shared" si="252"/>
        <v>22944716.100000001</v>
      </c>
      <c r="AK145" s="202">
        <f>SUMIFS('Consulta Contratos'!$Z:$Z,'Consulta Contratos'!$AM:$AM,'Performance Vendas'!AK$25,'Consulta Contratos'!$S:$S,'Performance Vendas'!$B145,'Consulta Contratos'!$H:$H,"Ativo")</f>
        <v>0</v>
      </c>
      <c r="AL145" s="202">
        <f>SUMIFS('Consulta Contratos'!$Z:$Z,'Consulta Contratos'!$AM:$AM,'Performance Vendas'!AL$25,'Consulta Contratos'!$S:$S,'Performance Vendas'!$B145,'Consulta Contratos'!$H:$H,"Ativo")</f>
        <v>741565.77</v>
      </c>
      <c r="AM145" s="202">
        <f>SUMIFS('Consulta Contratos'!$Z:$Z,'Consulta Contratos'!$AM:$AM,'Performance Vendas'!AM$25,'Consulta Contratos'!$S:$S,'Performance Vendas'!$B145,'Consulta Contratos'!$H:$H,"Ativo")</f>
        <v>0</v>
      </c>
      <c r="AN145" s="202">
        <f>SUMIFS('Consulta Contratos'!$Z:$Z,'Consulta Contratos'!$AM:$AM,'Performance Vendas'!AN$25,'Consulta Contratos'!$S:$S,'Performance Vendas'!$B145,'Consulta Contratos'!$H:$H,"Ativo")</f>
        <v>0</v>
      </c>
      <c r="AO145" s="202">
        <f>SUMIFS('Consulta Contratos'!$Z:$Z,'Consulta Contratos'!$AM:$AM,'Performance Vendas'!AO$25,'Consulta Contratos'!$S:$S,'Performance Vendas'!$B145,'Consulta Contratos'!$H:$H,"Ativo")</f>
        <v>0</v>
      </c>
      <c r="AP145" s="202">
        <f>SUMIFS('Consulta Contratos'!$Z:$Z,'Consulta Contratos'!$AM:$AM,'Performance Vendas'!AP$25,'Consulta Contratos'!$S:$S,'Performance Vendas'!$B145,'Consulta Contratos'!$H:$H,"Ativo")</f>
        <v>0</v>
      </c>
      <c r="AQ145" s="202">
        <f>SUMIFS('Consulta Contratos'!$Z:$Z,'Consulta Contratos'!$AM:$AM,'Performance Vendas'!AQ$25,'Consulta Contratos'!$S:$S,'Performance Vendas'!$B145,'Consulta Contratos'!$H:$H,"Ativo")</f>
        <v>0</v>
      </c>
      <c r="AR145" s="202">
        <f>SUMIFS('Consulta Contratos'!$Z:$Z,'Consulta Contratos'!$AM:$AM,'Performance Vendas'!AR$25,'Consulta Contratos'!$S:$S,'Performance Vendas'!$B145,'Consulta Contratos'!$H:$H,"Ativo")</f>
        <v>0</v>
      </c>
      <c r="AS145" s="202">
        <f>SUMIFS('Consulta Contratos'!$Z:$Z,'Consulta Contratos'!$AM:$AM,'Performance Vendas'!AS$25,'Consulta Contratos'!$S:$S,'Performance Vendas'!$B145,'Consulta Contratos'!$H:$H,"Ativo")</f>
        <v>0</v>
      </c>
      <c r="AT145" s="202">
        <f>SUMIFS('Consulta Contratos'!$Z:$Z,'Consulta Contratos'!$AM:$AM,'Performance Vendas'!AT$25,'Consulta Contratos'!$S:$S,'Performance Vendas'!$B145,'Consulta Contratos'!$H:$H,"Ativo")</f>
        <v>0</v>
      </c>
      <c r="AU145" s="202">
        <f>SUMIFS('Consulta Contratos'!$Z:$Z,'Consulta Contratos'!$AM:$AM,'Performance Vendas'!AU$25,'Consulta Contratos'!$S:$S,'Performance Vendas'!$B145,'Consulta Contratos'!$H:$H,"Ativo")</f>
        <v>0</v>
      </c>
      <c r="AV145" s="202">
        <f>SUMIFS('Consulta Contratos'!$Z:$Z,'Consulta Contratos'!$AM:$AM,'Performance Vendas'!AV$25,'Consulta Contratos'!$S:$S,'Performance Vendas'!$B145,'Consulta Contratos'!$H:$H,"Ativo")</f>
        <v>0</v>
      </c>
      <c r="AW145" s="203">
        <f t="shared" si="254"/>
        <v>741565.77</v>
      </c>
      <c r="AX145" s="203">
        <f>AJ145+W145+J145+AW145</f>
        <v>80141988.350000009</v>
      </c>
      <c r="AY145" s="199">
        <f t="shared" si="255"/>
        <v>0.20922346949935766</v>
      </c>
      <c r="AZ145" s="202">
        <f>SUMIFS('Consulta Contratos'!$Z:$Z,'Consulta Contratos'!$AM:$AM,'Performance Vendas'!AZ$25,'Consulta Contratos'!$S:$S,'Performance Vendas'!$B145,'Consulta Contratos'!$H:$H,"Ativo")</f>
        <v>412000</v>
      </c>
    </row>
    <row r="146" spans="2:52" s="87" customFormat="1">
      <c r="B146" s="155" t="s">
        <v>146</v>
      </c>
      <c r="C146" s="151"/>
      <c r="D146" s="95"/>
      <c r="E146" s="154">
        <f t="shared" ref="E146:V146" si="257">SUM(E147:E150)</f>
        <v>3683250</v>
      </c>
      <c r="F146" s="154">
        <f t="shared" si="257"/>
        <v>329000</v>
      </c>
      <c r="G146" s="154">
        <f t="shared" si="257"/>
        <v>1467000</v>
      </c>
      <c r="H146" s="154">
        <f t="shared" si="257"/>
        <v>340000</v>
      </c>
      <c r="I146" s="154">
        <f t="shared" si="257"/>
        <v>2725000</v>
      </c>
      <c r="J146" s="153">
        <f t="shared" si="257"/>
        <v>8544250</v>
      </c>
      <c r="K146" s="154">
        <f t="shared" si="257"/>
        <v>5792760</v>
      </c>
      <c r="L146" s="154">
        <f t="shared" si="257"/>
        <v>960000</v>
      </c>
      <c r="M146" s="154">
        <f t="shared" si="257"/>
        <v>1320500</v>
      </c>
      <c r="N146" s="154">
        <f t="shared" si="257"/>
        <v>4205271.76</v>
      </c>
      <c r="O146" s="154">
        <f t="shared" si="257"/>
        <v>3865976</v>
      </c>
      <c r="P146" s="154">
        <f t="shared" si="257"/>
        <v>5693757</v>
      </c>
      <c r="Q146" s="154">
        <f t="shared" si="257"/>
        <v>3442366.63</v>
      </c>
      <c r="R146" s="154">
        <f t="shared" si="257"/>
        <v>2635635.1</v>
      </c>
      <c r="S146" s="154">
        <f t="shared" si="257"/>
        <v>2121422.9900000002</v>
      </c>
      <c r="T146" s="154">
        <f t="shared" si="257"/>
        <v>14357150</v>
      </c>
      <c r="U146" s="154">
        <f t="shared" si="257"/>
        <v>3402239.98</v>
      </c>
      <c r="V146" s="154">
        <f t="shared" si="257"/>
        <v>2525675</v>
      </c>
      <c r="W146" s="153">
        <f t="shared" si="250"/>
        <v>50322754.459999993</v>
      </c>
      <c r="X146" s="154">
        <f t="shared" ref="X146:AI146" si="258">SUM(X147:X150)</f>
        <v>3857321.96</v>
      </c>
      <c r="Y146" s="154">
        <f t="shared" si="258"/>
        <v>0</v>
      </c>
      <c r="Z146" s="154">
        <f t="shared" si="258"/>
        <v>2121000</v>
      </c>
      <c r="AA146" s="154">
        <f t="shared" si="258"/>
        <v>7981550</v>
      </c>
      <c r="AB146" s="154">
        <f t="shared" si="258"/>
        <v>1066240</v>
      </c>
      <c r="AC146" s="154">
        <f t="shared" si="258"/>
        <v>779000</v>
      </c>
      <c r="AD146" s="154">
        <f t="shared" si="258"/>
        <v>2866470.66</v>
      </c>
      <c r="AE146" s="154">
        <f t="shared" si="258"/>
        <v>8707680</v>
      </c>
      <c r="AF146" s="154">
        <f t="shared" si="258"/>
        <v>9385685.3100000005</v>
      </c>
      <c r="AG146" s="154">
        <f t="shared" si="258"/>
        <v>2640000</v>
      </c>
      <c r="AH146" s="154">
        <f t="shared" si="258"/>
        <v>3510199.96</v>
      </c>
      <c r="AI146" s="154">
        <f t="shared" si="258"/>
        <v>0</v>
      </c>
      <c r="AJ146" s="153">
        <f t="shared" si="252"/>
        <v>42915147.890000001</v>
      </c>
      <c r="AK146" s="154">
        <f t="shared" ref="AK146:AV146" si="259">SUM(AK147:AK150)</f>
        <v>6083738.5999999996</v>
      </c>
      <c r="AL146" s="154">
        <f t="shared" si="259"/>
        <v>4176153.06</v>
      </c>
      <c r="AM146" s="154">
        <f t="shared" si="259"/>
        <v>0</v>
      </c>
      <c r="AN146" s="154">
        <f t="shared" si="259"/>
        <v>0</v>
      </c>
      <c r="AO146" s="154">
        <f t="shared" si="259"/>
        <v>0</v>
      </c>
      <c r="AP146" s="154">
        <f t="shared" si="259"/>
        <v>0</v>
      </c>
      <c r="AQ146" s="154">
        <f t="shared" si="259"/>
        <v>0</v>
      </c>
      <c r="AR146" s="154">
        <f t="shared" si="259"/>
        <v>0</v>
      </c>
      <c r="AS146" s="154">
        <f t="shared" si="259"/>
        <v>0</v>
      </c>
      <c r="AT146" s="154">
        <f t="shared" si="259"/>
        <v>0</v>
      </c>
      <c r="AU146" s="154">
        <f t="shared" si="259"/>
        <v>0</v>
      </c>
      <c r="AV146" s="154">
        <f t="shared" si="259"/>
        <v>0</v>
      </c>
      <c r="AW146" s="153">
        <f t="shared" si="254"/>
        <v>10259891.66</v>
      </c>
      <c r="AX146" s="153">
        <f>AJ146+W146+J146+AW146</f>
        <v>112042044.00999999</v>
      </c>
      <c r="AY146" s="149">
        <f t="shared" si="255"/>
        <v>0.29250366331311417</v>
      </c>
      <c r="AZ146" s="154">
        <f>SUM(AZ147:AZ150)</f>
        <v>0</v>
      </c>
    </row>
    <row r="147" spans="2:52" s="87" customFormat="1">
      <c r="B147" s="205" t="s">
        <v>147</v>
      </c>
      <c r="C147" s="195"/>
      <c r="D147" s="196"/>
      <c r="E147" s="197">
        <f>SUMIFS('Consulta Contratos'!$Z:$Z,'Consulta Contratos'!$AM:$AM,'Performance Vendas'!E$25,'Consulta Contratos'!$S:$S,'Performance Vendas'!$B147,'Consulta Contratos'!$H:$H,"Ativo")</f>
        <v>3683250</v>
      </c>
      <c r="F147" s="197">
        <f>SUMIFS('Consulta Contratos'!$Z:$Z,'Consulta Contratos'!$AM:$AM,'Performance Vendas'!F$25,'Consulta Contratos'!$S:$S,'Performance Vendas'!$B147,'Consulta Contratos'!$H:$H,"Ativo")</f>
        <v>0</v>
      </c>
      <c r="G147" s="197">
        <f>SUMIFS('Consulta Contratos'!$Z:$Z,'Consulta Contratos'!$AM:$AM,'Performance Vendas'!G$25,'Consulta Contratos'!$S:$S,'Performance Vendas'!$B147,'Consulta Contratos'!$H:$H,"Ativo")</f>
        <v>807000</v>
      </c>
      <c r="H147" s="197">
        <f>SUMIFS('Consulta Contratos'!$Z:$Z,'Consulta Contratos'!$AM:$AM,'Performance Vendas'!H$25,'Consulta Contratos'!$S:$S,'Performance Vendas'!$B147,'Consulta Contratos'!$H:$H,"Ativo")</f>
        <v>340000</v>
      </c>
      <c r="I147" s="197">
        <f>SUMIFS('Consulta Contratos'!$Z:$Z,'Consulta Contratos'!$AM:$AM,'Performance Vendas'!I$25,'Consulta Contratos'!$S:$S,'Performance Vendas'!$B147,'Consulta Contratos'!$H:$H,"Ativo")</f>
        <v>1985000</v>
      </c>
      <c r="J147" s="198">
        <f t="shared" ref="J147:J150" si="260">SUM(E147:I147)</f>
        <v>6815250</v>
      </c>
      <c r="K147" s="197">
        <f>SUMIFS('Consulta Contratos'!$Z:$Z,'Consulta Contratos'!$AM:$AM,'Performance Vendas'!K$25,'Consulta Contratos'!$S:$S,'Performance Vendas'!$B147,'Consulta Contratos'!$H:$H,"Ativo")</f>
        <v>3236920</v>
      </c>
      <c r="L147" s="197">
        <f>SUMIFS('Consulta Contratos'!$Z:$Z,'Consulta Contratos'!$AM:$AM,'Performance Vendas'!L$25,'Consulta Contratos'!$S:$S,'Performance Vendas'!$B147,'Consulta Contratos'!$H:$H,"Ativo")</f>
        <v>510000</v>
      </c>
      <c r="M147" s="197">
        <f>SUMIFS('Consulta Contratos'!$Z:$Z,'Consulta Contratos'!$AM:$AM,'Performance Vendas'!M$25,'Consulta Contratos'!$S:$S,'Performance Vendas'!$B147,'Consulta Contratos'!$H:$H,"Ativo")</f>
        <v>1320500</v>
      </c>
      <c r="N147" s="197">
        <f>SUMIFS('Consulta Contratos'!$Z:$Z,'Consulta Contratos'!$AM:$AM,'Performance Vendas'!N$25,'Consulta Contratos'!$S:$S,'Performance Vendas'!$B147,'Consulta Contratos'!$H:$H,"Ativo")</f>
        <v>3799992</v>
      </c>
      <c r="O147" s="197">
        <f>SUMIFS('Consulta Contratos'!$Z:$Z,'Consulta Contratos'!$AM:$AM,'Performance Vendas'!O$25,'Consulta Contratos'!$S:$S,'Performance Vendas'!$B147,'Consulta Contratos'!$H:$H,"Ativo")</f>
        <v>3865976</v>
      </c>
      <c r="P147" s="197">
        <f>SUMIFS('Consulta Contratos'!$Z:$Z,'Consulta Contratos'!$AM:$AM,'Performance Vendas'!P$25,'Consulta Contratos'!$S:$S,'Performance Vendas'!$B147,'Consulta Contratos'!$H:$H,"Ativo")</f>
        <v>5022965</v>
      </c>
      <c r="Q147" s="197">
        <f>SUMIFS('Consulta Contratos'!$Z:$Z,'Consulta Contratos'!$AM:$AM,'Performance Vendas'!Q$25,'Consulta Contratos'!$S:$S,'Performance Vendas'!$B147,'Consulta Contratos'!$H:$H,"Ativo")</f>
        <v>3442366.63</v>
      </c>
      <c r="R147" s="197">
        <f>SUMIFS('Consulta Contratos'!$Z:$Z,'Consulta Contratos'!$AM:$AM,'Performance Vendas'!R$25,'Consulta Contratos'!$S:$S,'Performance Vendas'!$B147,'Consulta Contratos'!$H:$H,"Ativo")</f>
        <v>2271134.94</v>
      </c>
      <c r="S147" s="197">
        <f>SUMIFS('Consulta Contratos'!$Z:$Z,'Consulta Contratos'!$AM:$AM,'Performance Vendas'!S$25,'Consulta Contratos'!$S:$S,'Performance Vendas'!$B147,'Consulta Contratos'!$H:$H,"Ativo")</f>
        <v>2121422.9900000002</v>
      </c>
      <c r="T147" s="197">
        <f>SUMIFS('Consulta Contratos'!$Z:$Z,'Consulta Contratos'!$AM:$AM,'Performance Vendas'!T$25,'Consulta Contratos'!$S:$S,'Performance Vendas'!$B147,'Consulta Contratos'!$H:$H,"Ativo")</f>
        <v>5111150</v>
      </c>
      <c r="U147" s="197">
        <f>SUMIFS('Consulta Contratos'!$Z:$Z,'Consulta Contratos'!$AM:$AM,'Performance Vendas'!U$25,'Consulta Contratos'!$S:$S,'Performance Vendas'!$B147,'Consulta Contratos'!$H:$H,"Ativo")</f>
        <v>2491000</v>
      </c>
      <c r="V147" s="197">
        <f>SUMIFS('Consulta Contratos'!$Z:$Z,'Consulta Contratos'!$AM:$AM,'Performance Vendas'!V$25,'Consulta Contratos'!$S:$S,'Performance Vendas'!$B147,'Consulta Contratos'!$H:$H,"Ativo")</f>
        <v>2525675</v>
      </c>
      <c r="W147" s="198">
        <f t="shared" si="250"/>
        <v>35719102.560000002</v>
      </c>
      <c r="X147" s="197">
        <f>SUMIFS('Consulta Contratos'!$Z:$Z,'Consulta Contratos'!$AM:$AM,'Performance Vendas'!X$25,'Consulta Contratos'!$S:$S,'Performance Vendas'!$B147,'Consulta Contratos'!$H:$H,"Ativo")</f>
        <v>3466321.96</v>
      </c>
      <c r="Y147" s="197">
        <f>SUMIFS('Consulta Contratos'!$Z:$Z,'Consulta Contratos'!$AM:$AM,'Performance Vendas'!Y$25,'Consulta Contratos'!$S:$S,'Performance Vendas'!$B147,'Consulta Contratos'!$H:$H,"Ativo")</f>
        <v>0</v>
      </c>
      <c r="Z147" s="197">
        <f>SUMIFS('Consulta Contratos'!$Z:$Z,'Consulta Contratos'!$AM:$AM,'Performance Vendas'!Z$25,'Consulta Contratos'!$S:$S,'Performance Vendas'!$B147,'Consulta Contratos'!$H:$H,"Ativo")</f>
        <v>2121000</v>
      </c>
      <c r="AA147" s="197">
        <f>SUMIFS('Consulta Contratos'!$Z:$Z,'Consulta Contratos'!$AM:$AM,'Performance Vendas'!AA$25,'Consulta Contratos'!$S:$S,'Performance Vendas'!$B147,'Consulta Contratos'!$H:$H,"Ativo")</f>
        <v>7583550</v>
      </c>
      <c r="AB147" s="197">
        <f>SUMIFS('Consulta Contratos'!$Z:$Z,'Consulta Contratos'!$AM:$AM,'Performance Vendas'!AB$25,'Consulta Contratos'!$S:$S,'Performance Vendas'!$B147,'Consulta Contratos'!$H:$H,"Ativo")</f>
        <v>1066240</v>
      </c>
      <c r="AC147" s="197">
        <f>SUMIFS('Consulta Contratos'!$Z:$Z,'Consulta Contratos'!$AM:$AM,'Performance Vendas'!AC$25,'Consulta Contratos'!$S:$S,'Performance Vendas'!$B147,'Consulta Contratos'!$H:$H,"Ativo")</f>
        <v>0</v>
      </c>
      <c r="AD147" s="197">
        <f>SUMIFS('Consulta Contratos'!$Z:$Z,'Consulta Contratos'!$AM:$AM,'Performance Vendas'!AD$25,'Consulta Contratos'!$S:$S,'Performance Vendas'!$B147,'Consulta Contratos'!$H:$H,"Ativo")</f>
        <v>2483470.66</v>
      </c>
      <c r="AE147" s="197">
        <f>SUMIFS('Consulta Contratos'!$Z:$Z,'Consulta Contratos'!$AM:$AM,'Performance Vendas'!AE$25,'Consulta Contratos'!$S:$S,'Performance Vendas'!$B147,'Consulta Contratos'!$H:$H,"Ativo")</f>
        <v>6734280</v>
      </c>
      <c r="AF147" s="197">
        <f>SUMIFS('Consulta Contratos'!$Z:$Z,'Consulta Contratos'!$AM:$AM,'Performance Vendas'!AF$25,'Consulta Contratos'!$S:$S,'Performance Vendas'!$B147,'Consulta Contratos'!$H:$H,"Ativo")</f>
        <v>7899835</v>
      </c>
      <c r="AG147" s="197">
        <f>SUMIFS('Consulta Contratos'!$Z:$Z,'Consulta Contratos'!$AM:$AM,'Performance Vendas'!AG$25,'Consulta Contratos'!$S:$S,'Performance Vendas'!$B147,'Consulta Contratos'!$H:$H,"Ativo")</f>
        <v>2640000</v>
      </c>
      <c r="AH147" s="197">
        <f>SUMIFS('Consulta Contratos'!$Z:$Z,'Consulta Contratos'!$AM:$AM,'Performance Vendas'!AH$25,'Consulta Contratos'!$S:$S,'Performance Vendas'!$B147,'Consulta Contratos'!$H:$H,"Ativo")</f>
        <v>1836000.12</v>
      </c>
      <c r="AI147" s="197">
        <f>SUMIFS('Consulta Contratos'!$Z:$Z,'Consulta Contratos'!$AM:$AM,'Performance Vendas'!AI$25,'Consulta Contratos'!$S:$S,'Performance Vendas'!$B147,'Consulta Contratos'!$H:$H,"Ativo")</f>
        <v>0</v>
      </c>
      <c r="AJ147" s="198">
        <f t="shared" si="252"/>
        <v>35830697.740000002</v>
      </c>
      <c r="AK147" s="197">
        <f>SUMIFS('Consulta Contratos'!$Z:$Z,'Consulta Contratos'!$AM:$AM,'Performance Vendas'!AK$25,'Consulta Contratos'!$S:$S,'Performance Vendas'!$B147,'Consulta Contratos'!$H:$H,"Ativo")</f>
        <v>3916738.8</v>
      </c>
      <c r="AL147" s="197">
        <f>SUMIFS('Consulta Contratos'!$Z:$Z,'Consulta Contratos'!$AM:$AM,'Performance Vendas'!AL$25,'Consulta Contratos'!$S:$S,'Performance Vendas'!$B147,'Consulta Contratos'!$H:$H,"Ativo")</f>
        <v>3439153.06</v>
      </c>
      <c r="AM147" s="197">
        <f>SUMIFS('Consulta Contratos'!$Z:$Z,'Consulta Contratos'!$AM:$AM,'Performance Vendas'!AM$25,'Consulta Contratos'!$S:$S,'Performance Vendas'!$B147,'Consulta Contratos'!$H:$H,"Ativo")</f>
        <v>0</v>
      </c>
      <c r="AN147" s="197">
        <f>SUMIFS('Consulta Contratos'!$Z:$Z,'Consulta Contratos'!$AM:$AM,'Performance Vendas'!AN$25,'Consulta Contratos'!$S:$S,'Performance Vendas'!$B147,'Consulta Contratos'!$H:$H,"Ativo")</f>
        <v>0</v>
      </c>
      <c r="AO147" s="197">
        <f>SUMIFS('Consulta Contratos'!$Z:$Z,'Consulta Contratos'!$AM:$AM,'Performance Vendas'!AO$25,'Consulta Contratos'!$S:$S,'Performance Vendas'!$B147,'Consulta Contratos'!$H:$H,"Ativo")</f>
        <v>0</v>
      </c>
      <c r="AP147" s="197">
        <f>SUMIFS('Consulta Contratos'!$Z:$Z,'Consulta Contratos'!$AM:$AM,'Performance Vendas'!AP$25,'Consulta Contratos'!$S:$S,'Performance Vendas'!$B147,'Consulta Contratos'!$H:$H,"Ativo")</f>
        <v>0</v>
      </c>
      <c r="AQ147" s="197">
        <f>SUMIFS('Consulta Contratos'!$Z:$Z,'Consulta Contratos'!$AM:$AM,'Performance Vendas'!AQ$25,'Consulta Contratos'!$S:$S,'Performance Vendas'!$B147,'Consulta Contratos'!$H:$H,"Ativo")</f>
        <v>0</v>
      </c>
      <c r="AR147" s="197">
        <f>SUMIFS('Consulta Contratos'!$Z:$Z,'Consulta Contratos'!$AM:$AM,'Performance Vendas'!AR$25,'Consulta Contratos'!$S:$S,'Performance Vendas'!$B147,'Consulta Contratos'!$H:$H,"Ativo")</f>
        <v>0</v>
      </c>
      <c r="AS147" s="197">
        <f>SUMIFS('Consulta Contratos'!$Z:$Z,'Consulta Contratos'!$AM:$AM,'Performance Vendas'!AS$25,'Consulta Contratos'!$S:$S,'Performance Vendas'!$B147,'Consulta Contratos'!$H:$H,"Ativo")</f>
        <v>0</v>
      </c>
      <c r="AT147" s="197">
        <f>SUMIFS('Consulta Contratos'!$Z:$Z,'Consulta Contratos'!$AM:$AM,'Performance Vendas'!AT$25,'Consulta Contratos'!$S:$S,'Performance Vendas'!$B147,'Consulta Contratos'!$H:$H,"Ativo")</f>
        <v>0</v>
      </c>
      <c r="AU147" s="197">
        <f>SUMIFS('Consulta Contratos'!$Z:$Z,'Consulta Contratos'!$AM:$AM,'Performance Vendas'!AU$25,'Consulta Contratos'!$S:$S,'Performance Vendas'!$B147,'Consulta Contratos'!$H:$H,"Ativo")</f>
        <v>0</v>
      </c>
      <c r="AV147" s="197">
        <f>SUMIFS('Consulta Contratos'!$Z:$Z,'Consulta Contratos'!$AM:$AM,'Performance Vendas'!AV$25,'Consulta Contratos'!$S:$S,'Performance Vendas'!$B147,'Consulta Contratos'!$H:$H,"Ativo")</f>
        <v>0</v>
      </c>
      <c r="AW147" s="198">
        <f t="shared" si="254"/>
        <v>7355891.8599999994</v>
      </c>
      <c r="AX147" s="198">
        <f>AJ147+W147+J147+AW147</f>
        <v>85720942.160000011</v>
      </c>
      <c r="AY147" s="199">
        <f t="shared" si="255"/>
        <v>0.22378822009185853</v>
      </c>
      <c r="AZ147" s="197">
        <f>SUMIFS('Consulta Contratos'!$Z:$Z,'Consulta Contratos'!$AM:$AM,'Performance Vendas'!AZ$25,'Consulta Contratos'!$S:$S,'Performance Vendas'!$B147,'Consulta Contratos'!$H:$H,"Ativo")</f>
        <v>0</v>
      </c>
    </row>
    <row r="148" spans="2:52" s="87" customFormat="1">
      <c r="B148" s="205" t="s">
        <v>148</v>
      </c>
      <c r="C148" s="195"/>
      <c r="D148" s="207"/>
      <c r="E148" s="208">
        <f>SUMIFS('Consulta Contratos'!$Z:$Z,'Consulta Contratos'!$AM:$AM,'Performance Vendas'!E$25,'Consulta Contratos'!$S:$S,'Performance Vendas'!$B148,'Consulta Contratos'!$H:$H,"Ativo")</f>
        <v>0</v>
      </c>
      <c r="F148" s="208">
        <f>SUMIFS('Consulta Contratos'!$Z:$Z,'Consulta Contratos'!$AM:$AM,'Performance Vendas'!F$25,'Consulta Contratos'!$S:$S,'Performance Vendas'!$B148,'Consulta Contratos'!$H:$H,"Ativo")</f>
        <v>0</v>
      </c>
      <c r="G148" s="208">
        <f>SUMIFS('Consulta Contratos'!$Z:$Z,'Consulta Contratos'!$AM:$AM,'Performance Vendas'!G$25,'Consulta Contratos'!$S:$S,'Performance Vendas'!$B148,'Consulta Contratos'!$H:$H,"Ativo")</f>
        <v>0</v>
      </c>
      <c r="H148" s="208">
        <f>SUMIFS('Consulta Contratos'!$Z:$Z,'Consulta Contratos'!$AM:$AM,'Performance Vendas'!H$25,'Consulta Contratos'!$S:$S,'Performance Vendas'!$B148,'Consulta Contratos'!$H:$H,"Ativo")</f>
        <v>0</v>
      </c>
      <c r="I148" s="208">
        <f>SUMIFS('Consulta Contratos'!$Z:$Z,'Consulta Contratos'!$AM:$AM,'Performance Vendas'!I$25,'Consulta Contratos'!$S:$S,'Performance Vendas'!$B148,'Consulta Contratos'!$H:$H,"Ativo")</f>
        <v>0</v>
      </c>
      <c r="J148" s="209">
        <f t="shared" si="260"/>
        <v>0</v>
      </c>
      <c r="K148" s="208">
        <f>SUMIFS('Consulta Contratos'!$Z:$Z,'Consulta Contratos'!$AM:$AM,'Performance Vendas'!K$25,'Consulta Contratos'!$S:$S,'Performance Vendas'!$B148,'Consulta Contratos'!$H:$H,"Ativo")</f>
        <v>0</v>
      </c>
      <c r="L148" s="208">
        <f>SUMIFS('Consulta Contratos'!$Z:$Z,'Consulta Contratos'!$AM:$AM,'Performance Vendas'!L$25,'Consulta Contratos'!$S:$S,'Performance Vendas'!$B148,'Consulta Contratos'!$H:$H,"Ativo")</f>
        <v>0</v>
      </c>
      <c r="M148" s="208">
        <f>SUMIFS('Consulta Contratos'!$Z:$Z,'Consulta Contratos'!$AM:$AM,'Performance Vendas'!M$25,'Consulta Contratos'!$S:$S,'Performance Vendas'!$B148,'Consulta Contratos'!$H:$H,"Ativo")</f>
        <v>0</v>
      </c>
      <c r="N148" s="208">
        <f>SUMIFS('Consulta Contratos'!$Z:$Z,'Consulta Contratos'!$AM:$AM,'Performance Vendas'!N$25,'Consulta Contratos'!$S:$S,'Performance Vendas'!$B148,'Consulta Contratos'!$H:$H,"Ativo")</f>
        <v>0</v>
      </c>
      <c r="O148" s="208">
        <f>SUMIFS('Consulta Contratos'!$Z:$Z,'Consulta Contratos'!$AM:$AM,'Performance Vendas'!O$25,'Consulta Contratos'!$S:$S,'Performance Vendas'!$B148,'Consulta Contratos'!$H:$H,"Ativo")</f>
        <v>0</v>
      </c>
      <c r="P148" s="208">
        <f>SUMIFS('Consulta Contratos'!$Z:$Z,'Consulta Contratos'!$AM:$AM,'Performance Vendas'!P$25,'Consulta Contratos'!$S:$S,'Performance Vendas'!$B148,'Consulta Contratos'!$H:$H,"Ativo")</f>
        <v>0</v>
      </c>
      <c r="Q148" s="208">
        <f>SUMIFS('Consulta Contratos'!$Z:$Z,'Consulta Contratos'!$AM:$AM,'Performance Vendas'!Q$25,'Consulta Contratos'!$S:$S,'Performance Vendas'!$B148,'Consulta Contratos'!$H:$H,"Ativo")</f>
        <v>0</v>
      </c>
      <c r="R148" s="208">
        <f>SUMIFS('Consulta Contratos'!$Z:$Z,'Consulta Contratos'!$AM:$AM,'Performance Vendas'!R$25,'Consulta Contratos'!$S:$S,'Performance Vendas'!$B148,'Consulta Contratos'!$H:$H,"Ativo")</f>
        <v>0</v>
      </c>
      <c r="S148" s="208">
        <f>SUMIFS('Consulta Contratos'!$Z:$Z,'Consulta Contratos'!$AM:$AM,'Performance Vendas'!S$25,'Consulta Contratos'!$S:$S,'Performance Vendas'!$B148,'Consulta Contratos'!$H:$H,"Ativo")</f>
        <v>0</v>
      </c>
      <c r="T148" s="208">
        <f>SUMIFS('Consulta Contratos'!$Z:$Z,'Consulta Contratos'!$AM:$AM,'Performance Vendas'!T$25,'Consulta Contratos'!$S:$S,'Performance Vendas'!$B148,'Consulta Contratos'!$H:$H,"Ativo")</f>
        <v>8870000</v>
      </c>
      <c r="U148" s="208">
        <f>SUMIFS('Consulta Contratos'!$Z:$Z,'Consulta Contratos'!$AM:$AM,'Performance Vendas'!U$25,'Consulta Contratos'!$S:$S,'Performance Vendas'!$B148,'Consulta Contratos'!$H:$H,"Ativo")</f>
        <v>0</v>
      </c>
      <c r="V148" s="208">
        <f>SUMIFS('Consulta Contratos'!$Z:$Z,'Consulta Contratos'!$AM:$AM,'Performance Vendas'!V$25,'Consulta Contratos'!$S:$S,'Performance Vendas'!$B148,'Consulta Contratos'!$H:$H,"Ativo")</f>
        <v>0</v>
      </c>
      <c r="W148" s="209">
        <f t="shared" si="250"/>
        <v>8870000</v>
      </c>
      <c r="X148" s="208">
        <f>SUMIFS('Consulta Contratos'!$Z:$Z,'Consulta Contratos'!$AM:$AM,'Performance Vendas'!X$25,'Consulta Contratos'!$S:$S,'Performance Vendas'!$B148,'Consulta Contratos'!$H:$H,"Ativo")</f>
        <v>0</v>
      </c>
      <c r="Y148" s="208">
        <f>SUMIFS('Consulta Contratos'!$Z:$Z,'Consulta Contratos'!$AM:$AM,'Performance Vendas'!Y$25,'Consulta Contratos'!$S:$S,'Performance Vendas'!$B148,'Consulta Contratos'!$H:$H,"Ativo")</f>
        <v>0</v>
      </c>
      <c r="Z148" s="208">
        <f>SUMIFS('Consulta Contratos'!$Z:$Z,'Consulta Contratos'!$AM:$AM,'Performance Vendas'!Z$25,'Consulta Contratos'!$S:$S,'Performance Vendas'!$B148,'Consulta Contratos'!$H:$H,"Ativo")</f>
        <v>0</v>
      </c>
      <c r="AA148" s="208">
        <f>SUMIFS('Consulta Contratos'!$Z:$Z,'Consulta Contratos'!$AM:$AM,'Performance Vendas'!AA$25,'Consulta Contratos'!$S:$S,'Performance Vendas'!$B148,'Consulta Contratos'!$H:$H,"Ativo")</f>
        <v>0</v>
      </c>
      <c r="AB148" s="208">
        <f>SUMIFS('Consulta Contratos'!$Z:$Z,'Consulta Contratos'!$AM:$AM,'Performance Vendas'!AB$25,'Consulta Contratos'!$S:$S,'Performance Vendas'!$B148,'Consulta Contratos'!$H:$H,"Ativo")</f>
        <v>0</v>
      </c>
      <c r="AC148" s="208">
        <f>SUMIFS('Consulta Contratos'!$Z:$Z,'Consulta Contratos'!$AM:$AM,'Performance Vendas'!AC$25,'Consulta Contratos'!$S:$S,'Performance Vendas'!$B148,'Consulta Contratos'!$H:$H,"Ativo")</f>
        <v>0</v>
      </c>
      <c r="AD148" s="208">
        <f>SUMIFS('Consulta Contratos'!$Z:$Z,'Consulta Contratos'!$AM:$AM,'Performance Vendas'!AD$25,'Consulta Contratos'!$S:$S,'Performance Vendas'!$B148,'Consulta Contratos'!$H:$H,"Ativo")</f>
        <v>383000</v>
      </c>
      <c r="AE148" s="208">
        <f>SUMIFS('Consulta Contratos'!$Z:$Z,'Consulta Contratos'!$AM:$AM,'Performance Vendas'!AE$25,'Consulta Contratos'!$S:$S,'Performance Vendas'!$B148,'Consulta Contratos'!$H:$H,"Ativo")</f>
        <v>0</v>
      </c>
      <c r="AF148" s="208">
        <f>SUMIFS('Consulta Contratos'!$Z:$Z,'Consulta Contratos'!$AM:$AM,'Performance Vendas'!AF$25,'Consulta Contratos'!$S:$S,'Performance Vendas'!$B148,'Consulta Contratos'!$H:$H,"Ativo")</f>
        <v>0</v>
      </c>
      <c r="AG148" s="208">
        <f>SUMIFS('Consulta Contratos'!$Z:$Z,'Consulta Contratos'!$AM:$AM,'Performance Vendas'!AG$25,'Consulta Contratos'!$S:$S,'Performance Vendas'!$B148,'Consulta Contratos'!$H:$H,"Ativo")</f>
        <v>0</v>
      </c>
      <c r="AH148" s="208">
        <f>SUMIFS('Consulta Contratos'!$Z:$Z,'Consulta Contratos'!$AM:$AM,'Performance Vendas'!AH$25,'Consulta Contratos'!$S:$S,'Performance Vendas'!$B148,'Consulta Contratos'!$H:$H,"Ativo")</f>
        <v>0</v>
      </c>
      <c r="AI148" s="208">
        <f>SUMIFS('Consulta Contratos'!$Z:$Z,'Consulta Contratos'!$AM:$AM,'Performance Vendas'!AI$25,'Consulta Contratos'!$S:$S,'Performance Vendas'!$B148,'Consulta Contratos'!$H:$H,"Ativo")</f>
        <v>0</v>
      </c>
      <c r="AJ148" s="209">
        <f t="shared" si="252"/>
        <v>383000</v>
      </c>
      <c r="AK148" s="208">
        <f>SUMIFS('Consulta Contratos'!$Z:$Z,'Consulta Contratos'!$AM:$AM,'Performance Vendas'!AK$25,'Consulta Contratos'!$S:$S,'Performance Vendas'!$B148,'Consulta Contratos'!$H:$H,"Ativo")</f>
        <v>0</v>
      </c>
      <c r="AL148" s="208">
        <f>SUMIFS('Consulta Contratos'!$Z:$Z,'Consulta Contratos'!$AM:$AM,'Performance Vendas'!AL$25,'Consulta Contratos'!$S:$S,'Performance Vendas'!$B148,'Consulta Contratos'!$H:$H,"Ativo")</f>
        <v>0</v>
      </c>
      <c r="AM148" s="208">
        <f>SUMIFS('Consulta Contratos'!$Z:$Z,'Consulta Contratos'!$AM:$AM,'Performance Vendas'!AM$25,'Consulta Contratos'!$S:$S,'Performance Vendas'!$B148,'Consulta Contratos'!$H:$H,"Ativo")</f>
        <v>0</v>
      </c>
      <c r="AN148" s="208">
        <f>SUMIFS('Consulta Contratos'!$Z:$Z,'Consulta Contratos'!$AM:$AM,'Performance Vendas'!AN$25,'Consulta Contratos'!$S:$S,'Performance Vendas'!$B148,'Consulta Contratos'!$H:$H,"Ativo")</f>
        <v>0</v>
      </c>
      <c r="AO148" s="208">
        <f>SUMIFS('Consulta Contratos'!$Z:$Z,'Consulta Contratos'!$AM:$AM,'Performance Vendas'!AO$25,'Consulta Contratos'!$S:$S,'Performance Vendas'!$B148,'Consulta Contratos'!$H:$H,"Ativo")</f>
        <v>0</v>
      </c>
      <c r="AP148" s="208">
        <f>SUMIFS('Consulta Contratos'!$Z:$Z,'Consulta Contratos'!$AM:$AM,'Performance Vendas'!AP$25,'Consulta Contratos'!$S:$S,'Performance Vendas'!$B148,'Consulta Contratos'!$H:$H,"Ativo")</f>
        <v>0</v>
      </c>
      <c r="AQ148" s="208">
        <f>SUMIFS('Consulta Contratos'!$Z:$Z,'Consulta Contratos'!$AM:$AM,'Performance Vendas'!AQ$25,'Consulta Contratos'!$S:$S,'Performance Vendas'!$B148,'Consulta Contratos'!$H:$H,"Ativo")</f>
        <v>0</v>
      </c>
      <c r="AR148" s="208">
        <f>SUMIFS('Consulta Contratos'!$Z:$Z,'Consulta Contratos'!$AM:$AM,'Performance Vendas'!AR$25,'Consulta Contratos'!$S:$S,'Performance Vendas'!$B148,'Consulta Contratos'!$H:$H,"Ativo")</f>
        <v>0</v>
      </c>
      <c r="AS148" s="208">
        <f>SUMIFS('Consulta Contratos'!$Z:$Z,'Consulta Contratos'!$AM:$AM,'Performance Vendas'!AS$25,'Consulta Contratos'!$S:$S,'Performance Vendas'!$B148,'Consulta Contratos'!$H:$H,"Ativo")</f>
        <v>0</v>
      </c>
      <c r="AT148" s="208">
        <f>SUMIFS('Consulta Contratos'!$Z:$Z,'Consulta Contratos'!$AM:$AM,'Performance Vendas'!AT$25,'Consulta Contratos'!$S:$S,'Performance Vendas'!$B148,'Consulta Contratos'!$H:$H,"Ativo")</f>
        <v>0</v>
      </c>
      <c r="AU148" s="208">
        <f>SUMIFS('Consulta Contratos'!$Z:$Z,'Consulta Contratos'!$AM:$AM,'Performance Vendas'!AU$25,'Consulta Contratos'!$S:$S,'Performance Vendas'!$B148,'Consulta Contratos'!$H:$H,"Ativo")</f>
        <v>0</v>
      </c>
      <c r="AV148" s="208">
        <f>SUMIFS('Consulta Contratos'!$Z:$Z,'Consulta Contratos'!$AM:$AM,'Performance Vendas'!AV$25,'Consulta Contratos'!$S:$S,'Performance Vendas'!$B148,'Consulta Contratos'!$H:$H,"Ativo")</f>
        <v>0</v>
      </c>
      <c r="AW148" s="209">
        <f t="shared" si="254"/>
        <v>0</v>
      </c>
      <c r="AX148" s="209">
        <f>AJ148+W148+J148+AW148</f>
        <v>9253000</v>
      </c>
      <c r="AY148" s="199">
        <f t="shared" si="255"/>
        <v>2.4156435385940311E-2</v>
      </c>
      <c r="AZ148" s="197">
        <f>SUMIFS('Consulta Contratos'!$Z:$Z,'Consulta Contratos'!$AM:$AM,'Performance Vendas'!AZ$25,'Consulta Contratos'!$S:$S,'Performance Vendas'!$B148,'Consulta Contratos'!$H:$H,"Ativo")</f>
        <v>0</v>
      </c>
    </row>
    <row r="149" spans="2:52" s="87" customFormat="1">
      <c r="B149" s="205" t="s">
        <v>149</v>
      </c>
      <c r="C149" s="195"/>
      <c r="D149" s="196"/>
      <c r="E149" s="197">
        <f>SUMIFS('Consulta Contratos'!$Z:$Z,'Consulta Contratos'!$AM:$AM,'Performance Vendas'!E$25,'Consulta Contratos'!$S:$S,'Performance Vendas'!$B149,'Consulta Contratos'!$H:$H,"Ativo")</f>
        <v>0</v>
      </c>
      <c r="F149" s="197">
        <f>SUMIFS('Consulta Contratos'!$Z:$Z,'Consulta Contratos'!$AM:$AM,'Performance Vendas'!F$25,'Consulta Contratos'!$S:$S,'Performance Vendas'!$B149,'Consulta Contratos'!$H:$H,"Ativo")</f>
        <v>329000</v>
      </c>
      <c r="G149" s="197">
        <f>SUMIFS('Consulta Contratos'!$Z:$Z,'Consulta Contratos'!$AM:$AM,'Performance Vendas'!G$25,'Consulta Contratos'!$S:$S,'Performance Vendas'!$B149,'Consulta Contratos'!$H:$H,"Ativo")</f>
        <v>0</v>
      </c>
      <c r="H149" s="197">
        <f>SUMIFS('Consulta Contratos'!$Z:$Z,'Consulta Contratos'!$AM:$AM,'Performance Vendas'!H$25,'Consulta Contratos'!$S:$S,'Performance Vendas'!$B149,'Consulta Contratos'!$H:$H,"Ativo")</f>
        <v>0</v>
      </c>
      <c r="I149" s="197">
        <f>SUMIFS('Consulta Contratos'!$Z:$Z,'Consulta Contratos'!$AM:$AM,'Performance Vendas'!I$25,'Consulta Contratos'!$S:$S,'Performance Vendas'!$B149,'Consulta Contratos'!$H:$H,"Ativo")</f>
        <v>740000</v>
      </c>
      <c r="J149" s="198">
        <f t="shared" si="260"/>
        <v>1069000</v>
      </c>
      <c r="K149" s="197">
        <f>SUMIFS('Consulta Contratos'!$Z:$Z,'Consulta Contratos'!$AM:$AM,'Performance Vendas'!K$25,'Consulta Contratos'!$S:$S,'Performance Vendas'!$B149,'Consulta Contratos'!$H:$H,"Ativo")</f>
        <v>465840</v>
      </c>
      <c r="L149" s="197">
        <f>SUMIFS('Consulta Contratos'!$Z:$Z,'Consulta Contratos'!$AM:$AM,'Performance Vendas'!L$25,'Consulta Contratos'!$S:$S,'Performance Vendas'!$B149,'Consulta Contratos'!$H:$H,"Ativo")</f>
        <v>450000</v>
      </c>
      <c r="M149" s="197">
        <f>SUMIFS('Consulta Contratos'!$Z:$Z,'Consulta Contratos'!$AM:$AM,'Performance Vendas'!M$25,'Consulta Contratos'!$S:$S,'Performance Vendas'!$B149,'Consulta Contratos'!$H:$H,"Ativo")</f>
        <v>0</v>
      </c>
      <c r="N149" s="197">
        <f>SUMIFS('Consulta Contratos'!$Z:$Z,'Consulta Contratos'!$AM:$AM,'Performance Vendas'!N$25,'Consulta Contratos'!$S:$S,'Performance Vendas'!$B149,'Consulta Contratos'!$H:$H,"Ativo")</f>
        <v>0</v>
      </c>
      <c r="O149" s="197">
        <f>SUMIFS('Consulta Contratos'!$Z:$Z,'Consulta Contratos'!$AM:$AM,'Performance Vendas'!O$25,'Consulta Contratos'!$S:$S,'Performance Vendas'!$B149,'Consulta Contratos'!$H:$H,"Ativo")</f>
        <v>0</v>
      </c>
      <c r="P149" s="197">
        <f>SUMIFS('Consulta Contratos'!$Z:$Z,'Consulta Contratos'!$AM:$AM,'Performance Vendas'!P$25,'Consulta Contratos'!$S:$S,'Performance Vendas'!$B149,'Consulta Contratos'!$H:$H,"Ativo")</f>
        <v>670792</v>
      </c>
      <c r="Q149" s="197">
        <f>SUMIFS('Consulta Contratos'!$Z:$Z,'Consulta Contratos'!$AM:$AM,'Performance Vendas'!Q$25,'Consulta Contratos'!$S:$S,'Performance Vendas'!$B149,'Consulta Contratos'!$H:$H,"Ativo")</f>
        <v>0</v>
      </c>
      <c r="R149" s="197">
        <f>SUMIFS('Consulta Contratos'!$Z:$Z,'Consulta Contratos'!$AM:$AM,'Performance Vendas'!R$25,'Consulta Contratos'!$S:$S,'Performance Vendas'!$B149,'Consulta Contratos'!$H:$H,"Ativo")</f>
        <v>0</v>
      </c>
      <c r="S149" s="197">
        <f>SUMIFS('Consulta Contratos'!$Z:$Z,'Consulta Contratos'!$AM:$AM,'Performance Vendas'!S$25,'Consulta Contratos'!$S:$S,'Performance Vendas'!$B149,'Consulta Contratos'!$H:$H,"Ativo")</f>
        <v>0</v>
      </c>
      <c r="T149" s="197">
        <f>SUMIFS('Consulta Contratos'!$Z:$Z,'Consulta Contratos'!$AM:$AM,'Performance Vendas'!T$25,'Consulta Contratos'!$S:$S,'Performance Vendas'!$B149,'Consulta Contratos'!$H:$H,"Ativo")</f>
        <v>0</v>
      </c>
      <c r="U149" s="197">
        <f>SUMIFS('Consulta Contratos'!$Z:$Z,'Consulta Contratos'!$AM:$AM,'Performance Vendas'!U$25,'Consulta Contratos'!$S:$S,'Performance Vendas'!$B149,'Consulta Contratos'!$H:$H,"Ativo")</f>
        <v>911239.98</v>
      </c>
      <c r="V149" s="197">
        <f>SUMIFS('Consulta Contratos'!$Z:$Z,'Consulta Contratos'!$AM:$AM,'Performance Vendas'!V$25,'Consulta Contratos'!$S:$S,'Performance Vendas'!$B149,'Consulta Contratos'!$H:$H,"Ativo")</f>
        <v>0</v>
      </c>
      <c r="W149" s="198">
        <f t="shared" si="250"/>
        <v>2497871.98</v>
      </c>
      <c r="X149" s="197">
        <f>SUMIFS('Consulta Contratos'!$Z:$Z,'Consulta Contratos'!$AM:$AM,'Performance Vendas'!X$25,'Consulta Contratos'!$S:$S,'Performance Vendas'!$B149,'Consulta Contratos'!$H:$H,"Ativo")</f>
        <v>0</v>
      </c>
      <c r="Y149" s="197">
        <f>SUMIFS('Consulta Contratos'!$Z:$Z,'Consulta Contratos'!$AM:$AM,'Performance Vendas'!Y$25,'Consulta Contratos'!$S:$S,'Performance Vendas'!$B149,'Consulta Contratos'!$H:$H,"Ativo")</f>
        <v>0</v>
      </c>
      <c r="Z149" s="197">
        <f>SUMIFS('Consulta Contratos'!$Z:$Z,'Consulta Contratos'!$AM:$AM,'Performance Vendas'!Z$25,'Consulta Contratos'!$S:$S,'Performance Vendas'!$B149,'Consulta Contratos'!$H:$H,"Ativo")</f>
        <v>0</v>
      </c>
      <c r="AA149" s="197">
        <f>SUMIFS('Consulta Contratos'!$Z:$Z,'Consulta Contratos'!$AM:$AM,'Performance Vendas'!AA$25,'Consulta Contratos'!$S:$S,'Performance Vendas'!$B149,'Consulta Contratos'!$H:$H,"Ativo")</f>
        <v>0</v>
      </c>
      <c r="AB149" s="197">
        <f>SUMIFS('Consulta Contratos'!$Z:$Z,'Consulta Contratos'!$AM:$AM,'Performance Vendas'!AB$25,'Consulta Contratos'!$S:$S,'Performance Vendas'!$B149,'Consulta Contratos'!$H:$H,"Ativo")</f>
        <v>0</v>
      </c>
      <c r="AC149" s="197">
        <f>SUMIFS('Consulta Contratos'!$Z:$Z,'Consulta Contratos'!$AM:$AM,'Performance Vendas'!AC$25,'Consulta Contratos'!$S:$S,'Performance Vendas'!$B149,'Consulta Contratos'!$H:$H,"Ativo")</f>
        <v>779000</v>
      </c>
      <c r="AD149" s="197">
        <f>SUMIFS('Consulta Contratos'!$Z:$Z,'Consulta Contratos'!$AM:$AM,'Performance Vendas'!AD$25,'Consulta Contratos'!$S:$S,'Performance Vendas'!$B149,'Consulta Contratos'!$H:$H,"Ativo")</f>
        <v>0</v>
      </c>
      <c r="AE149" s="197">
        <f>SUMIFS('Consulta Contratos'!$Z:$Z,'Consulta Contratos'!$AM:$AM,'Performance Vendas'!AE$25,'Consulta Contratos'!$S:$S,'Performance Vendas'!$B149,'Consulta Contratos'!$H:$H,"Ativo")</f>
        <v>1973400</v>
      </c>
      <c r="AF149" s="197">
        <f>SUMIFS('Consulta Contratos'!$Z:$Z,'Consulta Contratos'!$AM:$AM,'Performance Vendas'!AF$25,'Consulta Contratos'!$S:$S,'Performance Vendas'!$B149,'Consulta Contratos'!$H:$H,"Ativo")</f>
        <v>1485850.31</v>
      </c>
      <c r="AG149" s="197">
        <f>SUMIFS('Consulta Contratos'!$Z:$Z,'Consulta Contratos'!$AM:$AM,'Performance Vendas'!AG$25,'Consulta Contratos'!$S:$S,'Performance Vendas'!$B149,'Consulta Contratos'!$H:$H,"Ativo")</f>
        <v>0</v>
      </c>
      <c r="AH149" s="197">
        <f>SUMIFS('Consulta Contratos'!$Z:$Z,'Consulta Contratos'!$AM:$AM,'Performance Vendas'!AH$25,'Consulta Contratos'!$S:$S,'Performance Vendas'!$B149,'Consulta Contratos'!$H:$H,"Ativo")</f>
        <v>837099.92</v>
      </c>
      <c r="AI149" s="197">
        <f>SUMIFS('Consulta Contratos'!$Z:$Z,'Consulta Contratos'!$AM:$AM,'Performance Vendas'!AI$25,'Consulta Contratos'!$S:$S,'Performance Vendas'!$B149,'Consulta Contratos'!$H:$H,"Ativo")</f>
        <v>0</v>
      </c>
      <c r="AJ149" s="198">
        <f t="shared" si="252"/>
        <v>5075350.2300000004</v>
      </c>
      <c r="AK149" s="197">
        <f>SUMIFS('Consulta Contratos'!$Z:$Z,'Consulta Contratos'!$AM:$AM,'Performance Vendas'!AK$25,'Consulta Contratos'!$S:$S,'Performance Vendas'!$B149,'Consulta Contratos'!$H:$H,"Ativo")</f>
        <v>2166999.7999999998</v>
      </c>
      <c r="AL149" s="197">
        <f>SUMIFS('Consulta Contratos'!$Z:$Z,'Consulta Contratos'!$AM:$AM,'Performance Vendas'!AL$25,'Consulta Contratos'!$S:$S,'Performance Vendas'!$B149,'Consulta Contratos'!$H:$H,"Ativo")</f>
        <v>360000</v>
      </c>
      <c r="AM149" s="197">
        <f>SUMIFS('Consulta Contratos'!$Z:$Z,'Consulta Contratos'!$AM:$AM,'Performance Vendas'!AM$25,'Consulta Contratos'!$S:$S,'Performance Vendas'!$B149,'Consulta Contratos'!$H:$H,"Ativo")</f>
        <v>0</v>
      </c>
      <c r="AN149" s="197">
        <f>SUMIFS('Consulta Contratos'!$Z:$Z,'Consulta Contratos'!$AM:$AM,'Performance Vendas'!AN$25,'Consulta Contratos'!$S:$S,'Performance Vendas'!$B149,'Consulta Contratos'!$H:$H,"Ativo")</f>
        <v>0</v>
      </c>
      <c r="AO149" s="197">
        <f>SUMIFS('Consulta Contratos'!$Z:$Z,'Consulta Contratos'!$AM:$AM,'Performance Vendas'!AO$25,'Consulta Contratos'!$S:$S,'Performance Vendas'!$B149,'Consulta Contratos'!$H:$H,"Ativo")</f>
        <v>0</v>
      </c>
      <c r="AP149" s="197">
        <f>SUMIFS('Consulta Contratos'!$Z:$Z,'Consulta Contratos'!$AM:$AM,'Performance Vendas'!AP$25,'Consulta Contratos'!$S:$S,'Performance Vendas'!$B149,'Consulta Contratos'!$H:$H,"Ativo")</f>
        <v>0</v>
      </c>
      <c r="AQ149" s="197">
        <f>SUMIFS('Consulta Contratos'!$Z:$Z,'Consulta Contratos'!$AM:$AM,'Performance Vendas'!AQ$25,'Consulta Contratos'!$S:$S,'Performance Vendas'!$B149,'Consulta Contratos'!$H:$H,"Ativo")</f>
        <v>0</v>
      </c>
      <c r="AR149" s="197">
        <f>SUMIFS('Consulta Contratos'!$Z:$Z,'Consulta Contratos'!$AM:$AM,'Performance Vendas'!AR$25,'Consulta Contratos'!$S:$S,'Performance Vendas'!$B149,'Consulta Contratos'!$H:$H,"Ativo")</f>
        <v>0</v>
      </c>
      <c r="AS149" s="197">
        <f>SUMIFS('Consulta Contratos'!$Z:$Z,'Consulta Contratos'!$AM:$AM,'Performance Vendas'!AS$25,'Consulta Contratos'!$S:$S,'Performance Vendas'!$B149,'Consulta Contratos'!$H:$H,"Ativo")</f>
        <v>0</v>
      </c>
      <c r="AT149" s="197">
        <f>SUMIFS('Consulta Contratos'!$Z:$Z,'Consulta Contratos'!$AM:$AM,'Performance Vendas'!AT$25,'Consulta Contratos'!$S:$S,'Performance Vendas'!$B149,'Consulta Contratos'!$H:$H,"Ativo")</f>
        <v>0</v>
      </c>
      <c r="AU149" s="197">
        <f>SUMIFS('Consulta Contratos'!$Z:$Z,'Consulta Contratos'!$AM:$AM,'Performance Vendas'!AU$25,'Consulta Contratos'!$S:$S,'Performance Vendas'!$B149,'Consulta Contratos'!$H:$H,"Ativo")</f>
        <v>0</v>
      </c>
      <c r="AV149" s="197">
        <f>SUMIFS('Consulta Contratos'!$Z:$Z,'Consulta Contratos'!$AM:$AM,'Performance Vendas'!AV$25,'Consulta Contratos'!$S:$S,'Performance Vendas'!$B149,'Consulta Contratos'!$H:$H,"Ativo")</f>
        <v>0</v>
      </c>
      <c r="AW149" s="198">
        <f t="shared" si="254"/>
        <v>2526999.7999999998</v>
      </c>
      <c r="AX149" s="198">
        <f>AJ149+W149+J149+AW149</f>
        <v>11169222.010000002</v>
      </c>
      <c r="AY149" s="199">
        <f t="shared" si="255"/>
        <v>2.9159039208449953E-2</v>
      </c>
      <c r="AZ149" s="197">
        <f>SUMIFS('Consulta Contratos'!$Z:$Z,'Consulta Contratos'!$AM:$AM,'Performance Vendas'!AZ$25,'Consulta Contratos'!$S:$S,'Performance Vendas'!$B149,'Consulta Contratos'!$H:$H,"Ativo")</f>
        <v>0</v>
      </c>
    </row>
    <row r="150" spans="2:52" s="87" customFormat="1">
      <c r="B150" s="206" t="s">
        <v>150</v>
      </c>
      <c r="C150" s="201"/>
      <c r="D150" s="196"/>
      <c r="E150" s="202">
        <f>SUMIFS('Consulta Contratos'!$Z:$Z,'Consulta Contratos'!$AM:$AM,'Performance Vendas'!E$25,'Consulta Contratos'!$S:$S,'Performance Vendas'!$B150,'Consulta Contratos'!$H:$H,"Ativo")</f>
        <v>0</v>
      </c>
      <c r="F150" s="202">
        <f>SUMIFS('Consulta Contratos'!$Z:$Z,'Consulta Contratos'!$AM:$AM,'Performance Vendas'!F$25,'Consulta Contratos'!$S:$S,'Performance Vendas'!$B150,'Consulta Contratos'!$H:$H,"Ativo")</f>
        <v>0</v>
      </c>
      <c r="G150" s="202">
        <f>SUMIFS('Consulta Contratos'!$Z:$Z,'Consulta Contratos'!$AM:$AM,'Performance Vendas'!G$25,'Consulta Contratos'!$S:$S,'Performance Vendas'!$B150,'Consulta Contratos'!$H:$H,"Ativo")</f>
        <v>660000</v>
      </c>
      <c r="H150" s="202">
        <f>SUMIFS('Consulta Contratos'!$Z:$Z,'Consulta Contratos'!$AM:$AM,'Performance Vendas'!H$25,'Consulta Contratos'!$S:$S,'Performance Vendas'!$B150,'Consulta Contratos'!$H:$H,"Ativo")</f>
        <v>0</v>
      </c>
      <c r="I150" s="202">
        <f>SUMIFS('Consulta Contratos'!$Z:$Z,'Consulta Contratos'!$AM:$AM,'Performance Vendas'!I$25,'Consulta Contratos'!$S:$S,'Performance Vendas'!$B150,'Consulta Contratos'!$H:$H,"Ativo")</f>
        <v>0</v>
      </c>
      <c r="J150" s="203">
        <f t="shared" si="260"/>
        <v>660000</v>
      </c>
      <c r="K150" s="202">
        <f>SUMIFS('Consulta Contratos'!$Z:$Z,'Consulta Contratos'!$AM:$AM,'Performance Vendas'!K$25,'Consulta Contratos'!$S:$S,'Performance Vendas'!$B150,'Consulta Contratos'!$H:$H,"Ativo")</f>
        <v>2090000</v>
      </c>
      <c r="L150" s="202">
        <f>SUMIFS('Consulta Contratos'!$Z:$Z,'Consulta Contratos'!$AM:$AM,'Performance Vendas'!L$25,'Consulta Contratos'!$S:$S,'Performance Vendas'!$B150,'Consulta Contratos'!$H:$H,"Ativo")</f>
        <v>0</v>
      </c>
      <c r="M150" s="202">
        <f>SUMIFS('Consulta Contratos'!$Z:$Z,'Consulta Contratos'!$AM:$AM,'Performance Vendas'!M$25,'Consulta Contratos'!$S:$S,'Performance Vendas'!$B150,'Consulta Contratos'!$H:$H,"Ativo")</f>
        <v>0</v>
      </c>
      <c r="N150" s="202">
        <f>SUMIFS('Consulta Contratos'!$Z:$Z,'Consulta Contratos'!$AM:$AM,'Performance Vendas'!N$25,'Consulta Contratos'!$S:$S,'Performance Vendas'!$B150,'Consulta Contratos'!$H:$H,"Ativo")</f>
        <v>405279.76</v>
      </c>
      <c r="O150" s="202">
        <f>SUMIFS('Consulta Contratos'!$Z:$Z,'Consulta Contratos'!$AM:$AM,'Performance Vendas'!O$25,'Consulta Contratos'!$S:$S,'Performance Vendas'!$B150,'Consulta Contratos'!$H:$H,"Ativo")</f>
        <v>0</v>
      </c>
      <c r="P150" s="202">
        <f>SUMIFS('Consulta Contratos'!$Z:$Z,'Consulta Contratos'!$AM:$AM,'Performance Vendas'!P$25,'Consulta Contratos'!$S:$S,'Performance Vendas'!$B150,'Consulta Contratos'!$H:$H,"Ativo")</f>
        <v>0</v>
      </c>
      <c r="Q150" s="202">
        <f>SUMIFS('Consulta Contratos'!$Z:$Z,'Consulta Contratos'!$AM:$AM,'Performance Vendas'!Q$25,'Consulta Contratos'!$S:$S,'Performance Vendas'!$B150,'Consulta Contratos'!$H:$H,"Ativo")</f>
        <v>0</v>
      </c>
      <c r="R150" s="202">
        <f>SUMIFS('Consulta Contratos'!$Z:$Z,'Consulta Contratos'!$AM:$AM,'Performance Vendas'!R$25,'Consulta Contratos'!$S:$S,'Performance Vendas'!$B150,'Consulta Contratos'!$H:$H,"Ativo")</f>
        <v>364500.16</v>
      </c>
      <c r="S150" s="202">
        <f>SUMIFS('Consulta Contratos'!$Z:$Z,'Consulta Contratos'!$AM:$AM,'Performance Vendas'!S$25,'Consulta Contratos'!$S:$S,'Performance Vendas'!$B150,'Consulta Contratos'!$H:$H,"Ativo")</f>
        <v>0</v>
      </c>
      <c r="T150" s="202">
        <f>SUMIFS('Consulta Contratos'!$Z:$Z,'Consulta Contratos'!$AM:$AM,'Performance Vendas'!T$25,'Consulta Contratos'!$S:$S,'Performance Vendas'!$B150,'Consulta Contratos'!$H:$H,"Ativo")</f>
        <v>376000</v>
      </c>
      <c r="U150" s="202">
        <f>SUMIFS('Consulta Contratos'!$Z:$Z,'Consulta Contratos'!$AM:$AM,'Performance Vendas'!U$25,'Consulta Contratos'!$S:$S,'Performance Vendas'!$B150,'Consulta Contratos'!$H:$H,"Ativo")</f>
        <v>0</v>
      </c>
      <c r="V150" s="202">
        <f>SUMIFS('Consulta Contratos'!$Z:$Z,'Consulta Contratos'!$AM:$AM,'Performance Vendas'!V$25,'Consulta Contratos'!$S:$S,'Performance Vendas'!$B150,'Consulta Contratos'!$H:$H,"Ativo")</f>
        <v>0</v>
      </c>
      <c r="W150" s="203">
        <f t="shared" si="250"/>
        <v>3235779.92</v>
      </c>
      <c r="X150" s="202">
        <f>SUMIFS('Consulta Contratos'!$Z:$Z,'Consulta Contratos'!$AM:$AM,'Performance Vendas'!X$25,'Consulta Contratos'!$S:$S,'Performance Vendas'!$B150,'Consulta Contratos'!$H:$H,"Ativo")</f>
        <v>391000</v>
      </c>
      <c r="Y150" s="202">
        <f>SUMIFS('Consulta Contratos'!$Z:$Z,'Consulta Contratos'!$AM:$AM,'Performance Vendas'!Y$25,'Consulta Contratos'!$S:$S,'Performance Vendas'!$B150,'Consulta Contratos'!$H:$H,"Ativo")</f>
        <v>0</v>
      </c>
      <c r="Z150" s="202">
        <f>SUMIFS('Consulta Contratos'!$Z:$Z,'Consulta Contratos'!$AM:$AM,'Performance Vendas'!Z$25,'Consulta Contratos'!$S:$S,'Performance Vendas'!$B150,'Consulta Contratos'!$H:$H,"Ativo")</f>
        <v>0</v>
      </c>
      <c r="AA150" s="202">
        <f>SUMIFS('Consulta Contratos'!$Z:$Z,'Consulta Contratos'!$AM:$AM,'Performance Vendas'!AA$25,'Consulta Contratos'!$S:$S,'Performance Vendas'!$B150,'Consulta Contratos'!$H:$H,"Ativo")</f>
        <v>398000</v>
      </c>
      <c r="AB150" s="202">
        <f>SUMIFS('Consulta Contratos'!$Z:$Z,'Consulta Contratos'!$AM:$AM,'Performance Vendas'!AB$25,'Consulta Contratos'!$S:$S,'Performance Vendas'!$B150,'Consulta Contratos'!$H:$H,"Ativo")</f>
        <v>0</v>
      </c>
      <c r="AC150" s="202">
        <f>SUMIFS('Consulta Contratos'!$Z:$Z,'Consulta Contratos'!$AM:$AM,'Performance Vendas'!AC$25,'Consulta Contratos'!$S:$S,'Performance Vendas'!$B150,'Consulta Contratos'!$H:$H,"Ativo")</f>
        <v>0</v>
      </c>
      <c r="AD150" s="202">
        <f>SUMIFS('Consulta Contratos'!$Z:$Z,'Consulta Contratos'!$AM:$AM,'Performance Vendas'!AD$25,'Consulta Contratos'!$S:$S,'Performance Vendas'!$B150,'Consulta Contratos'!$H:$H,"Ativo")</f>
        <v>0</v>
      </c>
      <c r="AE150" s="202">
        <f>SUMIFS('Consulta Contratos'!$Z:$Z,'Consulta Contratos'!$AM:$AM,'Performance Vendas'!AE$25,'Consulta Contratos'!$S:$S,'Performance Vendas'!$B150,'Consulta Contratos'!$H:$H,"Ativo")</f>
        <v>0</v>
      </c>
      <c r="AF150" s="202">
        <f>SUMIFS('Consulta Contratos'!$Z:$Z,'Consulta Contratos'!$AM:$AM,'Performance Vendas'!AF$25,'Consulta Contratos'!$S:$S,'Performance Vendas'!$B150,'Consulta Contratos'!$H:$H,"Ativo")</f>
        <v>0</v>
      </c>
      <c r="AG150" s="202">
        <f>SUMIFS('Consulta Contratos'!$Z:$Z,'Consulta Contratos'!$AM:$AM,'Performance Vendas'!AG$25,'Consulta Contratos'!$S:$S,'Performance Vendas'!$B150,'Consulta Contratos'!$H:$H,"Ativo")</f>
        <v>0</v>
      </c>
      <c r="AH150" s="202">
        <f>SUMIFS('Consulta Contratos'!$Z:$Z,'Consulta Contratos'!$AM:$AM,'Performance Vendas'!AH$25,'Consulta Contratos'!$S:$S,'Performance Vendas'!$B150,'Consulta Contratos'!$H:$H,"Ativo")</f>
        <v>837099.92</v>
      </c>
      <c r="AI150" s="202">
        <f>SUMIFS('Consulta Contratos'!$Z:$Z,'Consulta Contratos'!$AM:$AM,'Performance Vendas'!AI$25,'Consulta Contratos'!$S:$S,'Performance Vendas'!$B150,'Consulta Contratos'!$H:$H,"Ativo")</f>
        <v>0</v>
      </c>
      <c r="AJ150" s="203">
        <f t="shared" si="252"/>
        <v>1626099.92</v>
      </c>
      <c r="AK150" s="202">
        <f>SUMIFS('Consulta Contratos'!$Z:$Z,'Consulta Contratos'!$AM:$AM,'Performance Vendas'!AK$25,'Consulta Contratos'!$S:$S,'Performance Vendas'!$B150,'Consulta Contratos'!$H:$H,"Ativo")</f>
        <v>0</v>
      </c>
      <c r="AL150" s="202">
        <f>SUMIFS('Consulta Contratos'!$Z:$Z,'Consulta Contratos'!$AM:$AM,'Performance Vendas'!AL$25,'Consulta Contratos'!$S:$S,'Performance Vendas'!$B150,'Consulta Contratos'!$H:$H,"Ativo")</f>
        <v>377000</v>
      </c>
      <c r="AM150" s="202">
        <f>SUMIFS('Consulta Contratos'!$Z:$Z,'Consulta Contratos'!$AM:$AM,'Performance Vendas'!AM$25,'Consulta Contratos'!$S:$S,'Performance Vendas'!$B150,'Consulta Contratos'!$H:$H,"Ativo")</f>
        <v>0</v>
      </c>
      <c r="AN150" s="202">
        <f>SUMIFS('Consulta Contratos'!$Z:$Z,'Consulta Contratos'!$AM:$AM,'Performance Vendas'!AN$25,'Consulta Contratos'!$S:$S,'Performance Vendas'!$B150,'Consulta Contratos'!$H:$H,"Ativo")</f>
        <v>0</v>
      </c>
      <c r="AO150" s="202">
        <f>SUMIFS('Consulta Contratos'!$Z:$Z,'Consulta Contratos'!$AM:$AM,'Performance Vendas'!AO$25,'Consulta Contratos'!$S:$S,'Performance Vendas'!$B150,'Consulta Contratos'!$H:$H,"Ativo")</f>
        <v>0</v>
      </c>
      <c r="AP150" s="202">
        <f>SUMIFS('Consulta Contratos'!$Z:$Z,'Consulta Contratos'!$AM:$AM,'Performance Vendas'!AP$25,'Consulta Contratos'!$S:$S,'Performance Vendas'!$B150,'Consulta Contratos'!$H:$H,"Ativo")</f>
        <v>0</v>
      </c>
      <c r="AQ150" s="202">
        <f>SUMIFS('Consulta Contratos'!$Z:$Z,'Consulta Contratos'!$AM:$AM,'Performance Vendas'!AQ$25,'Consulta Contratos'!$S:$S,'Performance Vendas'!$B150,'Consulta Contratos'!$H:$H,"Ativo")</f>
        <v>0</v>
      </c>
      <c r="AR150" s="202">
        <f>SUMIFS('Consulta Contratos'!$Z:$Z,'Consulta Contratos'!$AM:$AM,'Performance Vendas'!AR$25,'Consulta Contratos'!$S:$S,'Performance Vendas'!$B150,'Consulta Contratos'!$H:$H,"Ativo")</f>
        <v>0</v>
      </c>
      <c r="AS150" s="202">
        <f>SUMIFS('Consulta Contratos'!$Z:$Z,'Consulta Contratos'!$AM:$AM,'Performance Vendas'!AS$25,'Consulta Contratos'!$S:$S,'Performance Vendas'!$B150,'Consulta Contratos'!$H:$H,"Ativo")</f>
        <v>0</v>
      </c>
      <c r="AT150" s="202">
        <f>SUMIFS('Consulta Contratos'!$Z:$Z,'Consulta Contratos'!$AM:$AM,'Performance Vendas'!AT$25,'Consulta Contratos'!$S:$S,'Performance Vendas'!$B150,'Consulta Contratos'!$H:$H,"Ativo")</f>
        <v>0</v>
      </c>
      <c r="AU150" s="202">
        <f>SUMIFS('Consulta Contratos'!$Z:$Z,'Consulta Contratos'!$AM:$AM,'Performance Vendas'!AU$25,'Consulta Contratos'!$S:$S,'Performance Vendas'!$B150,'Consulta Contratos'!$H:$H,"Ativo")</f>
        <v>0</v>
      </c>
      <c r="AV150" s="202">
        <f>SUMIFS('Consulta Contratos'!$Z:$Z,'Consulta Contratos'!$AM:$AM,'Performance Vendas'!AV$25,'Consulta Contratos'!$S:$S,'Performance Vendas'!$B150,'Consulta Contratos'!$H:$H,"Ativo")</f>
        <v>0</v>
      </c>
      <c r="AW150" s="203">
        <f t="shared" si="254"/>
        <v>377000</v>
      </c>
      <c r="AX150" s="203">
        <f>AJ150+W150+J150+AW150</f>
        <v>5898879.8399999999</v>
      </c>
      <c r="AY150" s="199">
        <f t="shared" si="255"/>
        <v>1.539996862686544E-2</v>
      </c>
      <c r="AZ150" s="202">
        <f>SUMIFS('Consulta Contratos'!$Z:$Z,'Consulta Contratos'!$AM:$AM,'Performance Vendas'!AZ$25,'Consulta Contratos'!$S:$S,'Performance Vendas'!$B150,'Consulta Contratos'!$H:$H,"Ativo")</f>
        <v>0</v>
      </c>
    </row>
    <row r="151" spans="2:52" s="87" customFormat="1">
      <c r="B151" s="155" t="s">
        <v>151</v>
      </c>
      <c r="C151" s="151"/>
      <c r="D151" s="95"/>
      <c r="E151" s="154">
        <f t="shared" ref="E151:V151" si="261">SUM(E152:E158)</f>
        <v>0</v>
      </c>
      <c r="F151" s="154">
        <f t="shared" si="261"/>
        <v>0</v>
      </c>
      <c r="G151" s="154">
        <f t="shared" si="261"/>
        <v>4591000</v>
      </c>
      <c r="H151" s="154">
        <f t="shared" si="261"/>
        <v>0</v>
      </c>
      <c r="I151" s="154">
        <f t="shared" si="261"/>
        <v>450000</v>
      </c>
      <c r="J151" s="153">
        <f t="shared" si="261"/>
        <v>5041000</v>
      </c>
      <c r="K151" s="154">
        <f t="shared" si="261"/>
        <v>673200</v>
      </c>
      <c r="L151" s="154">
        <f t="shared" si="261"/>
        <v>0</v>
      </c>
      <c r="M151" s="154">
        <f t="shared" si="261"/>
        <v>0</v>
      </c>
      <c r="N151" s="154">
        <f t="shared" si="261"/>
        <v>0</v>
      </c>
      <c r="O151" s="154">
        <f t="shared" si="261"/>
        <v>0</v>
      </c>
      <c r="P151" s="154">
        <f t="shared" si="261"/>
        <v>756000</v>
      </c>
      <c r="Q151" s="154">
        <f t="shared" si="261"/>
        <v>634392</v>
      </c>
      <c r="R151" s="154">
        <f t="shared" si="261"/>
        <v>496400.02</v>
      </c>
      <c r="S151" s="154">
        <f t="shared" si="261"/>
        <v>0</v>
      </c>
      <c r="T151" s="154">
        <f t="shared" si="261"/>
        <v>0</v>
      </c>
      <c r="U151" s="154">
        <f t="shared" si="261"/>
        <v>673160.02</v>
      </c>
      <c r="V151" s="154">
        <f t="shared" si="261"/>
        <v>299950</v>
      </c>
      <c r="W151" s="153">
        <f t="shared" si="250"/>
        <v>3533102.04</v>
      </c>
      <c r="X151" s="154">
        <f t="shared" ref="X151:AI151" si="262">SUM(X152:X158)</f>
        <v>0</v>
      </c>
      <c r="Y151" s="154">
        <f t="shared" si="262"/>
        <v>0</v>
      </c>
      <c r="Z151" s="154">
        <f t="shared" si="262"/>
        <v>426840</v>
      </c>
      <c r="AA151" s="154">
        <f t="shared" si="262"/>
        <v>0</v>
      </c>
      <c r="AB151" s="154">
        <f t="shared" si="262"/>
        <v>0</v>
      </c>
      <c r="AC151" s="154">
        <f t="shared" si="262"/>
        <v>0</v>
      </c>
      <c r="AD151" s="154">
        <f t="shared" si="262"/>
        <v>720000</v>
      </c>
      <c r="AE151" s="154">
        <f t="shared" si="262"/>
        <v>1166000</v>
      </c>
      <c r="AF151" s="154">
        <f t="shared" si="262"/>
        <v>548700</v>
      </c>
      <c r="AG151" s="154">
        <f t="shared" si="262"/>
        <v>0</v>
      </c>
      <c r="AH151" s="154">
        <f t="shared" si="262"/>
        <v>0</v>
      </c>
      <c r="AI151" s="154">
        <f t="shared" si="262"/>
        <v>610413</v>
      </c>
      <c r="AJ151" s="153">
        <f t="shared" si="252"/>
        <v>3471953</v>
      </c>
      <c r="AK151" s="154">
        <f t="shared" ref="AK151:AV151" si="263">SUM(AK152:AK158)</f>
        <v>306000</v>
      </c>
      <c r="AL151" s="154">
        <f t="shared" si="263"/>
        <v>0</v>
      </c>
      <c r="AM151" s="154">
        <f t="shared" si="263"/>
        <v>0</v>
      </c>
      <c r="AN151" s="154">
        <f t="shared" si="263"/>
        <v>0</v>
      </c>
      <c r="AO151" s="154">
        <f t="shared" si="263"/>
        <v>0</v>
      </c>
      <c r="AP151" s="154">
        <f t="shared" si="263"/>
        <v>0</v>
      </c>
      <c r="AQ151" s="154">
        <f t="shared" si="263"/>
        <v>0</v>
      </c>
      <c r="AR151" s="154">
        <f t="shared" si="263"/>
        <v>0</v>
      </c>
      <c r="AS151" s="154">
        <f t="shared" si="263"/>
        <v>0</v>
      </c>
      <c r="AT151" s="154">
        <f t="shared" si="263"/>
        <v>0</v>
      </c>
      <c r="AU151" s="154">
        <f t="shared" si="263"/>
        <v>0</v>
      </c>
      <c r="AV151" s="154">
        <f t="shared" si="263"/>
        <v>0</v>
      </c>
      <c r="AW151" s="153">
        <f t="shared" si="254"/>
        <v>306000</v>
      </c>
      <c r="AX151" s="153">
        <f>AJ151+W151+J151+AW151</f>
        <v>12352055.039999999</v>
      </c>
      <c r="AY151" s="149">
        <f t="shared" si="255"/>
        <v>3.2247013882777301E-2</v>
      </c>
      <c r="AZ151" s="154">
        <f>SUM(AZ152:AZ158)</f>
        <v>0</v>
      </c>
    </row>
    <row r="152" spans="2:52" s="87" customFormat="1">
      <c r="B152" s="205" t="s">
        <v>152</v>
      </c>
      <c r="C152" s="195"/>
      <c r="D152" s="196"/>
      <c r="E152" s="197">
        <f>SUMIFS('Consulta Contratos'!$Z:$Z,'Consulta Contratos'!$AM:$AM,'Performance Vendas'!E$25,'Consulta Contratos'!$S:$S,'Performance Vendas'!$B152,'Consulta Contratos'!$H:$H,"Ativo")</f>
        <v>0</v>
      </c>
      <c r="F152" s="197">
        <f>SUMIFS('Consulta Contratos'!$Z:$Z,'Consulta Contratos'!$AM:$AM,'Performance Vendas'!F$25,'Consulta Contratos'!$S:$S,'Performance Vendas'!$B152,'Consulta Contratos'!$H:$H,"Ativo")</f>
        <v>0</v>
      </c>
      <c r="G152" s="197">
        <f>SUMIFS('Consulta Contratos'!$Z:$Z,'Consulta Contratos'!$AM:$AM,'Performance Vendas'!G$25,'Consulta Contratos'!$S:$S,'Performance Vendas'!$B152,'Consulta Contratos'!$H:$H,"Ativo")</f>
        <v>4591000</v>
      </c>
      <c r="H152" s="197">
        <f>SUMIFS('Consulta Contratos'!$Z:$Z,'Consulta Contratos'!$AM:$AM,'Performance Vendas'!H$25,'Consulta Contratos'!$S:$S,'Performance Vendas'!$B152,'Consulta Contratos'!$H:$H,"Ativo")</f>
        <v>0</v>
      </c>
      <c r="I152" s="197">
        <f>SUMIFS('Consulta Contratos'!$Z:$Z,'Consulta Contratos'!$AM:$AM,'Performance Vendas'!I$25,'Consulta Contratos'!$S:$S,'Performance Vendas'!$B152,'Consulta Contratos'!$H:$H,"Ativo")</f>
        <v>0</v>
      </c>
      <c r="J152" s="198">
        <f t="shared" ref="J152:J158" si="264">SUM(E152:I152)</f>
        <v>4591000</v>
      </c>
      <c r="K152" s="197">
        <f>SUMIFS('Consulta Contratos'!$Z:$Z,'Consulta Contratos'!$AM:$AM,'Performance Vendas'!K$25,'Consulta Contratos'!$S:$S,'Performance Vendas'!$B152,'Consulta Contratos'!$H:$H,"Ativo")</f>
        <v>673200</v>
      </c>
      <c r="L152" s="197">
        <f>SUMIFS('Consulta Contratos'!$Z:$Z,'Consulta Contratos'!$AM:$AM,'Performance Vendas'!L$25,'Consulta Contratos'!$S:$S,'Performance Vendas'!$B152,'Consulta Contratos'!$H:$H,"Ativo")</f>
        <v>0</v>
      </c>
      <c r="M152" s="197">
        <f>SUMIFS('Consulta Contratos'!$Z:$Z,'Consulta Contratos'!$AM:$AM,'Performance Vendas'!M$25,'Consulta Contratos'!$S:$S,'Performance Vendas'!$B152,'Consulta Contratos'!$H:$H,"Ativo")</f>
        <v>0</v>
      </c>
      <c r="N152" s="197">
        <f>SUMIFS('Consulta Contratos'!$Z:$Z,'Consulta Contratos'!$AM:$AM,'Performance Vendas'!N$25,'Consulta Contratos'!$S:$S,'Performance Vendas'!$B152,'Consulta Contratos'!$H:$H,"Ativo")</f>
        <v>0</v>
      </c>
      <c r="O152" s="197">
        <f>SUMIFS('Consulta Contratos'!$Z:$Z,'Consulta Contratos'!$AM:$AM,'Performance Vendas'!O$25,'Consulta Contratos'!$S:$S,'Performance Vendas'!$B152,'Consulta Contratos'!$H:$H,"Ativo")</f>
        <v>0</v>
      </c>
      <c r="P152" s="197">
        <f>SUMIFS('Consulta Contratos'!$Z:$Z,'Consulta Contratos'!$AM:$AM,'Performance Vendas'!P$25,'Consulta Contratos'!$S:$S,'Performance Vendas'!$B152,'Consulta Contratos'!$H:$H,"Ativo")</f>
        <v>0</v>
      </c>
      <c r="Q152" s="197">
        <f>SUMIFS('Consulta Contratos'!$Z:$Z,'Consulta Contratos'!$AM:$AM,'Performance Vendas'!Q$25,'Consulta Contratos'!$S:$S,'Performance Vendas'!$B152,'Consulta Contratos'!$H:$H,"Ativo")</f>
        <v>0</v>
      </c>
      <c r="R152" s="197">
        <f>SUMIFS('Consulta Contratos'!$Z:$Z,'Consulta Contratos'!$AM:$AM,'Performance Vendas'!R$25,'Consulta Contratos'!$S:$S,'Performance Vendas'!$B152,'Consulta Contratos'!$H:$H,"Ativo")</f>
        <v>0</v>
      </c>
      <c r="S152" s="197">
        <f>SUMIFS('Consulta Contratos'!$Z:$Z,'Consulta Contratos'!$AM:$AM,'Performance Vendas'!S$25,'Consulta Contratos'!$S:$S,'Performance Vendas'!$B152,'Consulta Contratos'!$H:$H,"Ativo")</f>
        <v>0</v>
      </c>
      <c r="T152" s="197">
        <f>SUMIFS('Consulta Contratos'!$Z:$Z,'Consulta Contratos'!$AM:$AM,'Performance Vendas'!T$25,'Consulta Contratos'!$S:$S,'Performance Vendas'!$B152,'Consulta Contratos'!$H:$H,"Ativo")</f>
        <v>0</v>
      </c>
      <c r="U152" s="197">
        <f>SUMIFS('Consulta Contratos'!$Z:$Z,'Consulta Contratos'!$AM:$AM,'Performance Vendas'!U$25,'Consulta Contratos'!$S:$S,'Performance Vendas'!$B152,'Consulta Contratos'!$H:$H,"Ativo")</f>
        <v>0</v>
      </c>
      <c r="V152" s="197">
        <f>SUMIFS('Consulta Contratos'!$Z:$Z,'Consulta Contratos'!$AM:$AM,'Performance Vendas'!V$25,'Consulta Contratos'!$S:$S,'Performance Vendas'!$B152,'Consulta Contratos'!$H:$H,"Ativo")</f>
        <v>0</v>
      </c>
      <c r="W152" s="198">
        <f t="shared" si="250"/>
        <v>673200</v>
      </c>
      <c r="X152" s="197">
        <f>SUMIFS('Consulta Contratos'!$Z:$Z,'Consulta Contratos'!$AM:$AM,'Performance Vendas'!X$25,'Consulta Contratos'!$S:$S,'Performance Vendas'!$B152,'Consulta Contratos'!$H:$H,"Ativo")</f>
        <v>0</v>
      </c>
      <c r="Y152" s="197">
        <f>SUMIFS('Consulta Contratos'!$Z:$Z,'Consulta Contratos'!$AM:$AM,'Performance Vendas'!Y$25,'Consulta Contratos'!$S:$S,'Performance Vendas'!$B152,'Consulta Contratos'!$H:$H,"Ativo")</f>
        <v>0</v>
      </c>
      <c r="Z152" s="197">
        <f>SUMIFS('Consulta Contratos'!$Z:$Z,'Consulta Contratos'!$AM:$AM,'Performance Vendas'!Z$25,'Consulta Contratos'!$S:$S,'Performance Vendas'!$B152,'Consulta Contratos'!$H:$H,"Ativo")</f>
        <v>0</v>
      </c>
      <c r="AA152" s="197">
        <f>SUMIFS('Consulta Contratos'!$Z:$Z,'Consulta Contratos'!$AM:$AM,'Performance Vendas'!AA$25,'Consulta Contratos'!$S:$S,'Performance Vendas'!$B152,'Consulta Contratos'!$H:$H,"Ativo")</f>
        <v>0</v>
      </c>
      <c r="AB152" s="197">
        <f>SUMIFS('Consulta Contratos'!$Z:$Z,'Consulta Contratos'!$AM:$AM,'Performance Vendas'!AB$25,'Consulta Contratos'!$S:$S,'Performance Vendas'!$B152,'Consulta Contratos'!$H:$H,"Ativo")</f>
        <v>0</v>
      </c>
      <c r="AC152" s="197">
        <f>SUMIFS('Consulta Contratos'!$Z:$Z,'Consulta Contratos'!$AM:$AM,'Performance Vendas'!AC$25,'Consulta Contratos'!$S:$S,'Performance Vendas'!$B152,'Consulta Contratos'!$H:$H,"Ativo")</f>
        <v>0</v>
      </c>
      <c r="AD152" s="197">
        <f>SUMIFS('Consulta Contratos'!$Z:$Z,'Consulta Contratos'!$AM:$AM,'Performance Vendas'!AD$25,'Consulta Contratos'!$S:$S,'Performance Vendas'!$B152,'Consulta Contratos'!$H:$H,"Ativo")</f>
        <v>720000</v>
      </c>
      <c r="AE152" s="197">
        <f>SUMIFS('Consulta Contratos'!$Z:$Z,'Consulta Contratos'!$AM:$AM,'Performance Vendas'!AE$25,'Consulta Contratos'!$S:$S,'Performance Vendas'!$B152,'Consulta Contratos'!$H:$H,"Ativo")</f>
        <v>0</v>
      </c>
      <c r="AF152" s="197">
        <f>SUMIFS('Consulta Contratos'!$Z:$Z,'Consulta Contratos'!$AM:$AM,'Performance Vendas'!AF$25,'Consulta Contratos'!$S:$S,'Performance Vendas'!$B152,'Consulta Contratos'!$H:$H,"Ativo")</f>
        <v>0</v>
      </c>
      <c r="AG152" s="197">
        <f>SUMIFS('Consulta Contratos'!$Z:$Z,'Consulta Contratos'!$AM:$AM,'Performance Vendas'!AG$25,'Consulta Contratos'!$S:$S,'Performance Vendas'!$B152,'Consulta Contratos'!$H:$H,"Ativo")</f>
        <v>0</v>
      </c>
      <c r="AH152" s="197">
        <f>SUMIFS('Consulta Contratos'!$Z:$Z,'Consulta Contratos'!$AM:$AM,'Performance Vendas'!AH$25,'Consulta Contratos'!$S:$S,'Performance Vendas'!$B152,'Consulta Contratos'!$H:$H,"Ativo")</f>
        <v>0</v>
      </c>
      <c r="AI152" s="197">
        <f>SUMIFS('Consulta Contratos'!$Z:$Z,'Consulta Contratos'!$AM:$AM,'Performance Vendas'!AI$25,'Consulta Contratos'!$S:$S,'Performance Vendas'!$B152,'Consulta Contratos'!$H:$H,"Ativo")</f>
        <v>0</v>
      </c>
      <c r="AJ152" s="198">
        <f t="shared" si="252"/>
        <v>720000</v>
      </c>
      <c r="AK152" s="197">
        <f>SUMIFS('Consulta Contratos'!$Z:$Z,'Consulta Contratos'!$AM:$AM,'Performance Vendas'!AK$25,'Consulta Contratos'!$S:$S,'Performance Vendas'!$B152,'Consulta Contratos'!$H:$H,"Ativo")</f>
        <v>0</v>
      </c>
      <c r="AL152" s="197">
        <f>SUMIFS('Consulta Contratos'!$Z:$Z,'Consulta Contratos'!$AM:$AM,'Performance Vendas'!AL$25,'Consulta Contratos'!$S:$S,'Performance Vendas'!$B152,'Consulta Contratos'!$H:$H,"Ativo")</f>
        <v>0</v>
      </c>
      <c r="AM152" s="197">
        <f>SUMIFS('Consulta Contratos'!$Z:$Z,'Consulta Contratos'!$AM:$AM,'Performance Vendas'!AM$25,'Consulta Contratos'!$S:$S,'Performance Vendas'!$B152,'Consulta Contratos'!$H:$H,"Ativo")</f>
        <v>0</v>
      </c>
      <c r="AN152" s="197">
        <f>SUMIFS('Consulta Contratos'!$Z:$Z,'Consulta Contratos'!$AM:$AM,'Performance Vendas'!AN$25,'Consulta Contratos'!$S:$S,'Performance Vendas'!$B152,'Consulta Contratos'!$H:$H,"Ativo")</f>
        <v>0</v>
      </c>
      <c r="AO152" s="197">
        <f>SUMIFS('Consulta Contratos'!$Z:$Z,'Consulta Contratos'!$AM:$AM,'Performance Vendas'!AO$25,'Consulta Contratos'!$S:$S,'Performance Vendas'!$B152,'Consulta Contratos'!$H:$H,"Ativo")</f>
        <v>0</v>
      </c>
      <c r="AP152" s="197">
        <f>SUMIFS('Consulta Contratos'!$Z:$Z,'Consulta Contratos'!$AM:$AM,'Performance Vendas'!AP$25,'Consulta Contratos'!$S:$S,'Performance Vendas'!$B152,'Consulta Contratos'!$H:$H,"Ativo")</f>
        <v>0</v>
      </c>
      <c r="AQ152" s="197">
        <f>SUMIFS('Consulta Contratos'!$Z:$Z,'Consulta Contratos'!$AM:$AM,'Performance Vendas'!AQ$25,'Consulta Contratos'!$S:$S,'Performance Vendas'!$B152,'Consulta Contratos'!$H:$H,"Ativo")</f>
        <v>0</v>
      </c>
      <c r="AR152" s="197">
        <f>SUMIFS('Consulta Contratos'!$Z:$Z,'Consulta Contratos'!$AM:$AM,'Performance Vendas'!AR$25,'Consulta Contratos'!$S:$S,'Performance Vendas'!$B152,'Consulta Contratos'!$H:$H,"Ativo")</f>
        <v>0</v>
      </c>
      <c r="AS152" s="197">
        <f>SUMIFS('Consulta Contratos'!$Z:$Z,'Consulta Contratos'!$AM:$AM,'Performance Vendas'!AS$25,'Consulta Contratos'!$S:$S,'Performance Vendas'!$B152,'Consulta Contratos'!$H:$H,"Ativo")</f>
        <v>0</v>
      </c>
      <c r="AT152" s="197">
        <f>SUMIFS('Consulta Contratos'!$Z:$Z,'Consulta Contratos'!$AM:$AM,'Performance Vendas'!AT$25,'Consulta Contratos'!$S:$S,'Performance Vendas'!$B152,'Consulta Contratos'!$H:$H,"Ativo")</f>
        <v>0</v>
      </c>
      <c r="AU152" s="197">
        <f>SUMIFS('Consulta Contratos'!$Z:$Z,'Consulta Contratos'!$AM:$AM,'Performance Vendas'!AU$25,'Consulta Contratos'!$S:$S,'Performance Vendas'!$B152,'Consulta Contratos'!$H:$H,"Ativo")</f>
        <v>0</v>
      </c>
      <c r="AV152" s="197">
        <f>SUMIFS('Consulta Contratos'!$Z:$Z,'Consulta Contratos'!$AM:$AM,'Performance Vendas'!AV$25,'Consulta Contratos'!$S:$S,'Performance Vendas'!$B152,'Consulta Contratos'!$H:$H,"Ativo")</f>
        <v>0</v>
      </c>
      <c r="AW152" s="198">
        <f t="shared" si="254"/>
        <v>0</v>
      </c>
      <c r="AX152" s="198">
        <f>AJ152+W152+J152+AW152</f>
        <v>5984200</v>
      </c>
      <c r="AY152" s="199">
        <f t="shared" si="255"/>
        <v>1.5622710541072518E-2</v>
      </c>
      <c r="AZ152" s="197">
        <f>SUMIFS('Consulta Contratos'!$Z:$Z,'Consulta Contratos'!$AM:$AM,'Performance Vendas'!AZ$25,'Consulta Contratos'!$S:$S,'Performance Vendas'!$B152,'Consulta Contratos'!$H:$H,"Ativo")</f>
        <v>0</v>
      </c>
    </row>
    <row r="153" spans="2:52" s="87" customFormat="1">
      <c r="B153" s="205" t="s">
        <v>153</v>
      </c>
      <c r="C153" s="195"/>
      <c r="D153" s="196"/>
      <c r="E153" s="197">
        <f>SUMIFS('Consulta Contratos'!$Z:$Z,'Consulta Contratos'!$AM:$AM,'Performance Vendas'!E$25,'Consulta Contratos'!$S:$S,'Performance Vendas'!$B153,'Consulta Contratos'!$H:$H,"Ativo")</f>
        <v>0</v>
      </c>
      <c r="F153" s="197">
        <f>SUMIFS('Consulta Contratos'!$Z:$Z,'Consulta Contratos'!$AM:$AM,'Performance Vendas'!F$25,'Consulta Contratos'!$S:$S,'Performance Vendas'!$B153,'Consulta Contratos'!$H:$H,"Ativo")</f>
        <v>0</v>
      </c>
      <c r="G153" s="197">
        <f>SUMIFS('Consulta Contratos'!$Z:$Z,'Consulta Contratos'!$AM:$AM,'Performance Vendas'!G$25,'Consulta Contratos'!$S:$S,'Performance Vendas'!$B153,'Consulta Contratos'!$H:$H,"Ativo")</f>
        <v>0</v>
      </c>
      <c r="H153" s="197">
        <f>SUMIFS('Consulta Contratos'!$Z:$Z,'Consulta Contratos'!$AM:$AM,'Performance Vendas'!H$25,'Consulta Contratos'!$S:$S,'Performance Vendas'!$B153,'Consulta Contratos'!$H:$H,"Ativo")</f>
        <v>0</v>
      </c>
      <c r="I153" s="197">
        <f>SUMIFS('Consulta Contratos'!$Z:$Z,'Consulta Contratos'!$AM:$AM,'Performance Vendas'!I$25,'Consulta Contratos'!$S:$S,'Performance Vendas'!$B153,'Consulta Contratos'!$H:$H,"Ativo")</f>
        <v>0</v>
      </c>
      <c r="J153" s="198">
        <f t="shared" si="264"/>
        <v>0</v>
      </c>
      <c r="K153" s="197">
        <f>SUMIFS('Consulta Contratos'!$Z:$Z,'Consulta Contratos'!$AM:$AM,'Performance Vendas'!K$25,'Consulta Contratos'!$S:$S,'Performance Vendas'!$B153,'Consulta Contratos'!$H:$H,"Ativo")</f>
        <v>0</v>
      </c>
      <c r="L153" s="197">
        <f>SUMIFS('Consulta Contratos'!$Z:$Z,'Consulta Contratos'!$AM:$AM,'Performance Vendas'!L$25,'Consulta Contratos'!$S:$S,'Performance Vendas'!$B153,'Consulta Contratos'!$H:$H,"Ativo")</f>
        <v>0</v>
      </c>
      <c r="M153" s="197">
        <f>SUMIFS('Consulta Contratos'!$Z:$Z,'Consulta Contratos'!$AM:$AM,'Performance Vendas'!M$25,'Consulta Contratos'!$S:$S,'Performance Vendas'!$B153,'Consulta Contratos'!$H:$H,"Ativo")</f>
        <v>0</v>
      </c>
      <c r="N153" s="197">
        <f>SUMIFS('Consulta Contratos'!$Z:$Z,'Consulta Contratos'!$AM:$AM,'Performance Vendas'!N$25,'Consulta Contratos'!$S:$S,'Performance Vendas'!$B153,'Consulta Contratos'!$H:$H,"Ativo")</f>
        <v>0</v>
      </c>
      <c r="O153" s="197">
        <f>SUMIFS('Consulta Contratos'!$Z:$Z,'Consulta Contratos'!$AM:$AM,'Performance Vendas'!O$25,'Consulta Contratos'!$S:$S,'Performance Vendas'!$B153,'Consulta Contratos'!$H:$H,"Ativo")</f>
        <v>0</v>
      </c>
      <c r="P153" s="197">
        <f>SUMIFS('Consulta Contratos'!$Z:$Z,'Consulta Contratos'!$AM:$AM,'Performance Vendas'!P$25,'Consulta Contratos'!$S:$S,'Performance Vendas'!$B153,'Consulta Contratos'!$H:$H,"Ativo")</f>
        <v>756000</v>
      </c>
      <c r="Q153" s="197">
        <f>SUMIFS('Consulta Contratos'!$Z:$Z,'Consulta Contratos'!$AM:$AM,'Performance Vendas'!Q$25,'Consulta Contratos'!$S:$S,'Performance Vendas'!$B153,'Consulta Contratos'!$H:$H,"Ativo")</f>
        <v>0</v>
      </c>
      <c r="R153" s="197">
        <f>SUMIFS('Consulta Contratos'!$Z:$Z,'Consulta Contratos'!$AM:$AM,'Performance Vendas'!R$25,'Consulta Contratos'!$S:$S,'Performance Vendas'!$B153,'Consulta Contratos'!$H:$H,"Ativo")</f>
        <v>0</v>
      </c>
      <c r="S153" s="197">
        <f>SUMIFS('Consulta Contratos'!$Z:$Z,'Consulta Contratos'!$AM:$AM,'Performance Vendas'!S$25,'Consulta Contratos'!$S:$S,'Performance Vendas'!$B153,'Consulta Contratos'!$H:$H,"Ativo")</f>
        <v>0</v>
      </c>
      <c r="T153" s="197">
        <f>SUMIFS('Consulta Contratos'!$Z:$Z,'Consulta Contratos'!$AM:$AM,'Performance Vendas'!T$25,'Consulta Contratos'!$S:$S,'Performance Vendas'!$B153,'Consulta Contratos'!$H:$H,"Ativo")</f>
        <v>0</v>
      </c>
      <c r="U153" s="197">
        <f>SUMIFS('Consulta Contratos'!$Z:$Z,'Consulta Contratos'!$AM:$AM,'Performance Vendas'!U$25,'Consulta Contratos'!$S:$S,'Performance Vendas'!$B153,'Consulta Contratos'!$H:$H,"Ativo")</f>
        <v>0</v>
      </c>
      <c r="V153" s="197">
        <f>SUMIFS('Consulta Contratos'!$Z:$Z,'Consulta Contratos'!$AM:$AM,'Performance Vendas'!V$25,'Consulta Contratos'!$S:$S,'Performance Vendas'!$B153,'Consulta Contratos'!$H:$H,"Ativo")</f>
        <v>0</v>
      </c>
      <c r="W153" s="198">
        <f t="shared" si="250"/>
        <v>756000</v>
      </c>
      <c r="X153" s="197">
        <f>SUMIFS('Consulta Contratos'!$Z:$Z,'Consulta Contratos'!$AM:$AM,'Performance Vendas'!X$25,'Consulta Contratos'!$S:$S,'Performance Vendas'!$B153,'Consulta Contratos'!$H:$H,"Ativo")</f>
        <v>0</v>
      </c>
      <c r="Y153" s="197">
        <f>SUMIFS('Consulta Contratos'!$Z:$Z,'Consulta Contratos'!$AM:$AM,'Performance Vendas'!Y$25,'Consulta Contratos'!$S:$S,'Performance Vendas'!$B153,'Consulta Contratos'!$H:$H,"Ativo")</f>
        <v>0</v>
      </c>
      <c r="Z153" s="197">
        <f>SUMIFS('Consulta Contratos'!$Z:$Z,'Consulta Contratos'!$AM:$AM,'Performance Vendas'!Z$25,'Consulta Contratos'!$S:$S,'Performance Vendas'!$B153,'Consulta Contratos'!$H:$H,"Ativo")</f>
        <v>0</v>
      </c>
      <c r="AA153" s="197">
        <f>SUMIFS('Consulta Contratos'!$Z:$Z,'Consulta Contratos'!$AM:$AM,'Performance Vendas'!AA$25,'Consulta Contratos'!$S:$S,'Performance Vendas'!$B153,'Consulta Contratos'!$H:$H,"Ativo")</f>
        <v>0</v>
      </c>
      <c r="AB153" s="197">
        <f>SUMIFS('Consulta Contratos'!$Z:$Z,'Consulta Contratos'!$AM:$AM,'Performance Vendas'!AB$25,'Consulta Contratos'!$S:$S,'Performance Vendas'!$B153,'Consulta Contratos'!$H:$H,"Ativo")</f>
        <v>0</v>
      </c>
      <c r="AC153" s="197">
        <f>SUMIFS('Consulta Contratos'!$Z:$Z,'Consulta Contratos'!$AM:$AM,'Performance Vendas'!AC$25,'Consulta Contratos'!$S:$S,'Performance Vendas'!$B153,'Consulta Contratos'!$H:$H,"Ativo")</f>
        <v>0</v>
      </c>
      <c r="AD153" s="197">
        <f>SUMIFS('Consulta Contratos'!$Z:$Z,'Consulta Contratos'!$AM:$AM,'Performance Vendas'!AD$25,'Consulta Contratos'!$S:$S,'Performance Vendas'!$B153,'Consulta Contratos'!$H:$H,"Ativo")</f>
        <v>0</v>
      </c>
      <c r="AE153" s="197">
        <f>SUMIFS('Consulta Contratos'!$Z:$Z,'Consulta Contratos'!$AM:$AM,'Performance Vendas'!AE$25,'Consulta Contratos'!$S:$S,'Performance Vendas'!$B153,'Consulta Contratos'!$H:$H,"Ativo")</f>
        <v>0</v>
      </c>
      <c r="AF153" s="197">
        <f>SUMIFS('Consulta Contratos'!$Z:$Z,'Consulta Contratos'!$AM:$AM,'Performance Vendas'!AF$25,'Consulta Contratos'!$S:$S,'Performance Vendas'!$B153,'Consulta Contratos'!$H:$H,"Ativo")</f>
        <v>0</v>
      </c>
      <c r="AG153" s="197">
        <f>SUMIFS('Consulta Contratos'!$Z:$Z,'Consulta Contratos'!$AM:$AM,'Performance Vendas'!AG$25,'Consulta Contratos'!$S:$S,'Performance Vendas'!$B153,'Consulta Contratos'!$H:$H,"Ativo")</f>
        <v>0</v>
      </c>
      <c r="AH153" s="197">
        <f>SUMIFS('Consulta Contratos'!$Z:$Z,'Consulta Contratos'!$AM:$AM,'Performance Vendas'!AH$25,'Consulta Contratos'!$S:$S,'Performance Vendas'!$B153,'Consulta Contratos'!$H:$H,"Ativo")</f>
        <v>0</v>
      </c>
      <c r="AI153" s="197">
        <f>SUMIFS('Consulta Contratos'!$Z:$Z,'Consulta Contratos'!$AM:$AM,'Performance Vendas'!AI$25,'Consulta Contratos'!$S:$S,'Performance Vendas'!$B153,'Consulta Contratos'!$H:$H,"Ativo")</f>
        <v>0</v>
      </c>
      <c r="AJ153" s="198">
        <f t="shared" si="252"/>
        <v>0</v>
      </c>
      <c r="AK153" s="197">
        <f>SUMIFS('Consulta Contratos'!$Z:$Z,'Consulta Contratos'!$AM:$AM,'Performance Vendas'!AK$25,'Consulta Contratos'!$S:$S,'Performance Vendas'!$B153,'Consulta Contratos'!$H:$H,"Ativo")</f>
        <v>0</v>
      </c>
      <c r="AL153" s="197">
        <f>SUMIFS('Consulta Contratos'!$Z:$Z,'Consulta Contratos'!$AM:$AM,'Performance Vendas'!AL$25,'Consulta Contratos'!$S:$S,'Performance Vendas'!$B153,'Consulta Contratos'!$H:$H,"Ativo")</f>
        <v>0</v>
      </c>
      <c r="AM153" s="197">
        <f>SUMIFS('Consulta Contratos'!$Z:$Z,'Consulta Contratos'!$AM:$AM,'Performance Vendas'!AM$25,'Consulta Contratos'!$S:$S,'Performance Vendas'!$B153,'Consulta Contratos'!$H:$H,"Ativo")</f>
        <v>0</v>
      </c>
      <c r="AN153" s="197">
        <f>SUMIFS('Consulta Contratos'!$Z:$Z,'Consulta Contratos'!$AM:$AM,'Performance Vendas'!AN$25,'Consulta Contratos'!$S:$S,'Performance Vendas'!$B153,'Consulta Contratos'!$H:$H,"Ativo")</f>
        <v>0</v>
      </c>
      <c r="AO153" s="197">
        <f>SUMIFS('Consulta Contratos'!$Z:$Z,'Consulta Contratos'!$AM:$AM,'Performance Vendas'!AO$25,'Consulta Contratos'!$S:$S,'Performance Vendas'!$B153,'Consulta Contratos'!$H:$H,"Ativo")</f>
        <v>0</v>
      </c>
      <c r="AP153" s="197">
        <f>SUMIFS('Consulta Contratos'!$Z:$Z,'Consulta Contratos'!$AM:$AM,'Performance Vendas'!AP$25,'Consulta Contratos'!$S:$S,'Performance Vendas'!$B153,'Consulta Contratos'!$H:$H,"Ativo")</f>
        <v>0</v>
      </c>
      <c r="AQ153" s="197">
        <f>SUMIFS('Consulta Contratos'!$Z:$Z,'Consulta Contratos'!$AM:$AM,'Performance Vendas'!AQ$25,'Consulta Contratos'!$S:$S,'Performance Vendas'!$B153,'Consulta Contratos'!$H:$H,"Ativo")</f>
        <v>0</v>
      </c>
      <c r="AR153" s="197">
        <f>SUMIFS('Consulta Contratos'!$Z:$Z,'Consulta Contratos'!$AM:$AM,'Performance Vendas'!AR$25,'Consulta Contratos'!$S:$S,'Performance Vendas'!$B153,'Consulta Contratos'!$H:$H,"Ativo")</f>
        <v>0</v>
      </c>
      <c r="AS153" s="197">
        <f>SUMIFS('Consulta Contratos'!$Z:$Z,'Consulta Contratos'!$AM:$AM,'Performance Vendas'!AS$25,'Consulta Contratos'!$S:$S,'Performance Vendas'!$B153,'Consulta Contratos'!$H:$H,"Ativo")</f>
        <v>0</v>
      </c>
      <c r="AT153" s="197">
        <f>SUMIFS('Consulta Contratos'!$Z:$Z,'Consulta Contratos'!$AM:$AM,'Performance Vendas'!AT$25,'Consulta Contratos'!$S:$S,'Performance Vendas'!$B153,'Consulta Contratos'!$H:$H,"Ativo")</f>
        <v>0</v>
      </c>
      <c r="AU153" s="197">
        <f>SUMIFS('Consulta Contratos'!$Z:$Z,'Consulta Contratos'!$AM:$AM,'Performance Vendas'!AU$25,'Consulta Contratos'!$S:$S,'Performance Vendas'!$B153,'Consulta Contratos'!$H:$H,"Ativo")</f>
        <v>0</v>
      </c>
      <c r="AV153" s="197">
        <f>SUMIFS('Consulta Contratos'!$Z:$Z,'Consulta Contratos'!$AM:$AM,'Performance Vendas'!AV$25,'Consulta Contratos'!$S:$S,'Performance Vendas'!$B153,'Consulta Contratos'!$H:$H,"Ativo")</f>
        <v>0</v>
      </c>
      <c r="AW153" s="198">
        <f t="shared" si="254"/>
        <v>0</v>
      </c>
      <c r="AX153" s="198">
        <f>AJ153+W153+J153+AW153</f>
        <v>756000</v>
      </c>
      <c r="AY153" s="199">
        <f t="shared" si="255"/>
        <v>1.9736588297601726E-3</v>
      </c>
      <c r="AZ153" s="197">
        <f>SUMIFS('Consulta Contratos'!$Z:$Z,'Consulta Contratos'!$AM:$AM,'Performance Vendas'!AZ$25,'Consulta Contratos'!$S:$S,'Performance Vendas'!$B153,'Consulta Contratos'!$H:$H,"Ativo")</f>
        <v>0</v>
      </c>
    </row>
    <row r="154" spans="2:52" s="87" customFormat="1">
      <c r="B154" s="205" t="s">
        <v>154</v>
      </c>
      <c r="C154" s="195"/>
      <c r="D154" s="196"/>
      <c r="E154" s="197">
        <f>SUMIFS('Consulta Contratos'!$Z:$Z,'Consulta Contratos'!$AM:$AM,'Performance Vendas'!E$25,'Consulta Contratos'!$S:$S,'Performance Vendas'!$B154,'Consulta Contratos'!$H:$H,"Ativo")</f>
        <v>0</v>
      </c>
      <c r="F154" s="197">
        <f>SUMIFS('Consulta Contratos'!$Z:$Z,'Consulta Contratos'!$AM:$AM,'Performance Vendas'!F$25,'Consulta Contratos'!$S:$S,'Performance Vendas'!$B154,'Consulta Contratos'!$H:$H,"Ativo")</f>
        <v>0</v>
      </c>
      <c r="G154" s="197">
        <f>SUMIFS('Consulta Contratos'!$Z:$Z,'Consulta Contratos'!$AM:$AM,'Performance Vendas'!G$25,'Consulta Contratos'!$S:$S,'Performance Vendas'!$B154,'Consulta Contratos'!$H:$H,"Ativo")</f>
        <v>0</v>
      </c>
      <c r="H154" s="197">
        <f>SUMIFS('Consulta Contratos'!$Z:$Z,'Consulta Contratos'!$AM:$AM,'Performance Vendas'!H$25,'Consulta Contratos'!$S:$S,'Performance Vendas'!$B154,'Consulta Contratos'!$H:$H,"Ativo")</f>
        <v>0</v>
      </c>
      <c r="I154" s="197">
        <f>SUMIFS('Consulta Contratos'!$Z:$Z,'Consulta Contratos'!$AM:$AM,'Performance Vendas'!I$25,'Consulta Contratos'!$S:$S,'Performance Vendas'!$B154,'Consulta Contratos'!$H:$H,"Ativo")</f>
        <v>0</v>
      </c>
      <c r="J154" s="198">
        <f t="shared" ref="J154" si="265">SUM(E154:I154)</f>
        <v>0</v>
      </c>
      <c r="K154" s="197">
        <f>SUMIFS('Consulta Contratos'!$Z:$Z,'Consulta Contratos'!$AM:$AM,'Performance Vendas'!K$25,'Consulta Contratos'!$S:$S,'Performance Vendas'!$B154,'Consulta Contratos'!$H:$H,"Ativo")</f>
        <v>0</v>
      </c>
      <c r="L154" s="197">
        <f>SUMIFS('Consulta Contratos'!$Z:$Z,'Consulta Contratos'!$AM:$AM,'Performance Vendas'!L$25,'Consulta Contratos'!$S:$S,'Performance Vendas'!$B154,'Consulta Contratos'!$H:$H,"Ativo")</f>
        <v>0</v>
      </c>
      <c r="M154" s="197">
        <f>SUMIFS('Consulta Contratos'!$Z:$Z,'Consulta Contratos'!$AM:$AM,'Performance Vendas'!M$25,'Consulta Contratos'!$S:$S,'Performance Vendas'!$B154,'Consulta Contratos'!$H:$H,"Ativo")</f>
        <v>0</v>
      </c>
      <c r="N154" s="197">
        <f>SUMIFS('Consulta Contratos'!$Z:$Z,'Consulta Contratos'!$AM:$AM,'Performance Vendas'!N$25,'Consulta Contratos'!$S:$S,'Performance Vendas'!$B154,'Consulta Contratos'!$H:$H,"Ativo")</f>
        <v>0</v>
      </c>
      <c r="O154" s="197">
        <f>SUMIFS('Consulta Contratos'!$Z:$Z,'Consulta Contratos'!$AM:$AM,'Performance Vendas'!O$25,'Consulta Contratos'!$S:$S,'Performance Vendas'!$B154,'Consulta Contratos'!$H:$H,"Ativo")</f>
        <v>0</v>
      </c>
      <c r="P154" s="197">
        <f>SUMIFS('Consulta Contratos'!$Z:$Z,'Consulta Contratos'!$AM:$AM,'Performance Vendas'!P$25,'Consulta Contratos'!$S:$S,'Performance Vendas'!$B154,'Consulta Contratos'!$H:$H,"Ativo")</f>
        <v>0</v>
      </c>
      <c r="Q154" s="197">
        <f>SUMIFS('Consulta Contratos'!$Z:$Z,'Consulta Contratos'!$AM:$AM,'Performance Vendas'!Q$25,'Consulta Contratos'!$S:$S,'Performance Vendas'!$B154,'Consulta Contratos'!$H:$H,"Ativo")</f>
        <v>0</v>
      </c>
      <c r="R154" s="197">
        <f>SUMIFS('Consulta Contratos'!$Z:$Z,'Consulta Contratos'!$AM:$AM,'Performance Vendas'!R$25,'Consulta Contratos'!$S:$S,'Performance Vendas'!$B154,'Consulta Contratos'!$H:$H,"Ativo")</f>
        <v>0</v>
      </c>
      <c r="S154" s="197">
        <f>SUMIFS('Consulta Contratos'!$Z:$Z,'Consulta Contratos'!$AM:$AM,'Performance Vendas'!S$25,'Consulta Contratos'!$S:$S,'Performance Vendas'!$B154,'Consulta Contratos'!$H:$H,"Ativo")</f>
        <v>0</v>
      </c>
      <c r="T154" s="197">
        <f>SUMIFS('Consulta Contratos'!$Z:$Z,'Consulta Contratos'!$AM:$AM,'Performance Vendas'!T$25,'Consulta Contratos'!$S:$S,'Performance Vendas'!$B154,'Consulta Contratos'!$H:$H,"Ativo")</f>
        <v>0</v>
      </c>
      <c r="U154" s="197">
        <f>SUMIFS('Consulta Contratos'!$Z:$Z,'Consulta Contratos'!$AM:$AM,'Performance Vendas'!U$25,'Consulta Contratos'!$S:$S,'Performance Vendas'!$B154,'Consulta Contratos'!$H:$H,"Ativo")</f>
        <v>0</v>
      </c>
      <c r="V154" s="197">
        <f>SUMIFS('Consulta Contratos'!$Z:$Z,'Consulta Contratos'!$AM:$AM,'Performance Vendas'!V$25,'Consulta Contratos'!$S:$S,'Performance Vendas'!$B154,'Consulta Contratos'!$H:$H,"Ativo")</f>
        <v>0</v>
      </c>
      <c r="W154" s="198">
        <f t="shared" ref="W154" si="266">SUM(K154:V154)</f>
        <v>0</v>
      </c>
      <c r="X154" s="197">
        <f>SUMIFS('Consulta Contratos'!$Z:$Z,'Consulta Contratos'!$AM:$AM,'Performance Vendas'!X$25,'Consulta Contratos'!$S:$S,'Performance Vendas'!$B154,'Consulta Contratos'!$H:$H,"Ativo")</f>
        <v>0</v>
      </c>
      <c r="Y154" s="197">
        <f>SUMIFS('Consulta Contratos'!$Z:$Z,'Consulta Contratos'!$AM:$AM,'Performance Vendas'!Y$25,'Consulta Contratos'!$S:$S,'Performance Vendas'!$B154,'Consulta Contratos'!$H:$H,"Ativo")</f>
        <v>0</v>
      </c>
      <c r="Z154" s="197">
        <f>SUMIFS('Consulta Contratos'!$Z:$Z,'Consulta Contratos'!$AM:$AM,'Performance Vendas'!Z$25,'Consulta Contratos'!$S:$S,'Performance Vendas'!$B154,'Consulta Contratos'!$H:$H,"Ativo")</f>
        <v>0</v>
      </c>
      <c r="AA154" s="197">
        <f>SUMIFS('Consulta Contratos'!$Z:$Z,'Consulta Contratos'!$AM:$AM,'Performance Vendas'!AA$25,'Consulta Contratos'!$S:$S,'Performance Vendas'!$B154,'Consulta Contratos'!$H:$H,"Ativo")</f>
        <v>0</v>
      </c>
      <c r="AB154" s="197">
        <f>SUMIFS('Consulta Contratos'!$Z:$Z,'Consulta Contratos'!$AM:$AM,'Performance Vendas'!AB$25,'Consulta Contratos'!$S:$S,'Performance Vendas'!$B154,'Consulta Contratos'!$H:$H,"Ativo")</f>
        <v>0</v>
      </c>
      <c r="AC154" s="197">
        <f>SUMIFS('Consulta Contratos'!$Z:$Z,'Consulta Contratos'!$AM:$AM,'Performance Vendas'!AC$25,'Consulta Contratos'!$S:$S,'Performance Vendas'!$B154,'Consulta Contratos'!$H:$H,"Ativo")</f>
        <v>0</v>
      </c>
      <c r="AD154" s="197">
        <f>SUMIFS('Consulta Contratos'!$Z:$Z,'Consulta Contratos'!$AM:$AM,'Performance Vendas'!AD$25,'Consulta Contratos'!$S:$S,'Performance Vendas'!$B154,'Consulta Contratos'!$H:$H,"Ativo")</f>
        <v>0</v>
      </c>
      <c r="AE154" s="197">
        <f>SUMIFS('Consulta Contratos'!$Z:$Z,'Consulta Contratos'!$AM:$AM,'Performance Vendas'!AE$25,'Consulta Contratos'!$S:$S,'Performance Vendas'!$B154,'Consulta Contratos'!$H:$H,"Ativo")</f>
        <v>0</v>
      </c>
      <c r="AF154" s="197">
        <f>SUMIFS('Consulta Contratos'!$Z:$Z,'Consulta Contratos'!$AM:$AM,'Performance Vendas'!AF$25,'Consulta Contratos'!$S:$S,'Performance Vendas'!$B154,'Consulta Contratos'!$H:$H,"Ativo")</f>
        <v>0</v>
      </c>
      <c r="AG154" s="197">
        <f>SUMIFS('Consulta Contratos'!$Z:$Z,'Consulta Contratos'!$AM:$AM,'Performance Vendas'!AG$25,'Consulta Contratos'!$S:$S,'Performance Vendas'!$B154,'Consulta Contratos'!$H:$H,"Ativo")</f>
        <v>0</v>
      </c>
      <c r="AH154" s="197">
        <f>SUMIFS('Consulta Contratos'!$Z:$Z,'Consulta Contratos'!$AM:$AM,'Performance Vendas'!AH$25,'Consulta Contratos'!$S:$S,'Performance Vendas'!$B154,'Consulta Contratos'!$H:$H,"Ativo")</f>
        <v>0</v>
      </c>
      <c r="AI154" s="197">
        <f>SUMIFS('Consulta Contratos'!$Z:$Z,'Consulta Contratos'!$AM:$AM,'Performance Vendas'!AI$25,'Consulta Contratos'!$S:$S,'Performance Vendas'!$B154,'Consulta Contratos'!$H:$H,"Ativo")</f>
        <v>0</v>
      </c>
      <c r="AJ154" s="198">
        <f t="shared" ref="AJ154" si="267">SUM(X154:AI154)</f>
        <v>0</v>
      </c>
      <c r="AK154" s="197">
        <f>SUMIFS('Consulta Contratos'!$Z:$Z,'Consulta Contratos'!$AM:$AM,'Performance Vendas'!AK$25,'Consulta Contratos'!$S:$S,'Performance Vendas'!$B154,'Consulta Contratos'!$H:$H,"Ativo")</f>
        <v>0</v>
      </c>
      <c r="AL154" s="197">
        <f>SUMIFS('Consulta Contratos'!$Z:$Z,'Consulta Contratos'!$AM:$AM,'Performance Vendas'!AL$25,'Consulta Contratos'!$S:$S,'Performance Vendas'!$B154,'Consulta Contratos'!$H:$H,"Ativo")</f>
        <v>0</v>
      </c>
      <c r="AM154" s="197">
        <f>SUMIFS('Consulta Contratos'!$Z:$Z,'Consulta Contratos'!$AM:$AM,'Performance Vendas'!AM$25,'Consulta Contratos'!$S:$S,'Performance Vendas'!$B154,'Consulta Contratos'!$H:$H,"Ativo")</f>
        <v>0</v>
      </c>
      <c r="AN154" s="197">
        <f>SUMIFS('Consulta Contratos'!$Z:$Z,'Consulta Contratos'!$AM:$AM,'Performance Vendas'!AN$25,'Consulta Contratos'!$S:$S,'Performance Vendas'!$B154,'Consulta Contratos'!$H:$H,"Ativo")</f>
        <v>0</v>
      </c>
      <c r="AO154" s="197">
        <f>SUMIFS('Consulta Contratos'!$Z:$Z,'Consulta Contratos'!$AM:$AM,'Performance Vendas'!AO$25,'Consulta Contratos'!$S:$S,'Performance Vendas'!$B154,'Consulta Contratos'!$H:$H,"Ativo")</f>
        <v>0</v>
      </c>
      <c r="AP154" s="197">
        <f>SUMIFS('Consulta Contratos'!$Z:$Z,'Consulta Contratos'!$AM:$AM,'Performance Vendas'!AP$25,'Consulta Contratos'!$S:$S,'Performance Vendas'!$B154,'Consulta Contratos'!$H:$H,"Ativo")</f>
        <v>0</v>
      </c>
      <c r="AQ154" s="197">
        <f>SUMIFS('Consulta Contratos'!$Z:$Z,'Consulta Contratos'!$AM:$AM,'Performance Vendas'!AQ$25,'Consulta Contratos'!$S:$S,'Performance Vendas'!$B154,'Consulta Contratos'!$H:$H,"Ativo")</f>
        <v>0</v>
      </c>
      <c r="AR154" s="197">
        <f>SUMIFS('Consulta Contratos'!$Z:$Z,'Consulta Contratos'!$AM:$AM,'Performance Vendas'!AR$25,'Consulta Contratos'!$S:$S,'Performance Vendas'!$B154,'Consulta Contratos'!$H:$H,"Ativo")</f>
        <v>0</v>
      </c>
      <c r="AS154" s="197">
        <f>SUMIFS('Consulta Contratos'!$Z:$Z,'Consulta Contratos'!$AM:$AM,'Performance Vendas'!AS$25,'Consulta Contratos'!$S:$S,'Performance Vendas'!$B154,'Consulta Contratos'!$H:$H,"Ativo")</f>
        <v>0</v>
      </c>
      <c r="AT154" s="197">
        <f>SUMIFS('Consulta Contratos'!$Z:$Z,'Consulta Contratos'!$AM:$AM,'Performance Vendas'!AT$25,'Consulta Contratos'!$S:$S,'Performance Vendas'!$B154,'Consulta Contratos'!$H:$H,"Ativo")</f>
        <v>0</v>
      </c>
      <c r="AU154" s="197">
        <f>SUMIFS('Consulta Contratos'!$Z:$Z,'Consulta Contratos'!$AM:$AM,'Performance Vendas'!AU$25,'Consulta Contratos'!$S:$S,'Performance Vendas'!$B154,'Consulta Contratos'!$H:$H,"Ativo")</f>
        <v>0</v>
      </c>
      <c r="AV154" s="197">
        <f>SUMIFS('Consulta Contratos'!$Z:$Z,'Consulta Contratos'!$AM:$AM,'Performance Vendas'!AV$25,'Consulta Contratos'!$S:$S,'Performance Vendas'!$B154,'Consulta Contratos'!$H:$H,"Ativo")</f>
        <v>0</v>
      </c>
      <c r="AW154" s="198">
        <f t="shared" ref="AW154" si="268">SUM(AK154:AV154)</f>
        <v>0</v>
      </c>
      <c r="AX154" s="198">
        <f>AJ154+W154+J154+AW154</f>
        <v>0</v>
      </c>
      <c r="AY154" s="199">
        <f t="shared" si="255"/>
        <v>0</v>
      </c>
      <c r="AZ154" s="197">
        <f>SUMIFS('Consulta Contratos'!$Z:$Z,'Consulta Contratos'!$AM:$AM,'Performance Vendas'!AZ$25,'Consulta Contratos'!$S:$S,'Performance Vendas'!$B154,'Consulta Contratos'!$H:$H,"Ativo")</f>
        <v>0</v>
      </c>
    </row>
    <row r="155" spans="2:52" s="87" customFormat="1">
      <c r="B155" s="205" t="s">
        <v>155</v>
      </c>
      <c r="C155" s="195"/>
      <c r="D155" s="196"/>
      <c r="E155" s="197">
        <f>SUMIFS('Consulta Contratos'!$Z:$Z,'Consulta Contratos'!$AM:$AM,'Performance Vendas'!E$25,'Consulta Contratos'!$S:$S,'Performance Vendas'!$B155,'Consulta Contratos'!$H:$H,"Ativo")</f>
        <v>0</v>
      </c>
      <c r="F155" s="197">
        <f>SUMIFS('Consulta Contratos'!$Z:$Z,'Consulta Contratos'!$AM:$AM,'Performance Vendas'!F$25,'Consulta Contratos'!$S:$S,'Performance Vendas'!$B155,'Consulta Contratos'!$H:$H,"Ativo")</f>
        <v>0</v>
      </c>
      <c r="G155" s="197">
        <f>SUMIFS('Consulta Contratos'!$Z:$Z,'Consulta Contratos'!$AM:$AM,'Performance Vendas'!G$25,'Consulta Contratos'!$S:$S,'Performance Vendas'!$B155,'Consulta Contratos'!$H:$H,"Ativo")</f>
        <v>0</v>
      </c>
      <c r="H155" s="197">
        <f>SUMIFS('Consulta Contratos'!$Z:$Z,'Consulta Contratos'!$AM:$AM,'Performance Vendas'!H$25,'Consulta Contratos'!$S:$S,'Performance Vendas'!$B155,'Consulta Contratos'!$H:$H,"Ativo")</f>
        <v>0</v>
      </c>
      <c r="I155" s="197">
        <f>SUMIFS('Consulta Contratos'!$Z:$Z,'Consulta Contratos'!$AM:$AM,'Performance Vendas'!I$25,'Consulta Contratos'!$S:$S,'Performance Vendas'!$B155,'Consulta Contratos'!$H:$H,"Ativo")</f>
        <v>0</v>
      </c>
      <c r="J155" s="198">
        <f t="shared" si="264"/>
        <v>0</v>
      </c>
      <c r="K155" s="197">
        <f>SUMIFS('Consulta Contratos'!$Z:$Z,'Consulta Contratos'!$AM:$AM,'Performance Vendas'!K$25,'Consulta Contratos'!$S:$S,'Performance Vendas'!$B155,'Consulta Contratos'!$H:$H,"Ativo")</f>
        <v>0</v>
      </c>
      <c r="L155" s="197">
        <f>SUMIFS('Consulta Contratos'!$Z:$Z,'Consulta Contratos'!$AM:$AM,'Performance Vendas'!L$25,'Consulta Contratos'!$S:$S,'Performance Vendas'!$B155,'Consulta Contratos'!$H:$H,"Ativo")</f>
        <v>0</v>
      </c>
      <c r="M155" s="197">
        <f>SUMIFS('Consulta Contratos'!$Z:$Z,'Consulta Contratos'!$AM:$AM,'Performance Vendas'!M$25,'Consulta Contratos'!$S:$S,'Performance Vendas'!$B155,'Consulta Contratos'!$H:$H,"Ativo")</f>
        <v>0</v>
      </c>
      <c r="N155" s="197">
        <f>SUMIFS('Consulta Contratos'!$Z:$Z,'Consulta Contratos'!$AM:$AM,'Performance Vendas'!N$25,'Consulta Contratos'!$S:$S,'Performance Vendas'!$B155,'Consulta Contratos'!$H:$H,"Ativo")</f>
        <v>0</v>
      </c>
      <c r="O155" s="197">
        <f>SUMIFS('Consulta Contratos'!$Z:$Z,'Consulta Contratos'!$AM:$AM,'Performance Vendas'!O$25,'Consulta Contratos'!$S:$S,'Performance Vendas'!$B155,'Consulta Contratos'!$H:$H,"Ativo")</f>
        <v>0</v>
      </c>
      <c r="P155" s="197">
        <f>SUMIFS('Consulta Contratos'!$Z:$Z,'Consulta Contratos'!$AM:$AM,'Performance Vendas'!P$25,'Consulta Contratos'!$S:$S,'Performance Vendas'!$B155,'Consulta Contratos'!$H:$H,"Ativo")</f>
        <v>0</v>
      </c>
      <c r="Q155" s="197">
        <f>SUMIFS('Consulta Contratos'!$Z:$Z,'Consulta Contratos'!$AM:$AM,'Performance Vendas'!Q$25,'Consulta Contratos'!$S:$S,'Performance Vendas'!$B155,'Consulta Contratos'!$H:$H,"Ativo")</f>
        <v>0</v>
      </c>
      <c r="R155" s="197">
        <f>SUMIFS('Consulta Contratos'!$Z:$Z,'Consulta Contratos'!$AM:$AM,'Performance Vendas'!R$25,'Consulta Contratos'!$S:$S,'Performance Vendas'!$B155,'Consulta Contratos'!$H:$H,"Ativo")</f>
        <v>496400.02</v>
      </c>
      <c r="S155" s="197">
        <f>SUMIFS('Consulta Contratos'!$Z:$Z,'Consulta Contratos'!$AM:$AM,'Performance Vendas'!S$25,'Consulta Contratos'!$S:$S,'Performance Vendas'!$B155,'Consulta Contratos'!$H:$H,"Ativo")</f>
        <v>0</v>
      </c>
      <c r="T155" s="197">
        <f>SUMIFS('Consulta Contratos'!$Z:$Z,'Consulta Contratos'!$AM:$AM,'Performance Vendas'!T$25,'Consulta Contratos'!$S:$S,'Performance Vendas'!$B155,'Consulta Contratos'!$H:$H,"Ativo")</f>
        <v>0</v>
      </c>
      <c r="U155" s="197">
        <f>SUMIFS('Consulta Contratos'!$Z:$Z,'Consulta Contratos'!$AM:$AM,'Performance Vendas'!U$25,'Consulta Contratos'!$S:$S,'Performance Vendas'!$B155,'Consulta Contratos'!$H:$H,"Ativo")</f>
        <v>0</v>
      </c>
      <c r="V155" s="197">
        <f>SUMIFS('Consulta Contratos'!$Z:$Z,'Consulta Contratos'!$AM:$AM,'Performance Vendas'!V$25,'Consulta Contratos'!$S:$S,'Performance Vendas'!$B155,'Consulta Contratos'!$H:$H,"Ativo")</f>
        <v>0</v>
      </c>
      <c r="W155" s="198">
        <f t="shared" si="250"/>
        <v>496400.02</v>
      </c>
      <c r="X155" s="197">
        <f>SUMIFS('Consulta Contratos'!$Z:$Z,'Consulta Contratos'!$AM:$AM,'Performance Vendas'!X$25,'Consulta Contratos'!$S:$S,'Performance Vendas'!$B155,'Consulta Contratos'!$H:$H,"Ativo")</f>
        <v>0</v>
      </c>
      <c r="Y155" s="197">
        <f>SUMIFS('Consulta Contratos'!$Z:$Z,'Consulta Contratos'!$AM:$AM,'Performance Vendas'!Y$25,'Consulta Contratos'!$S:$S,'Performance Vendas'!$B155,'Consulta Contratos'!$H:$H,"Ativo")</f>
        <v>0</v>
      </c>
      <c r="Z155" s="197">
        <f>SUMIFS('Consulta Contratos'!$Z:$Z,'Consulta Contratos'!$AM:$AM,'Performance Vendas'!Z$25,'Consulta Contratos'!$S:$S,'Performance Vendas'!$B155,'Consulta Contratos'!$H:$H,"Ativo")</f>
        <v>0</v>
      </c>
      <c r="AA155" s="197">
        <f>SUMIFS('Consulta Contratos'!$Z:$Z,'Consulta Contratos'!$AM:$AM,'Performance Vendas'!AA$25,'Consulta Contratos'!$S:$S,'Performance Vendas'!$B155,'Consulta Contratos'!$H:$H,"Ativo")</f>
        <v>0</v>
      </c>
      <c r="AB155" s="197">
        <f>SUMIFS('Consulta Contratos'!$Z:$Z,'Consulta Contratos'!$AM:$AM,'Performance Vendas'!AB$25,'Consulta Contratos'!$S:$S,'Performance Vendas'!$B155,'Consulta Contratos'!$H:$H,"Ativo")</f>
        <v>0</v>
      </c>
      <c r="AC155" s="197">
        <f>SUMIFS('Consulta Contratos'!$Z:$Z,'Consulta Contratos'!$AM:$AM,'Performance Vendas'!AC$25,'Consulta Contratos'!$S:$S,'Performance Vendas'!$B155,'Consulta Contratos'!$H:$H,"Ativo")</f>
        <v>0</v>
      </c>
      <c r="AD155" s="197">
        <f>SUMIFS('Consulta Contratos'!$Z:$Z,'Consulta Contratos'!$AM:$AM,'Performance Vendas'!AD$25,'Consulta Contratos'!$S:$S,'Performance Vendas'!$B155,'Consulta Contratos'!$H:$H,"Ativo")</f>
        <v>0</v>
      </c>
      <c r="AE155" s="197">
        <f>SUMIFS('Consulta Contratos'!$Z:$Z,'Consulta Contratos'!$AM:$AM,'Performance Vendas'!AE$25,'Consulta Contratos'!$S:$S,'Performance Vendas'!$B155,'Consulta Contratos'!$H:$H,"Ativo")</f>
        <v>0</v>
      </c>
      <c r="AF155" s="197">
        <f>SUMIFS('Consulta Contratos'!$Z:$Z,'Consulta Contratos'!$AM:$AM,'Performance Vendas'!AF$25,'Consulta Contratos'!$S:$S,'Performance Vendas'!$B155,'Consulta Contratos'!$H:$H,"Ativo")</f>
        <v>0</v>
      </c>
      <c r="AG155" s="197">
        <f>SUMIFS('Consulta Contratos'!$Z:$Z,'Consulta Contratos'!$AM:$AM,'Performance Vendas'!AG$25,'Consulta Contratos'!$S:$S,'Performance Vendas'!$B155,'Consulta Contratos'!$H:$H,"Ativo")</f>
        <v>0</v>
      </c>
      <c r="AH155" s="197">
        <f>SUMIFS('Consulta Contratos'!$Z:$Z,'Consulta Contratos'!$AM:$AM,'Performance Vendas'!AH$25,'Consulta Contratos'!$S:$S,'Performance Vendas'!$B155,'Consulta Contratos'!$H:$H,"Ativo")</f>
        <v>0</v>
      </c>
      <c r="AI155" s="197">
        <f>SUMIFS('Consulta Contratos'!$Z:$Z,'Consulta Contratos'!$AM:$AM,'Performance Vendas'!AI$25,'Consulta Contratos'!$S:$S,'Performance Vendas'!$B155,'Consulta Contratos'!$H:$H,"Ativo")</f>
        <v>0</v>
      </c>
      <c r="AJ155" s="198">
        <f t="shared" si="252"/>
        <v>0</v>
      </c>
      <c r="AK155" s="197">
        <f>SUMIFS('Consulta Contratos'!$Z:$Z,'Consulta Contratos'!$AM:$AM,'Performance Vendas'!AK$25,'Consulta Contratos'!$S:$S,'Performance Vendas'!$B155,'Consulta Contratos'!$H:$H,"Ativo")</f>
        <v>0</v>
      </c>
      <c r="AL155" s="197">
        <f>SUMIFS('Consulta Contratos'!$Z:$Z,'Consulta Contratos'!$AM:$AM,'Performance Vendas'!AL$25,'Consulta Contratos'!$S:$S,'Performance Vendas'!$B155,'Consulta Contratos'!$H:$H,"Ativo")</f>
        <v>0</v>
      </c>
      <c r="AM155" s="197">
        <f>SUMIFS('Consulta Contratos'!$Z:$Z,'Consulta Contratos'!$AM:$AM,'Performance Vendas'!AM$25,'Consulta Contratos'!$S:$S,'Performance Vendas'!$B155,'Consulta Contratos'!$H:$H,"Ativo")</f>
        <v>0</v>
      </c>
      <c r="AN155" s="197">
        <f>SUMIFS('Consulta Contratos'!$Z:$Z,'Consulta Contratos'!$AM:$AM,'Performance Vendas'!AN$25,'Consulta Contratos'!$S:$S,'Performance Vendas'!$B155,'Consulta Contratos'!$H:$H,"Ativo")</f>
        <v>0</v>
      </c>
      <c r="AO155" s="197">
        <f>SUMIFS('Consulta Contratos'!$Z:$Z,'Consulta Contratos'!$AM:$AM,'Performance Vendas'!AO$25,'Consulta Contratos'!$S:$S,'Performance Vendas'!$B155,'Consulta Contratos'!$H:$H,"Ativo")</f>
        <v>0</v>
      </c>
      <c r="AP155" s="197">
        <f>SUMIFS('Consulta Contratos'!$Z:$Z,'Consulta Contratos'!$AM:$AM,'Performance Vendas'!AP$25,'Consulta Contratos'!$S:$S,'Performance Vendas'!$B155,'Consulta Contratos'!$H:$H,"Ativo")</f>
        <v>0</v>
      </c>
      <c r="AQ155" s="197">
        <f>SUMIFS('Consulta Contratos'!$Z:$Z,'Consulta Contratos'!$AM:$AM,'Performance Vendas'!AQ$25,'Consulta Contratos'!$S:$S,'Performance Vendas'!$B155,'Consulta Contratos'!$H:$H,"Ativo")</f>
        <v>0</v>
      </c>
      <c r="AR155" s="197">
        <f>SUMIFS('Consulta Contratos'!$Z:$Z,'Consulta Contratos'!$AM:$AM,'Performance Vendas'!AR$25,'Consulta Contratos'!$S:$S,'Performance Vendas'!$B155,'Consulta Contratos'!$H:$H,"Ativo")</f>
        <v>0</v>
      </c>
      <c r="AS155" s="197">
        <f>SUMIFS('Consulta Contratos'!$Z:$Z,'Consulta Contratos'!$AM:$AM,'Performance Vendas'!AS$25,'Consulta Contratos'!$S:$S,'Performance Vendas'!$B155,'Consulta Contratos'!$H:$H,"Ativo")</f>
        <v>0</v>
      </c>
      <c r="AT155" s="197">
        <f>SUMIFS('Consulta Contratos'!$Z:$Z,'Consulta Contratos'!$AM:$AM,'Performance Vendas'!AT$25,'Consulta Contratos'!$S:$S,'Performance Vendas'!$B155,'Consulta Contratos'!$H:$H,"Ativo")</f>
        <v>0</v>
      </c>
      <c r="AU155" s="197">
        <f>SUMIFS('Consulta Contratos'!$Z:$Z,'Consulta Contratos'!$AM:$AM,'Performance Vendas'!AU$25,'Consulta Contratos'!$S:$S,'Performance Vendas'!$B155,'Consulta Contratos'!$H:$H,"Ativo")</f>
        <v>0</v>
      </c>
      <c r="AV155" s="197">
        <f>SUMIFS('Consulta Contratos'!$Z:$Z,'Consulta Contratos'!$AM:$AM,'Performance Vendas'!AV$25,'Consulta Contratos'!$S:$S,'Performance Vendas'!$B155,'Consulta Contratos'!$H:$H,"Ativo")</f>
        <v>0</v>
      </c>
      <c r="AW155" s="198">
        <f t="shared" ref="AW155:AW186" si="269">SUM(AK155:AV155)</f>
        <v>0</v>
      </c>
      <c r="AX155" s="198">
        <f>AJ155+W155+J155+AW155</f>
        <v>496400.02</v>
      </c>
      <c r="AY155" s="199">
        <f t="shared" si="255"/>
        <v>1.2959315906959342E-3</v>
      </c>
      <c r="AZ155" s="197">
        <f>SUMIFS('Consulta Contratos'!$Z:$Z,'Consulta Contratos'!$AM:$AM,'Performance Vendas'!AZ$25,'Consulta Contratos'!$S:$S,'Performance Vendas'!$B155,'Consulta Contratos'!$H:$H,"Ativo")</f>
        <v>0</v>
      </c>
    </row>
    <row r="156" spans="2:52" s="87" customFormat="1">
      <c r="B156" s="205" t="s">
        <v>156</v>
      </c>
      <c r="C156" s="195"/>
      <c r="D156" s="196"/>
      <c r="E156" s="197">
        <f>SUMIFS('Consulta Contratos'!$Z:$Z,'Consulta Contratos'!$AM:$AM,'Performance Vendas'!E$25,'Consulta Contratos'!$S:$S,'Performance Vendas'!$B156,'Consulta Contratos'!$H:$H,"Ativo")</f>
        <v>0</v>
      </c>
      <c r="F156" s="197">
        <f>SUMIFS('Consulta Contratos'!$Z:$Z,'Consulta Contratos'!$AM:$AM,'Performance Vendas'!F$25,'Consulta Contratos'!$S:$S,'Performance Vendas'!$B156,'Consulta Contratos'!$H:$H,"Ativo")</f>
        <v>0</v>
      </c>
      <c r="G156" s="197">
        <f>SUMIFS('Consulta Contratos'!$Z:$Z,'Consulta Contratos'!$AM:$AM,'Performance Vendas'!G$25,'Consulta Contratos'!$S:$S,'Performance Vendas'!$B156,'Consulta Contratos'!$H:$H,"Ativo")</f>
        <v>0</v>
      </c>
      <c r="H156" s="197">
        <f>SUMIFS('Consulta Contratos'!$Z:$Z,'Consulta Contratos'!$AM:$AM,'Performance Vendas'!H$25,'Consulta Contratos'!$S:$S,'Performance Vendas'!$B156,'Consulta Contratos'!$H:$H,"Ativo")</f>
        <v>0</v>
      </c>
      <c r="I156" s="197">
        <f>SUMIFS('Consulta Contratos'!$Z:$Z,'Consulta Contratos'!$AM:$AM,'Performance Vendas'!I$25,'Consulta Contratos'!$S:$S,'Performance Vendas'!$B156,'Consulta Contratos'!$H:$H,"Ativo")</f>
        <v>0</v>
      </c>
      <c r="J156" s="198">
        <f t="shared" ref="J156" si="270">SUM(E156:I156)</f>
        <v>0</v>
      </c>
      <c r="K156" s="197">
        <f>SUMIFS('Consulta Contratos'!$Z:$Z,'Consulta Contratos'!$AM:$AM,'Performance Vendas'!K$25,'Consulta Contratos'!$S:$S,'Performance Vendas'!$B156,'Consulta Contratos'!$H:$H,"Ativo")</f>
        <v>0</v>
      </c>
      <c r="L156" s="197">
        <f>SUMIFS('Consulta Contratos'!$Z:$Z,'Consulta Contratos'!$AM:$AM,'Performance Vendas'!L$25,'Consulta Contratos'!$S:$S,'Performance Vendas'!$B156,'Consulta Contratos'!$H:$H,"Ativo")</f>
        <v>0</v>
      </c>
      <c r="M156" s="197">
        <f>SUMIFS('Consulta Contratos'!$Z:$Z,'Consulta Contratos'!$AM:$AM,'Performance Vendas'!M$25,'Consulta Contratos'!$S:$S,'Performance Vendas'!$B156,'Consulta Contratos'!$H:$H,"Ativo")</f>
        <v>0</v>
      </c>
      <c r="N156" s="197">
        <f>SUMIFS('Consulta Contratos'!$Z:$Z,'Consulta Contratos'!$AM:$AM,'Performance Vendas'!N$25,'Consulta Contratos'!$S:$S,'Performance Vendas'!$B156,'Consulta Contratos'!$H:$H,"Ativo")</f>
        <v>0</v>
      </c>
      <c r="O156" s="197">
        <f>SUMIFS('Consulta Contratos'!$Z:$Z,'Consulta Contratos'!$AM:$AM,'Performance Vendas'!O$25,'Consulta Contratos'!$S:$S,'Performance Vendas'!$B156,'Consulta Contratos'!$H:$H,"Ativo")</f>
        <v>0</v>
      </c>
      <c r="P156" s="197">
        <f>SUMIFS('Consulta Contratos'!$Z:$Z,'Consulta Contratos'!$AM:$AM,'Performance Vendas'!P$25,'Consulta Contratos'!$S:$S,'Performance Vendas'!$B156,'Consulta Contratos'!$H:$H,"Ativo")</f>
        <v>0</v>
      </c>
      <c r="Q156" s="197">
        <f>SUMIFS('Consulta Contratos'!$Z:$Z,'Consulta Contratos'!$AM:$AM,'Performance Vendas'!Q$25,'Consulta Contratos'!$S:$S,'Performance Vendas'!$B156,'Consulta Contratos'!$H:$H,"Ativo")</f>
        <v>0</v>
      </c>
      <c r="R156" s="197">
        <f>SUMIFS('Consulta Contratos'!$Z:$Z,'Consulta Contratos'!$AM:$AM,'Performance Vendas'!R$25,'Consulta Contratos'!$S:$S,'Performance Vendas'!$B156,'Consulta Contratos'!$H:$H,"Ativo")</f>
        <v>0</v>
      </c>
      <c r="S156" s="197">
        <f>SUMIFS('Consulta Contratos'!$Z:$Z,'Consulta Contratos'!$AM:$AM,'Performance Vendas'!S$25,'Consulta Contratos'!$S:$S,'Performance Vendas'!$B156,'Consulta Contratos'!$H:$H,"Ativo")</f>
        <v>0</v>
      </c>
      <c r="T156" s="197">
        <f>SUMIFS('Consulta Contratos'!$Z:$Z,'Consulta Contratos'!$AM:$AM,'Performance Vendas'!T$25,'Consulta Contratos'!$S:$S,'Performance Vendas'!$B156,'Consulta Contratos'!$H:$H,"Ativo")</f>
        <v>0</v>
      </c>
      <c r="U156" s="197">
        <f>SUMIFS('Consulta Contratos'!$Z:$Z,'Consulta Contratos'!$AM:$AM,'Performance Vendas'!U$25,'Consulta Contratos'!$S:$S,'Performance Vendas'!$B156,'Consulta Contratos'!$H:$H,"Ativo")</f>
        <v>0</v>
      </c>
      <c r="V156" s="197">
        <f>SUMIFS('Consulta Contratos'!$Z:$Z,'Consulta Contratos'!$AM:$AM,'Performance Vendas'!V$25,'Consulta Contratos'!$S:$S,'Performance Vendas'!$B156,'Consulta Contratos'!$H:$H,"Ativo")</f>
        <v>0</v>
      </c>
      <c r="W156" s="198">
        <f t="shared" ref="W156" si="271">SUM(K156:V156)</f>
        <v>0</v>
      </c>
      <c r="X156" s="197">
        <f>SUMIFS('Consulta Contratos'!$Z:$Z,'Consulta Contratos'!$AM:$AM,'Performance Vendas'!X$25,'Consulta Contratos'!$S:$S,'Performance Vendas'!$B156,'Consulta Contratos'!$H:$H,"Ativo")</f>
        <v>0</v>
      </c>
      <c r="Y156" s="197">
        <f>SUMIFS('Consulta Contratos'!$Z:$Z,'Consulta Contratos'!$AM:$AM,'Performance Vendas'!Y$25,'Consulta Contratos'!$S:$S,'Performance Vendas'!$B156,'Consulta Contratos'!$H:$H,"Ativo")</f>
        <v>0</v>
      </c>
      <c r="Z156" s="197">
        <f>SUMIFS('Consulta Contratos'!$Z:$Z,'Consulta Contratos'!$AM:$AM,'Performance Vendas'!Z$25,'Consulta Contratos'!$S:$S,'Performance Vendas'!$B156,'Consulta Contratos'!$H:$H,"Ativo")</f>
        <v>426840</v>
      </c>
      <c r="AA156" s="197">
        <f>SUMIFS('Consulta Contratos'!$Z:$Z,'Consulta Contratos'!$AM:$AM,'Performance Vendas'!AA$25,'Consulta Contratos'!$S:$S,'Performance Vendas'!$B156,'Consulta Contratos'!$H:$H,"Ativo")</f>
        <v>0</v>
      </c>
      <c r="AB156" s="197">
        <f>SUMIFS('Consulta Contratos'!$Z:$Z,'Consulta Contratos'!$AM:$AM,'Performance Vendas'!AB$25,'Consulta Contratos'!$S:$S,'Performance Vendas'!$B156,'Consulta Contratos'!$H:$H,"Ativo")</f>
        <v>0</v>
      </c>
      <c r="AC156" s="197">
        <f>SUMIFS('Consulta Contratos'!$Z:$Z,'Consulta Contratos'!$AM:$AM,'Performance Vendas'!AC$25,'Consulta Contratos'!$S:$S,'Performance Vendas'!$B156,'Consulta Contratos'!$H:$H,"Ativo")</f>
        <v>0</v>
      </c>
      <c r="AD156" s="197">
        <f>SUMIFS('Consulta Contratos'!$Z:$Z,'Consulta Contratos'!$AM:$AM,'Performance Vendas'!AD$25,'Consulta Contratos'!$S:$S,'Performance Vendas'!$B156,'Consulta Contratos'!$H:$H,"Ativo")</f>
        <v>0</v>
      </c>
      <c r="AE156" s="197">
        <f>SUMIFS('Consulta Contratos'!$Z:$Z,'Consulta Contratos'!$AM:$AM,'Performance Vendas'!AE$25,'Consulta Contratos'!$S:$S,'Performance Vendas'!$B156,'Consulta Contratos'!$H:$H,"Ativo")</f>
        <v>768000</v>
      </c>
      <c r="AF156" s="197">
        <f>SUMIFS('Consulta Contratos'!$Z:$Z,'Consulta Contratos'!$AM:$AM,'Performance Vendas'!AF$25,'Consulta Contratos'!$S:$S,'Performance Vendas'!$B156,'Consulta Contratos'!$H:$H,"Ativo")</f>
        <v>0</v>
      </c>
      <c r="AG156" s="197">
        <f>SUMIFS('Consulta Contratos'!$Z:$Z,'Consulta Contratos'!$AM:$AM,'Performance Vendas'!AG$25,'Consulta Contratos'!$S:$S,'Performance Vendas'!$B156,'Consulta Contratos'!$H:$H,"Ativo")</f>
        <v>0</v>
      </c>
      <c r="AH156" s="197">
        <f>SUMIFS('Consulta Contratos'!$Z:$Z,'Consulta Contratos'!$AM:$AM,'Performance Vendas'!AH$25,'Consulta Contratos'!$S:$S,'Performance Vendas'!$B156,'Consulta Contratos'!$H:$H,"Ativo")</f>
        <v>0</v>
      </c>
      <c r="AI156" s="197">
        <f>SUMIFS('Consulta Contratos'!$Z:$Z,'Consulta Contratos'!$AM:$AM,'Performance Vendas'!AI$25,'Consulta Contratos'!$S:$S,'Performance Vendas'!$B156,'Consulta Contratos'!$H:$H,"Ativo")</f>
        <v>0</v>
      </c>
      <c r="AJ156" s="198">
        <f t="shared" ref="AJ156" si="272">SUM(X156:AI156)</f>
        <v>1194840</v>
      </c>
      <c r="AK156" s="197">
        <f>SUMIFS('Consulta Contratos'!$Z:$Z,'Consulta Contratos'!$AM:$AM,'Performance Vendas'!AK$25,'Consulta Contratos'!$S:$S,'Performance Vendas'!$B156,'Consulta Contratos'!$H:$H,"Ativo")</f>
        <v>0</v>
      </c>
      <c r="AL156" s="197">
        <f>SUMIFS('Consulta Contratos'!$Z:$Z,'Consulta Contratos'!$AM:$AM,'Performance Vendas'!AL$25,'Consulta Contratos'!$S:$S,'Performance Vendas'!$B156,'Consulta Contratos'!$H:$H,"Ativo")</f>
        <v>0</v>
      </c>
      <c r="AM156" s="197">
        <f>SUMIFS('Consulta Contratos'!$Z:$Z,'Consulta Contratos'!$AM:$AM,'Performance Vendas'!AM$25,'Consulta Contratos'!$S:$S,'Performance Vendas'!$B156,'Consulta Contratos'!$H:$H,"Ativo")</f>
        <v>0</v>
      </c>
      <c r="AN156" s="197">
        <f>SUMIFS('Consulta Contratos'!$Z:$Z,'Consulta Contratos'!$AM:$AM,'Performance Vendas'!AN$25,'Consulta Contratos'!$S:$S,'Performance Vendas'!$B156,'Consulta Contratos'!$H:$H,"Ativo")</f>
        <v>0</v>
      </c>
      <c r="AO156" s="197">
        <f>SUMIFS('Consulta Contratos'!$Z:$Z,'Consulta Contratos'!$AM:$AM,'Performance Vendas'!AO$25,'Consulta Contratos'!$S:$S,'Performance Vendas'!$B156,'Consulta Contratos'!$H:$H,"Ativo")</f>
        <v>0</v>
      </c>
      <c r="AP156" s="197">
        <f>SUMIFS('Consulta Contratos'!$Z:$Z,'Consulta Contratos'!$AM:$AM,'Performance Vendas'!AP$25,'Consulta Contratos'!$S:$S,'Performance Vendas'!$B156,'Consulta Contratos'!$H:$H,"Ativo")</f>
        <v>0</v>
      </c>
      <c r="AQ156" s="197">
        <f>SUMIFS('Consulta Contratos'!$Z:$Z,'Consulta Contratos'!$AM:$AM,'Performance Vendas'!AQ$25,'Consulta Contratos'!$S:$S,'Performance Vendas'!$B156,'Consulta Contratos'!$H:$H,"Ativo")</f>
        <v>0</v>
      </c>
      <c r="AR156" s="197">
        <f>SUMIFS('Consulta Contratos'!$Z:$Z,'Consulta Contratos'!$AM:$AM,'Performance Vendas'!AR$25,'Consulta Contratos'!$S:$S,'Performance Vendas'!$B156,'Consulta Contratos'!$H:$H,"Ativo")</f>
        <v>0</v>
      </c>
      <c r="AS156" s="197">
        <f>SUMIFS('Consulta Contratos'!$Z:$Z,'Consulta Contratos'!$AM:$AM,'Performance Vendas'!AS$25,'Consulta Contratos'!$S:$S,'Performance Vendas'!$B156,'Consulta Contratos'!$H:$H,"Ativo")</f>
        <v>0</v>
      </c>
      <c r="AT156" s="197">
        <f>SUMIFS('Consulta Contratos'!$Z:$Z,'Consulta Contratos'!$AM:$AM,'Performance Vendas'!AT$25,'Consulta Contratos'!$S:$S,'Performance Vendas'!$B156,'Consulta Contratos'!$H:$H,"Ativo")</f>
        <v>0</v>
      </c>
      <c r="AU156" s="197">
        <f>SUMIFS('Consulta Contratos'!$Z:$Z,'Consulta Contratos'!$AM:$AM,'Performance Vendas'!AU$25,'Consulta Contratos'!$S:$S,'Performance Vendas'!$B156,'Consulta Contratos'!$H:$H,"Ativo")</f>
        <v>0</v>
      </c>
      <c r="AV156" s="197">
        <f>SUMIFS('Consulta Contratos'!$Z:$Z,'Consulta Contratos'!$AM:$AM,'Performance Vendas'!AV$25,'Consulta Contratos'!$S:$S,'Performance Vendas'!$B156,'Consulta Contratos'!$H:$H,"Ativo")</f>
        <v>0</v>
      </c>
      <c r="AW156" s="198">
        <f t="shared" ref="AW156" si="273">SUM(AK156:AV156)</f>
        <v>0</v>
      </c>
      <c r="AX156" s="198">
        <f>AJ156+W156+J156+AW156</f>
        <v>1194840</v>
      </c>
      <c r="AY156" s="199">
        <f t="shared" si="255"/>
        <v>3.1193207885590536E-3</v>
      </c>
      <c r="AZ156" s="197">
        <f>SUMIFS('Consulta Contratos'!$Z:$Z,'Consulta Contratos'!$AM:$AM,'Performance Vendas'!AZ$25,'Consulta Contratos'!$S:$S,'Performance Vendas'!$B156,'Consulta Contratos'!$H:$H,"Ativo")</f>
        <v>0</v>
      </c>
    </row>
    <row r="157" spans="2:52" s="87" customFormat="1">
      <c r="B157" s="205" t="s">
        <v>157</v>
      </c>
      <c r="C157" s="195"/>
      <c r="D157" s="196"/>
      <c r="E157" s="197">
        <f>SUMIFS('Consulta Contratos'!$Z:$Z,'Consulta Contratos'!$AM:$AM,'Performance Vendas'!E$25,'Consulta Contratos'!$S:$S,'Performance Vendas'!$B157,'Consulta Contratos'!$H:$H,"Ativo")</f>
        <v>0</v>
      </c>
      <c r="F157" s="197">
        <f>SUMIFS('Consulta Contratos'!$Z:$Z,'Consulta Contratos'!$AM:$AM,'Performance Vendas'!F$25,'Consulta Contratos'!$S:$S,'Performance Vendas'!$B157,'Consulta Contratos'!$H:$H,"Ativo")</f>
        <v>0</v>
      </c>
      <c r="G157" s="197">
        <f>SUMIFS('Consulta Contratos'!$Z:$Z,'Consulta Contratos'!$AM:$AM,'Performance Vendas'!G$25,'Consulta Contratos'!$S:$S,'Performance Vendas'!$B157,'Consulta Contratos'!$H:$H,"Ativo")</f>
        <v>0</v>
      </c>
      <c r="H157" s="197">
        <f>SUMIFS('Consulta Contratos'!$Z:$Z,'Consulta Contratos'!$AM:$AM,'Performance Vendas'!H$25,'Consulta Contratos'!$S:$S,'Performance Vendas'!$B157,'Consulta Contratos'!$H:$H,"Ativo")</f>
        <v>0</v>
      </c>
      <c r="I157" s="197">
        <f>SUMIFS('Consulta Contratos'!$Z:$Z,'Consulta Contratos'!$AM:$AM,'Performance Vendas'!I$25,'Consulta Contratos'!$S:$S,'Performance Vendas'!$B157,'Consulta Contratos'!$H:$H,"Ativo")</f>
        <v>0</v>
      </c>
      <c r="J157" s="198">
        <f t="shared" si="264"/>
        <v>0</v>
      </c>
      <c r="K157" s="197">
        <f>SUMIFS('Consulta Contratos'!$Z:$Z,'Consulta Contratos'!$AM:$AM,'Performance Vendas'!K$25,'Consulta Contratos'!$S:$S,'Performance Vendas'!$B157,'Consulta Contratos'!$H:$H,"Ativo")</f>
        <v>0</v>
      </c>
      <c r="L157" s="197">
        <f>SUMIFS('Consulta Contratos'!$Z:$Z,'Consulta Contratos'!$AM:$AM,'Performance Vendas'!L$25,'Consulta Contratos'!$S:$S,'Performance Vendas'!$B157,'Consulta Contratos'!$H:$H,"Ativo")</f>
        <v>0</v>
      </c>
      <c r="M157" s="197">
        <f>SUMIFS('Consulta Contratos'!$Z:$Z,'Consulta Contratos'!$AM:$AM,'Performance Vendas'!M$25,'Consulta Contratos'!$S:$S,'Performance Vendas'!$B157,'Consulta Contratos'!$H:$H,"Ativo")</f>
        <v>0</v>
      </c>
      <c r="N157" s="197">
        <f>SUMIFS('Consulta Contratos'!$Z:$Z,'Consulta Contratos'!$AM:$AM,'Performance Vendas'!N$25,'Consulta Contratos'!$S:$S,'Performance Vendas'!$B157,'Consulta Contratos'!$H:$H,"Ativo")</f>
        <v>0</v>
      </c>
      <c r="O157" s="197">
        <f>SUMIFS('Consulta Contratos'!$Z:$Z,'Consulta Contratos'!$AM:$AM,'Performance Vendas'!O$25,'Consulta Contratos'!$S:$S,'Performance Vendas'!$B157,'Consulta Contratos'!$H:$H,"Ativo")</f>
        <v>0</v>
      </c>
      <c r="P157" s="197">
        <f>SUMIFS('Consulta Contratos'!$Z:$Z,'Consulta Contratos'!$AM:$AM,'Performance Vendas'!P$25,'Consulta Contratos'!$S:$S,'Performance Vendas'!$B157,'Consulta Contratos'!$H:$H,"Ativo")</f>
        <v>0</v>
      </c>
      <c r="Q157" s="197">
        <f>SUMIFS('Consulta Contratos'!$Z:$Z,'Consulta Contratos'!$AM:$AM,'Performance Vendas'!Q$25,'Consulta Contratos'!$S:$S,'Performance Vendas'!$B157,'Consulta Contratos'!$H:$H,"Ativo")</f>
        <v>634392</v>
      </c>
      <c r="R157" s="197">
        <f>SUMIFS('Consulta Contratos'!$Z:$Z,'Consulta Contratos'!$AM:$AM,'Performance Vendas'!R$25,'Consulta Contratos'!$S:$S,'Performance Vendas'!$B157,'Consulta Contratos'!$H:$H,"Ativo")</f>
        <v>0</v>
      </c>
      <c r="S157" s="197">
        <f>SUMIFS('Consulta Contratos'!$Z:$Z,'Consulta Contratos'!$AM:$AM,'Performance Vendas'!S$25,'Consulta Contratos'!$S:$S,'Performance Vendas'!$B157,'Consulta Contratos'!$H:$H,"Ativo")</f>
        <v>0</v>
      </c>
      <c r="T157" s="197">
        <f>SUMIFS('Consulta Contratos'!$Z:$Z,'Consulta Contratos'!$AM:$AM,'Performance Vendas'!T$25,'Consulta Contratos'!$S:$S,'Performance Vendas'!$B157,'Consulta Contratos'!$H:$H,"Ativo")</f>
        <v>0</v>
      </c>
      <c r="U157" s="197">
        <f>SUMIFS('Consulta Contratos'!$Z:$Z,'Consulta Contratos'!$AM:$AM,'Performance Vendas'!U$25,'Consulta Contratos'!$S:$S,'Performance Vendas'!$B157,'Consulta Contratos'!$H:$H,"Ativo")</f>
        <v>673160.02</v>
      </c>
      <c r="V157" s="197">
        <f>SUMIFS('Consulta Contratos'!$Z:$Z,'Consulta Contratos'!$AM:$AM,'Performance Vendas'!V$25,'Consulta Contratos'!$S:$S,'Performance Vendas'!$B157,'Consulta Contratos'!$H:$H,"Ativo")</f>
        <v>299950</v>
      </c>
      <c r="W157" s="198">
        <f t="shared" si="250"/>
        <v>1607502.02</v>
      </c>
      <c r="X157" s="197">
        <f>SUMIFS('Consulta Contratos'!$Z:$Z,'Consulta Contratos'!$AM:$AM,'Performance Vendas'!X$25,'Consulta Contratos'!$S:$S,'Performance Vendas'!$B157,'Consulta Contratos'!$H:$H,"Ativo")</f>
        <v>0</v>
      </c>
      <c r="Y157" s="197">
        <f>SUMIFS('Consulta Contratos'!$Z:$Z,'Consulta Contratos'!$AM:$AM,'Performance Vendas'!Y$25,'Consulta Contratos'!$S:$S,'Performance Vendas'!$B157,'Consulta Contratos'!$H:$H,"Ativo")</f>
        <v>0</v>
      </c>
      <c r="Z157" s="197">
        <f>SUMIFS('Consulta Contratos'!$Z:$Z,'Consulta Contratos'!$AM:$AM,'Performance Vendas'!Z$25,'Consulta Contratos'!$S:$S,'Performance Vendas'!$B157,'Consulta Contratos'!$H:$H,"Ativo")</f>
        <v>0</v>
      </c>
      <c r="AA157" s="197">
        <f>SUMIFS('Consulta Contratos'!$Z:$Z,'Consulta Contratos'!$AM:$AM,'Performance Vendas'!AA$25,'Consulta Contratos'!$S:$S,'Performance Vendas'!$B157,'Consulta Contratos'!$H:$H,"Ativo")</f>
        <v>0</v>
      </c>
      <c r="AB157" s="197">
        <f>SUMIFS('Consulta Contratos'!$Z:$Z,'Consulta Contratos'!$AM:$AM,'Performance Vendas'!AB$25,'Consulta Contratos'!$S:$S,'Performance Vendas'!$B157,'Consulta Contratos'!$H:$H,"Ativo")</f>
        <v>0</v>
      </c>
      <c r="AC157" s="197">
        <f>SUMIFS('Consulta Contratos'!$Z:$Z,'Consulta Contratos'!$AM:$AM,'Performance Vendas'!AC$25,'Consulta Contratos'!$S:$S,'Performance Vendas'!$B157,'Consulta Contratos'!$H:$H,"Ativo")</f>
        <v>0</v>
      </c>
      <c r="AD157" s="197">
        <f>SUMIFS('Consulta Contratos'!$Z:$Z,'Consulta Contratos'!$AM:$AM,'Performance Vendas'!AD$25,'Consulta Contratos'!$S:$S,'Performance Vendas'!$B157,'Consulta Contratos'!$H:$H,"Ativo")</f>
        <v>0</v>
      </c>
      <c r="AE157" s="197">
        <f>SUMIFS('Consulta Contratos'!$Z:$Z,'Consulta Contratos'!$AM:$AM,'Performance Vendas'!AE$25,'Consulta Contratos'!$S:$S,'Performance Vendas'!$B157,'Consulta Contratos'!$H:$H,"Ativo")</f>
        <v>398000</v>
      </c>
      <c r="AF157" s="197">
        <f>SUMIFS('Consulta Contratos'!$Z:$Z,'Consulta Contratos'!$AM:$AM,'Performance Vendas'!AF$25,'Consulta Contratos'!$S:$S,'Performance Vendas'!$B157,'Consulta Contratos'!$H:$H,"Ativo")</f>
        <v>0</v>
      </c>
      <c r="AG157" s="197">
        <f>SUMIFS('Consulta Contratos'!$Z:$Z,'Consulta Contratos'!$AM:$AM,'Performance Vendas'!AG$25,'Consulta Contratos'!$S:$S,'Performance Vendas'!$B157,'Consulta Contratos'!$H:$H,"Ativo")</f>
        <v>0</v>
      </c>
      <c r="AH157" s="197">
        <f>SUMIFS('Consulta Contratos'!$Z:$Z,'Consulta Contratos'!$AM:$AM,'Performance Vendas'!AH$25,'Consulta Contratos'!$S:$S,'Performance Vendas'!$B157,'Consulta Contratos'!$H:$H,"Ativo")</f>
        <v>0</v>
      </c>
      <c r="AI157" s="197">
        <f>SUMIFS('Consulta Contratos'!$Z:$Z,'Consulta Contratos'!$AM:$AM,'Performance Vendas'!AI$25,'Consulta Contratos'!$S:$S,'Performance Vendas'!$B157,'Consulta Contratos'!$H:$H,"Ativo")</f>
        <v>610413</v>
      </c>
      <c r="AJ157" s="198">
        <f t="shared" si="252"/>
        <v>1008413</v>
      </c>
      <c r="AK157" s="197">
        <f>SUMIFS('Consulta Contratos'!$Z:$Z,'Consulta Contratos'!$AM:$AM,'Performance Vendas'!AK$25,'Consulta Contratos'!$S:$S,'Performance Vendas'!$B157,'Consulta Contratos'!$H:$H,"Ativo")</f>
        <v>0</v>
      </c>
      <c r="AL157" s="197">
        <f>SUMIFS('Consulta Contratos'!$Z:$Z,'Consulta Contratos'!$AM:$AM,'Performance Vendas'!AL$25,'Consulta Contratos'!$S:$S,'Performance Vendas'!$B157,'Consulta Contratos'!$H:$H,"Ativo")</f>
        <v>0</v>
      </c>
      <c r="AM157" s="197">
        <f>SUMIFS('Consulta Contratos'!$Z:$Z,'Consulta Contratos'!$AM:$AM,'Performance Vendas'!AM$25,'Consulta Contratos'!$S:$S,'Performance Vendas'!$B157,'Consulta Contratos'!$H:$H,"Ativo")</f>
        <v>0</v>
      </c>
      <c r="AN157" s="197">
        <f>SUMIFS('Consulta Contratos'!$Z:$Z,'Consulta Contratos'!$AM:$AM,'Performance Vendas'!AN$25,'Consulta Contratos'!$S:$S,'Performance Vendas'!$B157,'Consulta Contratos'!$H:$H,"Ativo")</f>
        <v>0</v>
      </c>
      <c r="AO157" s="197">
        <f>SUMIFS('Consulta Contratos'!$Z:$Z,'Consulta Contratos'!$AM:$AM,'Performance Vendas'!AO$25,'Consulta Contratos'!$S:$S,'Performance Vendas'!$B157,'Consulta Contratos'!$H:$H,"Ativo")</f>
        <v>0</v>
      </c>
      <c r="AP157" s="197">
        <f>SUMIFS('Consulta Contratos'!$Z:$Z,'Consulta Contratos'!$AM:$AM,'Performance Vendas'!AP$25,'Consulta Contratos'!$S:$S,'Performance Vendas'!$B157,'Consulta Contratos'!$H:$H,"Ativo")</f>
        <v>0</v>
      </c>
      <c r="AQ157" s="197">
        <f>SUMIFS('Consulta Contratos'!$Z:$Z,'Consulta Contratos'!$AM:$AM,'Performance Vendas'!AQ$25,'Consulta Contratos'!$S:$S,'Performance Vendas'!$B157,'Consulta Contratos'!$H:$H,"Ativo")</f>
        <v>0</v>
      </c>
      <c r="AR157" s="197">
        <f>SUMIFS('Consulta Contratos'!$Z:$Z,'Consulta Contratos'!$AM:$AM,'Performance Vendas'!AR$25,'Consulta Contratos'!$S:$S,'Performance Vendas'!$B157,'Consulta Contratos'!$H:$H,"Ativo")</f>
        <v>0</v>
      </c>
      <c r="AS157" s="197">
        <f>SUMIFS('Consulta Contratos'!$Z:$Z,'Consulta Contratos'!$AM:$AM,'Performance Vendas'!AS$25,'Consulta Contratos'!$S:$S,'Performance Vendas'!$B157,'Consulta Contratos'!$H:$H,"Ativo")</f>
        <v>0</v>
      </c>
      <c r="AT157" s="197">
        <f>SUMIFS('Consulta Contratos'!$Z:$Z,'Consulta Contratos'!$AM:$AM,'Performance Vendas'!AT$25,'Consulta Contratos'!$S:$S,'Performance Vendas'!$B157,'Consulta Contratos'!$H:$H,"Ativo")</f>
        <v>0</v>
      </c>
      <c r="AU157" s="197">
        <f>SUMIFS('Consulta Contratos'!$Z:$Z,'Consulta Contratos'!$AM:$AM,'Performance Vendas'!AU$25,'Consulta Contratos'!$S:$S,'Performance Vendas'!$B157,'Consulta Contratos'!$H:$H,"Ativo")</f>
        <v>0</v>
      </c>
      <c r="AV157" s="197">
        <f>SUMIFS('Consulta Contratos'!$Z:$Z,'Consulta Contratos'!$AM:$AM,'Performance Vendas'!AV$25,'Consulta Contratos'!$S:$S,'Performance Vendas'!$B157,'Consulta Contratos'!$H:$H,"Ativo")</f>
        <v>0</v>
      </c>
      <c r="AW157" s="198">
        <f t="shared" ref="AW157:AW188" si="274">SUM(AK157:AV157)</f>
        <v>0</v>
      </c>
      <c r="AX157" s="198">
        <f>AJ157+W157+J157+AW157</f>
        <v>2615915.02</v>
      </c>
      <c r="AY157" s="199">
        <f t="shared" si="255"/>
        <v>6.8292642554566903E-3</v>
      </c>
      <c r="AZ157" s="197">
        <f>SUMIFS('Consulta Contratos'!$Z:$Z,'Consulta Contratos'!$AM:$AM,'Performance Vendas'!AZ$25,'Consulta Contratos'!$S:$S,'Performance Vendas'!$B157,'Consulta Contratos'!$H:$H,"Ativo")</f>
        <v>0</v>
      </c>
    </row>
    <row r="158" spans="2:52" s="87" customFormat="1">
      <c r="B158" s="206" t="s">
        <v>158</v>
      </c>
      <c r="C158" s="201"/>
      <c r="D158" s="196"/>
      <c r="E158" s="202">
        <f>SUMIFS('Consulta Contratos'!$Z:$Z,'Consulta Contratos'!$AM:$AM,'Performance Vendas'!E$25,'Consulta Contratos'!$S:$S,'Performance Vendas'!$B158,'Consulta Contratos'!$H:$H,"Ativo")</f>
        <v>0</v>
      </c>
      <c r="F158" s="202">
        <f>SUMIFS('Consulta Contratos'!$Z:$Z,'Consulta Contratos'!$AM:$AM,'Performance Vendas'!F$25,'Consulta Contratos'!$S:$S,'Performance Vendas'!$B158,'Consulta Contratos'!$H:$H,"Ativo")</f>
        <v>0</v>
      </c>
      <c r="G158" s="202">
        <f>SUMIFS('Consulta Contratos'!$Z:$Z,'Consulta Contratos'!$AM:$AM,'Performance Vendas'!G$25,'Consulta Contratos'!$S:$S,'Performance Vendas'!$B158,'Consulta Contratos'!$H:$H,"Ativo")</f>
        <v>0</v>
      </c>
      <c r="H158" s="202">
        <f>SUMIFS('Consulta Contratos'!$Z:$Z,'Consulta Contratos'!$AM:$AM,'Performance Vendas'!H$25,'Consulta Contratos'!$S:$S,'Performance Vendas'!$B158,'Consulta Contratos'!$H:$H,"Ativo")</f>
        <v>0</v>
      </c>
      <c r="I158" s="202">
        <f>SUMIFS('Consulta Contratos'!$Z:$Z,'Consulta Contratos'!$AM:$AM,'Performance Vendas'!I$25,'Consulta Contratos'!$S:$S,'Performance Vendas'!$B158,'Consulta Contratos'!$H:$H,"Ativo")</f>
        <v>450000</v>
      </c>
      <c r="J158" s="203">
        <f t="shared" si="264"/>
        <v>450000</v>
      </c>
      <c r="K158" s="202">
        <f>SUMIFS('Consulta Contratos'!$Z:$Z,'Consulta Contratos'!$AM:$AM,'Performance Vendas'!K$25,'Consulta Contratos'!$S:$S,'Performance Vendas'!$B158,'Consulta Contratos'!$H:$H,"Ativo")</f>
        <v>0</v>
      </c>
      <c r="L158" s="202">
        <f>SUMIFS('Consulta Contratos'!$Z:$Z,'Consulta Contratos'!$AM:$AM,'Performance Vendas'!L$25,'Consulta Contratos'!$S:$S,'Performance Vendas'!$B158,'Consulta Contratos'!$H:$H,"Ativo")</f>
        <v>0</v>
      </c>
      <c r="M158" s="202">
        <f>SUMIFS('Consulta Contratos'!$Z:$Z,'Consulta Contratos'!$AM:$AM,'Performance Vendas'!M$25,'Consulta Contratos'!$S:$S,'Performance Vendas'!$B158,'Consulta Contratos'!$H:$H,"Ativo")</f>
        <v>0</v>
      </c>
      <c r="N158" s="202">
        <f>SUMIFS('Consulta Contratos'!$Z:$Z,'Consulta Contratos'!$AM:$AM,'Performance Vendas'!N$25,'Consulta Contratos'!$S:$S,'Performance Vendas'!$B158,'Consulta Contratos'!$H:$H,"Ativo")</f>
        <v>0</v>
      </c>
      <c r="O158" s="202">
        <f>SUMIFS('Consulta Contratos'!$Z:$Z,'Consulta Contratos'!$AM:$AM,'Performance Vendas'!O$25,'Consulta Contratos'!$S:$S,'Performance Vendas'!$B158,'Consulta Contratos'!$H:$H,"Ativo")</f>
        <v>0</v>
      </c>
      <c r="P158" s="202">
        <f>SUMIFS('Consulta Contratos'!$Z:$Z,'Consulta Contratos'!$AM:$AM,'Performance Vendas'!P$25,'Consulta Contratos'!$S:$S,'Performance Vendas'!$B158,'Consulta Contratos'!$H:$H,"Ativo")</f>
        <v>0</v>
      </c>
      <c r="Q158" s="202">
        <f>SUMIFS('Consulta Contratos'!$Z:$Z,'Consulta Contratos'!$AM:$AM,'Performance Vendas'!Q$25,'Consulta Contratos'!$S:$S,'Performance Vendas'!$B158,'Consulta Contratos'!$H:$H,"Ativo")</f>
        <v>0</v>
      </c>
      <c r="R158" s="202">
        <f>SUMIFS('Consulta Contratos'!$Z:$Z,'Consulta Contratos'!$AM:$AM,'Performance Vendas'!R$25,'Consulta Contratos'!$S:$S,'Performance Vendas'!$B158,'Consulta Contratos'!$H:$H,"Ativo")</f>
        <v>0</v>
      </c>
      <c r="S158" s="202">
        <f>SUMIFS('Consulta Contratos'!$Z:$Z,'Consulta Contratos'!$AM:$AM,'Performance Vendas'!S$25,'Consulta Contratos'!$S:$S,'Performance Vendas'!$B158,'Consulta Contratos'!$H:$H,"Ativo")</f>
        <v>0</v>
      </c>
      <c r="T158" s="202">
        <f>SUMIFS('Consulta Contratos'!$Z:$Z,'Consulta Contratos'!$AM:$AM,'Performance Vendas'!T$25,'Consulta Contratos'!$S:$S,'Performance Vendas'!$B158,'Consulta Contratos'!$H:$H,"Ativo")</f>
        <v>0</v>
      </c>
      <c r="U158" s="202">
        <f>SUMIFS('Consulta Contratos'!$Z:$Z,'Consulta Contratos'!$AM:$AM,'Performance Vendas'!U$25,'Consulta Contratos'!$S:$S,'Performance Vendas'!$B158,'Consulta Contratos'!$H:$H,"Ativo")</f>
        <v>0</v>
      </c>
      <c r="V158" s="202">
        <f>SUMIFS('Consulta Contratos'!$Z:$Z,'Consulta Contratos'!$AM:$AM,'Performance Vendas'!V$25,'Consulta Contratos'!$S:$S,'Performance Vendas'!$B158,'Consulta Contratos'!$H:$H,"Ativo")</f>
        <v>0</v>
      </c>
      <c r="W158" s="203">
        <f t="shared" si="250"/>
        <v>0</v>
      </c>
      <c r="X158" s="202">
        <f>SUMIFS('Consulta Contratos'!$Z:$Z,'Consulta Contratos'!$AM:$AM,'Performance Vendas'!X$25,'Consulta Contratos'!$S:$S,'Performance Vendas'!$B158,'Consulta Contratos'!$H:$H,"Ativo")</f>
        <v>0</v>
      </c>
      <c r="Y158" s="202">
        <f>SUMIFS('Consulta Contratos'!$Z:$Z,'Consulta Contratos'!$AM:$AM,'Performance Vendas'!Y$25,'Consulta Contratos'!$S:$S,'Performance Vendas'!$B158,'Consulta Contratos'!$H:$H,"Ativo")</f>
        <v>0</v>
      </c>
      <c r="Z158" s="202">
        <f>SUMIFS('Consulta Contratos'!$Z:$Z,'Consulta Contratos'!$AM:$AM,'Performance Vendas'!Z$25,'Consulta Contratos'!$S:$S,'Performance Vendas'!$B158,'Consulta Contratos'!$H:$H,"Ativo")</f>
        <v>0</v>
      </c>
      <c r="AA158" s="202">
        <f>SUMIFS('Consulta Contratos'!$Z:$Z,'Consulta Contratos'!$AM:$AM,'Performance Vendas'!AA$25,'Consulta Contratos'!$S:$S,'Performance Vendas'!$B158,'Consulta Contratos'!$H:$H,"Ativo")</f>
        <v>0</v>
      </c>
      <c r="AB158" s="202">
        <f>SUMIFS('Consulta Contratos'!$Z:$Z,'Consulta Contratos'!$AM:$AM,'Performance Vendas'!AB$25,'Consulta Contratos'!$S:$S,'Performance Vendas'!$B158,'Consulta Contratos'!$H:$H,"Ativo")</f>
        <v>0</v>
      </c>
      <c r="AC158" s="202">
        <f>SUMIFS('Consulta Contratos'!$Z:$Z,'Consulta Contratos'!$AM:$AM,'Performance Vendas'!AC$25,'Consulta Contratos'!$S:$S,'Performance Vendas'!$B158,'Consulta Contratos'!$H:$H,"Ativo")</f>
        <v>0</v>
      </c>
      <c r="AD158" s="202">
        <f>SUMIFS('Consulta Contratos'!$Z:$Z,'Consulta Contratos'!$AM:$AM,'Performance Vendas'!AD$25,'Consulta Contratos'!$S:$S,'Performance Vendas'!$B158,'Consulta Contratos'!$H:$H,"Ativo")</f>
        <v>0</v>
      </c>
      <c r="AE158" s="202">
        <f>SUMIFS('Consulta Contratos'!$Z:$Z,'Consulta Contratos'!$AM:$AM,'Performance Vendas'!AE$25,'Consulta Contratos'!$S:$S,'Performance Vendas'!$B158,'Consulta Contratos'!$H:$H,"Ativo")</f>
        <v>0</v>
      </c>
      <c r="AF158" s="202">
        <f>SUMIFS('Consulta Contratos'!$Z:$Z,'Consulta Contratos'!$AM:$AM,'Performance Vendas'!AF$25,'Consulta Contratos'!$S:$S,'Performance Vendas'!$B158,'Consulta Contratos'!$H:$H,"Ativo")</f>
        <v>548700</v>
      </c>
      <c r="AG158" s="202">
        <f>SUMIFS('Consulta Contratos'!$Z:$Z,'Consulta Contratos'!$AM:$AM,'Performance Vendas'!AG$25,'Consulta Contratos'!$S:$S,'Performance Vendas'!$B158,'Consulta Contratos'!$H:$H,"Ativo")</f>
        <v>0</v>
      </c>
      <c r="AH158" s="202">
        <f>SUMIFS('Consulta Contratos'!$Z:$Z,'Consulta Contratos'!$AM:$AM,'Performance Vendas'!AH$25,'Consulta Contratos'!$S:$S,'Performance Vendas'!$B158,'Consulta Contratos'!$H:$H,"Ativo")</f>
        <v>0</v>
      </c>
      <c r="AI158" s="202">
        <f>SUMIFS('Consulta Contratos'!$Z:$Z,'Consulta Contratos'!$AM:$AM,'Performance Vendas'!AI$25,'Consulta Contratos'!$S:$S,'Performance Vendas'!$B158,'Consulta Contratos'!$H:$H,"Ativo")</f>
        <v>0</v>
      </c>
      <c r="AJ158" s="203">
        <f t="shared" si="252"/>
        <v>548700</v>
      </c>
      <c r="AK158" s="202">
        <f>SUMIFS('Consulta Contratos'!$Z:$Z,'Consulta Contratos'!$AM:$AM,'Performance Vendas'!AK$25,'Consulta Contratos'!$S:$S,'Performance Vendas'!$B158,'Consulta Contratos'!$H:$H,"Ativo")</f>
        <v>306000</v>
      </c>
      <c r="AL158" s="202">
        <f>SUMIFS('Consulta Contratos'!$Z:$Z,'Consulta Contratos'!$AM:$AM,'Performance Vendas'!AL$25,'Consulta Contratos'!$S:$S,'Performance Vendas'!$B158,'Consulta Contratos'!$H:$H,"Ativo")</f>
        <v>0</v>
      </c>
      <c r="AM158" s="202">
        <f>SUMIFS('Consulta Contratos'!$Z:$Z,'Consulta Contratos'!$AM:$AM,'Performance Vendas'!AM$25,'Consulta Contratos'!$S:$S,'Performance Vendas'!$B158,'Consulta Contratos'!$H:$H,"Ativo")</f>
        <v>0</v>
      </c>
      <c r="AN158" s="202">
        <f>SUMIFS('Consulta Contratos'!$Z:$Z,'Consulta Contratos'!$AM:$AM,'Performance Vendas'!AN$25,'Consulta Contratos'!$S:$S,'Performance Vendas'!$B158,'Consulta Contratos'!$H:$H,"Ativo")</f>
        <v>0</v>
      </c>
      <c r="AO158" s="202">
        <f>SUMIFS('Consulta Contratos'!$Z:$Z,'Consulta Contratos'!$AM:$AM,'Performance Vendas'!AO$25,'Consulta Contratos'!$S:$S,'Performance Vendas'!$B158,'Consulta Contratos'!$H:$H,"Ativo")</f>
        <v>0</v>
      </c>
      <c r="AP158" s="202">
        <f>SUMIFS('Consulta Contratos'!$Z:$Z,'Consulta Contratos'!$AM:$AM,'Performance Vendas'!AP$25,'Consulta Contratos'!$S:$S,'Performance Vendas'!$B158,'Consulta Contratos'!$H:$H,"Ativo")</f>
        <v>0</v>
      </c>
      <c r="AQ158" s="202">
        <f>SUMIFS('Consulta Contratos'!$Z:$Z,'Consulta Contratos'!$AM:$AM,'Performance Vendas'!AQ$25,'Consulta Contratos'!$S:$S,'Performance Vendas'!$B158,'Consulta Contratos'!$H:$H,"Ativo")</f>
        <v>0</v>
      </c>
      <c r="AR158" s="202">
        <f>SUMIFS('Consulta Contratos'!$Z:$Z,'Consulta Contratos'!$AM:$AM,'Performance Vendas'!AR$25,'Consulta Contratos'!$S:$S,'Performance Vendas'!$B158,'Consulta Contratos'!$H:$H,"Ativo")</f>
        <v>0</v>
      </c>
      <c r="AS158" s="202">
        <f>SUMIFS('Consulta Contratos'!$Z:$Z,'Consulta Contratos'!$AM:$AM,'Performance Vendas'!AS$25,'Consulta Contratos'!$S:$S,'Performance Vendas'!$B158,'Consulta Contratos'!$H:$H,"Ativo")</f>
        <v>0</v>
      </c>
      <c r="AT158" s="202">
        <f>SUMIFS('Consulta Contratos'!$Z:$Z,'Consulta Contratos'!$AM:$AM,'Performance Vendas'!AT$25,'Consulta Contratos'!$S:$S,'Performance Vendas'!$B158,'Consulta Contratos'!$H:$H,"Ativo")</f>
        <v>0</v>
      </c>
      <c r="AU158" s="202">
        <f>SUMIFS('Consulta Contratos'!$Z:$Z,'Consulta Contratos'!$AM:$AM,'Performance Vendas'!AU$25,'Consulta Contratos'!$S:$S,'Performance Vendas'!$B158,'Consulta Contratos'!$H:$H,"Ativo")</f>
        <v>0</v>
      </c>
      <c r="AV158" s="202">
        <f>SUMIFS('Consulta Contratos'!$Z:$Z,'Consulta Contratos'!$AM:$AM,'Performance Vendas'!AV$25,'Consulta Contratos'!$S:$S,'Performance Vendas'!$B158,'Consulta Contratos'!$H:$H,"Ativo")</f>
        <v>0</v>
      </c>
      <c r="AW158" s="203">
        <f t="shared" si="274"/>
        <v>306000</v>
      </c>
      <c r="AX158" s="203">
        <f>AJ158+W158+J158+AW158</f>
        <v>1304700</v>
      </c>
      <c r="AY158" s="199">
        <f t="shared" si="255"/>
        <v>3.4061278772329327E-3</v>
      </c>
      <c r="AZ158" s="202">
        <f>SUMIFS('Consulta Contratos'!$Z:$Z,'Consulta Contratos'!$AM:$AM,'Performance Vendas'!AZ$25,'Consulta Contratos'!$S:$S,'Performance Vendas'!$B158,'Consulta Contratos'!$H:$H,"Ativo")</f>
        <v>0</v>
      </c>
    </row>
    <row r="159" spans="2:52" s="87" customFormat="1">
      <c r="B159" s="155" t="s">
        <v>159</v>
      </c>
      <c r="C159" s="151"/>
      <c r="D159" s="95"/>
      <c r="E159" s="154">
        <f t="shared" ref="E159:V159" si="275">SUM(E160:E163)</f>
        <v>0</v>
      </c>
      <c r="F159" s="154">
        <f t="shared" si="275"/>
        <v>300000</v>
      </c>
      <c r="G159" s="154">
        <f t="shared" si="275"/>
        <v>0</v>
      </c>
      <c r="H159" s="154">
        <f t="shared" si="275"/>
        <v>0</v>
      </c>
      <c r="I159" s="154">
        <f t="shared" si="275"/>
        <v>1358700</v>
      </c>
      <c r="J159" s="153">
        <f t="shared" si="275"/>
        <v>1658700</v>
      </c>
      <c r="K159" s="154">
        <f t="shared" si="275"/>
        <v>410000</v>
      </c>
      <c r="L159" s="154">
        <f t="shared" si="275"/>
        <v>0</v>
      </c>
      <c r="M159" s="154">
        <f t="shared" si="275"/>
        <v>0</v>
      </c>
      <c r="N159" s="154">
        <f t="shared" si="275"/>
        <v>298000</v>
      </c>
      <c r="O159" s="154">
        <f t="shared" si="275"/>
        <v>0</v>
      </c>
      <c r="P159" s="154">
        <f t="shared" si="275"/>
        <v>4506560</v>
      </c>
      <c r="Q159" s="154">
        <f t="shared" si="275"/>
        <v>8028000</v>
      </c>
      <c r="R159" s="154">
        <f t="shared" si="275"/>
        <v>748810.1</v>
      </c>
      <c r="S159" s="154">
        <f t="shared" si="275"/>
        <v>1419000</v>
      </c>
      <c r="T159" s="154">
        <f t="shared" si="275"/>
        <v>739400</v>
      </c>
      <c r="U159" s="154">
        <f t="shared" si="275"/>
        <v>1651975</v>
      </c>
      <c r="V159" s="154">
        <f t="shared" si="275"/>
        <v>4660420</v>
      </c>
      <c r="W159" s="153">
        <f t="shared" si="250"/>
        <v>22462165.100000001</v>
      </c>
      <c r="X159" s="154">
        <f t="shared" ref="X159:AI159" si="276">SUM(X160:X163)</f>
        <v>498000</v>
      </c>
      <c r="Y159" s="154">
        <f t="shared" si="276"/>
        <v>460000</v>
      </c>
      <c r="Z159" s="154">
        <f t="shared" si="276"/>
        <v>363944</v>
      </c>
      <c r="AA159" s="154">
        <f t="shared" si="276"/>
        <v>0</v>
      </c>
      <c r="AB159" s="154">
        <f t="shared" si="276"/>
        <v>0</v>
      </c>
      <c r="AC159" s="154">
        <f t="shared" si="276"/>
        <v>421000</v>
      </c>
      <c r="AD159" s="154">
        <f t="shared" si="276"/>
        <v>2845000</v>
      </c>
      <c r="AE159" s="154">
        <f t="shared" si="276"/>
        <v>0</v>
      </c>
      <c r="AF159" s="154">
        <f t="shared" si="276"/>
        <v>1318588</v>
      </c>
      <c r="AG159" s="154">
        <f t="shared" si="276"/>
        <v>0</v>
      </c>
      <c r="AH159" s="154">
        <f t="shared" si="276"/>
        <v>2511299.7600000002</v>
      </c>
      <c r="AI159" s="154">
        <f t="shared" si="276"/>
        <v>448000</v>
      </c>
      <c r="AJ159" s="153">
        <f t="shared" si="252"/>
        <v>8865831.7599999998</v>
      </c>
      <c r="AK159" s="154">
        <f t="shared" ref="AK159:AV159" si="277">SUM(AK160:AK163)</f>
        <v>0</v>
      </c>
      <c r="AL159" s="154">
        <f t="shared" si="277"/>
        <v>0</v>
      </c>
      <c r="AM159" s="154">
        <f t="shared" si="277"/>
        <v>0</v>
      </c>
      <c r="AN159" s="154">
        <f t="shared" si="277"/>
        <v>0</v>
      </c>
      <c r="AO159" s="154">
        <f t="shared" si="277"/>
        <v>0</v>
      </c>
      <c r="AP159" s="154">
        <f t="shared" si="277"/>
        <v>0</v>
      </c>
      <c r="AQ159" s="154">
        <f t="shared" si="277"/>
        <v>0</v>
      </c>
      <c r="AR159" s="154">
        <f t="shared" si="277"/>
        <v>0</v>
      </c>
      <c r="AS159" s="154">
        <f t="shared" si="277"/>
        <v>0</v>
      </c>
      <c r="AT159" s="154">
        <f t="shared" si="277"/>
        <v>0</v>
      </c>
      <c r="AU159" s="154">
        <f t="shared" si="277"/>
        <v>0</v>
      </c>
      <c r="AV159" s="154">
        <f t="shared" si="277"/>
        <v>0</v>
      </c>
      <c r="AW159" s="153">
        <f t="shared" si="274"/>
        <v>0</v>
      </c>
      <c r="AX159" s="153">
        <f>AJ159+W159+J159+AW159</f>
        <v>32986696.859999999</v>
      </c>
      <c r="AY159" s="149">
        <f t="shared" si="255"/>
        <v>8.6117044341747565E-2</v>
      </c>
      <c r="AZ159" s="154">
        <f>SUM(AZ160:AZ163)</f>
        <v>410000</v>
      </c>
    </row>
    <row r="160" spans="2:52" s="87" customFormat="1">
      <c r="B160" s="205" t="s">
        <v>160</v>
      </c>
      <c r="C160" s="195"/>
      <c r="D160" s="196"/>
      <c r="E160" s="197">
        <f>SUMIFS('Consulta Contratos'!$Z:$Z,'Consulta Contratos'!$AM:$AM,'Performance Vendas'!E$25,'Consulta Contratos'!$S:$S,'Performance Vendas'!$B160,'Consulta Contratos'!$H:$H,"Ativo")</f>
        <v>0</v>
      </c>
      <c r="F160" s="197">
        <f>SUMIFS('Consulta Contratos'!$Z:$Z,'Consulta Contratos'!$AM:$AM,'Performance Vendas'!F$25,'Consulta Contratos'!$S:$S,'Performance Vendas'!$B160,'Consulta Contratos'!$H:$H,"Ativo")</f>
        <v>300000</v>
      </c>
      <c r="G160" s="197">
        <f>SUMIFS('Consulta Contratos'!$Z:$Z,'Consulta Contratos'!$AM:$AM,'Performance Vendas'!G$25,'Consulta Contratos'!$S:$S,'Performance Vendas'!$B160,'Consulta Contratos'!$H:$H,"Ativo")</f>
        <v>0</v>
      </c>
      <c r="H160" s="197">
        <f>SUMIFS('Consulta Contratos'!$Z:$Z,'Consulta Contratos'!$AM:$AM,'Performance Vendas'!H$25,'Consulta Contratos'!$S:$S,'Performance Vendas'!$B160,'Consulta Contratos'!$H:$H,"Ativo")</f>
        <v>0</v>
      </c>
      <c r="I160" s="197">
        <f>SUMIFS('Consulta Contratos'!$Z:$Z,'Consulta Contratos'!$AM:$AM,'Performance Vendas'!I$25,'Consulta Contratos'!$S:$S,'Performance Vendas'!$B160,'Consulta Contratos'!$H:$H,"Ativo")</f>
        <v>0</v>
      </c>
      <c r="J160" s="198">
        <f t="shared" ref="J160:J163" si="278">SUM(E160:I160)</f>
        <v>300000</v>
      </c>
      <c r="K160" s="197">
        <f>SUMIFS('Consulta Contratos'!$Z:$Z,'Consulta Contratos'!$AM:$AM,'Performance Vendas'!K$25,'Consulta Contratos'!$S:$S,'Performance Vendas'!$B160,'Consulta Contratos'!$H:$H,"Ativo")</f>
        <v>0</v>
      </c>
      <c r="L160" s="197">
        <f>SUMIFS('Consulta Contratos'!$Z:$Z,'Consulta Contratos'!$AM:$AM,'Performance Vendas'!L$25,'Consulta Contratos'!$S:$S,'Performance Vendas'!$B160,'Consulta Contratos'!$H:$H,"Ativo")</f>
        <v>0</v>
      </c>
      <c r="M160" s="197">
        <f>SUMIFS('Consulta Contratos'!$Z:$Z,'Consulta Contratos'!$AM:$AM,'Performance Vendas'!M$25,'Consulta Contratos'!$S:$S,'Performance Vendas'!$B160,'Consulta Contratos'!$H:$H,"Ativo")</f>
        <v>0</v>
      </c>
      <c r="N160" s="197">
        <f>SUMIFS('Consulta Contratos'!$Z:$Z,'Consulta Contratos'!$AM:$AM,'Performance Vendas'!N$25,'Consulta Contratos'!$S:$S,'Performance Vendas'!$B160,'Consulta Contratos'!$H:$H,"Ativo")</f>
        <v>298000</v>
      </c>
      <c r="O160" s="197">
        <f>SUMIFS('Consulta Contratos'!$Z:$Z,'Consulta Contratos'!$AM:$AM,'Performance Vendas'!O$25,'Consulta Contratos'!$S:$S,'Performance Vendas'!$B160,'Consulta Contratos'!$H:$H,"Ativo")</f>
        <v>0</v>
      </c>
      <c r="P160" s="197">
        <f>SUMIFS('Consulta Contratos'!$Z:$Z,'Consulta Contratos'!$AM:$AM,'Performance Vendas'!P$25,'Consulta Contratos'!$S:$S,'Performance Vendas'!$B160,'Consulta Contratos'!$H:$H,"Ativo")</f>
        <v>0</v>
      </c>
      <c r="Q160" s="197">
        <f>SUMIFS('Consulta Contratos'!$Z:$Z,'Consulta Contratos'!$AM:$AM,'Performance Vendas'!Q$25,'Consulta Contratos'!$S:$S,'Performance Vendas'!$B160,'Consulta Contratos'!$H:$H,"Ativo")</f>
        <v>0</v>
      </c>
      <c r="R160" s="197">
        <f>SUMIFS('Consulta Contratos'!$Z:$Z,'Consulta Contratos'!$AM:$AM,'Performance Vendas'!R$25,'Consulta Contratos'!$S:$S,'Performance Vendas'!$B160,'Consulta Contratos'!$H:$H,"Ativo")</f>
        <v>0</v>
      </c>
      <c r="S160" s="197">
        <f>SUMIFS('Consulta Contratos'!$Z:$Z,'Consulta Contratos'!$AM:$AM,'Performance Vendas'!S$25,'Consulta Contratos'!$S:$S,'Performance Vendas'!$B160,'Consulta Contratos'!$H:$H,"Ativo")</f>
        <v>0</v>
      </c>
      <c r="T160" s="197">
        <f>SUMIFS('Consulta Contratos'!$Z:$Z,'Consulta Contratos'!$AM:$AM,'Performance Vendas'!T$25,'Consulta Contratos'!$S:$S,'Performance Vendas'!$B160,'Consulta Contratos'!$H:$H,"Ativo")</f>
        <v>365400</v>
      </c>
      <c r="U160" s="197">
        <f>SUMIFS('Consulta Contratos'!$Z:$Z,'Consulta Contratos'!$AM:$AM,'Performance Vendas'!U$25,'Consulta Contratos'!$S:$S,'Performance Vendas'!$B160,'Consulta Contratos'!$H:$H,"Ativo")</f>
        <v>0</v>
      </c>
      <c r="V160" s="197">
        <f>SUMIFS('Consulta Contratos'!$Z:$Z,'Consulta Contratos'!$AM:$AM,'Performance Vendas'!V$25,'Consulta Contratos'!$S:$S,'Performance Vendas'!$B160,'Consulta Contratos'!$H:$H,"Ativo")</f>
        <v>4020000</v>
      </c>
      <c r="W160" s="198">
        <f t="shared" si="250"/>
        <v>4683400</v>
      </c>
      <c r="X160" s="197">
        <f>SUMIFS('Consulta Contratos'!$Z:$Z,'Consulta Contratos'!$AM:$AM,'Performance Vendas'!X$25,'Consulta Contratos'!$S:$S,'Performance Vendas'!$B160,'Consulta Contratos'!$H:$H,"Ativo")</f>
        <v>0</v>
      </c>
      <c r="Y160" s="197">
        <f>SUMIFS('Consulta Contratos'!$Z:$Z,'Consulta Contratos'!$AM:$AM,'Performance Vendas'!Y$25,'Consulta Contratos'!$S:$S,'Performance Vendas'!$B160,'Consulta Contratos'!$H:$H,"Ativo")</f>
        <v>460000</v>
      </c>
      <c r="Z160" s="197">
        <f>SUMIFS('Consulta Contratos'!$Z:$Z,'Consulta Contratos'!$AM:$AM,'Performance Vendas'!Z$25,'Consulta Contratos'!$S:$S,'Performance Vendas'!$B160,'Consulta Contratos'!$H:$H,"Ativo")</f>
        <v>0</v>
      </c>
      <c r="AA160" s="197">
        <f>SUMIFS('Consulta Contratos'!$Z:$Z,'Consulta Contratos'!$AM:$AM,'Performance Vendas'!AA$25,'Consulta Contratos'!$S:$S,'Performance Vendas'!$B160,'Consulta Contratos'!$H:$H,"Ativo")</f>
        <v>0</v>
      </c>
      <c r="AB160" s="197">
        <f>SUMIFS('Consulta Contratos'!$Z:$Z,'Consulta Contratos'!$AM:$AM,'Performance Vendas'!AB$25,'Consulta Contratos'!$S:$S,'Performance Vendas'!$B160,'Consulta Contratos'!$H:$H,"Ativo")</f>
        <v>0</v>
      </c>
      <c r="AC160" s="197">
        <f>SUMIFS('Consulta Contratos'!$Z:$Z,'Consulta Contratos'!$AM:$AM,'Performance Vendas'!AC$25,'Consulta Contratos'!$S:$S,'Performance Vendas'!$B160,'Consulta Contratos'!$H:$H,"Ativo")</f>
        <v>421000</v>
      </c>
      <c r="AD160" s="197">
        <f>SUMIFS('Consulta Contratos'!$Z:$Z,'Consulta Contratos'!$AM:$AM,'Performance Vendas'!AD$25,'Consulta Contratos'!$S:$S,'Performance Vendas'!$B160,'Consulta Contratos'!$H:$H,"Ativo")</f>
        <v>2845000</v>
      </c>
      <c r="AE160" s="197">
        <f>SUMIFS('Consulta Contratos'!$Z:$Z,'Consulta Contratos'!$AM:$AM,'Performance Vendas'!AE$25,'Consulta Contratos'!$S:$S,'Performance Vendas'!$B160,'Consulta Contratos'!$H:$H,"Ativo")</f>
        <v>0</v>
      </c>
      <c r="AF160" s="197">
        <f>SUMIFS('Consulta Contratos'!$Z:$Z,'Consulta Contratos'!$AM:$AM,'Performance Vendas'!AF$25,'Consulta Contratos'!$S:$S,'Performance Vendas'!$B160,'Consulta Contratos'!$H:$H,"Ativo")</f>
        <v>0</v>
      </c>
      <c r="AG160" s="197">
        <f>SUMIFS('Consulta Contratos'!$Z:$Z,'Consulta Contratos'!$AM:$AM,'Performance Vendas'!AG$25,'Consulta Contratos'!$S:$S,'Performance Vendas'!$B160,'Consulta Contratos'!$H:$H,"Ativo")</f>
        <v>0</v>
      </c>
      <c r="AH160" s="197">
        <f>SUMIFS('Consulta Contratos'!$Z:$Z,'Consulta Contratos'!$AM:$AM,'Performance Vendas'!AH$25,'Consulta Contratos'!$S:$S,'Performance Vendas'!$B160,'Consulta Contratos'!$H:$H,"Ativo")</f>
        <v>0</v>
      </c>
      <c r="AI160" s="197">
        <f>SUMIFS('Consulta Contratos'!$Z:$Z,'Consulta Contratos'!$AM:$AM,'Performance Vendas'!AI$25,'Consulta Contratos'!$S:$S,'Performance Vendas'!$B160,'Consulta Contratos'!$H:$H,"Ativo")</f>
        <v>448000</v>
      </c>
      <c r="AJ160" s="198">
        <f t="shared" si="252"/>
        <v>4174000</v>
      </c>
      <c r="AK160" s="197">
        <f>SUMIFS('Consulta Contratos'!$Z:$Z,'Consulta Contratos'!$AM:$AM,'Performance Vendas'!AK$25,'Consulta Contratos'!$S:$S,'Performance Vendas'!$B160,'Consulta Contratos'!$H:$H,"Ativo")</f>
        <v>0</v>
      </c>
      <c r="AL160" s="197">
        <f>SUMIFS('Consulta Contratos'!$Z:$Z,'Consulta Contratos'!$AM:$AM,'Performance Vendas'!AL$25,'Consulta Contratos'!$S:$S,'Performance Vendas'!$B160,'Consulta Contratos'!$H:$H,"Ativo")</f>
        <v>0</v>
      </c>
      <c r="AM160" s="197">
        <f>SUMIFS('Consulta Contratos'!$Z:$Z,'Consulta Contratos'!$AM:$AM,'Performance Vendas'!AM$25,'Consulta Contratos'!$S:$S,'Performance Vendas'!$B160,'Consulta Contratos'!$H:$H,"Ativo")</f>
        <v>0</v>
      </c>
      <c r="AN160" s="197">
        <f>SUMIFS('Consulta Contratos'!$Z:$Z,'Consulta Contratos'!$AM:$AM,'Performance Vendas'!AN$25,'Consulta Contratos'!$S:$S,'Performance Vendas'!$B160,'Consulta Contratos'!$H:$H,"Ativo")</f>
        <v>0</v>
      </c>
      <c r="AO160" s="197">
        <f>SUMIFS('Consulta Contratos'!$Z:$Z,'Consulta Contratos'!$AM:$AM,'Performance Vendas'!AO$25,'Consulta Contratos'!$S:$S,'Performance Vendas'!$B160,'Consulta Contratos'!$H:$H,"Ativo")</f>
        <v>0</v>
      </c>
      <c r="AP160" s="197">
        <f>SUMIFS('Consulta Contratos'!$Z:$Z,'Consulta Contratos'!$AM:$AM,'Performance Vendas'!AP$25,'Consulta Contratos'!$S:$S,'Performance Vendas'!$B160,'Consulta Contratos'!$H:$H,"Ativo")</f>
        <v>0</v>
      </c>
      <c r="AQ160" s="197">
        <f>SUMIFS('Consulta Contratos'!$Z:$Z,'Consulta Contratos'!$AM:$AM,'Performance Vendas'!AQ$25,'Consulta Contratos'!$S:$S,'Performance Vendas'!$B160,'Consulta Contratos'!$H:$H,"Ativo")</f>
        <v>0</v>
      </c>
      <c r="AR160" s="197">
        <f>SUMIFS('Consulta Contratos'!$Z:$Z,'Consulta Contratos'!$AM:$AM,'Performance Vendas'!AR$25,'Consulta Contratos'!$S:$S,'Performance Vendas'!$B160,'Consulta Contratos'!$H:$H,"Ativo")</f>
        <v>0</v>
      </c>
      <c r="AS160" s="197">
        <f>SUMIFS('Consulta Contratos'!$Z:$Z,'Consulta Contratos'!$AM:$AM,'Performance Vendas'!AS$25,'Consulta Contratos'!$S:$S,'Performance Vendas'!$B160,'Consulta Contratos'!$H:$H,"Ativo")</f>
        <v>0</v>
      </c>
      <c r="AT160" s="197">
        <f>SUMIFS('Consulta Contratos'!$Z:$Z,'Consulta Contratos'!$AM:$AM,'Performance Vendas'!AT$25,'Consulta Contratos'!$S:$S,'Performance Vendas'!$B160,'Consulta Contratos'!$H:$H,"Ativo")</f>
        <v>0</v>
      </c>
      <c r="AU160" s="197">
        <f>SUMIFS('Consulta Contratos'!$Z:$Z,'Consulta Contratos'!$AM:$AM,'Performance Vendas'!AU$25,'Consulta Contratos'!$S:$S,'Performance Vendas'!$B160,'Consulta Contratos'!$H:$H,"Ativo")</f>
        <v>0</v>
      </c>
      <c r="AV160" s="197">
        <f>SUMIFS('Consulta Contratos'!$Z:$Z,'Consulta Contratos'!$AM:$AM,'Performance Vendas'!AV$25,'Consulta Contratos'!$S:$S,'Performance Vendas'!$B160,'Consulta Contratos'!$H:$H,"Ativo")</f>
        <v>0</v>
      </c>
      <c r="AW160" s="198">
        <f t="shared" si="274"/>
        <v>0</v>
      </c>
      <c r="AX160" s="198">
        <f>AJ160+W160+J160+AW160</f>
        <v>9157400</v>
      </c>
      <c r="AY160" s="199">
        <f t="shared" si="255"/>
        <v>2.3906856306409794E-2</v>
      </c>
      <c r="AZ160" s="197">
        <f>SUMIFS('Consulta Contratos'!$Z:$Z,'Consulta Contratos'!$AM:$AM,'Performance Vendas'!AZ$25,'Consulta Contratos'!$S:$S,'Performance Vendas'!$B160,'Consulta Contratos'!$H:$H,"Ativo")</f>
        <v>0</v>
      </c>
    </row>
    <row r="161" spans="2:52" s="87" customFormat="1">
      <c r="B161" s="205" t="s">
        <v>161</v>
      </c>
      <c r="C161" s="195"/>
      <c r="D161" s="196"/>
      <c r="E161" s="197">
        <f>SUMIFS('Consulta Contratos'!$Z:$Z,'Consulta Contratos'!$AM:$AM,'Performance Vendas'!E$25,'Consulta Contratos'!$S:$S,'Performance Vendas'!$B161,'Consulta Contratos'!$H:$H,"Ativo")</f>
        <v>0</v>
      </c>
      <c r="F161" s="197">
        <f>SUMIFS('Consulta Contratos'!$Z:$Z,'Consulta Contratos'!$AM:$AM,'Performance Vendas'!F$25,'Consulta Contratos'!$S:$S,'Performance Vendas'!$B161,'Consulta Contratos'!$H:$H,"Ativo")</f>
        <v>0</v>
      </c>
      <c r="G161" s="197">
        <f>SUMIFS('Consulta Contratos'!$Z:$Z,'Consulta Contratos'!$AM:$AM,'Performance Vendas'!G$25,'Consulta Contratos'!$S:$S,'Performance Vendas'!$B161,'Consulta Contratos'!$H:$H,"Ativo")</f>
        <v>0</v>
      </c>
      <c r="H161" s="197">
        <f>SUMIFS('Consulta Contratos'!$Z:$Z,'Consulta Contratos'!$AM:$AM,'Performance Vendas'!H$25,'Consulta Contratos'!$S:$S,'Performance Vendas'!$B161,'Consulta Contratos'!$H:$H,"Ativo")</f>
        <v>0</v>
      </c>
      <c r="I161" s="197">
        <f>SUMIFS('Consulta Contratos'!$Z:$Z,'Consulta Contratos'!$AM:$AM,'Performance Vendas'!I$25,'Consulta Contratos'!$S:$S,'Performance Vendas'!$B161,'Consulta Contratos'!$H:$H,"Ativo")</f>
        <v>908700</v>
      </c>
      <c r="J161" s="198">
        <f t="shared" si="278"/>
        <v>908700</v>
      </c>
      <c r="K161" s="197">
        <f>SUMIFS('Consulta Contratos'!$Z:$Z,'Consulta Contratos'!$AM:$AM,'Performance Vendas'!K$25,'Consulta Contratos'!$S:$S,'Performance Vendas'!$B161,'Consulta Contratos'!$H:$H,"Ativo")</f>
        <v>0</v>
      </c>
      <c r="L161" s="197">
        <f>SUMIFS('Consulta Contratos'!$Z:$Z,'Consulta Contratos'!$AM:$AM,'Performance Vendas'!L$25,'Consulta Contratos'!$S:$S,'Performance Vendas'!$B161,'Consulta Contratos'!$H:$H,"Ativo")</f>
        <v>0</v>
      </c>
      <c r="M161" s="197">
        <f>SUMIFS('Consulta Contratos'!$Z:$Z,'Consulta Contratos'!$AM:$AM,'Performance Vendas'!M$25,'Consulta Contratos'!$S:$S,'Performance Vendas'!$B161,'Consulta Contratos'!$H:$H,"Ativo")</f>
        <v>0</v>
      </c>
      <c r="N161" s="197">
        <f>SUMIFS('Consulta Contratos'!$Z:$Z,'Consulta Contratos'!$AM:$AM,'Performance Vendas'!N$25,'Consulta Contratos'!$S:$S,'Performance Vendas'!$B161,'Consulta Contratos'!$H:$H,"Ativo")</f>
        <v>0</v>
      </c>
      <c r="O161" s="197">
        <f>SUMIFS('Consulta Contratos'!$Z:$Z,'Consulta Contratos'!$AM:$AM,'Performance Vendas'!O$25,'Consulta Contratos'!$S:$S,'Performance Vendas'!$B161,'Consulta Contratos'!$H:$H,"Ativo")</f>
        <v>0</v>
      </c>
      <c r="P161" s="197">
        <f>SUMIFS('Consulta Contratos'!$Z:$Z,'Consulta Contratos'!$AM:$AM,'Performance Vendas'!P$25,'Consulta Contratos'!$S:$S,'Performance Vendas'!$B161,'Consulta Contratos'!$H:$H,"Ativo")</f>
        <v>336800</v>
      </c>
      <c r="Q161" s="197">
        <f>SUMIFS('Consulta Contratos'!$Z:$Z,'Consulta Contratos'!$AM:$AM,'Performance Vendas'!Q$25,'Consulta Contratos'!$S:$S,'Performance Vendas'!$B161,'Consulta Contratos'!$H:$H,"Ativo")</f>
        <v>0</v>
      </c>
      <c r="R161" s="197">
        <f>SUMIFS('Consulta Contratos'!$Z:$Z,'Consulta Contratos'!$AM:$AM,'Performance Vendas'!R$25,'Consulta Contratos'!$S:$S,'Performance Vendas'!$B161,'Consulta Contratos'!$H:$H,"Ativo")</f>
        <v>367810</v>
      </c>
      <c r="S161" s="197">
        <f>SUMIFS('Consulta Contratos'!$Z:$Z,'Consulta Contratos'!$AM:$AM,'Performance Vendas'!S$25,'Consulta Contratos'!$S:$S,'Performance Vendas'!$B161,'Consulta Contratos'!$H:$H,"Ativo")</f>
        <v>0</v>
      </c>
      <c r="T161" s="197">
        <f>SUMIFS('Consulta Contratos'!$Z:$Z,'Consulta Contratos'!$AM:$AM,'Performance Vendas'!T$25,'Consulta Contratos'!$S:$S,'Performance Vendas'!$B161,'Consulta Contratos'!$H:$H,"Ativo")</f>
        <v>0</v>
      </c>
      <c r="U161" s="197">
        <f>SUMIFS('Consulta Contratos'!$Z:$Z,'Consulta Contratos'!$AM:$AM,'Performance Vendas'!U$25,'Consulta Contratos'!$S:$S,'Performance Vendas'!$B161,'Consulta Contratos'!$H:$H,"Ativo")</f>
        <v>298500</v>
      </c>
      <c r="V161" s="197">
        <f>SUMIFS('Consulta Contratos'!$Z:$Z,'Consulta Contratos'!$AM:$AM,'Performance Vendas'!V$25,'Consulta Contratos'!$S:$S,'Performance Vendas'!$B161,'Consulta Contratos'!$H:$H,"Ativo")</f>
        <v>328420</v>
      </c>
      <c r="W161" s="198">
        <f t="shared" si="250"/>
        <v>1331530</v>
      </c>
      <c r="X161" s="197">
        <f>SUMIFS('Consulta Contratos'!$Z:$Z,'Consulta Contratos'!$AM:$AM,'Performance Vendas'!X$25,'Consulta Contratos'!$S:$S,'Performance Vendas'!$B161,'Consulta Contratos'!$H:$H,"Ativo")</f>
        <v>0</v>
      </c>
      <c r="Y161" s="197">
        <f>SUMIFS('Consulta Contratos'!$Z:$Z,'Consulta Contratos'!$AM:$AM,'Performance Vendas'!Y$25,'Consulta Contratos'!$S:$S,'Performance Vendas'!$B161,'Consulta Contratos'!$H:$H,"Ativo")</f>
        <v>0</v>
      </c>
      <c r="Z161" s="197">
        <f>SUMIFS('Consulta Contratos'!$Z:$Z,'Consulta Contratos'!$AM:$AM,'Performance Vendas'!Z$25,'Consulta Contratos'!$S:$S,'Performance Vendas'!$B161,'Consulta Contratos'!$H:$H,"Ativo")</f>
        <v>0</v>
      </c>
      <c r="AA161" s="197">
        <f>SUMIFS('Consulta Contratos'!$Z:$Z,'Consulta Contratos'!$AM:$AM,'Performance Vendas'!AA$25,'Consulta Contratos'!$S:$S,'Performance Vendas'!$B161,'Consulta Contratos'!$H:$H,"Ativo")</f>
        <v>0</v>
      </c>
      <c r="AB161" s="197">
        <f>SUMIFS('Consulta Contratos'!$Z:$Z,'Consulta Contratos'!$AM:$AM,'Performance Vendas'!AB$25,'Consulta Contratos'!$S:$S,'Performance Vendas'!$B161,'Consulta Contratos'!$H:$H,"Ativo")</f>
        <v>0</v>
      </c>
      <c r="AC161" s="197">
        <f>SUMIFS('Consulta Contratos'!$Z:$Z,'Consulta Contratos'!$AM:$AM,'Performance Vendas'!AC$25,'Consulta Contratos'!$S:$S,'Performance Vendas'!$B161,'Consulta Contratos'!$H:$H,"Ativo")</f>
        <v>0</v>
      </c>
      <c r="AD161" s="197">
        <f>SUMIFS('Consulta Contratos'!$Z:$Z,'Consulta Contratos'!$AM:$AM,'Performance Vendas'!AD$25,'Consulta Contratos'!$S:$S,'Performance Vendas'!$B161,'Consulta Contratos'!$H:$H,"Ativo")</f>
        <v>0</v>
      </c>
      <c r="AE161" s="197">
        <f>SUMIFS('Consulta Contratos'!$Z:$Z,'Consulta Contratos'!$AM:$AM,'Performance Vendas'!AE$25,'Consulta Contratos'!$S:$S,'Performance Vendas'!$B161,'Consulta Contratos'!$H:$H,"Ativo")</f>
        <v>0</v>
      </c>
      <c r="AF161" s="197">
        <f>SUMIFS('Consulta Contratos'!$Z:$Z,'Consulta Contratos'!$AM:$AM,'Performance Vendas'!AF$25,'Consulta Contratos'!$S:$S,'Performance Vendas'!$B161,'Consulta Contratos'!$H:$H,"Ativo")</f>
        <v>0</v>
      </c>
      <c r="AG161" s="197">
        <f>SUMIFS('Consulta Contratos'!$Z:$Z,'Consulta Contratos'!$AM:$AM,'Performance Vendas'!AG$25,'Consulta Contratos'!$S:$S,'Performance Vendas'!$B161,'Consulta Contratos'!$H:$H,"Ativo")</f>
        <v>0</v>
      </c>
      <c r="AH161" s="197">
        <f>SUMIFS('Consulta Contratos'!$Z:$Z,'Consulta Contratos'!$AM:$AM,'Performance Vendas'!AH$25,'Consulta Contratos'!$S:$S,'Performance Vendas'!$B161,'Consulta Contratos'!$H:$H,"Ativo")</f>
        <v>837099.92</v>
      </c>
      <c r="AI161" s="197">
        <f>SUMIFS('Consulta Contratos'!$Z:$Z,'Consulta Contratos'!$AM:$AM,'Performance Vendas'!AI$25,'Consulta Contratos'!$S:$S,'Performance Vendas'!$B161,'Consulta Contratos'!$H:$H,"Ativo")</f>
        <v>0</v>
      </c>
      <c r="AJ161" s="198">
        <f t="shared" si="252"/>
        <v>837099.92</v>
      </c>
      <c r="AK161" s="197">
        <f>SUMIFS('Consulta Contratos'!$Z:$Z,'Consulta Contratos'!$AM:$AM,'Performance Vendas'!AK$25,'Consulta Contratos'!$S:$S,'Performance Vendas'!$B161,'Consulta Contratos'!$H:$H,"Ativo")</f>
        <v>0</v>
      </c>
      <c r="AL161" s="197">
        <f>SUMIFS('Consulta Contratos'!$Z:$Z,'Consulta Contratos'!$AM:$AM,'Performance Vendas'!AL$25,'Consulta Contratos'!$S:$S,'Performance Vendas'!$B161,'Consulta Contratos'!$H:$H,"Ativo")</f>
        <v>0</v>
      </c>
      <c r="AM161" s="197">
        <f>SUMIFS('Consulta Contratos'!$Z:$Z,'Consulta Contratos'!$AM:$AM,'Performance Vendas'!AM$25,'Consulta Contratos'!$S:$S,'Performance Vendas'!$B161,'Consulta Contratos'!$H:$H,"Ativo")</f>
        <v>0</v>
      </c>
      <c r="AN161" s="197">
        <f>SUMIFS('Consulta Contratos'!$Z:$Z,'Consulta Contratos'!$AM:$AM,'Performance Vendas'!AN$25,'Consulta Contratos'!$S:$S,'Performance Vendas'!$B161,'Consulta Contratos'!$H:$H,"Ativo")</f>
        <v>0</v>
      </c>
      <c r="AO161" s="197">
        <f>SUMIFS('Consulta Contratos'!$Z:$Z,'Consulta Contratos'!$AM:$AM,'Performance Vendas'!AO$25,'Consulta Contratos'!$S:$S,'Performance Vendas'!$B161,'Consulta Contratos'!$H:$H,"Ativo")</f>
        <v>0</v>
      </c>
      <c r="AP161" s="197">
        <f>SUMIFS('Consulta Contratos'!$Z:$Z,'Consulta Contratos'!$AM:$AM,'Performance Vendas'!AP$25,'Consulta Contratos'!$S:$S,'Performance Vendas'!$B161,'Consulta Contratos'!$H:$H,"Ativo")</f>
        <v>0</v>
      </c>
      <c r="AQ161" s="197">
        <f>SUMIFS('Consulta Contratos'!$Z:$Z,'Consulta Contratos'!$AM:$AM,'Performance Vendas'!AQ$25,'Consulta Contratos'!$S:$S,'Performance Vendas'!$B161,'Consulta Contratos'!$H:$H,"Ativo")</f>
        <v>0</v>
      </c>
      <c r="AR161" s="197">
        <f>SUMIFS('Consulta Contratos'!$Z:$Z,'Consulta Contratos'!$AM:$AM,'Performance Vendas'!AR$25,'Consulta Contratos'!$S:$S,'Performance Vendas'!$B161,'Consulta Contratos'!$H:$H,"Ativo")</f>
        <v>0</v>
      </c>
      <c r="AS161" s="197">
        <f>SUMIFS('Consulta Contratos'!$Z:$Z,'Consulta Contratos'!$AM:$AM,'Performance Vendas'!AS$25,'Consulta Contratos'!$S:$S,'Performance Vendas'!$B161,'Consulta Contratos'!$H:$H,"Ativo")</f>
        <v>0</v>
      </c>
      <c r="AT161" s="197">
        <f>SUMIFS('Consulta Contratos'!$Z:$Z,'Consulta Contratos'!$AM:$AM,'Performance Vendas'!AT$25,'Consulta Contratos'!$S:$S,'Performance Vendas'!$B161,'Consulta Contratos'!$H:$H,"Ativo")</f>
        <v>0</v>
      </c>
      <c r="AU161" s="197">
        <f>SUMIFS('Consulta Contratos'!$Z:$Z,'Consulta Contratos'!$AM:$AM,'Performance Vendas'!AU$25,'Consulta Contratos'!$S:$S,'Performance Vendas'!$B161,'Consulta Contratos'!$H:$H,"Ativo")</f>
        <v>0</v>
      </c>
      <c r="AV161" s="197">
        <f>SUMIFS('Consulta Contratos'!$Z:$Z,'Consulta Contratos'!$AM:$AM,'Performance Vendas'!AV$25,'Consulta Contratos'!$S:$S,'Performance Vendas'!$B161,'Consulta Contratos'!$H:$H,"Ativo")</f>
        <v>0</v>
      </c>
      <c r="AW161" s="198">
        <f t="shared" si="274"/>
        <v>0</v>
      </c>
      <c r="AX161" s="198">
        <f>AJ161+W161+J161+AW161</f>
        <v>3077329.92</v>
      </c>
      <c r="AY161" s="199">
        <f t="shared" si="255"/>
        <v>8.0338615988004829E-3</v>
      </c>
      <c r="AZ161" s="197">
        <f>SUMIFS('Consulta Contratos'!$Z:$Z,'Consulta Contratos'!$AM:$AM,'Performance Vendas'!AZ$25,'Consulta Contratos'!$S:$S,'Performance Vendas'!$B161,'Consulta Contratos'!$H:$H,"Ativo")</f>
        <v>410000</v>
      </c>
    </row>
    <row r="162" spans="2:52" s="87" customFormat="1">
      <c r="B162" s="205" t="s">
        <v>162</v>
      </c>
      <c r="C162" s="195"/>
      <c r="D162" s="196"/>
      <c r="E162" s="197">
        <f>SUMIFS('Consulta Contratos'!$Z:$Z,'Consulta Contratos'!$AM:$AM,'Performance Vendas'!E$25,'Consulta Contratos'!$S:$S,'Performance Vendas'!$B162,'Consulta Contratos'!$H:$H,"Ativo")</f>
        <v>0</v>
      </c>
      <c r="F162" s="197">
        <f>SUMIFS('Consulta Contratos'!$Z:$Z,'Consulta Contratos'!$AM:$AM,'Performance Vendas'!F$25,'Consulta Contratos'!$S:$S,'Performance Vendas'!$B162,'Consulta Contratos'!$H:$H,"Ativo")</f>
        <v>0</v>
      </c>
      <c r="G162" s="197">
        <f>SUMIFS('Consulta Contratos'!$Z:$Z,'Consulta Contratos'!$AM:$AM,'Performance Vendas'!G$25,'Consulta Contratos'!$S:$S,'Performance Vendas'!$B162,'Consulta Contratos'!$H:$H,"Ativo")</f>
        <v>0</v>
      </c>
      <c r="H162" s="197">
        <f>SUMIFS('Consulta Contratos'!$Z:$Z,'Consulta Contratos'!$AM:$AM,'Performance Vendas'!H$25,'Consulta Contratos'!$S:$S,'Performance Vendas'!$B162,'Consulta Contratos'!$H:$H,"Ativo")</f>
        <v>0</v>
      </c>
      <c r="I162" s="197">
        <f>SUMIFS('Consulta Contratos'!$Z:$Z,'Consulta Contratos'!$AM:$AM,'Performance Vendas'!I$25,'Consulta Contratos'!$S:$S,'Performance Vendas'!$B162,'Consulta Contratos'!$H:$H,"Ativo")</f>
        <v>450000</v>
      </c>
      <c r="J162" s="198">
        <f t="shared" si="278"/>
        <v>450000</v>
      </c>
      <c r="K162" s="197">
        <f>SUMIFS('Consulta Contratos'!$Z:$Z,'Consulta Contratos'!$AM:$AM,'Performance Vendas'!K$25,'Consulta Contratos'!$S:$S,'Performance Vendas'!$B162,'Consulta Contratos'!$H:$H,"Ativo")</f>
        <v>0</v>
      </c>
      <c r="L162" s="197">
        <f>SUMIFS('Consulta Contratos'!$Z:$Z,'Consulta Contratos'!$AM:$AM,'Performance Vendas'!L$25,'Consulta Contratos'!$S:$S,'Performance Vendas'!$B162,'Consulta Contratos'!$H:$H,"Ativo")</f>
        <v>0</v>
      </c>
      <c r="M162" s="197">
        <f>SUMIFS('Consulta Contratos'!$Z:$Z,'Consulta Contratos'!$AM:$AM,'Performance Vendas'!M$25,'Consulta Contratos'!$S:$S,'Performance Vendas'!$B162,'Consulta Contratos'!$H:$H,"Ativo")</f>
        <v>0</v>
      </c>
      <c r="N162" s="197">
        <f>SUMIFS('Consulta Contratos'!$Z:$Z,'Consulta Contratos'!$AM:$AM,'Performance Vendas'!N$25,'Consulta Contratos'!$S:$S,'Performance Vendas'!$B162,'Consulta Contratos'!$H:$H,"Ativo")</f>
        <v>0</v>
      </c>
      <c r="O162" s="197">
        <f>SUMIFS('Consulta Contratos'!$Z:$Z,'Consulta Contratos'!$AM:$AM,'Performance Vendas'!O$25,'Consulta Contratos'!$S:$S,'Performance Vendas'!$B162,'Consulta Contratos'!$H:$H,"Ativo")</f>
        <v>0</v>
      </c>
      <c r="P162" s="197">
        <f>SUMIFS('Consulta Contratos'!$Z:$Z,'Consulta Contratos'!$AM:$AM,'Performance Vendas'!P$25,'Consulta Contratos'!$S:$S,'Performance Vendas'!$B162,'Consulta Contratos'!$H:$H,"Ativo")</f>
        <v>4169760</v>
      </c>
      <c r="Q162" s="197">
        <f>SUMIFS('Consulta Contratos'!$Z:$Z,'Consulta Contratos'!$AM:$AM,'Performance Vendas'!Q$25,'Consulta Contratos'!$S:$S,'Performance Vendas'!$B162,'Consulta Contratos'!$H:$H,"Ativo")</f>
        <v>0</v>
      </c>
      <c r="R162" s="197">
        <f>SUMIFS('Consulta Contratos'!$Z:$Z,'Consulta Contratos'!$AM:$AM,'Performance Vendas'!R$25,'Consulta Contratos'!$S:$S,'Performance Vendas'!$B162,'Consulta Contratos'!$H:$H,"Ativo")</f>
        <v>0</v>
      </c>
      <c r="S162" s="197">
        <f>SUMIFS('Consulta Contratos'!$Z:$Z,'Consulta Contratos'!$AM:$AM,'Performance Vendas'!S$25,'Consulta Contratos'!$S:$S,'Performance Vendas'!$B162,'Consulta Contratos'!$H:$H,"Ativo")</f>
        <v>400000</v>
      </c>
      <c r="T162" s="197">
        <f>SUMIFS('Consulta Contratos'!$Z:$Z,'Consulta Contratos'!$AM:$AM,'Performance Vendas'!T$25,'Consulta Contratos'!$S:$S,'Performance Vendas'!$B162,'Consulta Contratos'!$H:$H,"Ativo")</f>
        <v>374000</v>
      </c>
      <c r="U162" s="197">
        <f>SUMIFS('Consulta Contratos'!$Z:$Z,'Consulta Contratos'!$AM:$AM,'Performance Vendas'!U$25,'Consulta Contratos'!$S:$S,'Performance Vendas'!$B162,'Consulta Contratos'!$H:$H,"Ativo")</f>
        <v>237475</v>
      </c>
      <c r="V162" s="197">
        <f>SUMIFS('Consulta Contratos'!$Z:$Z,'Consulta Contratos'!$AM:$AM,'Performance Vendas'!V$25,'Consulta Contratos'!$S:$S,'Performance Vendas'!$B162,'Consulta Contratos'!$H:$H,"Ativo")</f>
        <v>0</v>
      </c>
      <c r="W162" s="198">
        <f t="shared" si="250"/>
        <v>5181235</v>
      </c>
      <c r="X162" s="197">
        <f>SUMIFS('Consulta Contratos'!$Z:$Z,'Consulta Contratos'!$AM:$AM,'Performance Vendas'!X$25,'Consulta Contratos'!$S:$S,'Performance Vendas'!$B162,'Consulta Contratos'!$H:$H,"Ativo")</f>
        <v>0</v>
      </c>
      <c r="Y162" s="197">
        <f>SUMIFS('Consulta Contratos'!$Z:$Z,'Consulta Contratos'!$AM:$AM,'Performance Vendas'!Y$25,'Consulta Contratos'!$S:$S,'Performance Vendas'!$B162,'Consulta Contratos'!$H:$H,"Ativo")</f>
        <v>0</v>
      </c>
      <c r="Z162" s="197">
        <f>SUMIFS('Consulta Contratos'!$Z:$Z,'Consulta Contratos'!$AM:$AM,'Performance Vendas'!Z$25,'Consulta Contratos'!$S:$S,'Performance Vendas'!$B162,'Consulta Contratos'!$H:$H,"Ativo")</f>
        <v>0</v>
      </c>
      <c r="AA162" s="197">
        <f>SUMIFS('Consulta Contratos'!$Z:$Z,'Consulta Contratos'!$AM:$AM,'Performance Vendas'!AA$25,'Consulta Contratos'!$S:$S,'Performance Vendas'!$B162,'Consulta Contratos'!$H:$H,"Ativo")</f>
        <v>0</v>
      </c>
      <c r="AB162" s="197">
        <f>SUMIFS('Consulta Contratos'!$Z:$Z,'Consulta Contratos'!$AM:$AM,'Performance Vendas'!AB$25,'Consulta Contratos'!$S:$S,'Performance Vendas'!$B162,'Consulta Contratos'!$H:$H,"Ativo")</f>
        <v>0</v>
      </c>
      <c r="AC162" s="197">
        <f>SUMIFS('Consulta Contratos'!$Z:$Z,'Consulta Contratos'!$AM:$AM,'Performance Vendas'!AC$25,'Consulta Contratos'!$S:$S,'Performance Vendas'!$B162,'Consulta Contratos'!$H:$H,"Ativo")</f>
        <v>0</v>
      </c>
      <c r="AD162" s="197">
        <f>SUMIFS('Consulta Contratos'!$Z:$Z,'Consulta Contratos'!$AM:$AM,'Performance Vendas'!AD$25,'Consulta Contratos'!$S:$S,'Performance Vendas'!$B162,'Consulta Contratos'!$H:$H,"Ativo")</f>
        <v>0</v>
      </c>
      <c r="AE162" s="197">
        <f>SUMIFS('Consulta Contratos'!$Z:$Z,'Consulta Contratos'!$AM:$AM,'Performance Vendas'!AE$25,'Consulta Contratos'!$S:$S,'Performance Vendas'!$B162,'Consulta Contratos'!$H:$H,"Ativo")</f>
        <v>0</v>
      </c>
      <c r="AF162" s="197">
        <f>SUMIFS('Consulta Contratos'!$Z:$Z,'Consulta Contratos'!$AM:$AM,'Performance Vendas'!AF$25,'Consulta Contratos'!$S:$S,'Performance Vendas'!$B162,'Consulta Contratos'!$H:$H,"Ativo")</f>
        <v>1318588</v>
      </c>
      <c r="AG162" s="197">
        <f>SUMIFS('Consulta Contratos'!$Z:$Z,'Consulta Contratos'!$AM:$AM,'Performance Vendas'!AG$25,'Consulta Contratos'!$S:$S,'Performance Vendas'!$B162,'Consulta Contratos'!$H:$H,"Ativo")</f>
        <v>0</v>
      </c>
      <c r="AH162" s="197">
        <f>SUMIFS('Consulta Contratos'!$Z:$Z,'Consulta Contratos'!$AM:$AM,'Performance Vendas'!AH$25,'Consulta Contratos'!$S:$S,'Performance Vendas'!$B162,'Consulta Contratos'!$H:$H,"Ativo")</f>
        <v>1674199.84</v>
      </c>
      <c r="AI162" s="197">
        <f>SUMIFS('Consulta Contratos'!$Z:$Z,'Consulta Contratos'!$AM:$AM,'Performance Vendas'!AI$25,'Consulta Contratos'!$S:$S,'Performance Vendas'!$B162,'Consulta Contratos'!$H:$H,"Ativo")</f>
        <v>0</v>
      </c>
      <c r="AJ162" s="198">
        <f t="shared" si="252"/>
        <v>2992787.84</v>
      </c>
      <c r="AK162" s="197">
        <f>SUMIFS('Consulta Contratos'!$Z:$Z,'Consulta Contratos'!$AM:$AM,'Performance Vendas'!AK$25,'Consulta Contratos'!$S:$S,'Performance Vendas'!$B162,'Consulta Contratos'!$H:$H,"Ativo")</f>
        <v>0</v>
      </c>
      <c r="AL162" s="197">
        <f>SUMIFS('Consulta Contratos'!$Z:$Z,'Consulta Contratos'!$AM:$AM,'Performance Vendas'!AL$25,'Consulta Contratos'!$S:$S,'Performance Vendas'!$B162,'Consulta Contratos'!$H:$H,"Ativo")</f>
        <v>0</v>
      </c>
      <c r="AM162" s="197">
        <f>SUMIFS('Consulta Contratos'!$Z:$Z,'Consulta Contratos'!$AM:$AM,'Performance Vendas'!AM$25,'Consulta Contratos'!$S:$S,'Performance Vendas'!$B162,'Consulta Contratos'!$H:$H,"Ativo")</f>
        <v>0</v>
      </c>
      <c r="AN162" s="197">
        <f>SUMIFS('Consulta Contratos'!$Z:$Z,'Consulta Contratos'!$AM:$AM,'Performance Vendas'!AN$25,'Consulta Contratos'!$S:$S,'Performance Vendas'!$B162,'Consulta Contratos'!$H:$H,"Ativo")</f>
        <v>0</v>
      </c>
      <c r="AO162" s="197">
        <f>SUMIFS('Consulta Contratos'!$Z:$Z,'Consulta Contratos'!$AM:$AM,'Performance Vendas'!AO$25,'Consulta Contratos'!$S:$S,'Performance Vendas'!$B162,'Consulta Contratos'!$H:$H,"Ativo")</f>
        <v>0</v>
      </c>
      <c r="AP162" s="197">
        <f>SUMIFS('Consulta Contratos'!$Z:$Z,'Consulta Contratos'!$AM:$AM,'Performance Vendas'!AP$25,'Consulta Contratos'!$S:$S,'Performance Vendas'!$B162,'Consulta Contratos'!$H:$H,"Ativo")</f>
        <v>0</v>
      </c>
      <c r="AQ162" s="197">
        <f>SUMIFS('Consulta Contratos'!$Z:$Z,'Consulta Contratos'!$AM:$AM,'Performance Vendas'!AQ$25,'Consulta Contratos'!$S:$S,'Performance Vendas'!$B162,'Consulta Contratos'!$H:$H,"Ativo")</f>
        <v>0</v>
      </c>
      <c r="AR162" s="197">
        <f>SUMIFS('Consulta Contratos'!$Z:$Z,'Consulta Contratos'!$AM:$AM,'Performance Vendas'!AR$25,'Consulta Contratos'!$S:$S,'Performance Vendas'!$B162,'Consulta Contratos'!$H:$H,"Ativo")</f>
        <v>0</v>
      </c>
      <c r="AS162" s="197">
        <f>SUMIFS('Consulta Contratos'!$Z:$Z,'Consulta Contratos'!$AM:$AM,'Performance Vendas'!AS$25,'Consulta Contratos'!$S:$S,'Performance Vendas'!$B162,'Consulta Contratos'!$H:$H,"Ativo")</f>
        <v>0</v>
      </c>
      <c r="AT162" s="197">
        <f>SUMIFS('Consulta Contratos'!$Z:$Z,'Consulta Contratos'!$AM:$AM,'Performance Vendas'!AT$25,'Consulta Contratos'!$S:$S,'Performance Vendas'!$B162,'Consulta Contratos'!$H:$H,"Ativo")</f>
        <v>0</v>
      </c>
      <c r="AU162" s="197">
        <f>SUMIFS('Consulta Contratos'!$Z:$Z,'Consulta Contratos'!$AM:$AM,'Performance Vendas'!AU$25,'Consulta Contratos'!$S:$S,'Performance Vendas'!$B162,'Consulta Contratos'!$H:$H,"Ativo")</f>
        <v>0</v>
      </c>
      <c r="AV162" s="197">
        <f>SUMIFS('Consulta Contratos'!$Z:$Z,'Consulta Contratos'!$AM:$AM,'Performance Vendas'!AV$25,'Consulta Contratos'!$S:$S,'Performance Vendas'!$B162,'Consulta Contratos'!$H:$H,"Ativo")</f>
        <v>0</v>
      </c>
      <c r="AW162" s="198">
        <f t="shared" si="274"/>
        <v>0</v>
      </c>
      <c r="AX162" s="198">
        <f>AJ162+W162+J162+AW162</f>
        <v>8624022.8399999999</v>
      </c>
      <c r="AY162" s="199">
        <f t="shared" si="255"/>
        <v>2.2514389981771691E-2</v>
      </c>
      <c r="AZ162" s="197">
        <f>SUMIFS('Consulta Contratos'!$Z:$Z,'Consulta Contratos'!$AM:$AM,'Performance Vendas'!AZ$25,'Consulta Contratos'!$S:$S,'Performance Vendas'!$B162,'Consulta Contratos'!$H:$H,"Ativo")</f>
        <v>0</v>
      </c>
    </row>
    <row r="163" spans="2:52" s="87" customFormat="1">
      <c r="B163" s="206" t="s">
        <v>163</v>
      </c>
      <c r="C163" s="201"/>
      <c r="D163" s="196"/>
      <c r="E163" s="202">
        <f>SUMIFS('Consulta Contratos'!$Z:$Z,'Consulta Contratos'!$AM:$AM,'Performance Vendas'!E$25,'Consulta Contratos'!$S:$S,'Performance Vendas'!$B163,'Consulta Contratos'!$H:$H,"Ativo")</f>
        <v>0</v>
      </c>
      <c r="F163" s="202">
        <f>SUMIFS('Consulta Contratos'!$Z:$Z,'Consulta Contratos'!$AM:$AM,'Performance Vendas'!F$25,'Consulta Contratos'!$S:$S,'Performance Vendas'!$B163,'Consulta Contratos'!$H:$H,"Ativo")</f>
        <v>0</v>
      </c>
      <c r="G163" s="202">
        <f>SUMIFS('Consulta Contratos'!$Z:$Z,'Consulta Contratos'!$AM:$AM,'Performance Vendas'!G$25,'Consulta Contratos'!$S:$S,'Performance Vendas'!$B163,'Consulta Contratos'!$H:$H,"Ativo")</f>
        <v>0</v>
      </c>
      <c r="H163" s="202">
        <f>SUMIFS('Consulta Contratos'!$Z:$Z,'Consulta Contratos'!$AM:$AM,'Performance Vendas'!H$25,'Consulta Contratos'!$S:$S,'Performance Vendas'!$B163,'Consulta Contratos'!$H:$H,"Ativo")</f>
        <v>0</v>
      </c>
      <c r="I163" s="202">
        <f>SUMIFS('Consulta Contratos'!$Z:$Z,'Consulta Contratos'!$AM:$AM,'Performance Vendas'!I$25,'Consulta Contratos'!$S:$S,'Performance Vendas'!$B163,'Consulta Contratos'!$H:$H,"Ativo")</f>
        <v>0</v>
      </c>
      <c r="J163" s="203">
        <f t="shared" si="278"/>
        <v>0</v>
      </c>
      <c r="K163" s="202">
        <f>SUMIFS('Consulta Contratos'!$Z:$Z,'Consulta Contratos'!$AM:$AM,'Performance Vendas'!K$25,'Consulta Contratos'!$S:$S,'Performance Vendas'!$B163,'Consulta Contratos'!$H:$H,"Ativo")</f>
        <v>410000</v>
      </c>
      <c r="L163" s="202">
        <f>SUMIFS('Consulta Contratos'!$Z:$Z,'Consulta Contratos'!$AM:$AM,'Performance Vendas'!L$25,'Consulta Contratos'!$S:$S,'Performance Vendas'!$B163,'Consulta Contratos'!$H:$H,"Ativo")</f>
        <v>0</v>
      </c>
      <c r="M163" s="202">
        <f>SUMIFS('Consulta Contratos'!$Z:$Z,'Consulta Contratos'!$AM:$AM,'Performance Vendas'!M$25,'Consulta Contratos'!$S:$S,'Performance Vendas'!$B163,'Consulta Contratos'!$H:$H,"Ativo")</f>
        <v>0</v>
      </c>
      <c r="N163" s="202">
        <f>SUMIFS('Consulta Contratos'!$Z:$Z,'Consulta Contratos'!$AM:$AM,'Performance Vendas'!N$25,'Consulta Contratos'!$S:$S,'Performance Vendas'!$B163,'Consulta Contratos'!$H:$H,"Ativo")</f>
        <v>0</v>
      </c>
      <c r="O163" s="202">
        <f>SUMIFS('Consulta Contratos'!$Z:$Z,'Consulta Contratos'!$AM:$AM,'Performance Vendas'!O$25,'Consulta Contratos'!$S:$S,'Performance Vendas'!$B163,'Consulta Contratos'!$H:$H,"Ativo")</f>
        <v>0</v>
      </c>
      <c r="P163" s="202">
        <f>SUMIFS('Consulta Contratos'!$Z:$Z,'Consulta Contratos'!$AM:$AM,'Performance Vendas'!P$25,'Consulta Contratos'!$S:$S,'Performance Vendas'!$B163,'Consulta Contratos'!$H:$H,"Ativo")</f>
        <v>0</v>
      </c>
      <c r="Q163" s="202">
        <f>SUMIFS('Consulta Contratos'!$Z:$Z,'Consulta Contratos'!$AM:$AM,'Performance Vendas'!Q$25,'Consulta Contratos'!$S:$S,'Performance Vendas'!$B163,'Consulta Contratos'!$H:$H,"Ativo")</f>
        <v>8028000</v>
      </c>
      <c r="R163" s="202">
        <f>SUMIFS('Consulta Contratos'!$Z:$Z,'Consulta Contratos'!$AM:$AM,'Performance Vendas'!R$25,'Consulta Contratos'!$S:$S,'Performance Vendas'!$B163,'Consulta Contratos'!$H:$H,"Ativo")</f>
        <v>381000.1</v>
      </c>
      <c r="S163" s="202">
        <f>SUMIFS('Consulta Contratos'!$Z:$Z,'Consulta Contratos'!$AM:$AM,'Performance Vendas'!S$25,'Consulta Contratos'!$S:$S,'Performance Vendas'!$B163,'Consulta Contratos'!$H:$H,"Ativo")</f>
        <v>1019000</v>
      </c>
      <c r="T163" s="202">
        <f>SUMIFS('Consulta Contratos'!$Z:$Z,'Consulta Contratos'!$AM:$AM,'Performance Vendas'!T$25,'Consulta Contratos'!$S:$S,'Performance Vendas'!$B163,'Consulta Contratos'!$H:$H,"Ativo")</f>
        <v>0</v>
      </c>
      <c r="U163" s="202">
        <f>SUMIFS('Consulta Contratos'!$Z:$Z,'Consulta Contratos'!$AM:$AM,'Performance Vendas'!U$25,'Consulta Contratos'!$S:$S,'Performance Vendas'!$B163,'Consulta Contratos'!$H:$H,"Ativo")</f>
        <v>1116000</v>
      </c>
      <c r="V163" s="202">
        <f>SUMIFS('Consulta Contratos'!$Z:$Z,'Consulta Contratos'!$AM:$AM,'Performance Vendas'!V$25,'Consulta Contratos'!$S:$S,'Performance Vendas'!$B163,'Consulta Contratos'!$H:$H,"Ativo")</f>
        <v>312000</v>
      </c>
      <c r="W163" s="203">
        <f t="shared" si="250"/>
        <v>11266000.1</v>
      </c>
      <c r="X163" s="202">
        <f>SUMIFS('Consulta Contratos'!$Z:$Z,'Consulta Contratos'!$AM:$AM,'Performance Vendas'!X$25,'Consulta Contratos'!$S:$S,'Performance Vendas'!$B163,'Consulta Contratos'!$H:$H,"Ativo")</f>
        <v>498000</v>
      </c>
      <c r="Y163" s="202">
        <f>SUMIFS('Consulta Contratos'!$Z:$Z,'Consulta Contratos'!$AM:$AM,'Performance Vendas'!Y$25,'Consulta Contratos'!$S:$S,'Performance Vendas'!$B163,'Consulta Contratos'!$H:$H,"Ativo")</f>
        <v>0</v>
      </c>
      <c r="Z163" s="202">
        <f>SUMIFS('Consulta Contratos'!$Z:$Z,'Consulta Contratos'!$AM:$AM,'Performance Vendas'!Z$25,'Consulta Contratos'!$S:$S,'Performance Vendas'!$B163,'Consulta Contratos'!$H:$H,"Ativo")</f>
        <v>363944</v>
      </c>
      <c r="AA163" s="202">
        <f>SUMIFS('Consulta Contratos'!$Z:$Z,'Consulta Contratos'!$AM:$AM,'Performance Vendas'!AA$25,'Consulta Contratos'!$S:$S,'Performance Vendas'!$B163,'Consulta Contratos'!$H:$H,"Ativo")</f>
        <v>0</v>
      </c>
      <c r="AB163" s="202">
        <f>SUMIFS('Consulta Contratos'!$Z:$Z,'Consulta Contratos'!$AM:$AM,'Performance Vendas'!AB$25,'Consulta Contratos'!$S:$S,'Performance Vendas'!$B163,'Consulta Contratos'!$H:$H,"Ativo")</f>
        <v>0</v>
      </c>
      <c r="AC163" s="202">
        <f>SUMIFS('Consulta Contratos'!$Z:$Z,'Consulta Contratos'!$AM:$AM,'Performance Vendas'!AC$25,'Consulta Contratos'!$S:$S,'Performance Vendas'!$B163,'Consulta Contratos'!$H:$H,"Ativo")</f>
        <v>0</v>
      </c>
      <c r="AD163" s="202">
        <f>SUMIFS('Consulta Contratos'!$Z:$Z,'Consulta Contratos'!$AM:$AM,'Performance Vendas'!AD$25,'Consulta Contratos'!$S:$S,'Performance Vendas'!$B163,'Consulta Contratos'!$H:$H,"Ativo")</f>
        <v>0</v>
      </c>
      <c r="AE163" s="202">
        <f>SUMIFS('Consulta Contratos'!$Z:$Z,'Consulta Contratos'!$AM:$AM,'Performance Vendas'!AE$25,'Consulta Contratos'!$S:$S,'Performance Vendas'!$B163,'Consulta Contratos'!$H:$H,"Ativo")</f>
        <v>0</v>
      </c>
      <c r="AF163" s="202">
        <f>SUMIFS('Consulta Contratos'!$Z:$Z,'Consulta Contratos'!$AM:$AM,'Performance Vendas'!AF$25,'Consulta Contratos'!$S:$S,'Performance Vendas'!$B163,'Consulta Contratos'!$H:$H,"Ativo")</f>
        <v>0</v>
      </c>
      <c r="AG163" s="202">
        <f>SUMIFS('Consulta Contratos'!$Z:$Z,'Consulta Contratos'!$AM:$AM,'Performance Vendas'!AG$25,'Consulta Contratos'!$S:$S,'Performance Vendas'!$B163,'Consulta Contratos'!$H:$H,"Ativo")</f>
        <v>0</v>
      </c>
      <c r="AH163" s="202">
        <f>SUMIFS('Consulta Contratos'!$Z:$Z,'Consulta Contratos'!$AM:$AM,'Performance Vendas'!AH$25,'Consulta Contratos'!$S:$S,'Performance Vendas'!$B163,'Consulta Contratos'!$H:$H,"Ativo")</f>
        <v>0</v>
      </c>
      <c r="AI163" s="202">
        <f>SUMIFS('Consulta Contratos'!$Z:$Z,'Consulta Contratos'!$AM:$AM,'Performance Vendas'!AI$25,'Consulta Contratos'!$S:$S,'Performance Vendas'!$B163,'Consulta Contratos'!$H:$H,"Ativo")</f>
        <v>0</v>
      </c>
      <c r="AJ163" s="203">
        <f t="shared" si="252"/>
        <v>861944</v>
      </c>
      <c r="AK163" s="202">
        <f>SUMIFS('Consulta Contratos'!$Z:$Z,'Consulta Contratos'!$AM:$AM,'Performance Vendas'!AK$25,'Consulta Contratos'!$S:$S,'Performance Vendas'!$B163,'Consulta Contratos'!$H:$H,"Ativo")</f>
        <v>0</v>
      </c>
      <c r="AL163" s="202">
        <f>SUMIFS('Consulta Contratos'!$Z:$Z,'Consulta Contratos'!$AM:$AM,'Performance Vendas'!AL$25,'Consulta Contratos'!$S:$S,'Performance Vendas'!$B163,'Consulta Contratos'!$H:$H,"Ativo")</f>
        <v>0</v>
      </c>
      <c r="AM163" s="202">
        <f>SUMIFS('Consulta Contratos'!$Z:$Z,'Consulta Contratos'!$AM:$AM,'Performance Vendas'!AM$25,'Consulta Contratos'!$S:$S,'Performance Vendas'!$B163,'Consulta Contratos'!$H:$H,"Ativo")</f>
        <v>0</v>
      </c>
      <c r="AN163" s="202">
        <f>SUMIFS('Consulta Contratos'!$Z:$Z,'Consulta Contratos'!$AM:$AM,'Performance Vendas'!AN$25,'Consulta Contratos'!$S:$S,'Performance Vendas'!$B163,'Consulta Contratos'!$H:$H,"Ativo")</f>
        <v>0</v>
      </c>
      <c r="AO163" s="202">
        <f>SUMIFS('Consulta Contratos'!$Z:$Z,'Consulta Contratos'!$AM:$AM,'Performance Vendas'!AO$25,'Consulta Contratos'!$S:$S,'Performance Vendas'!$B163,'Consulta Contratos'!$H:$H,"Ativo")</f>
        <v>0</v>
      </c>
      <c r="AP163" s="202">
        <f>SUMIFS('Consulta Contratos'!$Z:$Z,'Consulta Contratos'!$AM:$AM,'Performance Vendas'!AP$25,'Consulta Contratos'!$S:$S,'Performance Vendas'!$B163,'Consulta Contratos'!$H:$H,"Ativo")</f>
        <v>0</v>
      </c>
      <c r="AQ163" s="202">
        <f>SUMIFS('Consulta Contratos'!$Z:$Z,'Consulta Contratos'!$AM:$AM,'Performance Vendas'!AQ$25,'Consulta Contratos'!$S:$S,'Performance Vendas'!$B163,'Consulta Contratos'!$H:$H,"Ativo")</f>
        <v>0</v>
      </c>
      <c r="AR163" s="202">
        <f>SUMIFS('Consulta Contratos'!$Z:$Z,'Consulta Contratos'!$AM:$AM,'Performance Vendas'!AR$25,'Consulta Contratos'!$S:$S,'Performance Vendas'!$B163,'Consulta Contratos'!$H:$H,"Ativo")</f>
        <v>0</v>
      </c>
      <c r="AS163" s="202">
        <f>SUMIFS('Consulta Contratos'!$Z:$Z,'Consulta Contratos'!$AM:$AM,'Performance Vendas'!AS$25,'Consulta Contratos'!$S:$S,'Performance Vendas'!$B163,'Consulta Contratos'!$H:$H,"Ativo")</f>
        <v>0</v>
      </c>
      <c r="AT163" s="202">
        <f>SUMIFS('Consulta Contratos'!$Z:$Z,'Consulta Contratos'!$AM:$AM,'Performance Vendas'!AT$25,'Consulta Contratos'!$S:$S,'Performance Vendas'!$B163,'Consulta Contratos'!$H:$H,"Ativo")</f>
        <v>0</v>
      </c>
      <c r="AU163" s="202">
        <f>SUMIFS('Consulta Contratos'!$Z:$Z,'Consulta Contratos'!$AM:$AM,'Performance Vendas'!AU$25,'Consulta Contratos'!$S:$S,'Performance Vendas'!$B163,'Consulta Contratos'!$H:$H,"Ativo")</f>
        <v>0</v>
      </c>
      <c r="AV163" s="202">
        <f>SUMIFS('Consulta Contratos'!$Z:$Z,'Consulta Contratos'!$AM:$AM,'Performance Vendas'!AV$25,'Consulta Contratos'!$S:$S,'Performance Vendas'!$B163,'Consulta Contratos'!$H:$H,"Ativo")</f>
        <v>0</v>
      </c>
      <c r="AW163" s="203">
        <f t="shared" si="274"/>
        <v>0</v>
      </c>
      <c r="AX163" s="203">
        <f>AJ163+W163+J163+AW163</f>
        <v>12127944.1</v>
      </c>
      <c r="AY163" s="199">
        <f t="shared" si="255"/>
        <v>3.1661936454765595E-2</v>
      </c>
      <c r="AZ163" s="202">
        <f>SUMIFS('Consulta Contratos'!$Z:$Z,'Consulta Contratos'!$AM:$AM,'Performance Vendas'!AZ$25,'Consulta Contratos'!$S:$S,'Performance Vendas'!$B163,'Consulta Contratos'!$H:$H,"Ativo")</f>
        <v>0</v>
      </c>
    </row>
    <row r="164" spans="2:52" s="87" customFormat="1">
      <c r="B164" s="155" t="s">
        <v>164</v>
      </c>
      <c r="C164" s="151"/>
      <c r="D164" s="95"/>
      <c r="E164" s="154">
        <f t="shared" ref="E164:V164" si="279">SUM(E165:E169)</f>
        <v>0</v>
      </c>
      <c r="F164" s="154">
        <f t="shared" si="279"/>
        <v>0</v>
      </c>
      <c r="G164" s="154">
        <f t="shared" si="279"/>
        <v>0</v>
      </c>
      <c r="H164" s="154">
        <f t="shared" si="279"/>
        <v>0</v>
      </c>
      <c r="I164" s="154">
        <f t="shared" si="279"/>
        <v>0</v>
      </c>
      <c r="J164" s="153">
        <f t="shared" si="279"/>
        <v>0</v>
      </c>
      <c r="K164" s="154">
        <f t="shared" si="279"/>
        <v>0</v>
      </c>
      <c r="L164" s="154">
        <f t="shared" si="279"/>
        <v>0</v>
      </c>
      <c r="M164" s="154">
        <f t="shared" si="279"/>
        <v>847000</v>
      </c>
      <c r="N164" s="154">
        <f t="shared" si="279"/>
        <v>0</v>
      </c>
      <c r="O164" s="154">
        <f t="shared" si="279"/>
        <v>0</v>
      </c>
      <c r="P164" s="154">
        <f t="shared" si="279"/>
        <v>408000.3</v>
      </c>
      <c r="Q164" s="154">
        <f t="shared" si="279"/>
        <v>0</v>
      </c>
      <c r="R164" s="154">
        <f t="shared" si="279"/>
        <v>0</v>
      </c>
      <c r="S164" s="154">
        <f t="shared" si="279"/>
        <v>496400.02</v>
      </c>
      <c r="T164" s="154">
        <f t="shared" si="279"/>
        <v>0</v>
      </c>
      <c r="U164" s="154">
        <f t="shared" si="279"/>
        <v>298500.09999999998</v>
      </c>
      <c r="V164" s="154">
        <f t="shared" si="279"/>
        <v>0</v>
      </c>
      <c r="W164" s="153">
        <f t="shared" si="250"/>
        <v>2049900.42</v>
      </c>
      <c r="X164" s="154">
        <f t="shared" ref="X164:AI164" si="280">SUM(X165:X169)</f>
        <v>0</v>
      </c>
      <c r="Y164" s="154">
        <f t="shared" si="280"/>
        <v>0</v>
      </c>
      <c r="Z164" s="154">
        <f t="shared" si="280"/>
        <v>0</v>
      </c>
      <c r="AA164" s="154">
        <f t="shared" si="280"/>
        <v>0</v>
      </c>
      <c r="AB164" s="154">
        <f t="shared" si="280"/>
        <v>0</v>
      </c>
      <c r="AC164" s="154">
        <f t="shared" si="280"/>
        <v>0</v>
      </c>
      <c r="AD164" s="154">
        <f t="shared" si="280"/>
        <v>0</v>
      </c>
      <c r="AE164" s="154">
        <f t="shared" si="280"/>
        <v>0</v>
      </c>
      <c r="AF164" s="154">
        <f t="shared" si="280"/>
        <v>0</v>
      </c>
      <c r="AG164" s="154">
        <f t="shared" si="280"/>
        <v>0</v>
      </c>
      <c r="AH164" s="154">
        <f t="shared" si="280"/>
        <v>0</v>
      </c>
      <c r="AI164" s="154">
        <f t="shared" si="280"/>
        <v>1479150</v>
      </c>
      <c r="AJ164" s="153">
        <f t="shared" si="252"/>
        <v>1479150</v>
      </c>
      <c r="AK164" s="154">
        <f t="shared" ref="AK164:AV164" si="281">SUM(AK165:AK169)</f>
        <v>0</v>
      </c>
      <c r="AL164" s="154">
        <f t="shared" si="281"/>
        <v>421000</v>
      </c>
      <c r="AM164" s="154">
        <f t="shared" si="281"/>
        <v>0</v>
      </c>
      <c r="AN164" s="154">
        <f t="shared" si="281"/>
        <v>0</v>
      </c>
      <c r="AO164" s="154">
        <f t="shared" si="281"/>
        <v>0</v>
      </c>
      <c r="AP164" s="154">
        <f t="shared" si="281"/>
        <v>0</v>
      </c>
      <c r="AQ164" s="154">
        <f t="shared" si="281"/>
        <v>0</v>
      </c>
      <c r="AR164" s="154">
        <f t="shared" si="281"/>
        <v>0</v>
      </c>
      <c r="AS164" s="154">
        <f t="shared" si="281"/>
        <v>0</v>
      </c>
      <c r="AT164" s="154">
        <f t="shared" si="281"/>
        <v>0</v>
      </c>
      <c r="AU164" s="154">
        <f t="shared" si="281"/>
        <v>0</v>
      </c>
      <c r="AV164" s="154">
        <f t="shared" si="281"/>
        <v>0</v>
      </c>
      <c r="AW164" s="153">
        <f t="shared" si="274"/>
        <v>421000</v>
      </c>
      <c r="AX164" s="153">
        <f>AJ164+W164+J164+AW164</f>
        <v>3950050.42</v>
      </c>
      <c r="AY164" s="149">
        <f t="shared" si="255"/>
        <v>1.0312237948982643E-2</v>
      </c>
      <c r="AZ164" s="154">
        <f>SUM(AZ165:AZ169)</f>
        <v>0</v>
      </c>
    </row>
    <row r="165" spans="2:52" s="87" customFormat="1">
      <c r="B165" s="205" t="s">
        <v>165</v>
      </c>
      <c r="C165" s="195"/>
      <c r="D165" s="95"/>
      <c r="E165" s="197">
        <f>SUMIFS('Consulta Contratos'!$Z:$Z,'Consulta Contratos'!$AM:$AM,'Performance Vendas'!E$25,'Consulta Contratos'!$S:$S,'Performance Vendas'!$B165,'Consulta Contratos'!$H:$H,"Ativo")</f>
        <v>0</v>
      </c>
      <c r="F165" s="197">
        <f>SUMIFS('Consulta Contratos'!$Z:$Z,'Consulta Contratos'!$AM:$AM,'Performance Vendas'!F$25,'Consulta Contratos'!$S:$S,'Performance Vendas'!$B165,'Consulta Contratos'!$H:$H,"Ativo")</f>
        <v>0</v>
      </c>
      <c r="G165" s="197">
        <f>SUMIFS('Consulta Contratos'!$Z:$Z,'Consulta Contratos'!$AM:$AM,'Performance Vendas'!G$25,'Consulta Contratos'!$S:$S,'Performance Vendas'!$B165,'Consulta Contratos'!$H:$H,"Ativo")</f>
        <v>0</v>
      </c>
      <c r="H165" s="197">
        <f>SUMIFS('Consulta Contratos'!$Z:$Z,'Consulta Contratos'!$AM:$AM,'Performance Vendas'!H$25,'Consulta Contratos'!$S:$S,'Performance Vendas'!$B165,'Consulta Contratos'!$H:$H,"Ativo")</f>
        <v>0</v>
      </c>
      <c r="I165" s="197">
        <f>SUMIFS('Consulta Contratos'!$Z:$Z,'Consulta Contratos'!$AM:$AM,'Performance Vendas'!I$25,'Consulta Contratos'!$S:$S,'Performance Vendas'!$B165,'Consulta Contratos'!$H:$H,"Ativo")</f>
        <v>0</v>
      </c>
      <c r="J165" s="198">
        <f t="shared" ref="J165:J169" si="282">SUM(E165:I165)</f>
        <v>0</v>
      </c>
      <c r="K165" s="197">
        <f>SUMIFS('Consulta Contratos'!$Z:$Z,'Consulta Contratos'!$AM:$AM,'Performance Vendas'!K$25,'Consulta Contratos'!$S:$S,'Performance Vendas'!$B165,'Consulta Contratos'!$H:$H,"Ativo")</f>
        <v>0</v>
      </c>
      <c r="L165" s="197">
        <f>SUMIFS('Consulta Contratos'!$Z:$Z,'Consulta Contratos'!$AM:$AM,'Performance Vendas'!L$25,'Consulta Contratos'!$S:$S,'Performance Vendas'!$B165,'Consulta Contratos'!$H:$H,"Ativo")</f>
        <v>0</v>
      </c>
      <c r="M165" s="197">
        <f>SUMIFS('Consulta Contratos'!$Z:$Z,'Consulta Contratos'!$AM:$AM,'Performance Vendas'!M$25,'Consulta Contratos'!$S:$S,'Performance Vendas'!$B165,'Consulta Contratos'!$H:$H,"Ativo")</f>
        <v>0</v>
      </c>
      <c r="N165" s="197">
        <f>SUMIFS('Consulta Contratos'!$Z:$Z,'Consulta Contratos'!$AM:$AM,'Performance Vendas'!N$25,'Consulta Contratos'!$S:$S,'Performance Vendas'!$B165,'Consulta Contratos'!$H:$H,"Ativo")</f>
        <v>0</v>
      </c>
      <c r="O165" s="197">
        <f>SUMIFS('Consulta Contratos'!$Z:$Z,'Consulta Contratos'!$AM:$AM,'Performance Vendas'!O$25,'Consulta Contratos'!$S:$S,'Performance Vendas'!$B165,'Consulta Contratos'!$H:$H,"Ativo")</f>
        <v>0</v>
      </c>
      <c r="P165" s="197">
        <f>SUMIFS('Consulta Contratos'!$Z:$Z,'Consulta Contratos'!$AM:$AM,'Performance Vendas'!P$25,'Consulta Contratos'!$S:$S,'Performance Vendas'!$B165,'Consulta Contratos'!$H:$H,"Ativo")</f>
        <v>0</v>
      </c>
      <c r="Q165" s="197">
        <f>SUMIFS('Consulta Contratos'!$Z:$Z,'Consulta Contratos'!$AM:$AM,'Performance Vendas'!Q$25,'Consulta Contratos'!$S:$S,'Performance Vendas'!$B165,'Consulta Contratos'!$H:$H,"Ativo")</f>
        <v>0</v>
      </c>
      <c r="R165" s="197">
        <f>SUMIFS('Consulta Contratos'!$Z:$Z,'Consulta Contratos'!$AM:$AM,'Performance Vendas'!R$25,'Consulta Contratos'!$S:$S,'Performance Vendas'!$B165,'Consulta Contratos'!$H:$H,"Ativo")</f>
        <v>0</v>
      </c>
      <c r="S165" s="197">
        <f>SUMIFS('Consulta Contratos'!$Z:$Z,'Consulta Contratos'!$AM:$AM,'Performance Vendas'!S$25,'Consulta Contratos'!$S:$S,'Performance Vendas'!$B165,'Consulta Contratos'!$H:$H,"Ativo")</f>
        <v>496400.02</v>
      </c>
      <c r="T165" s="197">
        <f>SUMIFS('Consulta Contratos'!$Z:$Z,'Consulta Contratos'!$AM:$AM,'Performance Vendas'!T$25,'Consulta Contratos'!$S:$S,'Performance Vendas'!$B165,'Consulta Contratos'!$H:$H,"Ativo")</f>
        <v>0</v>
      </c>
      <c r="U165" s="197">
        <f>SUMIFS('Consulta Contratos'!$Z:$Z,'Consulta Contratos'!$AM:$AM,'Performance Vendas'!U$25,'Consulta Contratos'!$S:$S,'Performance Vendas'!$B165,'Consulta Contratos'!$H:$H,"Ativo")</f>
        <v>0</v>
      </c>
      <c r="V165" s="197">
        <f>SUMIFS('Consulta Contratos'!$Z:$Z,'Consulta Contratos'!$AM:$AM,'Performance Vendas'!V$25,'Consulta Contratos'!$S:$S,'Performance Vendas'!$B165,'Consulta Contratos'!$H:$H,"Ativo")</f>
        <v>0</v>
      </c>
      <c r="W165" s="198">
        <f t="shared" si="250"/>
        <v>496400.02</v>
      </c>
      <c r="X165" s="197">
        <f>SUMIFS('Consulta Contratos'!$Z:$Z,'Consulta Contratos'!$AM:$AM,'Performance Vendas'!X$25,'Consulta Contratos'!$S:$S,'Performance Vendas'!$B165,'Consulta Contratos'!$H:$H,"Ativo")</f>
        <v>0</v>
      </c>
      <c r="Y165" s="197">
        <f>SUMIFS('Consulta Contratos'!$Z:$Z,'Consulta Contratos'!$AM:$AM,'Performance Vendas'!Y$25,'Consulta Contratos'!$S:$S,'Performance Vendas'!$B165,'Consulta Contratos'!$H:$H,"Ativo")</f>
        <v>0</v>
      </c>
      <c r="Z165" s="197">
        <f>SUMIFS('Consulta Contratos'!$Z:$Z,'Consulta Contratos'!$AM:$AM,'Performance Vendas'!Z$25,'Consulta Contratos'!$S:$S,'Performance Vendas'!$B165,'Consulta Contratos'!$H:$H,"Ativo")</f>
        <v>0</v>
      </c>
      <c r="AA165" s="197">
        <f>SUMIFS('Consulta Contratos'!$Z:$Z,'Consulta Contratos'!$AM:$AM,'Performance Vendas'!AA$25,'Consulta Contratos'!$S:$S,'Performance Vendas'!$B165,'Consulta Contratos'!$H:$H,"Ativo")</f>
        <v>0</v>
      </c>
      <c r="AB165" s="197">
        <f>SUMIFS('Consulta Contratos'!$Z:$Z,'Consulta Contratos'!$AM:$AM,'Performance Vendas'!AB$25,'Consulta Contratos'!$S:$S,'Performance Vendas'!$B165,'Consulta Contratos'!$H:$H,"Ativo")</f>
        <v>0</v>
      </c>
      <c r="AC165" s="197">
        <f>SUMIFS('Consulta Contratos'!$Z:$Z,'Consulta Contratos'!$AM:$AM,'Performance Vendas'!AC$25,'Consulta Contratos'!$S:$S,'Performance Vendas'!$B165,'Consulta Contratos'!$H:$H,"Ativo")</f>
        <v>0</v>
      </c>
      <c r="AD165" s="197">
        <f>SUMIFS('Consulta Contratos'!$Z:$Z,'Consulta Contratos'!$AM:$AM,'Performance Vendas'!AD$25,'Consulta Contratos'!$S:$S,'Performance Vendas'!$B165,'Consulta Contratos'!$H:$H,"Ativo")</f>
        <v>0</v>
      </c>
      <c r="AE165" s="197">
        <f>SUMIFS('Consulta Contratos'!$Z:$Z,'Consulta Contratos'!$AM:$AM,'Performance Vendas'!AE$25,'Consulta Contratos'!$S:$S,'Performance Vendas'!$B165,'Consulta Contratos'!$H:$H,"Ativo")</f>
        <v>0</v>
      </c>
      <c r="AF165" s="197">
        <f>SUMIFS('Consulta Contratos'!$Z:$Z,'Consulta Contratos'!$AM:$AM,'Performance Vendas'!AF$25,'Consulta Contratos'!$S:$S,'Performance Vendas'!$B165,'Consulta Contratos'!$H:$H,"Ativo")</f>
        <v>0</v>
      </c>
      <c r="AG165" s="197">
        <f>SUMIFS('Consulta Contratos'!$Z:$Z,'Consulta Contratos'!$AM:$AM,'Performance Vendas'!AG$25,'Consulta Contratos'!$S:$S,'Performance Vendas'!$B165,'Consulta Contratos'!$H:$H,"Ativo")</f>
        <v>0</v>
      </c>
      <c r="AH165" s="197">
        <f>SUMIFS('Consulta Contratos'!$Z:$Z,'Consulta Contratos'!$AM:$AM,'Performance Vendas'!AH$25,'Consulta Contratos'!$S:$S,'Performance Vendas'!$B165,'Consulta Contratos'!$H:$H,"Ativo")</f>
        <v>0</v>
      </c>
      <c r="AI165" s="197">
        <f>SUMIFS('Consulta Contratos'!$Z:$Z,'Consulta Contratos'!$AM:$AM,'Performance Vendas'!AI$25,'Consulta Contratos'!$S:$S,'Performance Vendas'!$B165,'Consulta Contratos'!$H:$H,"Ativo")</f>
        <v>0</v>
      </c>
      <c r="AJ165" s="198">
        <f t="shared" si="252"/>
        <v>0</v>
      </c>
      <c r="AK165" s="197">
        <f>SUMIFS('Consulta Contratos'!$Z:$Z,'Consulta Contratos'!$AM:$AM,'Performance Vendas'!AK$25,'Consulta Contratos'!$S:$S,'Performance Vendas'!$B165,'Consulta Contratos'!$H:$H,"Ativo")</f>
        <v>0</v>
      </c>
      <c r="AL165" s="197">
        <f>SUMIFS('Consulta Contratos'!$Z:$Z,'Consulta Contratos'!$AM:$AM,'Performance Vendas'!AL$25,'Consulta Contratos'!$S:$S,'Performance Vendas'!$B165,'Consulta Contratos'!$H:$H,"Ativo")</f>
        <v>0</v>
      </c>
      <c r="AM165" s="197">
        <f>SUMIFS('Consulta Contratos'!$Z:$Z,'Consulta Contratos'!$AM:$AM,'Performance Vendas'!AM$25,'Consulta Contratos'!$S:$S,'Performance Vendas'!$B165,'Consulta Contratos'!$H:$H,"Ativo")</f>
        <v>0</v>
      </c>
      <c r="AN165" s="197">
        <f>SUMIFS('Consulta Contratos'!$Z:$Z,'Consulta Contratos'!$AM:$AM,'Performance Vendas'!AN$25,'Consulta Contratos'!$S:$S,'Performance Vendas'!$B165,'Consulta Contratos'!$H:$H,"Ativo")</f>
        <v>0</v>
      </c>
      <c r="AO165" s="197">
        <f>SUMIFS('Consulta Contratos'!$Z:$Z,'Consulta Contratos'!$AM:$AM,'Performance Vendas'!AO$25,'Consulta Contratos'!$S:$S,'Performance Vendas'!$B165,'Consulta Contratos'!$H:$H,"Ativo")</f>
        <v>0</v>
      </c>
      <c r="AP165" s="197">
        <f>SUMIFS('Consulta Contratos'!$Z:$Z,'Consulta Contratos'!$AM:$AM,'Performance Vendas'!AP$25,'Consulta Contratos'!$S:$S,'Performance Vendas'!$B165,'Consulta Contratos'!$H:$H,"Ativo")</f>
        <v>0</v>
      </c>
      <c r="AQ165" s="197">
        <f>SUMIFS('Consulta Contratos'!$Z:$Z,'Consulta Contratos'!$AM:$AM,'Performance Vendas'!AQ$25,'Consulta Contratos'!$S:$S,'Performance Vendas'!$B165,'Consulta Contratos'!$H:$H,"Ativo")</f>
        <v>0</v>
      </c>
      <c r="AR165" s="197">
        <f>SUMIFS('Consulta Contratos'!$Z:$Z,'Consulta Contratos'!$AM:$AM,'Performance Vendas'!AR$25,'Consulta Contratos'!$S:$S,'Performance Vendas'!$B165,'Consulta Contratos'!$H:$H,"Ativo")</f>
        <v>0</v>
      </c>
      <c r="AS165" s="197">
        <f>SUMIFS('Consulta Contratos'!$Z:$Z,'Consulta Contratos'!$AM:$AM,'Performance Vendas'!AS$25,'Consulta Contratos'!$S:$S,'Performance Vendas'!$B165,'Consulta Contratos'!$H:$H,"Ativo")</f>
        <v>0</v>
      </c>
      <c r="AT165" s="197">
        <f>SUMIFS('Consulta Contratos'!$Z:$Z,'Consulta Contratos'!$AM:$AM,'Performance Vendas'!AT$25,'Consulta Contratos'!$S:$S,'Performance Vendas'!$B165,'Consulta Contratos'!$H:$H,"Ativo")</f>
        <v>0</v>
      </c>
      <c r="AU165" s="197">
        <f>SUMIFS('Consulta Contratos'!$Z:$Z,'Consulta Contratos'!$AM:$AM,'Performance Vendas'!AU$25,'Consulta Contratos'!$S:$S,'Performance Vendas'!$B165,'Consulta Contratos'!$H:$H,"Ativo")</f>
        <v>0</v>
      </c>
      <c r="AV165" s="197">
        <f>SUMIFS('Consulta Contratos'!$Z:$Z,'Consulta Contratos'!$AM:$AM,'Performance Vendas'!AV$25,'Consulta Contratos'!$S:$S,'Performance Vendas'!$B165,'Consulta Contratos'!$H:$H,"Ativo")</f>
        <v>0</v>
      </c>
      <c r="AW165" s="198">
        <f t="shared" si="274"/>
        <v>0</v>
      </c>
      <c r="AX165" s="198">
        <f>AJ165+W165+J165+AW165</f>
        <v>496400.02</v>
      </c>
      <c r="AY165" s="199">
        <f t="shared" si="255"/>
        <v>1.2959315906959342E-3</v>
      </c>
      <c r="AZ165" s="197">
        <f>SUMIFS('Consulta Contratos'!$Z:$Z,'Consulta Contratos'!$AM:$AM,'Performance Vendas'!AZ$25,'Consulta Contratos'!$S:$S,'Performance Vendas'!$B165,'Consulta Contratos'!$H:$H,"Ativo")</f>
        <v>0</v>
      </c>
    </row>
    <row r="166" spans="2:52" s="87" customFormat="1">
      <c r="B166" s="205" t="s">
        <v>166</v>
      </c>
      <c r="C166" s="195"/>
      <c r="D166" s="95"/>
      <c r="E166" s="197"/>
      <c r="F166" s="197"/>
      <c r="G166" s="197"/>
      <c r="H166" s="197"/>
      <c r="I166" s="197"/>
      <c r="J166" s="198">
        <f t="shared" ref="J166" si="283">SUM(E166:I166)</f>
        <v>0</v>
      </c>
      <c r="K166" s="197">
        <f>SUMIFS('Consulta Contratos'!$Z:$Z,'Consulta Contratos'!$AM:$AM,'Performance Vendas'!K$25,'Consulta Contratos'!$S:$S,'Performance Vendas'!$B166,'Consulta Contratos'!$H:$H,"Ativo")</f>
        <v>0</v>
      </c>
      <c r="L166" s="197">
        <f>SUMIFS('Consulta Contratos'!$Z:$Z,'Consulta Contratos'!$AM:$AM,'Performance Vendas'!L$25,'Consulta Contratos'!$S:$S,'Performance Vendas'!$B166,'Consulta Contratos'!$H:$H,"Ativo")</f>
        <v>0</v>
      </c>
      <c r="M166" s="197">
        <f>SUMIFS('Consulta Contratos'!$Z:$Z,'Consulta Contratos'!$AM:$AM,'Performance Vendas'!M$25,'Consulta Contratos'!$S:$S,'Performance Vendas'!$B166,'Consulta Contratos'!$H:$H,"Ativo")</f>
        <v>0</v>
      </c>
      <c r="N166" s="197">
        <f>SUMIFS('Consulta Contratos'!$Z:$Z,'Consulta Contratos'!$AM:$AM,'Performance Vendas'!N$25,'Consulta Contratos'!$S:$S,'Performance Vendas'!$B166,'Consulta Contratos'!$H:$H,"Ativo")</f>
        <v>0</v>
      </c>
      <c r="O166" s="197">
        <f>SUMIFS('Consulta Contratos'!$Z:$Z,'Consulta Contratos'!$AM:$AM,'Performance Vendas'!O$25,'Consulta Contratos'!$S:$S,'Performance Vendas'!$B166,'Consulta Contratos'!$H:$H,"Ativo")</f>
        <v>0</v>
      </c>
      <c r="P166" s="197">
        <f>SUMIFS('Consulta Contratos'!$Z:$Z,'Consulta Contratos'!$AM:$AM,'Performance Vendas'!P$25,'Consulta Contratos'!$S:$S,'Performance Vendas'!$B166,'Consulta Contratos'!$H:$H,"Ativo")</f>
        <v>0</v>
      </c>
      <c r="Q166" s="197">
        <f>SUMIFS('Consulta Contratos'!$Z:$Z,'Consulta Contratos'!$AM:$AM,'Performance Vendas'!Q$25,'Consulta Contratos'!$S:$S,'Performance Vendas'!$B166,'Consulta Contratos'!$H:$H,"Ativo")</f>
        <v>0</v>
      </c>
      <c r="R166" s="197">
        <f>SUMIFS('Consulta Contratos'!$Z:$Z,'Consulta Contratos'!$AM:$AM,'Performance Vendas'!R$25,'Consulta Contratos'!$S:$S,'Performance Vendas'!$B166,'Consulta Contratos'!$H:$H,"Ativo")</f>
        <v>0</v>
      </c>
      <c r="S166" s="197">
        <f>SUMIFS('Consulta Contratos'!$Z:$Z,'Consulta Contratos'!$AM:$AM,'Performance Vendas'!S$25,'Consulta Contratos'!$S:$S,'Performance Vendas'!$B166,'Consulta Contratos'!$H:$H,"Ativo")</f>
        <v>0</v>
      </c>
      <c r="T166" s="197">
        <f>SUMIFS('Consulta Contratos'!$Z:$Z,'Consulta Contratos'!$AM:$AM,'Performance Vendas'!T$25,'Consulta Contratos'!$S:$S,'Performance Vendas'!$B166,'Consulta Contratos'!$H:$H,"Ativo")</f>
        <v>0</v>
      </c>
      <c r="U166" s="197">
        <f>SUMIFS('Consulta Contratos'!$Z:$Z,'Consulta Contratos'!$AM:$AM,'Performance Vendas'!U$25,'Consulta Contratos'!$S:$S,'Performance Vendas'!$B166,'Consulta Contratos'!$H:$H,"Ativo")</f>
        <v>0</v>
      </c>
      <c r="V166" s="197">
        <f>SUMIFS('Consulta Contratos'!$Z:$Z,'Consulta Contratos'!$AM:$AM,'Performance Vendas'!V$25,'Consulta Contratos'!$S:$S,'Performance Vendas'!$B166,'Consulta Contratos'!$H:$H,"Ativo")</f>
        <v>0</v>
      </c>
      <c r="W166" s="198">
        <f t="shared" ref="W166" si="284">SUM(K166:V166)</f>
        <v>0</v>
      </c>
      <c r="X166" s="197">
        <f>SUMIFS('Consulta Contratos'!$Z:$Z,'Consulta Contratos'!$AM:$AM,'Performance Vendas'!X$25,'Consulta Contratos'!$S:$S,'Performance Vendas'!$B166,'Consulta Contratos'!$H:$H,"Ativo")</f>
        <v>0</v>
      </c>
      <c r="Y166" s="197">
        <f>SUMIFS('Consulta Contratos'!$Z:$Z,'Consulta Contratos'!$AM:$AM,'Performance Vendas'!Y$25,'Consulta Contratos'!$S:$S,'Performance Vendas'!$B166,'Consulta Contratos'!$H:$H,"Ativo")</f>
        <v>0</v>
      </c>
      <c r="Z166" s="197">
        <f>SUMIFS('Consulta Contratos'!$Z:$Z,'Consulta Contratos'!$AM:$AM,'Performance Vendas'!Z$25,'Consulta Contratos'!$S:$S,'Performance Vendas'!$B166,'Consulta Contratos'!$H:$H,"Ativo")</f>
        <v>0</v>
      </c>
      <c r="AA166" s="197">
        <f>SUMIFS('Consulta Contratos'!$Z:$Z,'Consulta Contratos'!$AM:$AM,'Performance Vendas'!AA$25,'Consulta Contratos'!$S:$S,'Performance Vendas'!$B166,'Consulta Contratos'!$H:$H,"Ativo")</f>
        <v>0</v>
      </c>
      <c r="AB166" s="197">
        <f>SUMIFS('Consulta Contratos'!$Z:$Z,'Consulta Contratos'!$AM:$AM,'Performance Vendas'!AB$25,'Consulta Contratos'!$S:$S,'Performance Vendas'!$B166,'Consulta Contratos'!$H:$H,"Ativo")</f>
        <v>0</v>
      </c>
      <c r="AC166" s="197">
        <f>SUMIFS('Consulta Contratos'!$Z:$Z,'Consulta Contratos'!$AM:$AM,'Performance Vendas'!AC$25,'Consulta Contratos'!$S:$S,'Performance Vendas'!$B166,'Consulta Contratos'!$H:$H,"Ativo")</f>
        <v>0</v>
      </c>
      <c r="AD166" s="197">
        <f>SUMIFS('Consulta Contratos'!$Z:$Z,'Consulta Contratos'!$AM:$AM,'Performance Vendas'!AD$25,'Consulta Contratos'!$S:$S,'Performance Vendas'!$B166,'Consulta Contratos'!$H:$H,"Ativo")</f>
        <v>0</v>
      </c>
      <c r="AE166" s="197">
        <f>SUMIFS('Consulta Contratos'!$Z:$Z,'Consulta Contratos'!$AM:$AM,'Performance Vendas'!AE$25,'Consulta Contratos'!$S:$S,'Performance Vendas'!$B166,'Consulta Contratos'!$H:$H,"Ativo")</f>
        <v>0</v>
      </c>
      <c r="AF166" s="197">
        <f>SUMIFS('Consulta Contratos'!$Z:$Z,'Consulta Contratos'!$AM:$AM,'Performance Vendas'!AF$25,'Consulta Contratos'!$S:$S,'Performance Vendas'!$B166,'Consulta Contratos'!$H:$H,"Ativo")</f>
        <v>0</v>
      </c>
      <c r="AG166" s="197">
        <f>SUMIFS('Consulta Contratos'!$Z:$Z,'Consulta Contratos'!$AM:$AM,'Performance Vendas'!AG$25,'Consulta Contratos'!$S:$S,'Performance Vendas'!$B166,'Consulta Contratos'!$H:$H,"Ativo")</f>
        <v>0</v>
      </c>
      <c r="AH166" s="197">
        <f>SUMIFS('Consulta Contratos'!$Z:$Z,'Consulta Contratos'!$AM:$AM,'Performance Vendas'!AH$25,'Consulta Contratos'!$S:$S,'Performance Vendas'!$B166,'Consulta Contratos'!$H:$H,"Ativo")</f>
        <v>0</v>
      </c>
      <c r="AI166" s="197">
        <f>SUMIFS('Consulta Contratos'!$Z:$Z,'Consulta Contratos'!$AM:$AM,'Performance Vendas'!AI$25,'Consulta Contratos'!$S:$S,'Performance Vendas'!$B166,'Consulta Contratos'!$H:$H,"Ativo")</f>
        <v>481150</v>
      </c>
      <c r="AJ166" s="198">
        <f t="shared" ref="AJ166" si="285">SUM(X166:AI166)</f>
        <v>481150</v>
      </c>
      <c r="AK166" s="197">
        <f>SUMIFS('Consulta Contratos'!$Z:$Z,'Consulta Contratos'!$AM:$AM,'Performance Vendas'!AK$25,'Consulta Contratos'!$S:$S,'Performance Vendas'!$B166,'Consulta Contratos'!$H:$H,"Ativo")</f>
        <v>0</v>
      </c>
      <c r="AL166" s="197">
        <f>SUMIFS('Consulta Contratos'!$Z:$Z,'Consulta Contratos'!$AM:$AM,'Performance Vendas'!AL$25,'Consulta Contratos'!$S:$S,'Performance Vendas'!$B166,'Consulta Contratos'!$H:$H,"Ativo")</f>
        <v>0</v>
      </c>
      <c r="AM166" s="197">
        <f>SUMIFS('Consulta Contratos'!$Z:$Z,'Consulta Contratos'!$AM:$AM,'Performance Vendas'!AM$25,'Consulta Contratos'!$S:$S,'Performance Vendas'!$B166,'Consulta Contratos'!$H:$H,"Ativo")</f>
        <v>0</v>
      </c>
      <c r="AN166" s="197">
        <f>SUMIFS('Consulta Contratos'!$Z:$Z,'Consulta Contratos'!$AM:$AM,'Performance Vendas'!AN$25,'Consulta Contratos'!$S:$S,'Performance Vendas'!$B166,'Consulta Contratos'!$H:$H,"Ativo")</f>
        <v>0</v>
      </c>
      <c r="AO166" s="197">
        <f>SUMIFS('Consulta Contratos'!$Z:$Z,'Consulta Contratos'!$AM:$AM,'Performance Vendas'!AO$25,'Consulta Contratos'!$S:$S,'Performance Vendas'!$B166,'Consulta Contratos'!$H:$H,"Ativo")</f>
        <v>0</v>
      </c>
      <c r="AP166" s="197">
        <f>SUMIFS('Consulta Contratos'!$Z:$Z,'Consulta Contratos'!$AM:$AM,'Performance Vendas'!AP$25,'Consulta Contratos'!$S:$S,'Performance Vendas'!$B166,'Consulta Contratos'!$H:$H,"Ativo")</f>
        <v>0</v>
      </c>
      <c r="AQ166" s="197">
        <f>SUMIFS('Consulta Contratos'!$Z:$Z,'Consulta Contratos'!$AM:$AM,'Performance Vendas'!AQ$25,'Consulta Contratos'!$S:$S,'Performance Vendas'!$B166,'Consulta Contratos'!$H:$H,"Ativo")</f>
        <v>0</v>
      </c>
      <c r="AR166" s="197">
        <f>SUMIFS('Consulta Contratos'!$Z:$Z,'Consulta Contratos'!$AM:$AM,'Performance Vendas'!AR$25,'Consulta Contratos'!$S:$S,'Performance Vendas'!$B166,'Consulta Contratos'!$H:$H,"Ativo")</f>
        <v>0</v>
      </c>
      <c r="AS166" s="197">
        <f>SUMIFS('Consulta Contratos'!$Z:$Z,'Consulta Contratos'!$AM:$AM,'Performance Vendas'!AS$25,'Consulta Contratos'!$S:$S,'Performance Vendas'!$B166,'Consulta Contratos'!$H:$H,"Ativo")</f>
        <v>0</v>
      </c>
      <c r="AT166" s="197">
        <f>SUMIFS('Consulta Contratos'!$Z:$Z,'Consulta Contratos'!$AM:$AM,'Performance Vendas'!AT$25,'Consulta Contratos'!$S:$S,'Performance Vendas'!$B166,'Consulta Contratos'!$H:$H,"Ativo")</f>
        <v>0</v>
      </c>
      <c r="AU166" s="197">
        <f>SUMIFS('Consulta Contratos'!$Z:$Z,'Consulta Contratos'!$AM:$AM,'Performance Vendas'!AU$25,'Consulta Contratos'!$S:$S,'Performance Vendas'!$B166,'Consulta Contratos'!$H:$H,"Ativo")</f>
        <v>0</v>
      </c>
      <c r="AV166" s="197">
        <f>SUMIFS('Consulta Contratos'!$Z:$Z,'Consulta Contratos'!$AM:$AM,'Performance Vendas'!AV$25,'Consulta Contratos'!$S:$S,'Performance Vendas'!$B166,'Consulta Contratos'!$H:$H,"Ativo")</f>
        <v>0</v>
      </c>
      <c r="AW166" s="198">
        <f t="shared" ref="AW166:AW167" si="286">SUM(AK166:AV166)</f>
        <v>0</v>
      </c>
      <c r="AX166" s="198">
        <f>AJ166+W166+J166+AW166</f>
        <v>481150</v>
      </c>
      <c r="AY166" s="199">
        <f t="shared" si="255"/>
        <v>1.2561189761099299E-3</v>
      </c>
      <c r="AZ166" s="197">
        <f>SUMIFS('Consulta Contratos'!$Z:$Z,'Consulta Contratos'!$AM:$AM,'Performance Vendas'!AZ$25,'Consulta Contratos'!$S:$S,'Performance Vendas'!$B166,'Consulta Contratos'!$H:$H,"Ativo")</f>
        <v>0</v>
      </c>
    </row>
    <row r="167" spans="2:52" s="87" customFormat="1">
      <c r="B167" s="205" t="s">
        <v>167</v>
      </c>
      <c r="C167" s="195"/>
      <c r="D167" s="95"/>
      <c r="E167" s="197"/>
      <c r="F167" s="197"/>
      <c r="G167" s="197"/>
      <c r="H167" s="197"/>
      <c r="I167" s="197"/>
      <c r="J167" s="198">
        <f t="shared" ref="J167" si="287">SUM(E167:I167)</f>
        <v>0</v>
      </c>
      <c r="K167" s="197">
        <f>SUMIFS('Consulta Contratos'!$Z:$Z,'Consulta Contratos'!$AM:$AM,'Performance Vendas'!K$25,'Consulta Contratos'!$S:$S,'Performance Vendas'!$B167,'Consulta Contratos'!$H:$H,"Ativo")</f>
        <v>0</v>
      </c>
      <c r="L167" s="197">
        <f>SUMIFS('Consulta Contratos'!$Z:$Z,'Consulta Contratos'!$AM:$AM,'Performance Vendas'!L$25,'Consulta Contratos'!$S:$S,'Performance Vendas'!$B167,'Consulta Contratos'!$H:$H,"Ativo")</f>
        <v>0</v>
      </c>
      <c r="M167" s="197">
        <f>SUMIFS('Consulta Contratos'!$Z:$Z,'Consulta Contratos'!$AM:$AM,'Performance Vendas'!M$25,'Consulta Contratos'!$S:$S,'Performance Vendas'!$B167,'Consulta Contratos'!$H:$H,"Ativo")</f>
        <v>0</v>
      </c>
      <c r="N167" s="197">
        <f>SUMIFS('Consulta Contratos'!$Z:$Z,'Consulta Contratos'!$AM:$AM,'Performance Vendas'!N$25,'Consulta Contratos'!$S:$S,'Performance Vendas'!$B167,'Consulta Contratos'!$H:$H,"Ativo")</f>
        <v>0</v>
      </c>
      <c r="O167" s="197">
        <f>SUMIFS('Consulta Contratos'!$Z:$Z,'Consulta Contratos'!$AM:$AM,'Performance Vendas'!O$25,'Consulta Contratos'!$S:$S,'Performance Vendas'!$B167,'Consulta Contratos'!$H:$H,"Ativo")</f>
        <v>0</v>
      </c>
      <c r="P167" s="197">
        <f>SUMIFS('Consulta Contratos'!$Z:$Z,'Consulta Contratos'!$AM:$AM,'Performance Vendas'!P$25,'Consulta Contratos'!$S:$S,'Performance Vendas'!$B167,'Consulta Contratos'!$H:$H,"Ativo")</f>
        <v>0</v>
      </c>
      <c r="Q167" s="197">
        <f>SUMIFS('Consulta Contratos'!$Z:$Z,'Consulta Contratos'!$AM:$AM,'Performance Vendas'!Q$25,'Consulta Contratos'!$S:$S,'Performance Vendas'!$B167,'Consulta Contratos'!$H:$H,"Ativo")</f>
        <v>0</v>
      </c>
      <c r="R167" s="197">
        <f>SUMIFS('Consulta Contratos'!$Z:$Z,'Consulta Contratos'!$AM:$AM,'Performance Vendas'!R$25,'Consulta Contratos'!$S:$S,'Performance Vendas'!$B167,'Consulta Contratos'!$H:$H,"Ativo")</f>
        <v>0</v>
      </c>
      <c r="S167" s="197">
        <f>SUMIFS('Consulta Contratos'!$Z:$Z,'Consulta Contratos'!$AM:$AM,'Performance Vendas'!S$25,'Consulta Contratos'!$S:$S,'Performance Vendas'!$B167,'Consulta Contratos'!$H:$H,"Ativo")</f>
        <v>0</v>
      </c>
      <c r="T167" s="197">
        <f>SUMIFS('Consulta Contratos'!$Z:$Z,'Consulta Contratos'!$AM:$AM,'Performance Vendas'!T$25,'Consulta Contratos'!$S:$S,'Performance Vendas'!$B167,'Consulta Contratos'!$H:$H,"Ativo")</f>
        <v>0</v>
      </c>
      <c r="U167" s="197">
        <f>SUMIFS('Consulta Contratos'!$Z:$Z,'Consulta Contratos'!$AM:$AM,'Performance Vendas'!U$25,'Consulta Contratos'!$S:$S,'Performance Vendas'!$B167,'Consulta Contratos'!$H:$H,"Ativo")</f>
        <v>0</v>
      </c>
      <c r="V167" s="197">
        <f>SUMIFS('Consulta Contratos'!$Z:$Z,'Consulta Contratos'!$AM:$AM,'Performance Vendas'!V$25,'Consulta Contratos'!$S:$S,'Performance Vendas'!$B167,'Consulta Contratos'!$H:$H,"Ativo")</f>
        <v>0</v>
      </c>
      <c r="W167" s="198">
        <f t="shared" ref="W167" si="288">SUM(K167:V167)</f>
        <v>0</v>
      </c>
      <c r="X167" s="197">
        <f>SUMIFS('Consulta Contratos'!$Z:$Z,'Consulta Contratos'!$AM:$AM,'Performance Vendas'!X$25,'Consulta Contratos'!$S:$S,'Performance Vendas'!$B167,'Consulta Contratos'!$H:$H,"Ativo")</f>
        <v>0</v>
      </c>
      <c r="Y167" s="197">
        <f>SUMIFS('Consulta Contratos'!$Z:$Z,'Consulta Contratos'!$AM:$AM,'Performance Vendas'!Y$25,'Consulta Contratos'!$S:$S,'Performance Vendas'!$B167,'Consulta Contratos'!$H:$H,"Ativo")</f>
        <v>0</v>
      </c>
      <c r="Z167" s="197">
        <f>SUMIFS('Consulta Contratos'!$Z:$Z,'Consulta Contratos'!$AM:$AM,'Performance Vendas'!Z$25,'Consulta Contratos'!$S:$S,'Performance Vendas'!$B167,'Consulta Contratos'!$H:$H,"Ativo")</f>
        <v>0</v>
      </c>
      <c r="AA167" s="197">
        <f>SUMIFS('Consulta Contratos'!$Z:$Z,'Consulta Contratos'!$AM:$AM,'Performance Vendas'!AA$25,'Consulta Contratos'!$S:$S,'Performance Vendas'!$B167,'Consulta Contratos'!$H:$H,"Ativo")</f>
        <v>0</v>
      </c>
      <c r="AB167" s="197">
        <f>SUMIFS('Consulta Contratos'!$Z:$Z,'Consulta Contratos'!$AM:$AM,'Performance Vendas'!AB$25,'Consulta Contratos'!$S:$S,'Performance Vendas'!$B167,'Consulta Contratos'!$H:$H,"Ativo")</f>
        <v>0</v>
      </c>
      <c r="AC167" s="197">
        <f>SUMIFS('Consulta Contratos'!$Z:$Z,'Consulta Contratos'!$AM:$AM,'Performance Vendas'!AC$25,'Consulta Contratos'!$S:$S,'Performance Vendas'!$B167,'Consulta Contratos'!$H:$H,"Ativo")</f>
        <v>0</v>
      </c>
      <c r="AD167" s="197">
        <f>SUMIFS('Consulta Contratos'!$Z:$Z,'Consulta Contratos'!$AM:$AM,'Performance Vendas'!AD$25,'Consulta Contratos'!$S:$S,'Performance Vendas'!$B167,'Consulta Contratos'!$H:$H,"Ativo")</f>
        <v>0</v>
      </c>
      <c r="AE167" s="197">
        <f>SUMIFS('Consulta Contratos'!$Z:$Z,'Consulta Contratos'!$AM:$AM,'Performance Vendas'!AE$25,'Consulta Contratos'!$S:$S,'Performance Vendas'!$B167,'Consulta Contratos'!$H:$H,"Ativo")</f>
        <v>0</v>
      </c>
      <c r="AF167" s="197">
        <f>SUMIFS('Consulta Contratos'!$Z:$Z,'Consulta Contratos'!$AM:$AM,'Performance Vendas'!AF$25,'Consulta Contratos'!$S:$S,'Performance Vendas'!$B167,'Consulta Contratos'!$H:$H,"Ativo")</f>
        <v>0</v>
      </c>
      <c r="AG167" s="197">
        <f>SUMIFS('Consulta Contratos'!$Z:$Z,'Consulta Contratos'!$AM:$AM,'Performance Vendas'!AG$25,'Consulta Contratos'!$S:$S,'Performance Vendas'!$B167,'Consulta Contratos'!$H:$H,"Ativo")</f>
        <v>0</v>
      </c>
      <c r="AH167" s="197">
        <f>SUMIFS('Consulta Contratos'!$Z:$Z,'Consulta Contratos'!$AM:$AM,'Performance Vendas'!AH$25,'Consulta Contratos'!$S:$S,'Performance Vendas'!$B167,'Consulta Contratos'!$H:$H,"Ativo")</f>
        <v>0</v>
      </c>
      <c r="AI167" s="197">
        <f>SUMIFS('Consulta Contratos'!$Z:$Z,'Consulta Contratos'!$AM:$AM,'Performance Vendas'!AI$25,'Consulta Contratos'!$S:$S,'Performance Vendas'!$B167,'Consulta Contratos'!$H:$H,"Ativo")</f>
        <v>998000</v>
      </c>
      <c r="AJ167" s="198">
        <f t="shared" ref="AJ167" si="289">SUM(X167:AI167)</f>
        <v>998000</v>
      </c>
      <c r="AK167" s="197">
        <f>SUMIFS('Consulta Contratos'!$Z:$Z,'Consulta Contratos'!$AM:$AM,'Performance Vendas'!AK$25,'Consulta Contratos'!$S:$S,'Performance Vendas'!$B167,'Consulta Contratos'!$H:$H,"Ativo")</f>
        <v>0</v>
      </c>
      <c r="AL167" s="197">
        <f>SUMIFS('Consulta Contratos'!$Z:$Z,'Consulta Contratos'!$AM:$AM,'Performance Vendas'!AL$25,'Consulta Contratos'!$S:$S,'Performance Vendas'!$B167,'Consulta Contratos'!$H:$H,"Ativo")</f>
        <v>421000</v>
      </c>
      <c r="AM167" s="197">
        <f>SUMIFS('Consulta Contratos'!$Z:$Z,'Consulta Contratos'!$AM:$AM,'Performance Vendas'!AM$25,'Consulta Contratos'!$S:$S,'Performance Vendas'!$B167,'Consulta Contratos'!$H:$H,"Ativo")</f>
        <v>0</v>
      </c>
      <c r="AN167" s="197">
        <f>SUMIFS('Consulta Contratos'!$Z:$Z,'Consulta Contratos'!$AM:$AM,'Performance Vendas'!AN$25,'Consulta Contratos'!$S:$S,'Performance Vendas'!$B167,'Consulta Contratos'!$H:$H,"Ativo")</f>
        <v>0</v>
      </c>
      <c r="AO167" s="197">
        <f>SUMIFS('Consulta Contratos'!$Z:$Z,'Consulta Contratos'!$AM:$AM,'Performance Vendas'!AO$25,'Consulta Contratos'!$S:$S,'Performance Vendas'!$B167,'Consulta Contratos'!$H:$H,"Ativo")</f>
        <v>0</v>
      </c>
      <c r="AP167" s="197">
        <f>SUMIFS('Consulta Contratos'!$Z:$Z,'Consulta Contratos'!$AM:$AM,'Performance Vendas'!AP$25,'Consulta Contratos'!$S:$S,'Performance Vendas'!$B167,'Consulta Contratos'!$H:$H,"Ativo")</f>
        <v>0</v>
      </c>
      <c r="AQ167" s="197">
        <f>SUMIFS('Consulta Contratos'!$Z:$Z,'Consulta Contratos'!$AM:$AM,'Performance Vendas'!AQ$25,'Consulta Contratos'!$S:$S,'Performance Vendas'!$B167,'Consulta Contratos'!$H:$H,"Ativo")</f>
        <v>0</v>
      </c>
      <c r="AR167" s="197">
        <f>SUMIFS('Consulta Contratos'!$Z:$Z,'Consulta Contratos'!$AM:$AM,'Performance Vendas'!AR$25,'Consulta Contratos'!$S:$S,'Performance Vendas'!$B167,'Consulta Contratos'!$H:$H,"Ativo")</f>
        <v>0</v>
      </c>
      <c r="AS167" s="197">
        <f>SUMIFS('Consulta Contratos'!$Z:$Z,'Consulta Contratos'!$AM:$AM,'Performance Vendas'!AS$25,'Consulta Contratos'!$S:$S,'Performance Vendas'!$B167,'Consulta Contratos'!$H:$H,"Ativo")</f>
        <v>0</v>
      </c>
      <c r="AT167" s="197">
        <f>SUMIFS('Consulta Contratos'!$Z:$Z,'Consulta Contratos'!$AM:$AM,'Performance Vendas'!AT$25,'Consulta Contratos'!$S:$S,'Performance Vendas'!$B167,'Consulta Contratos'!$H:$H,"Ativo")</f>
        <v>0</v>
      </c>
      <c r="AU167" s="197">
        <f>SUMIFS('Consulta Contratos'!$Z:$Z,'Consulta Contratos'!$AM:$AM,'Performance Vendas'!AU$25,'Consulta Contratos'!$S:$S,'Performance Vendas'!$B167,'Consulta Contratos'!$H:$H,"Ativo")</f>
        <v>0</v>
      </c>
      <c r="AV167" s="197">
        <f>SUMIFS('Consulta Contratos'!$Z:$Z,'Consulta Contratos'!$AM:$AM,'Performance Vendas'!AV$25,'Consulta Contratos'!$S:$S,'Performance Vendas'!$B167,'Consulta Contratos'!$H:$H,"Ativo")</f>
        <v>0</v>
      </c>
      <c r="AW167" s="198">
        <f t="shared" si="286"/>
        <v>421000</v>
      </c>
      <c r="AX167" s="198">
        <f>AJ167+W167+J167+AW167</f>
        <v>1419000</v>
      </c>
      <c r="AY167" s="199">
        <f t="shared" si="255"/>
        <v>3.7045262955419109E-3</v>
      </c>
      <c r="AZ167" s="197">
        <f>SUMIFS('Consulta Contratos'!$Z:$Z,'Consulta Contratos'!$AM:$AM,'Performance Vendas'!AZ$25,'Consulta Contratos'!$S:$S,'Performance Vendas'!$B167,'Consulta Contratos'!$H:$H,"Ativo")</f>
        <v>0</v>
      </c>
    </row>
    <row r="168" spans="2:52" s="87" customFormat="1">
      <c r="B168" s="206" t="s">
        <v>168</v>
      </c>
      <c r="C168" s="201"/>
      <c r="D168" s="95"/>
      <c r="E168" s="202"/>
      <c r="F168" s="202"/>
      <c r="G168" s="202"/>
      <c r="H168" s="202"/>
      <c r="I168" s="202"/>
      <c r="J168" s="203">
        <f t="shared" si="282"/>
        <v>0</v>
      </c>
      <c r="K168" s="202">
        <f>SUMIFS('Consulta Contratos'!$Z:$Z,'Consulta Contratos'!$AM:$AM,'Performance Vendas'!K$25,'Consulta Contratos'!$S:$S,'Performance Vendas'!$B168,'Consulta Contratos'!$H:$H,"Ativo")</f>
        <v>0</v>
      </c>
      <c r="L168" s="202">
        <f>SUMIFS('Consulta Contratos'!$Z:$Z,'Consulta Contratos'!$AM:$AM,'Performance Vendas'!L$25,'Consulta Contratos'!$S:$S,'Performance Vendas'!$B168,'Consulta Contratos'!$H:$H,"Ativo")</f>
        <v>0</v>
      </c>
      <c r="M168" s="202">
        <f>SUMIFS('Consulta Contratos'!$Z:$Z,'Consulta Contratos'!$AM:$AM,'Performance Vendas'!M$25,'Consulta Contratos'!$S:$S,'Performance Vendas'!$B168,'Consulta Contratos'!$H:$H,"Ativo")</f>
        <v>847000</v>
      </c>
      <c r="N168" s="202">
        <f>SUMIFS('Consulta Contratos'!$Z:$Z,'Consulta Contratos'!$AM:$AM,'Performance Vendas'!N$25,'Consulta Contratos'!$S:$S,'Performance Vendas'!$B168,'Consulta Contratos'!$H:$H,"Ativo")</f>
        <v>0</v>
      </c>
      <c r="O168" s="202">
        <f>SUMIFS('Consulta Contratos'!$Z:$Z,'Consulta Contratos'!$AM:$AM,'Performance Vendas'!O$25,'Consulta Contratos'!$S:$S,'Performance Vendas'!$B168,'Consulta Contratos'!$H:$H,"Ativo")</f>
        <v>0</v>
      </c>
      <c r="P168" s="202">
        <f>SUMIFS('Consulta Contratos'!$Z:$Z,'Consulta Contratos'!$AM:$AM,'Performance Vendas'!P$25,'Consulta Contratos'!$S:$S,'Performance Vendas'!$B168,'Consulta Contratos'!$H:$H,"Ativo")</f>
        <v>408000.3</v>
      </c>
      <c r="Q168" s="202">
        <f>SUMIFS('Consulta Contratos'!$Z:$Z,'Consulta Contratos'!$AM:$AM,'Performance Vendas'!Q$25,'Consulta Contratos'!$S:$S,'Performance Vendas'!$B168,'Consulta Contratos'!$H:$H,"Ativo")</f>
        <v>0</v>
      </c>
      <c r="R168" s="202">
        <f>SUMIFS('Consulta Contratos'!$Z:$Z,'Consulta Contratos'!$AM:$AM,'Performance Vendas'!R$25,'Consulta Contratos'!$S:$S,'Performance Vendas'!$B168,'Consulta Contratos'!$H:$H,"Ativo")</f>
        <v>0</v>
      </c>
      <c r="S168" s="202">
        <f>SUMIFS('Consulta Contratos'!$Z:$Z,'Consulta Contratos'!$AM:$AM,'Performance Vendas'!S$25,'Consulta Contratos'!$S:$S,'Performance Vendas'!$B168,'Consulta Contratos'!$H:$H,"Ativo")</f>
        <v>0</v>
      </c>
      <c r="T168" s="202">
        <f>SUMIFS('Consulta Contratos'!$Z:$Z,'Consulta Contratos'!$AM:$AM,'Performance Vendas'!T$25,'Consulta Contratos'!$S:$S,'Performance Vendas'!$B168,'Consulta Contratos'!$H:$H,"Ativo")</f>
        <v>0</v>
      </c>
      <c r="U168" s="202">
        <f>SUMIFS('Consulta Contratos'!$Z:$Z,'Consulta Contratos'!$AM:$AM,'Performance Vendas'!U$25,'Consulta Contratos'!$S:$S,'Performance Vendas'!$B168,'Consulta Contratos'!$H:$H,"Ativo")</f>
        <v>0</v>
      </c>
      <c r="V168" s="202">
        <f>SUMIFS('Consulta Contratos'!$Z:$Z,'Consulta Contratos'!$AM:$AM,'Performance Vendas'!V$25,'Consulta Contratos'!$S:$S,'Performance Vendas'!$B168,'Consulta Contratos'!$H:$H,"Ativo")</f>
        <v>0</v>
      </c>
      <c r="W168" s="203">
        <f t="shared" si="250"/>
        <v>1255000.3</v>
      </c>
      <c r="X168" s="202">
        <f>SUMIFS('Consulta Contratos'!$Z:$Z,'Consulta Contratos'!$AM:$AM,'Performance Vendas'!X$25,'Consulta Contratos'!$S:$S,'Performance Vendas'!$B168,'Consulta Contratos'!$H:$H,"Ativo")</f>
        <v>0</v>
      </c>
      <c r="Y168" s="202">
        <f>SUMIFS('Consulta Contratos'!$Z:$Z,'Consulta Contratos'!$AM:$AM,'Performance Vendas'!Y$25,'Consulta Contratos'!$S:$S,'Performance Vendas'!$B168,'Consulta Contratos'!$H:$H,"Ativo")</f>
        <v>0</v>
      </c>
      <c r="Z168" s="202">
        <f>SUMIFS('Consulta Contratos'!$Z:$Z,'Consulta Contratos'!$AM:$AM,'Performance Vendas'!Z$25,'Consulta Contratos'!$S:$S,'Performance Vendas'!$B168,'Consulta Contratos'!$H:$H,"Ativo")</f>
        <v>0</v>
      </c>
      <c r="AA168" s="202">
        <f>SUMIFS('Consulta Contratos'!$Z:$Z,'Consulta Contratos'!$AM:$AM,'Performance Vendas'!AA$25,'Consulta Contratos'!$S:$S,'Performance Vendas'!$B168,'Consulta Contratos'!$H:$H,"Ativo")</f>
        <v>0</v>
      </c>
      <c r="AB168" s="202">
        <f>SUMIFS('Consulta Contratos'!$Z:$Z,'Consulta Contratos'!$AM:$AM,'Performance Vendas'!AB$25,'Consulta Contratos'!$S:$S,'Performance Vendas'!$B168,'Consulta Contratos'!$H:$H,"Ativo")</f>
        <v>0</v>
      </c>
      <c r="AC168" s="202">
        <f>SUMIFS('Consulta Contratos'!$Z:$Z,'Consulta Contratos'!$AM:$AM,'Performance Vendas'!AC$25,'Consulta Contratos'!$S:$S,'Performance Vendas'!$B168,'Consulta Contratos'!$H:$H,"Ativo")</f>
        <v>0</v>
      </c>
      <c r="AD168" s="202">
        <f>SUMIFS('Consulta Contratos'!$Z:$Z,'Consulta Contratos'!$AM:$AM,'Performance Vendas'!AD$25,'Consulta Contratos'!$S:$S,'Performance Vendas'!$B168,'Consulta Contratos'!$H:$H,"Ativo")</f>
        <v>0</v>
      </c>
      <c r="AE168" s="202">
        <f>SUMIFS('Consulta Contratos'!$Z:$Z,'Consulta Contratos'!$AM:$AM,'Performance Vendas'!AE$25,'Consulta Contratos'!$S:$S,'Performance Vendas'!$B168,'Consulta Contratos'!$H:$H,"Ativo")</f>
        <v>0</v>
      </c>
      <c r="AF168" s="202">
        <f>SUMIFS('Consulta Contratos'!$Z:$Z,'Consulta Contratos'!$AM:$AM,'Performance Vendas'!AF$25,'Consulta Contratos'!$S:$S,'Performance Vendas'!$B168,'Consulta Contratos'!$H:$H,"Ativo")</f>
        <v>0</v>
      </c>
      <c r="AG168" s="202">
        <f>SUMIFS('Consulta Contratos'!$Z:$Z,'Consulta Contratos'!$AM:$AM,'Performance Vendas'!AG$25,'Consulta Contratos'!$S:$S,'Performance Vendas'!$B168,'Consulta Contratos'!$H:$H,"Ativo")</f>
        <v>0</v>
      </c>
      <c r="AH168" s="202">
        <f>SUMIFS('Consulta Contratos'!$Z:$Z,'Consulta Contratos'!$AM:$AM,'Performance Vendas'!AH$25,'Consulta Contratos'!$S:$S,'Performance Vendas'!$B168,'Consulta Contratos'!$H:$H,"Ativo")</f>
        <v>0</v>
      </c>
      <c r="AI168" s="202">
        <f>SUMIFS('Consulta Contratos'!$Z:$Z,'Consulta Contratos'!$AM:$AM,'Performance Vendas'!AI$25,'Consulta Contratos'!$S:$S,'Performance Vendas'!$B168,'Consulta Contratos'!$H:$H,"Ativo")</f>
        <v>0</v>
      </c>
      <c r="AJ168" s="203">
        <f t="shared" si="252"/>
        <v>0</v>
      </c>
      <c r="AK168" s="202">
        <f>SUMIFS('Consulta Contratos'!$Z:$Z,'Consulta Contratos'!$AM:$AM,'Performance Vendas'!AK$25,'Consulta Contratos'!$S:$S,'Performance Vendas'!$B168,'Consulta Contratos'!$H:$H,"Ativo")</f>
        <v>0</v>
      </c>
      <c r="AL168" s="202">
        <f>SUMIFS('Consulta Contratos'!$Z:$Z,'Consulta Contratos'!$AM:$AM,'Performance Vendas'!AL$25,'Consulta Contratos'!$S:$S,'Performance Vendas'!$B168,'Consulta Contratos'!$H:$H,"Ativo")</f>
        <v>0</v>
      </c>
      <c r="AM168" s="202">
        <f>SUMIFS('Consulta Contratos'!$Z:$Z,'Consulta Contratos'!$AM:$AM,'Performance Vendas'!AM$25,'Consulta Contratos'!$S:$S,'Performance Vendas'!$B168,'Consulta Contratos'!$H:$H,"Ativo")</f>
        <v>0</v>
      </c>
      <c r="AN168" s="202">
        <f>SUMIFS('Consulta Contratos'!$Z:$Z,'Consulta Contratos'!$AM:$AM,'Performance Vendas'!AN$25,'Consulta Contratos'!$S:$S,'Performance Vendas'!$B168,'Consulta Contratos'!$H:$H,"Ativo")</f>
        <v>0</v>
      </c>
      <c r="AO168" s="202">
        <f>SUMIFS('Consulta Contratos'!$Z:$Z,'Consulta Contratos'!$AM:$AM,'Performance Vendas'!AO$25,'Consulta Contratos'!$S:$S,'Performance Vendas'!$B168,'Consulta Contratos'!$H:$H,"Ativo")</f>
        <v>0</v>
      </c>
      <c r="AP168" s="202">
        <f>SUMIFS('Consulta Contratos'!$Z:$Z,'Consulta Contratos'!$AM:$AM,'Performance Vendas'!AP$25,'Consulta Contratos'!$S:$S,'Performance Vendas'!$B168,'Consulta Contratos'!$H:$H,"Ativo")</f>
        <v>0</v>
      </c>
      <c r="AQ168" s="202">
        <f>SUMIFS('Consulta Contratos'!$Z:$Z,'Consulta Contratos'!$AM:$AM,'Performance Vendas'!AQ$25,'Consulta Contratos'!$S:$S,'Performance Vendas'!$B168,'Consulta Contratos'!$H:$H,"Ativo")</f>
        <v>0</v>
      </c>
      <c r="AR168" s="202">
        <f>SUMIFS('Consulta Contratos'!$Z:$Z,'Consulta Contratos'!$AM:$AM,'Performance Vendas'!AR$25,'Consulta Contratos'!$S:$S,'Performance Vendas'!$B168,'Consulta Contratos'!$H:$H,"Ativo")</f>
        <v>0</v>
      </c>
      <c r="AS168" s="202">
        <f>SUMIFS('Consulta Contratos'!$Z:$Z,'Consulta Contratos'!$AM:$AM,'Performance Vendas'!AS$25,'Consulta Contratos'!$S:$S,'Performance Vendas'!$B168,'Consulta Contratos'!$H:$H,"Ativo")</f>
        <v>0</v>
      </c>
      <c r="AT168" s="202">
        <f>SUMIFS('Consulta Contratos'!$Z:$Z,'Consulta Contratos'!$AM:$AM,'Performance Vendas'!AT$25,'Consulta Contratos'!$S:$S,'Performance Vendas'!$B168,'Consulta Contratos'!$H:$H,"Ativo")</f>
        <v>0</v>
      </c>
      <c r="AU168" s="202">
        <f>SUMIFS('Consulta Contratos'!$Z:$Z,'Consulta Contratos'!$AM:$AM,'Performance Vendas'!AU$25,'Consulta Contratos'!$S:$S,'Performance Vendas'!$B168,'Consulta Contratos'!$H:$H,"Ativo")</f>
        <v>0</v>
      </c>
      <c r="AV168" s="202">
        <f>SUMIFS('Consulta Contratos'!$Z:$Z,'Consulta Contratos'!$AM:$AM,'Performance Vendas'!AV$25,'Consulta Contratos'!$S:$S,'Performance Vendas'!$B168,'Consulta Contratos'!$H:$H,"Ativo")</f>
        <v>0</v>
      </c>
      <c r="AW168" s="203">
        <f t="shared" ref="AW168:AW199" si="290">SUM(AK168:AV168)</f>
        <v>0</v>
      </c>
      <c r="AX168" s="203">
        <f>AJ168+W168+J168+AW168</f>
        <v>1255000.3</v>
      </c>
      <c r="AY168" s="199">
        <f t="shared" si="255"/>
        <v>3.2763788669929439E-3</v>
      </c>
      <c r="AZ168" s="202">
        <f>SUMIFS('Consulta Contratos'!$Z:$Z,'Consulta Contratos'!$AM:$AM,'Performance Vendas'!AZ$25,'Consulta Contratos'!$S:$S,'Performance Vendas'!$B168,'Consulta Contratos'!$H:$H,"Ativo")</f>
        <v>0</v>
      </c>
    </row>
    <row r="169" spans="2:52">
      <c r="B169" s="210" t="s">
        <v>169</v>
      </c>
      <c r="C169" s="211"/>
      <c r="D169" s="95"/>
      <c r="E169" s="212">
        <f>SUMIFS('Consulta Contratos'!$Z:$Z,'Consulta Contratos'!$AM:$AM,'Performance Vendas'!E$25,'Consulta Contratos'!$S:$S,'Performance Vendas'!$B169,'Consulta Contratos'!$H:$H,"Ativo")</f>
        <v>0</v>
      </c>
      <c r="F169" s="212">
        <f>SUMIFS('Consulta Contratos'!$Z:$Z,'Consulta Contratos'!$AM:$AM,'Performance Vendas'!F$25,'Consulta Contratos'!$S:$S,'Performance Vendas'!$B169,'Consulta Contratos'!$H:$H,"Ativo")</f>
        <v>0</v>
      </c>
      <c r="G169" s="212">
        <f>SUMIFS('Consulta Contratos'!$Z:$Z,'Consulta Contratos'!$AM:$AM,'Performance Vendas'!G$25,'Consulta Contratos'!$S:$S,'Performance Vendas'!$B169,'Consulta Contratos'!$H:$H,"Ativo")</f>
        <v>0</v>
      </c>
      <c r="H169" s="212">
        <f>SUMIFS('Consulta Contratos'!$Z:$Z,'Consulta Contratos'!$AM:$AM,'Performance Vendas'!H$25,'Consulta Contratos'!$S:$S,'Performance Vendas'!$B169,'Consulta Contratos'!$H:$H,"Ativo")</f>
        <v>0</v>
      </c>
      <c r="I169" s="212">
        <f>SUMIFS('Consulta Contratos'!$Z:$Z,'Consulta Contratos'!$AM:$AM,'Performance Vendas'!I$25,'Consulta Contratos'!$S:$S,'Performance Vendas'!$B169,'Consulta Contratos'!$H:$H,"Ativo")</f>
        <v>0</v>
      </c>
      <c r="J169" s="13">
        <f t="shared" si="282"/>
        <v>0</v>
      </c>
      <c r="K169" s="212">
        <f>SUMIFS('Consulta Contratos'!$Z:$Z,'Consulta Contratos'!$AM:$AM,'Performance Vendas'!K$25,'Consulta Contratos'!$S:$S,'Performance Vendas'!$B169,'Consulta Contratos'!$H:$H,"Ativo")</f>
        <v>0</v>
      </c>
      <c r="L169" s="212">
        <f>SUMIFS('Consulta Contratos'!$Z:$Z,'Consulta Contratos'!$AM:$AM,'Performance Vendas'!L$25,'Consulta Contratos'!$S:$S,'Performance Vendas'!$B169,'Consulta Contratos'!$H:$H,"Ativo")</f>
        <v>0</v>
      </c>
      <c r="M169" s="212">
        <f>SUMIFS('Consulta Contratos'!$Z:$Z,'Consulta Contratos'!$AM:$AM,'Performance Vendas'!M$25,'Consulta Contratos'!$S:$S,'Performance Vendas'!$B169,'Consulta Contratos'!$H:$H,"Ativo")</f>
        <v>0</v>
      </c>
      <c r="N169" s="212">
        <f>SUMIFS('Consulta Contratos'!$Z:$Z,'Consulta Contratos'!$AM:$AM,'Performance Vendas'!N$25,'Consulta Contratos'!$S:$S,'Performance Vendas'!$B169,'Consulta Contratos'!$H:$H,"Ativo")</f>
        <v>0</v>
      </c>
      <c r="O169" s="212">
        <f>SUMIFS('Consulta Contratos'!$Z:$Z,'Consulta Contratos'!$AM:$AM,'Performance Vendas'!O$25,'Consulta Contratos'!$S:$S,'Performance Vendas'!$B169,'Consulta Contratos'!$H:$H,"Ativo")</f>
        <v>0</v>
      </c>
      <c r="P169" s="212">
        <f>SUMIFS('Consulta Contratos'!$Z:$Z,'Consulta Contratos'!$AM:$AM,'Performance Vendas'!P$25,'Consulta Contratos'!$S:$S,'Performance Vendas'!$B169,'Consulta Contratos'!$H:$H,"Ativo")</f>
        <v>0</v>
      </c>
      <c r="Q169" s="212">
        <f>SUMIFS('Consulta Contratos'!$Z:$Z,'Consulta Contratos'!$AM:$AM,'Performance Vendas'!Q$25,'Consulta Contratos'!$S:$S,'Performance Vendas'!$B169,'Consulta Contratos'!$H:$H,"Ativo")</f>
        <v>0</v>
      </c>
      <c r="R169" s="212">
        <f>SUMIFS('Consulta Contratos'!$Z:$Z,'Consulta Contratos'!$AM:$AM,'Performance Vendas'!R$25,'Consulta Contratos'!$S:$S,'Performance Vendas'!$B169,'Consulta Contratos'!$H:$H,"Ativo")</f>
        <v>0</v>
      </c>
      <c r="S169" s="212">
        <f>SUMIFS('Consulta Contratos'!$Z:$Z,'Consulta Contratos'!$AM:$AM,'Performance Vendas'!S$25,'Consulta Contratos'!$S:$S,'Performance Vendas'!$B169,'Consulta Contratos'!$H:$H,"Ativo")</f>
        <v>0</v>
      </c>
      <c r="T169" s="212">
        <f>SUMIFS('Consulta Contratos'!$Z:$Z,'Consulta Contratos'!$AM:$AM,'Performance Vendas'!T$25,'Consulta Contratos'!$S:$S,'Performance Vendas'!$B169,'Consulta Contratos'!$H:$H,"Ativo")</f>
        <v>0</v>
      </c>
      <c r="U169" s="212">
        <f>SUMIFS('Consulta Contratos'!$Z:$Z,'Consulta Contratos'!$AM:$AM,'Performance Vendas'!U$25,'Consulta Contratos'!$S:$S,'Performance Vendas'!$B169,'Consulta Contratos'!$H:$H,"Ativo")</f>
        <v>298500.09999999998</v>
      </c>
      <c r="V169" s="212">
        <f>SUMIFS('Consulta Contratos'!$Z:$Z,'Consulta Contratos'!$AM:$AM,'Performance Vendas'!V$25,'Consulta Contratos'!$S:$S,'Performance Vendas'!$B169,'Consulta Contratos'!$H:$H,"Ativo")</f>
        <v>0</v>
      </c>
      <c r="W169" s="13">
        <f t="shared" si="250"/>
        <v>298500.09999999998</v>
      </c>
      <c r="X169" s="212">
        <f>SUMIFS('Consulta Contratos'!$Z:$Z,'Consulta Contratos'!$AM:$AM,'Performance Vendas'!X$25,'Consulta Contratos'!$S:$S,'Performance Vendas'!$B169,'Consulta Contratos'!$H:$H,"Ativo")</f>
        <v>0</v>
      </c>
      <c r="Y169" s="212">
        <f>SUMIFS('Consulta Contratos'!$Z:$Z,'Consulta Contratos'!$AM:$AM,'Performance Vendas'!Y$25,'Consulta Contratos'!$S:$S,'Performance Vendas'!$B169,'Consulta Contratos'!$H:$H,"Ativo")</f>
        <v>0</v>
      </c>
      <c r="Z169" s="212">
        <f>SUMIFS('Consulta Contratos'!$Z:$Z,'Consulta Contratos'!$AM:$AM,'Performance Vendas'!Z$25,'Consulta Contratos'!$S:$S,'Performance Vendas'!$B169,'Consulta Contratos'!$H:$H,"Ativo")</f>
        <v>0</v>
      </c>
      <c r="AA169" s="212">
        <f>SUMIFS('Consulta Contratos'!$Z:$Z,'Consulta Contratos'!$AM:$AM,'Performance Vendas'!AA$25,'Consulta Contratos'!$S:$S,'Performance Vendas'!$B169,'Consulta Contratos'!$H:$H,"Ativo")</f>
        <v>0</v>
      </c>
      <c r="AB169" s="212">
        <f>SUMIFS('Consulta Contratos'!$Z:$Z,'Consulta Contratos'!$AM:$AM,'Performance Vendas'!AB$25,'Consulta Contratos'!$S:$S,'Performance Vendas'!$B169,'Consulta Contratos'!$H:$H,"Ativo")</f>
        <v>0</v>
      </c>
      <c r="AC169" s="212">
        <f>SUMIFS('Consulta Contratos'!$Z:$Z,'Consulta Contratos'!$AM:$AM,'Performance Vendas'!AC$25,'Consulta Contratos'!$S:$S,'Performance Vendas'!$B169,'Consulta Contratos'!$H:$H,"Ativo")</f>
        <v>0</v>
      </c>
      <c r="AD169" s="212">
        <f>SUMIFS('Consulta Contratos'!$Z:$Z,'Consulta Contratos'!$AM:$AM,'Performance Vendas'!AD$25,'Consulta Contratos'!$S:$S,'Performance Vendas'!$B169,'Consulta Contratos'!$H:$H,"Ativo")</f>
        <v>0</v>
      </c>
      <c r="AE169" s="212">
        <f>SUMIFS('Consulta Contratos'!$Z:$Z,'Consulta Contratos'!$AM:$AM,'Performance Vendas'!AE$25,'Consulta Contratos'!$S:$S,'Performance Vendas'!$B169,'Consulta Contratos'!$H:$H,"Ativo")</f>
        <v>0</v>
      </c>
      <c r="AF169" s="212">
        <f>SUMIFS('Consulta Contratos'!$Z:$Z,'Consulta Contratos'!$AM:$AM,'Performance Vendas'!AF$25,'Consulta Contratos'!$S:$S,'Performance Vendas'!$B169,'Consulta Contratos'!$H:$H,"Ativo")</f>
        <v>0</v>
      </c>
      <c r="AG169" s="212">
        <f>SUMIFS('Consulta Contratos'!$Z:$Z,'Consulta Contratos'!$AM:$AM,'Performance Vendas'!AG$25,'Consulta Contratos'!$S:$S,'Performance Vendas'!$B169,'Consulta Contratos'!$H:$H,"Ativo")</f>
        <v>0</v>
      </c>
      <c r="AH169" s="212">
        <f>SUMIFS('Consulta Contratos'!$Z:$Z,'Consulta Contratos'!$AM:$AM,'Performance Vendas'!AH$25,'Consulta Contratos'!$S:$S,'Performance Vendas'!$B169,'Consulta Contratos'!$H:$H,"Ativo")</f>
        <v>0</v>
      </c>
      <c r="AI169" s="212">
        <f>SUMIFS('Consulta Contratos'!$Z:$Z,'Consulta Contratos'!$AM:$AM,'Performance Vendas'!AI$25,'Consulta Contratos'!$S:$S,'Performance Vendas'!$B169,'Consulta Contratos'!$H:$H,"Ativo")</f>
        <v>0</v>
      </c>
      <c r="AJ169" s="13">
        <f t="shared" si="252"/>
        <v>0</v>
      </c>
      <c r="AK169" s="212">
        <f>SUMIFS('Consulta Contratos'!$Z:$Z,'Consulta Contratos'!$AM:$AM,'Performance Vendas'!AK$25,'Consulta Contratos'!$S:$S,'Performance Vendas'!$B169,'Consulta Contratos'!$H:$H,"Ativo")</f>
        <v>0</v>
      </c>
      <c r="AL169" s="212">
        <f>SUMIFS('Consulta Contratos'!$Z:$Z,'Consulta Contratos'!$AM:$AM,'Performance Vendas'!AL$25,'Consulta Contratos'!$S:$S,'Performance Vendas'!$B169,'Consulta Contratos'!$H:$H,"Ativo")</f>
        <v>0</v>
      </c>
      <c r="AM169" s="212">
        <f>SUMIFS('Consulta Contratos'!$Z:$Z,'Consulta Contratos'!$AM:$AM,'Performance Vendas'!AM$25,'Consulta Contratos'!$S:$S,'Performance Vendas'!$B169,'Consulta Contratos'!$H:$H,"Ativo")</f>
        <v>0</v>
      </c>
      <c r="AN169" s="212">
        <f>SUMIFS('Consulta Contratos'!$Z:$Z,'Consulta Contratos'!$AM:$AM,'Performance Vendas'!AN$25,'Consulta Contratos'!$S:$S,'Performance Vendas'!$B169,'Consulta Contratos'!$H:$H,"Ativo")</f>
        <v>0</v>
      </c>
      <c r="AO169" s="212">
        <f>SUMIFS('Consulta Contratos'!$Z:$Z,'Consulta Contratos'!$AM:$AM,'Performance Vendas'!AO$25,'Consulta Contratos'!$S:$S,'Performance Vendas'!$B169,'Consulta Contratos'!$H:$H,"Ativo")</f>
        <v>0</v>
      </c>
      <c r="AP169" s="212">
        <f>SUMIFS('Consulta Contratos'!$Z:$Z,'Consulta Contratos'!$AM:$AM,'Performance Vendas'!AP$25,'Consulta Contratos'!$S:$S,'Performance Vendas'!$B169,'Consulta Contratos'!$H:$H,"Ativo")</f>
        <v>0</v>
      </c>
      <c r="AQ169" s="212">
        <f>SUMIFS('Consulta Contratos'!$Z:$Z,'Consulta Contratos'!$AM:$AM,'Performance Vendas'!AQ$25,'Consulta Contratos'!$S:$S,'Performance Vendas'!$B169,'Consulta Contratos'!$H:$H,"Ativo")</f>
        <v>0</v>
      </c>
      <c r="AR169" s="212">
        <f>SUMIFS('Consulta Contratos'!$Z:$Z,'Consulta Contratos'!$AM:$AM,'Performance Vendas'!AR$25,'Consulta Contratos'!$S:$S,'Performance Vendas'!$B169,'Consulta Contratos'!$H:$H,"Ativo")</f>
        <v>0</v>
      </c>
      <c r="AS169" s="212">
        <f>SUMIFS('Consulta Contratos'!$Z:$Z,'Consulta Contratos'!$AM:$AM,'Performance Vendas'!AS$25,'Consulta Contratos'!$S:$S,'Performance Vendas'!$B169,'Consulta Contratos'!$H:$H,"Ativo")</f>
        <v>0</v>
      </c>
      <c r="AT169" s="212">
        <f>SUMIFS('Consulta Contratos'!$Z:$Z,'Consulta Contratos'!$AM:$AM,'Performance Vendas'!AT$25,'Consulta Contratos'!$S:$S,'Performance Vendas'!$B169,'Consulta Contratos'!$H:$H,"Ativo")</f>
        <v>0</v>
      </c>
      <c r="AU169" s="212">
        <f>SUMIFS('Consulta Contratos'!$Z:$Z,'Consulta Contratos'!$AM:$AM,'Performance Vendas'!AU$25,'Consulta Contratos'!$S:$S,'Performance Vendas'!$B169,'Consulta Contratos'!$H:$H,"Ativo")</f>
        <v>0</v>
      </c>
      <c r="AV169" s="212">
        <f>SUMIFS('Consulta Contratos'!$Z:$Z,'Consulta Contratos'!$AM:$AM,'Performance Vendas'!AV$25,'Consulta Contratos'!$S:$S,'Performance Vendas'!$B169,'Consulta Contratos'!$H:$H,"Ativo")</f>
        <v>0</v>
      </c>
      <c r="AW169" s="13">
        <f t="shared" si="290"/>
        <v>0</v>
      </c>
      <c r="AX169" s="13">
        <f>AJ169+W169+J169+AW169</f>
        <v>298500.09999999998</v>
      </c>
      <c r="AY169" s="149">
        <f t="shared" si="255"/>
        <v>7.7928221964192385E-4</v>
      </c>
      <c r="AZ169" s="212">
        <f>SUMIFS('Consulta Contratos'!$Z:$Z,'Consulta Contratos'!$AM:$AM,'Performance Vendas'!AZ$25,'Consulta Contratos'!$S:$S,'Performance Vendas'!$B169,'Consulta Contratos'!$H:$H,"Ativo")</f>
        <v>0</v>
      </c>
    </row>
    <row r="170" spans="2:52">
      <c r="B170" s="304"/>
      <c r="C170" s="305"/>
      <c r="D170" s="9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  <c r="AC170" s="305"/>
      <c r="AD170" s="305"/>
      <c r="AE170" s="305"/>
      <c r="AF170" s="305"/>
      <c r="AG170" s="305"/>
      <c r="AH170" s="305"/>
      <c r="AI170" s="305"/>
      <c r="AJ170" s="305"/>
      <c r="AK170" s="305"/>
      <c r="AL170" s="305"/>
      <c r="AM170" s="305"/>
      <c r="AN170" s="305"/>
      <c r="AO170" s="305"/>
      <c r="AP170" s="305"/>
      <c r="AQ170" s="305"/>
      <c r="AR170" s="305"/>
      <c r="AS170" s="305"/>
      <c r="AT170" s="305"/>
      <c r="AU170" s="305"/>
      <c r="AV170" s="305"/>
      <c r="AW170" s="305"/>
      <c r="AX170" s="305"/>
      <c r="AY170" s="305"/>
      <c r="AZ170" s="305"/>
    </row>
    <row r="171" spans="2:52">
      <c r="B171" s="102" t="s">
        <v>170</v>
      </c>
      <c r="C171" s="114"/>
      <c r="D171" s="95"/>
      <c r="E171" s="234">
        <f t="shared" ref="E171:V171" si="291">SUM(E142:E169)/2</f>
        <v>14243001</v>
      </c>
      <c r="F171" s="234">
        <f t="shared" si="291"/>
        <v>6370748.3000000007</v>
      </c>
      <c r="G171" s="234">
        <f t="shared" si="291"/>
        <v>14288721.359999999</v>
      </c>
      <c r="H171" s="234">
        <f t="shared" si="291"/>
        <v>10992566</v>
      </c>
      <c r="I171" s="234">
        <f t="shared" si="291"/>
        <v>13847740</v>
      </c>
      <c r="J171" s="235">
        <f t="shared" si="291"/>
        <v>59742776.659999996</v>
      </c>
      <c r="K171" s="234">
        <f t="shared" si="291"/>
        <v>15029384.189999999</v>
      </c>
      <c r="L171" s="234">
        <f t="shared" si="291"/>
        <v>4347825</v>
      </c>
      <c r="M171" s="234">
        <f t="shared" si="291"/>
        <v>12491340</v>
      </c>
      <c r="N171" s="234">
        <f t="shared" si="291"/>
        <v>13804596.76</v>
      </c>
      <c r="O171" s="234">
        <f t="shared" si="291"/>
        <v>9937311.1999999993</v>
      </c>
      <c r="P171" s="234">
        <f t="shared" si="291"/>
        <v>15080733.300000001</v>
      </c>
      <c r="Q171" s="234">
        <f t="shared" si="291"/>
        <v>13602758.629999999</v>
      </c>
      <c r="R171" s="234">
        <f t="shared" si="291"/>
        <v>11696029.220000003</v>
      </c>
      <c r="S171" s="234">
        <f t="shared" si="291"/>
        <v>20703802.830000006</v>
      </c>
      <c r="T171" s="234">
        <f t="shared" si="291"/>
        <v>25034491.490000002</v>
      </c>
      <c r="U171" s="234">
        <f t="shared" si="291"/>
        <v>14262217.100000001</v>
      </c>
      <c r="V171" s="234">
        <f t="shared" si="291"/>
        <v>24137646</v>
      </c>
      <c r="W171" s="235">
        <f t="shared" si="250"/>
        <v>180128135.72</v>
      </c>
      <c r="X171" s="234">
        <f t="shared" ref="X171:AI171" si="292">SUM(X142:X169)/2</f>
        <v>16584821.960000001</v>
      </c>
      <c r="Y171" s="234">
        <f t="shared" si="292"/>
        <v>4083584.2300000004</v>
      </c>
      <c r="Z171" s="234">
        <f t="shared" si="292"/>
        <v>11381784</v>
      </c>
      <c r="AA171" s="234">
        <f t="shared" si="292"/>
        <v>10862520</v>
      </c>
      <c r="AB171" s="234">
        <f t="shared" si="292"/>
        <v>1405406.28</v>
      </c>
      <c r="AC171" s="234">
        <f t="shared" si="292"/>
        <v>2130000</v>
      </c>
      <c r="AD171" s="234">
        <f t="shared" si="292"/>
        <v>11736970.66</v>
      </c>
      <c r="AE171" s="234">
        <f t="shared" si="292"/>
        <v>21660841.460000001</v>
      </c>
      <c r="AF171" s="234">
        <f t="shared" si="292"/>
        <v>18628123.140000001</v>
      </c>
      <c r="AG171" s="234">
        <f t="shared" si="292"/>
        <v>3246000</v>
      </c>
      <c r="AH171" s="234">
        <f t="shared" si="292"/>
        <v>8056699.7199999997</v>
      </c>
      <c r="AI171" s="234">
        <f t="shared" si="292"/>
        <v>17236514.850000001</v>
      </c>
      <c r="AJ171" s="235">
        <f t="shared" si="252"/>
        <v>127013266.30000001</v>
      </c>
      <c r="AK171" s="234">
        <f t="shared" ref="AK171:AV171" si="293">SUM(AK142:AK169)/2</f>
        <v>9348451.8100000005</v>
      </c>
      <c r="AL171" s="234">
        <f t="shared" si="293"/>
        <v>6484295.3100000005</v>
      </c>
      <c r="AM171" s="234">
        <f t="shared" si="293"/>
        <v>328000</v>
      </c>
      <c r="AN171" s="234">
        <f t="shared" si="293"/>
        <v>0</v>
      </c>
      <c r="AO171" s="234">
        <f t="shared" si="293"/>
        <v>0</v>
      </c>
      <c r="AP171" s="234">
        <f t="shared" si="293"/>
        <v>0</v>
      </c>
      <c r="AQ171" s="234">
        <f t="shared" si="293"/>
        <v>0</v>
      </c>
      <c r="AR171" s="234">
        <f t="shared" si="293"/>
        <v>0</v>
      </c>
      <c r="AS171" s="234">
        <f t="shared" si="293"/>
        <v>0</v>
      </c>
      <c r="AT171" s="234">
        <f t="shared" si="293"/>
        <v>0</v>
      </c>
      <c r="AU171" s="234">
        <f t="shared" si="293"/>
        <v>0</v>
      </c>
      <c r="AV171" s="234">
        <f t="shared" si="293"/>
        <v>0</v>
      </c>
      <c r="AW171" s="235">
        <f t="shared" ref="AW171:AW202" si="294">SUM(AK171:AV171)</f>
        <v>16160747.120000001</v>
      </c>
      <c r="AX171" s="235">
        <f>AJ171+W171+J171+AW171</f>
        <v>383044925.79999995</v>
      </c>
      <c r="AY171" s="91"/>
      <c r="AZ171" s="235">
        <f>SUM(AZ142:AZ169)/2</f>
        <v>1498219.6800000002</v>
      </c>
    </row>
    <row r="172" spans="2:52">
      <c r="B172" s="108" t="s">
        <v>88</v>
      </c>
      <c r="C172" s="116"/>
      <c r="D172" s="95"/>
      <c r="E172" s="11">
        <f>SUMIFS('Consulta Contratos'!$AL:$AL,'Consulta Contratos'!$AT:$AT,1,'Consulta Contratos'!$H:$H,"ATIVO",'Consulta Contratos'!$AM:$AM,'Performance Vendas'!E$25)</f>
        <v>18000</v>
      </c>
      <c r="F172" s="11">
        <f>SUMIFS('Consulta Contratos'!$AL:$AL,'Consulta Contratos'!$AT:$AT,1,'Consulta Contratos'!$H:$H,"ATIVO",'Consulta Contratos'!$AM:$AM,'Performance Vendas'!F$25)</f>
        <v>697673.3</v>
      </c>
      <c r="G172" s="11">
        <f>SUMIFS('Consulta Contratos'!$AL:$AL,'Consulta Contratos'!$AT:$AT,1,'Consulta Contratos'!$H:$H,"ATIVO",'Consulta Contratos'!$AM:$AM,'Performance Vendas'!G$25)</f>
        <v>348301.63999999966</v>
      </c>
      <c r="H172" s="11">
        <f>SUMIFS('Consulta Contratos'!$AL:$AL,'Consulta Contratos'!$AT:$AT,1,'Consulta Contratos'!$H:$H,"ATIVO",'Consulta Contratos'!$AM:$AM,'Performance Vendas'!H$25)</f>
        <v>1000</v>
      </c>
      <c r="I172" s="11">
        <f>SUMIFS('Consulta Contratos'!$AL:$AL,'Consulta Contratos'!$AT:$AT,1,'Consulta Contratos'!$H:$H,"ATIVO",'Consulta Contratos'!$AM:$AM,'Performance Vendas'!I$25)</f>
        <v>1299180</v>
      </c>
      <c r="J172" s="13">
        <f t="shared" ref="J172:J173" si="295">SUM(E172:I172)</f>
        <v>2364154.9399999995</v>
      </c>
      <c r="K172" s="11">
        <f>SUMIFS('Consulta Contratos'!$AL:$AL,'Consulta Contratos'!$AT:$AT,1,'Consulta Contratos'!$H:$H,"ATIVO",'Consulta Contratos'!$AM:$AM,'Performance Vendas'!K$25)</f>
        <v>1543615.4</v>
      </c>
      <c r="L172" s="11">
        <f>SUMIFS('Consulta Contratos'!$AL:$AL,'Consulta Contratos'!$AT:$AT,1,'Consulta Contratos'!$H:$H,"ATIVO",'Consulta Contratos'!$AM:$AM,'Performance Vendas'!L$25)</f>
        <v>285329.25</v>
      </c>
      <c r="M172" s="11">
        <f>SUMIFS('Consulta Contratos'!$AL:$AL,'Consulta Contratos'!$AT:$AT,1,'Consulta Contratos'!$H:$H,"ATIVO",'Consulta Contratos'!$AM:$AM,'Performance Vendas'!M$25)</f>
        <v>3951255.4930000002</v>
      </c>
      <c r="N172" s="11">
        <f>SUMIFS('Consulta Contratos'!$AL:$AL,'Consulta Contratos'!$AT:$AT,1,'Consulta Contratos'!$H:$H,"ATIVO",'Consulta Contratos'!$AM:$AM,'Performance Vendas'!N$25)</f>
        <v>1761403.24</v>
      </c>
      <c r="O172" s="11">
        <f>SUMIFS('Consulta Contratos'!$AL:$AL,'Consulta Contratos'!$AT:$AT,1,'Consulta Contratos'!$H:$H,"ATIVO",'Consulta Contratos'!$AM:$AM,'Performance Vendas'!O$25)</f>
        <v>1163982.00875</v>
      </c>
      <c r="P172" s="11">
        <f>SUMIFS('Consulta Contratos'!$AL:$AL,'Consulta Contratos'!$AT:$AT,1,'Consulta Contratos'!$H:$H,"ATIVO",'Consulta Contratos'!$AM:$AM,'Performance Vendas'!P$25)</f>
        <v>1948466.166</v>
      </c>
      <c r="Q172" s="11">
        <f>SUMIFS('Consulta Contratos'!$AL:$AL,'Consulta Contratos'!$AT:$AT,1,'Consulta Contratos'!$H:$H,"ATIVO",'Consulta Contratos'!$AM:$AM,'Performance Vendas'!Q$25)</f>
        <v>1760210.5329999998</v>
      </c>
      <c r="R172" s="11">
        <f>SUMIFS('Consulta Contratos'!$AL:$AL,'Consulta Contratos'!$AT:$AT,1,'Consulta Contratos'!$H:$H,"ATIVO",'Consulta Contratos'!$AM:$AM,'Performance Vendas'!R$25)</f>
        <v>1989784.1700000002</v>
      </c>
      <c r="S172" s="11">
        <f>SUMIFS('Consulta Contratos'!$AL:$AL,'Consulta Contratos'!$AT:$AT,1,'Consulta Contratos'!$H:$H,"ATIVO",'Consulta Contratos'!$AM:$AM,'Performance Vendas'!S$25)</f>
        <v>3251888.4220000003</v>
      </c>
      <c r="T172" s="11">
        <f>SUMIFS('Consulta Contratos'!$AL:$AL,'Consulta Contratos'!$AT:$AT,1,'Consulta Contratos'!$H:$H,"ATIVO",'Consulta Contratos'!$AM:$AM,'Performance Vendas'!T$25)</f>
        <v>2776798.4160000016</v>
      </c>
      <c r="U172" s="11">
        <f>SUMIFS('Consulta Contratos'!$AL:$AL,'Consulta Contratos'!$AT:$AT,1,'Consulta Contratos'!$H:$H,"ATIVO",'Consulta Contratos'!$AM:$AM,'Performance Vendas'!U$25)</f>
        <v>1875785.2749999999</v>
      </c>
      <c r="V172" s="11">
        <f>SUMIFS('Consulta Contratos'!$AL:$AL,'Consulta Contratos'!$AT:$AT,1,'Consulta Contratos'!$H:$H,"ATIVO",'Consulta Contratos'!$AM:$AM,'Performance Vendas'!V$25)</f>
        <v>3691585.5880000014</v>
      </c>
      <c r="W172" s="13">
        <f t="shared" si="250"/>
        <v>26000103.961750001</v>
      </c>
      <c r="X172" s="11">
        <f>SUMIFS('Consulta Contratos'!$AL:$AL,'Consulta Contratos'!$AT:$AT,1,'Consulta Contratos'!$H:$H,"ATIVO",'Consulta Contratos'!$AM:$AM,'Performance Vendas'!X$25)</f>
        <v>2609069.6040000003</v>
      </c>
      <c r="Y172" s="11">
        <f>SUMIFS('Consulta Contratos'!$AL:$AL,'Consulta Contratos'!$AT:$AT,1,'Consulta Contratos'!$H:$H,"ATIVO",'Consulta Contratos'!$AM:$AM,'Performance Vendas'!Y$25)</f>
        <v>446481.48</v>
      </c>
      <c r="Z172" s="11">
        <f>SUMIFS('Consulta Contratos'!$AL:$AL,'Consulta Contratos'!$AT:$AT,1,'Consulta Contratos'!$H:$H,"ATIVO",'Consulta Contratos'!$AM:$AM,'Performance Vendas'!Z$25)</f>
        <v>1056095.1599999999</v>
      </c>
      <c r="AA172" s="11">
        <f>SUMIFS('Consulta Contratos'!$AL:$AL,'Consulta Contratos'!$AT:$AT,1,'Consulta Contratos'!$H:$H,"ATIVO",'Consulta Contratos'!$AM:$AM,'Performance Vendas'!AA$25)</f>
        <v>2971884.6900000004</v>
      </c>
      <c r="AB172" s="11">
        <f>SUMIFS('Consulta Contratos'!$AL:$AL,'Consulta Contratos'!$AT:$AT,1,'Consulta Contratos'!$H:$H,"ATIVO",'Consulta Contratos'!$AM:$AM,'Performance Vendas'!AB$25)</f>
        <v>252049.49</v>
      </c>
      <c r="AC172" s="11">
        <f>SUMIFS('Consulta Contratos'!$AL:$AL,'Consulta Contratos'!$AT:$AT,1,'Consulta Contratos'!$H:$H,"ATIVO",'Consulta Contratos'!$AM:$AM,'Performance Vendas'!AC$25)</f>
        <v>222582.47999999998</v>
      </c>
      <c r="AD172" s="11">
        <f>SUMIFS('Consulta Contratos'!$AL:$AL,'Consulta Contratos'!$AT:$AT,1,'Consulta Contratos'!$H:$H,"ATIVO",'Consulta Contratos'!$AM:$AM,'Performance Vendas'!AD$25)</f>
        <v>951126.05</v>
      </c>
      <c r="AE172" s="11">
        <f>SUMIFS('Consulta Contratos'!$AL:$AL,'Consulta Contratos'!$AT:$AT,1,'Consulta Contratos'!$H:$H,"ATIVO",'Consulta Contratos'!$AM:$AM,'Performance Vendas'!AE$25)</f>
        <v>1340808.6399999994</v>
      </c>
      <c r="AF172" s="11">
        <f>SUMIFS('Consulta Contratos'!$AL:$AL,'Consulta Contratos'!$AT:$AT,1,'Consulta Contratos'!$H:$H,"ATIVO",'Consulta Contratos'!$AM:$AM,'Performance Vendas'!AF$25)</f>
        <v>1739310.9300000002</v>
      </c>
      <c r="AG172" s="11">
        <f>SUMIFS('Consulta Contratos'!$AL:$AL,'Consulta Contratos'!$AT:$AT,1,'Consulta Contratos'!$H:$H,"ATIVO",'Consulta Contratos'!$AM:$AM,'Performance Vendas'!AG$25)</f>
        <v>418333.76000000024</v>
      </c>
      <c r="AH172" s="11">
        <f>SUMIFS('Consulta Contratos'!$AL:$AL,'Consulta Contratos'!$AT:$AT,1,'Consulta Contratos'!$H:$H,"ATIVO",'Consulta Contratos'!$AM:$AM,'Performance Vendas'!AH$25)</f>
        <v>941863.88000000012</v>
      </c>
      <c r="AI172" s="11">
        <f>SUMIFS('Consulta Contratos'!$AL:$AL,'Consulta Contratos'!$AT:$AT,1,'Consulta Contratos'!$H:$H,"ATIVO",'Consulta Contratos'!$AM:$AM,'Performance Vendas'!AI$25)</f>
        <v>1515010.7500000005</v>
      </c>
      <c r="AJ172" s="13">
        <f t="shared" si="252"/>
        <v>14464616.914000001</v>
      </c>
      <c r="AK172" s="11">
        <f>SUMIFS('Consulta Contratos'!$AL:$AL,'Consulta Contratos'!$AT:$AT,1,'Consulta Contratos'!$H:$H,"ATIVO",'Consulta Contratos'!$AM:$AM,'Performance Vendas'!AK$25)</f>
        <v>631770.4099999998</v>
      </c>
      <c r="AL172" s="11">
        <f>SUMIFS('Consulta Contratos'!$AL:$AL,'Consulta Contratos'!$AT:$AT,1,'Consulta Contratos'!$H:$H,"ATIVO",'Consulta Contratos'!$AM:$AM,'Performance Vendas'!AL$25)</f>
        <v>452802.90000000014</v>
      </c>
      <c r="AM172" s="11">
        <f>SUMIFS('Consulta Contratos'!$AL:$AL,'Consulta Contratos'!$AT:$AT,1,'Consulta Contratos'!$H:$H,"ATIVO",'Consulta Contratos'!$AM:$AM,'Performance Vendas'!AM$25)</f>
        <v>74817.880000000019</v>
      </c>
      <c r="AN172" s="11">
        <f>SUMIFS('Consulta Contratos'!$AL:$AL,'Consulta Contratos'!$AT:$AT,1,'Consulta Contratos'!$H:$H,"ATIVO",'Consulta Contratos'!$AM:$AM,'Performance Vendas'!AN$25)</f>
        <v>0</v>
      </c>
      <c r="AO172" s="11">
        <f>SUMIFS('Consulta Contratos'!$AL:$AL,'Consulta Contratos'!$AT:$AT,1,'Consulta Contratos'!$H:$H,"ATIVO",'Consulta Contratos'!$AM:$AM,'Performance Vendas'!AO$25)</f>
        <v>0</v>
      </c>
      <c r="AP172" s="11">
        <f>SUMIFS('Consulta Contratos'!$AL:$AL,'Consulta Contratos'!$AT:$AT,1,'Consulta Contratos'!$H:$H,"ATIVO",'Consulta Contratos'!$AM:$AM,'Performance Vendas'!AP$25)</f>
        <v>0</v>
      </c>
      <c r="AQ172" s="11">
        <f>SUMIFS('Consulta Contratos'!$AL:$AL,'Consulta Contratos'!$AT:$AT,1,'Consulta Contratos'!$H:$H,"ATIVO",'Consulta Contratos'!$AM:$AM,'Performance Vendas'!AQ$25)</f>
        <v>0</v>
      </c>
      <c r="AR172" s="11">
        <f>SUMIFS('Consulta Contratos'!$AL:$AL,'Consulta Contratos'!$AT:$AT,1,'Consulta Contratos'!$H:$H,"ATIVO",'Consulta Contratos'!$AM:$AM,'Performance Vendas'!AR$25)</f>
        <v>0</v>
      </c>
      <c r="AS172" s="11">
        <f>SUMIFS('Consulta Contratos'!$AL:$AL,'Consulta Contratos'!$AT:$AT,1,'Consulta Contratos'!$H:$H,"ATIVO",'Consulta Contratos'!$AM:$AM,'Performance Vendas'!AS$25)</f>
        <v>0</v>
      </c>
      <c r="AT172" s="11">
        <f>SUMIFS('Consulta Contratos'!$AL:$AL,'Consulta Contratos'!$AT:$AT,1,'Consulta Contratos'!$H:$H,"ATIVO",'Consulta Contratos'!$AM:$AM,'Performance Vendas'!AT$25)</f>
        <v>0</v>
      </c>
      <c r="AU172" s="11">
        <f>SUMIFS('Consulta Contratos'!$AL:$AL,'Consulta Contratos'!$AT:$AT,1,'Consulta Contratos'!$H:$H,"ATIVO",'Consulta Contratos'!$AM:$AM,'Performance Vendas'!AU$25)</f>
        <v>0</v>
      </c>
      <c r="AV172" s="11">
        <f>SUMIFS('Consulta Contratos'!$AL:$AL,'Consulta Contratos'!$AT:$AT,1,'Consulta Contratos'!$H:$H,"ATIVO",'Consulta Contratos'!$AM:$AM,'Performance Vendas'!AV$25)</f>
        <v>0</v>
      </c>
      <c r="AW172" s="13">
        <f t="shared" si="294"/>
        <v>1159391.1900000002</v>
      </c>
      <c r="AX172" s="13">
        <f>AJ172+W172+J172+AW172</f>
        <v>43988267.00575</v>
      </c>
      <c r="AY172" s="7"/>
      <c r="AZ172" s="11">
        <f>SUMIFS('Consulta Contratos'!$AL:$AL,'Consulta Contratos'!$AT:$AT,1,'Consulta Contratos'!$H:$H,"ATIVO",'Consulta Contratos'!$AM:$AM,'Performance Vendas'!AZ$25)</f>
        <v>161654.30999999997</v>
      </c>
    </row>
    <row r="173" spans="2:52">
      <c r="B173" s="102" t="s">
        <v>75</v>
      </c>
      <c r="C173" s="114"/>
      <c r="D173" s="95"/>
      <c r="E173" s="234">
        <f t="shared" ref="E173:I173" si="296">E171+E172</f>
        <v>14261001</v>
      </c>
      <c r="F173" s="234">
        <f t="shared" si="296"/>
        <v>7068421.6000000006</v>
      </c>
      <c r="G173" s="234">
        <f t="shared" si="296"/>
        <v>14637023</v>
      </c>
      <c r="H173" s="234">
        <f t="shared" si="296"/>
        <v>10993566</v>
      </c>
      <c r="I173" s="234">
        <f t="shared" si="296"/>
        <v>15146920</v>
      </c>
      <c r="J173" s="235">
        <f t="shared" si="295"/>
        <v>62106931.600000001</v>
      </c>
      <c r="K173" s="234">
        <f t="shared" ref="K173:V173" si="297">K171+K172</f>
        <v>16572999.59</v>
      </c>
      <c r="L173" s="234">
        <f t="shared" si="297"/>
        <v>4633154.25</v>
      </c>
      <c r="M173" s="234">
        <f t="shared" si="297"/>
        <v>16442595.493000001</v>
      </c>
      <c r="N173" s="234">
        <f t="shared" si="297"/>
        <v>15566000</v>
      </c>
      <c r="O173" s="234">
        <f t="shared" si="297"/>
        <v>11101293.208749998</v>
      </c>
      <c r="P173" s="234">
        <f t="shared" si="297"/>
        <v>17029199.466000002</v>
      </c>
      <c r="Q173" s="234">
        <f t="shared" si="297"/>
        <v>15362969.162999999</v>
      </c>
      <c r="R173" s="234">
        <f t="shared" si="297"/>
        <v>13685813.390000002</v>
      </c>
      <c r="S173" s="234">
        <f t="shared" si="297"/>
        <v>23955691.252000004</v>
      </c>
      <c r="T173" s="234">
        <f t="shared" si="297"/>
        <v>27811289.906000003</v>
      </c>
      <c r="U173" s="234">
        <f t="shared" si="297"/>
        <v>16138002.375000002</v>
      </c>
      <c r="V173" s="234">
        <f t="shared" si="297"/>
        <v>27829231.588</v>
      </c>
      <c r="W173" s="235">
        <f t="shared" si="250"/>
        <v>206128239.68175</v>
      </c>
      <c r="X173" s="234">
        <f t="shared" ref="X173:AI173" si="298">X171+X172</f>
        <v>19193891.564000003</v>
      </c>
      <c r="Y173" s="234">
        <f t="shared" si="298"/>
        <v>4530065.7100000009</v>
      </c>
      <c r="Z173" s="234">
        <f t="shared" si="298"/>
        <v>12437879.16</v>
      </c>
      <c r="AA173" s="234">
        <f t="shared" si="298"/>
        <v>13834404.690000001</v>
      </c>
      <c r="AB173" s="234">
        <f t="shared" si="298"/>
        <v>1657455.77</v>
      </c>
      <c r="AC173" s="234">
        <f t="shared" si="298"/>
        <v>2352582.48</v>
      </c>
      <c r="AD173" s="234">
        <f>AD171+AD172</f>
        <v>12688096.710000001</v>
      </c>
      <c r="AE173" s="234">
        <f t="shared" si="298"/>
        <v>23001650.100000001</v>
      </c>
      <c r="AF173" s="234">
        <f t="shared" si="298"/>
        <v>20367434.07</v>
      </c>
      <c r="AG173" s="234">
        <f t="shared" si="298"/>
        <v>3664333.7600000002</v>
      </c>
      <c r="AH173" s="234">
        <f t="shared" si="298"/>
        <v>8998563.5999999996</v>
      </c>
      <c r="AI173" s="234">
        <f t="shared" si="298"/>
        <v>18751525.600000001</v>
      </c>
      <c r="AJ173" s="235">
        <f t="shared" si="252"/>
        <v>141477883.21400002</v>
      </c>
      <c r="AK173" s="234">
        <f t="shared" ref="AK173:AV173" si="299">AK171+AK172</f>
        <v>9980222.2200000007</v>
      </c>
      <c r="AL173" s="234">
        <f t="shared" si="299"/>
        <v>6937098.2100000009</v>
      </c>
      <c r="AM173" s="234">
        <f t="shared" si="299"/>
        <v>402817.88</v>
      </c>
      <c r="AN173" s="234">
        <f t="shared" si="299"/>
        <v>0</v>
      </c>
      <c r="AO173" s="234">
        <f t="shared" si="299"/>
        <v>0</v>
      </c>
      <c r="AP173" s="234">
        <f t="shared" si="299"/>
        <v>0</v>
      </c>
      <c r="AQ173" s="234">
        <f>AQ171+AQ172</f>
        <v>0</v>
      </c>
      <c r="AR173" s="234">
        <f t="shared" ref="AR173:AW173" si="300">AR171+AR172</f>
        <v>0</v>
      </c>
      <c r="AS173" s="234">
        <f t="shared" si="300"/>
        <v>0</v>
      </c>
      <c r="AT173" s="234">
        <f t="shared" si="300"/>
        <v>0</v>
      </c>
      <c r="AU173" s="234">
        <f t="shared" si="300"/>
        <v>0</v>
      </c>
      <c r="AV173" s="234">
        <f t="shared" si="300"/>
        <v>0</v>
      </c>
      <c r="AW173" s="235">
        <f t="shared" si="294"/>
        <v>17320138.309999999</v>
      </c>
      <c r="AX173" s="235">
        <f>AJ173+W173+J173+AW173</f>
        <v>427033192.80575007</v>
      </c>
      <c r="AY173" s="91"/>
      <c r="AZ173" s="234">
        <f>AZ171+AZ172</f>
        <v>1659873.9900000002</v>
      </c>
    </row>
    <row r="174" spans="2:52">
      <c r="D174" s="95"/>
      <c r="J174" s="185"/>
      <c r="W174" s="185"/>
      <c r="AJ174" s="185"/>
      <c r="AW174" s="185"/>
      <c r="AX174" s="185"/>
      <c r="AY174" s="213"/>
      <c r="AZ174" s="14"/>
    </row>
    <row r="175" spans="2:52">
      <c r="G175" s="306"/>
      <c r="J175" s="185"/>
      <c r="W175" s="185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  <c r="AJ175" s="185"/>
      <c r="AL175" s="214"/>
      <c r="AM175" s="214"/>
      <c r="AN175" s="214"/>
      <c r="AO175" s="214"/>
      <c r="AP175" s="214"/>
      <c r="AQ175" s="214"/>
      <c r="AR175" s="214"/>
      <c r="AS175" s="214"/>
      <c r="AT175" s="214"/>
      <c r="AU175" s="214"/>
      <c r="AV175" s="214"/>
      <c r="AW175" s="185"/>
      <c r="AX175" s="185"/>
      <c r="AY175" s="307"/>
      <c r="AZ175" s="14"/>
    </row>
    <row r="176" spans="2:52">
      <c r="E176" s="236">
        <f>-SUMIF('Consulta Contratos'!$AN:$AN,'Performance Vendas'!E79,'Consulta Contratos'!$Z:$Z)</f>
        <v>0</v>
      </c>
      <c r="J176" s="185"/>
      <c r="W176" s="185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  <c r="AJ176" s="215" t="s">
        <v>171</v>
      </c>
      <c r="AL176" s="214"/>
      <c r="AM176" s="214"/>
      <c r="AN176" s="214"/>
      <c r="AO176" s="214"/>
      <c r="AP176" s="214"/>
      <c r="AQ176" s="214"/>
      <c r="AR176" s="214"/>
      <c r="AS176" s="214"/>
      <c r="AT176" s="214"/>
      <c r="AU176" s="214"/>
      <c r="AV176" s="214"/>
      <c r="AW176" s="215" t="s">
        <v>171</v>
      </c>
      <c r="AX176" s="215"/>
      <c r="AY176" s="213"/>
      <c r="AZ176" s="14"/>
    </row>
    <row r="177" spans="36:50">
      <c r="AJ177" s="216">
        <f>AX171</f>
        <v>383044925.79999995</v>
      </c>
      <c r="AW177" s="216">
        <f>BK171</f>
        <v>0</v>
      </c>
      <c r="AX177" s="216">
        <f>AX173</f>
        <v>427033192.80575007</v>
      </c>
    </row>
    <row r="178" spans="36:50">
      <c r="AJ178" s="216">
        <f>AX137</f>
        <v>383044925.79999995</v>
      </c>
      <c r="AW178" s="216">
        <f>BK137</f>
        <v>0</v>
      </c>
      <c r="AX178" s="216">
        <f>AX118</f>
        <v>427033192.80574995</v>
      </c>
    </row>
    <row r="179" spans="36:50">
      <c r="AJ179" s="216">
        <f>AX104</f>
        <v>383044925.79999995</v>
      </c>
      <c r="AW179" s="216">
        <f>BK104</f>
        <v>0</v>
      </c>
      <c r="AX179" s="216">
        <f>AX15</f>
        <v>427033192.80575007</v>
      </c>
    </row>
    <row r="180" spans="36:50">
      <c r="AJ180" s="216">
        <f>AX84</f>
        <v>383044925.79999995</v>
      </c>
      <c r="AW180" s="216">
        <f>BK84</f>
        <v>0</v>
      </c>
      <c r="AX180" s="216">
        <f>AX45</f>
        <v>427033192.80574995</v>
      </c>
    </row>
    <row r="181" spans="36:50">
      <c r="AJ181" s="216">
        <f>AX72</f>
        <v>383044925.79999995</v>
      </c>
      <c r="AW181" s="216">
        <f>BK72</f>
        <v>0</v>
      </c>
      <c r="AX181" s="216"/>
    </row>
    <row r="182" spans="36:50">
      <c r="AJ182" s="216">
        <f>AX12</f>
        <v>383044925.79999995</v>
      </c>
      <c r="AW182" s="216">
        <f>BK12</f>
        <v>0</v>
      </c>
      <c r="AX182" s="216"/>
    </row>
    <row r="183" spans="36:50">
      <c r="AJ183" s="216">
        <f>AX42</f>
        <v>383044925.80000001</v>
      </c>
      <c r="AW183" s="216">
        <f>BK42</f>
        <v>0</v>
      </c>
      <c r="AX183" s="216"/>
    </row>
  </sheetData>
  <mergeCells count="45">
    <mergeCell ref="B45:C45"/>
    <mergeCell ref="B44:C44"/>
    <mergeCell ref="B30:B31"/>
    <mergeCell ref="B32:B33"/>
    <mergeCell ref="B42:B43"/>
    <mergeCell ref="B34:B35"/>
    <mergeCell ref="B36:B37"/>
    <mergeCell ref="B38:B39"/>
    <mergeCell ref="B40:B41"/>
    <mergeCell ref="B6:B7"/>
    <mergeCell ref="B8:B9"/>
    <mergeCell ref="B10:B11"/>
    <mergeCell ref="B12:B13"/>
    <mergeCell ref="B14:C14"/>
    <mergeCell ref="B15:C15"/>
    <mergeCell ref="B19:C19"/>
    <mergeCell ref="B20:C20"/>
    <mergeCell ref="B26:B27"/>
    <mergeCell ref="B28:B29"/>
    <mergeCell ref="B21:C21"/>
    <mergeCell ref="B22:C22"/>
    <mergeCell ref="B16:C16"/>
    <mergeCell ref="B17:C17"/>
    <mergeCell ref="B18:C18"/>
    <mergeCell ref="B72:C73"/>
    <mergeCell ref="B74:C74"/>
    <mergeCell ref="B66:B67"/>
    <mergeCell ref="B70:B71"/>
    <mergeCell ref="B68:B69"/>
    <mergeCell ref="B137:C137"/>
    <mergeCell ref="B122:C122"/>
    <mergeCell ref="B1:J1"/>
    <mergeCell ref="B104:B106"/>
    <mergeCell ref="B118:C118"/>
    <mergeCell ref="B116:C117"/>
    <mergeCell ref="B114:C115"/>
    <mergeCell ref="B112:C113"/>
    <mergeCell ref="B110:C111"/>
    <mergeCell ref="B75:C75"/>
    <mergeCell ref="B84:C84"/>
    <mergeCell ref="B83:C83"/>
    <mergeCell ref="B82:C82"/>
    <mergeCell ref="B81:C81"/>
    <mergeCell ref="B80:C80"/>
    <mergeCell ref="B5:C5"/>
  </mergeCells>
  <pageMargins left="0.51181102362204722" right="0.51181102362204722" top="0.51181102362204722" bottom="0.55118110236220474" header="0" footer="0"/>
  <pageSetup paperSize="9" scale="62" fitToHeight="0" orientation="portrait" r:id="rId2"/>
  <rowBreaks count="4" manualBreakCount="4">
    <brk id="84" min="1" max="37" man="1"/>
    <brk id="138" max="16383" man="1"/>
    <brk id="175" max="16383" man="1"/>
    <brk id="416" max="16383" man="1"/>
  </rowBreaks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NF927"/>
  <sheetViews>
    <sheetView showGridLines="0" tabSelected="1" zoomScale="85" zoomScaleNormal="85" workbookViewId="0">
      <pane ySplit="1" topLeftCell="AH923" activePane="bottomLeft" state="frozen"/>
      <selection pane="bottomLeft" activeCell="AY927" sqref="AY927"/>
      <selection activeCell="A2" sqref="A2"/>
    </sheetView>
  </sheetViews>
  <sheetFormatPr defaultColWidth="14.42578125" defaultRowHeight="15" customHeight="1" outlineLevelCol="1"/>
  <cols>
    <col min="1" max="1" width="4.85546875" bestFit="1" customWidth="1"/>
    <col min="2" max="2" width="16.42578125" style="423" customWidth="1"/>
    <col min="3" max="3" width="42" customWidth="1"/>
    <col min="4" max="4" width="10.7109375" customWidth="1"/>
    <col min="5" max="5" width="6.28515625" customWidth="1" outlineLevel="1"/>
    <col min="6" max="6" width="10" customWidth="1" outlineLevel="1"/>
    <col min="7" max="7" width="13.42578125" customWidth="1"/>
    <col min="8" max="8" width="11.7109375" customWidth="1"/>
    <col min="9" max="9" width="9.28515625" style="89" customWidth="1"/>
    <col min="10" max="10" width="8" customWidth="1"/>
    <col min="11" max="11" width="26.42578125" customWidth="1" outlineLevel="1"/>
    <col min="12" max="12" width="26.140625" customWidth="1" outlineLevel="1"/>
    <col min="13" max="13" width="24.85546875" style="89" bestFit="1" customWidth="1" outlineLevel="1"/>
    <col min="14" max="14" width="8.42578125" bestFit="1" customWidth="1" outlineLevel="1"/>
    <col min="15" max="15" width="9.42578125" bestFit="1" customWidth="1" outlineLevel="1"/>
    <col min="16" max="16" width="18.140625" customWidth="1" outlineLevel="1"/>
    <col min="17" max="17" width="13.28515625" customWidth="1" outlineLevel="1"/>
    <col min="18" max="18" width="9.7109375" customWidth="1" outlineLevel="1"/>
    <col min="19" max="19" width="7.140625" customWidth="1" outlineLevel="1"/>
    <col min="20" max="20" width="6.7109375" style="390" customWidth="1" outlineLevel="1"/>
    <col min="21" max="21" width="12.28515625" customWidth="1"/>
    <col min="22" max="22" width="11.7109375" customWidth="1"/>
    <col min="23" max="23" width="10.5703125" customWidth="1"/>
    <col min="24" max="25" width="15.85546875" style="264" customWidth="1"/>
    <col min="26" max="26" width="12.5703125" style="264" customWidth="1"/>
    <col min="27" max="27" width="10.5703125" hidden="1" customWidth="1" outlineLevel="1"/>
    <col min="28" max="28" width="10.7109375" style="363" customWidth="1" collapsed="1"/>
    <col min="29" max="29" width="10.140625" customWidth="1"/>
    <col min="30" max="30" width="11" customWidth="1"/>
    <col min="31" max="31" width="12.85546875" hidden="1" customWidth="1"/>
    <col min="32" max="32" width="15.140625" hidden="1" customWidth="1"/>
    <col min="33" max="33" width="10.5703125" style="290" customWidth="1"/>
    <col min="34" max="34" width="12.5703125" customWidth="1"/>
    <col min="35" max="35" width="17.85546875" hidden="1" customWidth="1"/>
    <col min="36" max="36" width="12.85546875" hidden="1" customWidth="1"/>
    <col min="37" max="37" width="12" style="290" customWidth="1"/>
    <col min="38" max="38" width="12.7109375" customWidth="1"/>
    <col min="39" max="40" width="8.85546875" customWidth="1"/>
    <col min="41" max="42" width="11" customWidth="1"/>
    <col min="43" max="44" width="8.85546875" customWidth="1"/>
    <col min="45" max="46" width="11" customWidth="1"/>
    <col min="47" max="48" width="9.5703125" customWidth="1"/>
    <col min="49" max="49" width="10" bestFit="1" customWidth="1"/>
    <col min="50" max="51" width="10.140625" customWidth="1"/>
    <col min="52" max="52" width="11.5703125" bestFit="1" customWidth="1"/>
    <col min="53" max="369" width="0" hidden="1" customWidth="1"/>
    <col min="370" max="370" width="0" style="87" hidden="1" customWidth="1"/>
  </cols>
  <sheetData>
    <row r="1" spans="1:52" ht="42.75">
      <c r="A1" s="21" t="s">
        <v>172</v>
      </c>
      <c r="B1" s="424" t="s">
        <v>91</v>
      </c>
      <c r="C1" s="21" t="s">
        <v>173</v>
      </c>
      <c r="D1" s="21" t="s">
        <v>174</v>
      </c>
      <c r="E1" s="21" t="s">
        <v>175</v>
      </c>
      <c r="F1" s="22" t="s">
        <v>176</v>
      </c>
      <c r="G1" s="21" t="s">
        <v>177</v>
      </c>
      <c r="H1" s="21" t="s">
        <v>178</v>
      </c>
      <c r="I1" s="22" t="s">
        <v>179</v>
      </c>
      <c r="J1" s="23" t="s">
        <v>180</v>
      </c>
      <c r="K1" s="24" t="s">
        <v>181</v>
      </c>
      <c r="L1" s="24" t="s">
        <v>182</v>
      </c>
      <c r="M1" s="24" t="s">
        <v>183</v>
      </c>
      <c r="N1" s="22" t="s">
        <v>184</v>
      </c>
      <c r="O1" s="22" t="s">
        <v>185</v>
      </c>
      <c r="P1" s="22" t="s">
        <v>186</v>
      </c>
      <c r="Q1" s="241" t="s">
        <v>93</v>
      </c>
      <c r="R1" s="241" t="s">
        <v>187</v>
      </c>
      <c r="S1" s="237" t="s">
        <v>188</v>
      </c>
      <c r="T1" s="388" t="s">
        <v>189</v>
      </c>
      <c r="U1" s="238" t="s">
        <v>190</v>
      </c>
      <c r="V1" s="239" t="s">
        <v>191</v>
      </c>
      <c r="W1" s="240" t="s">
        <v>192</v>
      </c>
      <c r="X1" s="259" t="s">
        <v>193</v>
      </c>
      <c r="Y1" s="259" t="s">
        <v>194</v>
      </c>
      <c r="Z1" s="259" t="s">
        <v>195</v>
      </c>
      <c r="AA1" s="24" t="s">
        <v>196</v>
      </c>
      <c r="AB1" s="361" t="s">
        <v>197</v>
      </c>
      <c r="AC1" s="25" t="s">
        <v>198</v>
      </c>
      <c r="AD1" s="26" t="s">
        <v>199</v>
      </c>
      <c r="AE1" s="27" t="s">
        <v>200</v>
      </c>
      <c r="AF1" s="27" t="s">
        <v>201</v>
      </c>
      <c r="AG1" s="26" t="s">
        <v>78</v>
      </c>
      <c r="AH1" s="28" t="s">
        <v>202</v>
      </c>
      <c r="AI1" s="29" t="s">
        <v>203</v>
      </c>
      <c r="AJ1" s="29" t="s">
        <v>204</v>
      </c>
      <c r="AK1" s="26" t="s">
        <v>76</v>
      </c>
      <c r="AL1" s="28" t="s">
        <v>88</v>
      </c>
      <c r="AM1" s="30" t="s">
        <v>22</v>
      </c>
      <c r="AN1" s="30" t="s">
        <v>205</v>
      </c>
      <c r="AO1" s="241" t="s">
        <v>206</v>
      </c>
      <c r="AP1" s="241"/>
      <c r="AQ1" s="241" t="s">
        <v>207</v>
      </c>
      <c r="AR1" s="241" t="s">
        <v>208</v>
      </c>
      <c r="AS1" s="241" t="s">
        <v>209</v>
      </c>
      <c r="AT1" s="241" t="s">
        <v>210</v>
      </c>
      <c r="AU1" s="78" t="s">
        <v>211</v>
      </c>
      <c r="AV1" s="241" t="s">
        <v>212</v>
      </c>
      <c r="AW1" s="78" t="s">
        <v>213</v>
      </c>
      <c r="AX1" s="78" t="s">
        <v>214</v>
      </c>
      <c r="AY1" s="78" t="s">
        <v>215</v>
      </c>
      <c r="AZ1" s="78" t="s">
        <v>171</v>
      </c>
    </row>
    <row r="2" spans="1:52" ht="23.25">
      <c r="A2" s="31">
        <v>1</v>
      </c>
      <c r="B2" s="399">
        <v>44778</v>
      </c>
      <c r="C2" s="32" t="s">
        <v>216</v>
      </c>
      <c r="D2" s="32" t="s">
        <v>217</v>
      </c>
      <c r="E2" s="32" t="s">
        <v>218</v>
      </c>
      <c r="F2" s="32" t="s">
        <v>219</v>
      </c>
      <c r="G2" s="33" t="s">
        <v>220</v>
      </c>
      <c r="H2" s="33" t="s">
        <v>90</v>
      </c>
      <c r="I2" s="34">
        <v>0</v>
      </c>
      <c r="J2" s="33" t="s">
        <v>6</v>
      </c>
      <c r="K2" s="35" t="s">
        <v>221</v>
      </c>
      <c r="L2" s="35" t="s">
        <v>221</v>
      </c>
      <c r="M2" s="67" t="s">
        <v>222</v>
      </c>
      <c r="N2" s="33" t="s">
        <v>72</v>
      </c>
      <c r="O2" s="33" t="s">
        <v>12</v>
      </c>
      <c r="P2" s="33" t="s">
        <v>72</v>
      </c>
      <c r="Q2" s="33"/>
      <c r="R2" s="33"/>
      <c r="S2" s="36" t="s">
        <v>147</v>
      </c>
      <c r="T2" s="36"/>
      <c r="U2" s="37" t="s">
        <v>222</v>
      </c>
      <c r="V2" s="38">
        <f t="shared" ref="V2:V65" si="0">B2</f>
        <v>44778</v>
      </c>
      <c r="W2" s="39"/>
      <c r="X2" s="261">
        <v>1905750</v>
      </c>
      <c r="Y2" s="260">
        <v>1905750</v>
      </c>
      <c r="Z2" s="260">
        <v>1227750</v>
      </c>
      <c r="AA2" s="35">
        <v>0</v>
      </c>
      <c r="AB2" s="260"/>
      <c r="AC2" s="41"/>
      <c r="AD2" s="42">
        <v>0.35580000000000001</v>
      </c>
      <c r="AE2" s="41"/>
      <c r="AF2" s="43">
        <v>0.35580000000000001</v>
      </c>
      <c r="AG2" s="40">
        <v>0</v>
      </c>
      <c r="AH2" s="40">
        <v>678000</v>
      </c>
      <c r="AI2" s="41">
        <v>0.35576544667453758</v>
      </c>
      <c r="AJ2" s="44">
        <v>-3.4553325462427509E-5</v>
      </c>
      <c r="AK2" s="40">
        <v>678065.85</v>
      </c>
      <c r="AL2" s="40"/>
      <c r="AM2" s="242">
        <f t="shared" ref="AM2:AM65" si="1">IFERROR(EOMONTH(B2,0),"Pendente")</f>
        <v>44804</v>
      </c>
      <c r="AN2" s="242" t="str">
        <f>IF(AQ2="x","",IF(AQ2="x",AM2,IF(EOMONTH(I2,0)=31,"",EOMONTH(I2,0))))</f>
        <v/>
      </c>
      <c r="AO2" s="79">
        <f>IFERROR(IF(VLOOKUP(C2,C3:C606,1,0)=0,1,0),1)</f>
        <v>1</v>
      </c>
      <c r="AP2" s="410" t="s">
        <v>223</v>
      </c>
      <c r="AQ2" s="243" t="str">
        <f t="shared" ref="AQ2:AQ34" si="2">IF(MID(G2,1,15)="NAO ASSINADO","x","")</f>
        <v/>
      </c>
      <c r="AR2" s="242" t="b">
        <f>IF(AQ2="x",EOMONTH(I2,0))</f>
        <v>0</v>
      </c>
      <c r="AS2" s="79">
        <f t="shared" ref="AS2:AS34" si="3">IF(AH2&lt;0,0,1)</f>
        <v>1</v>
      </c>
      <c r="AT2" s="79">
        <f t="shared" ref="AT2:AT34" si="4">IF(AL2&lt;0,0,1)</f>
        <v>1</v>
      </c>
      <c r="AU2" s="79" t="str">
        <f t="shared" ref="AU2:AU34" si="5">MID(E2,1,1)</f>
        <v>C</v>
      </c>
      <c r="AV2" s="79">
        <f t="shared" ref="AV2:AV34" si="6">IF(AG2&lt;0,0,1)</f>
        <v>1</v>
      </c>
      <c r="AW2" s="79" t="str">
        <f>J2&amp;AU2</f>
        <v>IntegralC</v>
      </c>
      <c r="AX2" s="79">
        <f>IF(COUNTIFS(J:J,"Integral",E:E,E2,H:H,"Ativo")=4,1/4,1/10)</f>
        <v>0.25</v>
      </c>
      <c r="AY2" s="79"/>
      <c r="AZ2" s="79"/>
    </row>
    <row r="3" spans="1:52">
      <c r="A3" s="31">
        <v>2</v>
      </c>
      <c r="B3" s="399">
        <v>44778</v>
      </c>
      <c r="C3" s="32" t="s">
        <v>224</v>
      </c>
      <c r="D3" s="32" t="s">
        <v>225</v>
      </c>
      <c r="E3" s="32" t="s">
        <v>218</v>
      </c>
      <c r="F3" s="32" t="s">
        <v>226</v>
      </c>
      <c r="G3" s="33" t="s">
        <v>220</v>
      </c>
      <c r="H3" s="33" t="s">
        <v>90</v>
      </c>
      <c r="I3" s="34">
        <v>0</v>
      </c>
      <c r="J3" s="33" t="s">
        <v>6</v>
      </c>
      <c r="K3" s="35" t="s">
        <v>221</v>
      </c>
      <c r="L3" s="35" t="s">
        <v>221</v>
      </c>
      <c r="M3" s="67" t="s">
        <v>222</v>
      </c>
      <c r="N3" s="33" t="s">
        <v>72</v>
      </c>
      <c r="O3" s="33" t="s">
        <v>12</v>
      </c>
      <c r="P3" s="33" t="s">
        <v>72</v>
      </c>
      <c r="Q3" s="47"/>
      <c r="R3" s="47"/>
      <c r="S3" s="45" t="s">
        <v>147</v>
      </c>
      <c r="T3" s="45"/>
      <c r="U3" s="46" t="s">
        <v>222</v>
      </c>
      <c r="V3" s="38">
        <f t="shared" si="0"/>
        <v>44778</v>
      </c>
      <c r="W3" s="39"/>
      <c r="X3" s="261">
        <v>1905750</v>
      </c>
      <c r="Y3" s="260">
        <v>1905750</v>
      </c>
      <c r="Z3" s="260">
        <v>1227750</v>
      </c>
      <c r="AA3" s="35">
        <v>0</v>
      </c>
      <c r="AB3" s="260"/>
      <c r="AC3" s="41"/>
      <c r="AD3" s="42">
        <v>0.35580000000000001</v>
      </c>
      <c r="AE3" s="41"/>
      <c r="AF3" s="43">
        <v>0.35580000000000001</v>
      </c>
      <c r="AG3" s="40">
        <v>0</v>
      </c>
      <c r="AH3" s="40">
        <v>678000</v>
      </c>
      <c r="AI3" s="41">
        <v>0.35576544667453758</v>
      </c>
      <c r="AJ3" s="44">
        <v>-3.4553325462427509E-5</v>
      </c>
      <c r="AK3" s="40">
        <v>678065.85</v>
      </c>
      <c r="AL3" s="40"/>
      <c r="AM3" s="242">
        <f t="shared" si="1"/>
        <v>44804</v>
      </c>
      <c r="AN3" s="242" t="str">
        <f>IF(AQ3="x","",IF(AQ3="x",AM3,IF(EOMONTH(I3,0)=31,"",EOMONTH(I3,0))))</f>
        <v/>
      </c>
      <c r="AO3" s="79">
        <f>IFERROR(IF(VLOOKUP(C3,C4:C607,1,0)=0,1,0),1)</f>
        <v>1</v>
      </c>
      <c r="AP3" s="79"/>
      <c r="AQ3" s="243" t="str">
        <f t="shared" si="2"/>
        <v/>
      </c>
      <c r="AR3" s="242" t="b">
        <f>IF(AQ3="x",EOMONTH(I3,0))</f>
        <v>0</v>
      </c>
      <c r="AS3" s="79">
        <f t="shared" si="3"/>
        <v>1</v>
      </c>
      <c r="AT3" s="79">
        <f t="shared" si="4"/>
        <v>1</v>
      </c>
      <c r="AU3" s="79" t="str">
        <f t="shared" si="5"/>
        <v>C</v>
      </c>
      <c r="AV3" s="79">
        <f t="shared" si="6"/>
        <v>1</v>
      </c>
      <c r="AW3" s="79" t="str">
        <f>J3&amp;AU3</f>
        <v>IntegralC</v>
      </c>
      <c r="AX3" s="79">
        <f>IF(COUNTIFS(J:J,"Integral",E:E,E3,H:H,"Ativo")=4,1/4,1/10)</f>
        <v>0.25</v>
      </c>
      <c r="AY3" s="79"/>
      <c r="AZ3" s="79"/>
    </row>
    <row r="4" spans="1:52">
      <c r="A4" s="31">
        <v>3</v>
      </c>
      <c r="B4" s="399">
        <v>44778</v>
      </c>
      <c r="C4" s="32" t="s">
        <v>227</v>
      </c>
      <c r="D4" s="32" t="s">
        <v>228</v>
      </c>
      <c r="E4" s="32" t="s">
        <v>218</v>
      </c>
      <c r="F4" s="32" t="s">
        <v>229</v>
      </c>
      <c r="G4" s="33" t="s">
        <v>220</v>
      </c>
      <c r="H4" s="33" t="s">
        <v>90</v>
      </c>
      <c r="I4" s="34">
        <v>0</v>
      </c>
      <c r="J4" s="33" t="s">
        <v>6</v>
      </c>
      <c r="K4" s="35" t="s">
        <v>221</v>
      </c>
      <c r="L4" s="35" t="s">
        <v>221</v>
      </c>
      <c r="M4" s="67" t="s">
        <v>222</v>
      </c>
      <c r="N4" s="33" t="s">
        <v>72</v>
      </c>
      <c r="O4" s="33" t="s">
        <v>12</v>
      </c>
      <c r="P4" s="33" t="s">
        <v>72</v>
      </c>
      <c r="Q4" s="47"/>
      <c r="R4" s="47"/>
      <c r="S4" s="45" t="s">
        <v>143</v>
      </c>
      <c r="T4" s="45"/>
      <c r="U4" s="46" t="s">
        <v>222</v>
      </c>
      <c r="V4" s="38">
        <f t="shared" si="0"/>
        <v>44778</v>
      </c>
      <c r="W4" s="39"/>
      <c r="X4" s="261">
        <v>1905750</v>
      </c>
      <c r="Y4" s="260">
        <v>1905750</v>
      </c>
      <c r="Z4" s="260">
        <v>1227750</v>
      </c>
      <c r="AA4" s="35">
        <v>0</v>
      </c>
      <c r="AB4" s="260"/>
      <c r="AC4" s="41"/>
      <c r="AD4" s="42">
        <v>0.35580000000000001</v>
      </c>
      <c r="AE4" s="41"/>
      <c r="AF4" s="43">
        <v>0.35580000000000001</v>
      </c>
      <c r="AG4" s="40">
        <v>0</v>
      </c>
      <c r="AH4" s="40">
        <v>678000</v>
      </c>
      <c r="AI4" s="41">
        <v>0.35576544667453758</v>
      </c>
      <c r="AJ4" s="44">
        <v>-3.4553325462427509E-5</v>
      </c>
      <c r="AK4" s="40">
        <v>678065.85</v>
      </c>
      <c r="AL4" s="40"/>
      <c r="AM4" s="242">
        <f t="shared" si="1"/>
        <v>44804</v>
      </c>
      <c r="AN4" s="242" t="str">
        <f>IF(AQ4="x","",IF(AQ4="x",AM4,IF(EOMONTH(I4,0)=31,"",EOMONTH(I4,0))))</f>
        <v/>
      </c>
      <c r="AO4" s="79">
        <f>IFERROR(IF(VLOOKUP(C4,C5:C608,1,0)=0,1,0),1)</f>
        <v>1</v>
      </c>
      <c r="AP4" s="79"/>
      <c r="AQ4" s="243" t="str">
        <f t="shared" si="2"/>
        <v/>
      </c>
      <c r="AR4" s="242" t="b">
        <f>IF(AQ4="x",EOMONTH(I4,0))</f>
        <v>0</v>
      </c>
      <c r="AS4" s="79">
        <f t="shared" si="3"/>
        <v>1</v>
      </c>
      <c r="AT4" s="79">
        <f t="shared" si="4"/>
        <v>1</v>
      </c>
      <c r="AU4" s="79" t="str">
        <f t="shared" si="5"/>
        <v>C</v>
      </c>
      <c r="AV4" s="79">
        <f t="shared" si="6"/>
        <v>1</v>
      </c>
      <c r="AW4" s="79" t="str">
        <f>J4&amp;AU4</f>
        <v>IntegralC</v>
      </c>
      <c r="AX4" s="79">
        <f>IF(COUNTIFS(J:J,"Integral",E:E,E4,H:H,"Ativo")=4,1/4,1/10)</f>
        <v>0.25</v>
      </c>
      <c r="AY4" s="79"/>
      <c r="AZ4" s="79"/>
    </row>
    <row r="5" spans="1:52">
      <c r="A5" s="31">
        <v>4</v>
      </c>
      <c r="B5" s="399">
        <v>44778</v>
      </c>
      <c r="C5" s="32" t="s">
        <v>230</v>
      </c>
      <c r="D5" s="32" t="s">
        <v>231</v>
      </c>
      <c r="E5" s="32" t="s">
        <v>218</v>
      </c>
      <c r="F5" s="32" t="s">
        <v>232</v>
      </c>
      <c r="G5" s="33" t="s">
        <v>220</v>
      </c>
      <c r="H5" s="33" t="s">
        <v>90</v>
      </c>
      <c r="I5" s="34">
        <v>0</v>
      </c>
      <c r="J5" s="33" t="s">
        <v>6</v>
      </c>
      <c r="K5" s="35" t="s">
        <v>221</v>
      </c>
      <c r="L5" s="35" t="s">
        <v>221</v>
      </c>
      <c r="M5" s="67" t="s">
        <v>222</v>
      </c>
      <c r="N5" s="33" t="s">
        <v>72</v>
      </c>
      <c r="O5" s="33" t="s">
        <v>12</v>
      </c>
      <c r="P5" s="33" t="s">
        <v>72</v>
      </c>
      <c r="Q5" s="47"/>
      <c r="R5" s="47"/>
      <c r="S5" s="45" t="s">
        <v>147</v>
      </c>
      <c r="T5" s="45"/>
      <c r="U5" s="46" t="s">
        <v>222</v>
      </c>
      <c r="V5" s="38">
        <f t="shared" si="0"/>
        <v>44778</v>
      </c>
      <c r="W5" s="39"/>
      <c r="X5" s="261">
        <v>1905750</v>
      </c>
      <c r="Y5" s="260">
        <v>1905750</v>
      </c>
      <c r="Z5" s="260">
        <v>1227750</v>
      </c>
      <c r="AA5" s="35">
        <v>0</v>
      </c>
      <c r="AB5" s="260"/>
      <c r="AC5" s="41"/>
      <c r="AD5" s="42">
        <v>0.35580000000000001</v>
      </c>
      <c r="AE5" s="41"/>
      <c r="AF5" s="43">
        <v>0.35580000000000001</v>
      </c>
      <c r="AG5" s="40">
        <v>0</v>
      </c>
      <c r="AH5" s="40">
        <v>678000</v>
      </c>
      <c r="AI5" s="41">
        <v>0.35576544667453758</v>
      </c>
      <c r="AJ5" s="44">
        <v>-3.4553325462427509E-5</v>
      </c>
      <c r="AK5" s="40">
        <v>678065.85</v>
      </c>
      <c r="AL5" s="40"/>
      <c r="AM5" s="242">
        <f t="shared" si="1"/>
        <v>44804</v>
      </c>
      <c r="AN5" s="242" t="str">
        <f>IF(AQ5="x","",IF(AQ5="x",AM5,IF(EOMONTH(I5,0)=31,"",EOMONTH(I5,0))))</f>
        <v/>
      </c>
      <c r="AO5" s="79">
        <f>IFERROR(IF(VLOOKUP(C5,C6:C609,1,0)=0,1,0),1)</f>
        <v>1</v>
      </c>
      <c r="AP5" s="79"/>
      <c r="AQ5" s="243" t="str">
        <f t="shared" si="2"/>
        <v/>
      </c>
      <c r="AR5" s="242" t="b">
        <f>IF(AQ5="x",EOMONTH(I5,0))</f>
        <v>0</v>
      </c>
      <c r="AS5" s="79">
        <f t="shared" si="3"/>
        <v>1</v>
      </c>
      <c r="AT5" s="79">
        <f t="shared" si="4"/>
        <v>1</v>
      </c>
      <c r="AU5" s="79" t="str">
        <f t="shared" si="5"/>
        <v>C</v>
      </c>
      <c r="AV5" s="79">
        <f t="shared" si="6"/>
        <v>1</v>
      </c>
      <c r="AW5" s="79" t="str">
        <f>J5&amp;AU5</f>
        <v>IntegralC</v>
      </c>
      <c r="AX5" s="79">
        <f>IF(COUNTIFS(J:J,"Integral",E:E,E5,H:H,"Ativo")=4,1/4,1/10)</f>
        <v>0.25</v>
      </c>
      <c r="AY5" s="79"/>
      <c r="AZ5" s="79"/>
    </row>
    <row r="6" spans="1:52">
      <c r="A6" s="31">
        <v>5</v>
      </c>
      <c r="B6" s="399">
        <v>44779</v>
      </c>
      <c r="C6" s="32" t="s">
        <v>233</v>
      </c>
      <c r="D6" s="32" t="s">
        <v>234</v>
      </c>
      <c r="E6" s="32" t="s">
        <v>235</v>
      </c>
      <c r="F6" s="32" t="s">
        <v>236</v>
      </c>
      <c r="G6" s="33" t="s">
        <v>220</v>
      </c>
      <c r="H6" s="33" t="s">
        <v>90</v>
      </c>
      <c r="I6" s="34">
        <v>0</v>
      </c>
      <c r="J6" s="33">
        <v>13</v>
      </c>
      <c r="K6" s="35" t="s">
        <v>237</v>
      </c>
      <c r="L6" s="35" t="s">
        <v>238</v>
      </c>
      <c r="M6" s="67" t="s">
        <v>222</v>
      </c>
      <c r="N6" s="33" t="s">
        <v>68</v>
      </c>
      <c r="O6" s="33" t="s">
        <v>13</v>
      </c>
      <c r="P6" s="33" t="s">
        <v>1</v>
      </c>
      <c r="Q6" s="47"/>
      <c r="R6" s="47"/>
      <c r="S6" s="45" t="s">
        <v>143</v>
      </c>
      <c r="T6" s="45"/>
      <c r="U6" s="47" t="s">
        <v>222</v>
      </c>
      <c r="V6" s="48">
        <f t="shared" si="0"/>
        <v>44779</v>
      </c>
      <c r="W6" s="39"/>
      <c r="X6" s="261">
        <v>1022000</v>
      </c>
      <c r="Y6" s="260">
        <v>1022000</v>
      </c>
      <c r="Z6" s="260">
        <v>1057000</v>
      </c>
      <c r="AA6" s="35">
        <v>0</v>
      </c>
      <c r="AB6" s="260"/>
      <c r="AC6" s="41"/>
      <c r="AD6" s="42"/>
      <c r="AE6" s="41"/>
      <c r="AF6" s="43"/>
      <c r="AG6" s="40">
        <v>35000</v>
      </c>
      <c r="AH6" s="40">
        <v>0</v>
      </c>
      <c r="AI6" s="44"/>
      <c r="AJ6" s="44"/>
      <c r="AK6" s="40">
        <v>0</v>
      </c>
      <c r="AL6" s="40">
        <v>0</v>
      </c>
      <c r="AM6" s="242">
        <f t="shared" si="1"/>
        <v>44804</v>
      </c>
      <c r="AN6" s="242" t="str">
        <f>IF(AQ6="x","",IF(AQ6="x",AM6,IF(EOMONTH(I6,0)=31,"",EOMONTH(I6,0))))</f>
        <v/>
      </c>
      <c r="AO6" s="79">
        <f>IFERROR(IF(VLOOKUP(C6,C7:C610,1,0)=0,1,0),1)</f>
        <v>1</v>
      </c>
      <c r="AP6" s="79"/>
      <c r="AQ6" s="243" t="str">
        <f t="shared" si="2"/>
        <v/>
      </c>
      <c r="AR6" s="242" t="b">
        <f>IF(AQ6="x",EOMONTH(I6,0))</f>
        <v>0</v>
      </c>
      <c r="AS6" s="79">
        <f t="shared" si="3"/>
        <v>1</v>
      </c>
      <c r="AT6" s="79">
        <f t="shared" si="4"/>
        <v>1</v>
      </c>
      <c r="AU6" s="79" t="str">
        <f t="shared" si="5"/>
        <v>A</v>
      </c>
      <c r="AV6" s="79">
        <f t="shared" si="6"/>
        <v>1</v>
      </c>
      <c r="AW6" s="79" t="str">
        <f>J6&amp;AU6</f>
        <v>13A</v>
      </c>
      <c r="AX6" s="79">
        <f>IF(COUNTIFS(J:J,"Integral",E:E,E6,H:H,"Ativo")=4,1/4,1/10)</f>
        <v>0.1</v>
      </c>
      <c r="AY6" s="79" t="b">
        <f>J6="integral"</f>
        <v>0</v>
      </c>
      <c r="AZ6" s="79"/>
    </row>
    <row r="7" spans="1:52">
      <c r="A7" s="31">
        <v>6</v>
      </c>
      <c r="B7" s="399">
        <v>44779</v>
      </c>
      <c r="C7" s="32" t="s">
        <v>239</v>
      </c>
      <c r="D7" s="32" t="s">
        <v>240</v>
      </c>
      <c r="E7" s="32" t="s">
        <v>241</v>
      </c>
      <c r="F7" s="32" t="s">
        <v>242</v>
      </c>
      <c r="G7" s="33" t="s">
        <v>243</v>
      </c>
      <c r="H7" s="33" t="s">
        <v>244</v>
      </c>
      <c r="I7" s="34">
        <v>44812</v>
      </c>
      <c r="J7" s="33">
        <v>13</v>
      </c>
      <c r="K7" s="35" t="s">
        <v>245</v>
      </c>
      <c r="L7" s="35" t="s">
        <v>246</v>
      </c>
      <c r="M7" s="67" t="s">
        <v>222</v>
      </c>
      <c r="N7" s="33" t="s">
        <v>68</v>
      </c>
      <c r="O7" s="33" t="s">
        <v>12</v>
      </c>
      <c r="P7" s="33" t="s">
        <v>1</v>
      </c>
      <c r="Q7" s="47"/>
      <c r="R7" s="47"/>
      <c r="S7" s="45" t="s">
        <v>222</v>
      </c>
      <c r="T7" s="45"/>
      <c r="U7" s="47" t="s">
        <v>222</v>
      </c>
      <c r="V7" s="48">
        <f t="shared" si="0"/>
        <v>44779</v>
      </c>
      <c r="W7" s="39"/>
      <c r="X7" s="265">
        <v>0</v>
      </c>
      <c r="Y7" s="67">
        <v>0</v>
      </c>
      <c r="Z7" s="67">
        <v>1057000</v>
      </c>
      <c r="AA7" s="35">
        <v>0</v>
      </c>
      <c r="AB7" s="67"/>
      <c r="AC7" s="40"/>
      <c r="AD7" s="49"/>
      <c r="AE7" s="41">
        <v>0</v>
      </c>
      <c r="AF7" s="43">
        <v>0</v>
      </c>
      <c r="AG7" s="40">
        <v>0</v>
      </c>
      <c r="AH7" s="40"/>
      <c r="AI7" s="44"/>
      <c r="AJ7" s="44"/>
      <c r="AK7" s="40">
        <v>0</v>
      </c>
      <c r="AL7" s="40"/>
      <c r="AM7" s="242">
        <f t="shared" si="1"/>
        <v>44804</v>
      </c>
      <c r="AN7" s="242" t="str">
        <f>IF(AQ7="x","",IF(AQ7="x",AM7,IF(EOMONTH(I7,0)=31,"",EOMONTH(I7,0))))</f>
        <v/>
      </c>
      <c r="AO7" s="79">
        <f>IFERROR(IF(VLOOKUP(C7,C8:C611,1,0)=0,1,0),1)</f>
        <v>1</v>
      </c>
      <c r="AP7" s="79"/>
      <c r="AQ7" s="243" t="str">
        <f t="shared" si="2"/>
        <v>x</v>
      </c>
      <c r="AR7" s="242">
        <f>IF(AQ7="x",EOMONTH(I7,0))</f>
        <v>44834</v>
      </c>
      <c r="AS7" s="79">
        <f t="shared" si="3"/>
        <v>1</v>
      </c>
      <c r="AT7" s="79">
        <f t="shared" si="4"/>
        <v>1</v>
      </c>
      <c r="AU7" s="79" t="str">
        <f t="shared" si="5"/>
        <v>A</v>
      </c>
      <c r="AV7" s="79">
        <f t="shared" si="6"/>
        <v>1</v>
      </c>
      <c r="AW7" s="79" t="str">
        <f>J7&amp;AU7</f>
        <v>13A</v>
      </c>
      <c r="AX7" s="79">
        <f>IF(COUNTIFS(J:J,"Integral",E:E,E7,H:H,"Ativo")=4,1/4,1/10)</f>
        <v>0.1</v>
      </c>
      <c r="AY7" s="79"/>
      <c r="AZ7" s="79"/>
    </row>
    <row r="8" spans="1:52">
      <c r="A8" s="31">
        <v>7</v>
      </c>
      <c r="B8" s="399">
        <v>44779</v>
      </c>
      <c r="C8" s="32" t="s">
        <v>247</v>
      </c>
      <c r="D8" s="32" t="s">
        <v>248</v>
      </c>
      <c r="E8" s="32" t="s">
        <v>249</v>
      </c>
      <c r="F8" s="32" t="s">
        <v>250</v>
      </c>
      <c r="G8" s="33" t="s">
        <v>243</v>
      </c>
      <c r="H8" s="33" t="s">
        <v>244</v>
      </c>
      <c r="I8" s="34">
        <v>44782</v>
      </c>
      <c r="J8" s="33">
        <v>13</v>
      </c>
      <c r="K8" s="35" t="s">
        <v>251</v>
      </c>
      <c r="L8" s="35" t="s">
        <v>252</v>
      </c>
      <c r="M8" s="67" t="s">
        <v>222</v>
      </c>
      <c r="N8" s="33" t="s">
        <v>68</v>
      </c>
      <c r="O8" s="33" t="s">
        <v>12</v>
      </c>
      <c r="P8" s="33" t="s">
        <v>1</v>
      </c>
      <c r="Q8" s="47"/>
      <c r="R8" s="47"/>
      <c r="S8" s="45" t="s">
        <v>222</v>
      </c>
      <c r="T8" s="45"/>
      <c r="U8" s="47" t="s">
        <v>222</v>
      </c>
      <c r="V8" s="48">
        <f t="shared" si="0"/>
        <v>44779</v>
      </c>
      <c r="W8" s="39"/>
      <c r="X8" s="265">
        <v>0</v>
      </c>
      <c r="Y8" s="67">
        <v>0</v>
      </c>
      <c r="Z8" s="67">
        <v>1283000</v>
      </c>
      <c r="AA8" s="35">
        <v>0</v>
      </c>
      <c r="AB8" s="67"/>
      <c r="AC8" s="40"/>
      <c r="AD8" s="49"/>
      <c r="AE8" s="41">
        <v>0</v>
      </c>
      <c r="AF8" s="43">
        <v>0</v>
      </c>
      <c r="AG8" s="40">
        <v>0</v>
      </c>
      <c r="AH8" s="40"/>
      <c r="AI8" s="44"/>
      <c r="AJ8" s="44"/>
      <c r="AK8" s="40">
        <v>0</v>
      </c>
      <c r="AL8" s="40"/>
      <c r="AM8" s="242">
        <f t="shared" si="1"/>
        <v>44804</v>
      </c>
      <c r="AN8" s="242" t="str">
        <f>IF(AQ8="x","",IF(AQ8="x",AM8,IF(EOMONTH(I8,0)=31,"",EOMONTH(I8,0))))</f>
        <v/>
      </c>
      <c r="AO8" s="79">
        <f>IFERROR(IF(VLOOKUP(C8,C9:C612,1,0)=0,1,0),1)</f>
        <v>1</v>
      </c>
      <c r="AP8" s="79"/>
      <c r="AQ8" s="243" t="str">
        <f t="shared" si="2"/>
        <v>x</v>
      </c>
      <c r="AR8" s="242">
        <f>IF(AQ8="x",EOMONTH(I8,0))</f>
        <v>44804</v>
      </c>
      <c r="AS8" s="79">
        <f t="shared" si="3"/>
        <v>1</v>
      </c>
      <c r="AT8" s="79">
        <f t="shared" si="4"/>
        <v>1</v>
      </c>
      <c r="AU8" s="79" t="str">
        <f t="shared" si="5"/>
        <v>A</v>
      </c>
      <c r="AV8" s="79">
        <f t="shared" si="6"/>
        <v>1</v>
      </c>
      <c r="AW8" s="79" t="str">
        <f>J8&amp;AU8</f>
        <v>13A</v>
      </c>
      <c r="AX8" s="79">
        <f>IF(COUNTIFS(J:J,"Integral",E:E,E8,H:H,"Ativo")=4,1/4,1/10)</f>
        <v>0.1</v>
      </c>
      <c r="AY8" s="79"/>
      <c r="AZ8" s="79"/>
    </row>
    <row r="9" spans="1:52">
      <c r="A9" s="31">
        <v>8</v>
      </c>
      <c r="B9" s="399">
        <v>44780</v>
      </c>
      <c r="C9" s="32" t="s">
        <v>253</v>
      </c>
      <c r="D9" s="32" t="s">
        <v>254</v>
      </c>
      <c r="E9" s="32" t="s">
        <v>255</v>
      </c>
      <c r="F9" s="32" t="s">
        <v>256</v>
      </c>
      <c r="G9" s="33" t="s">
        <v>220</v>
      </c>
      <c r="H9" s="33" t="s">
        <v>90</v>
      </c>
      <c r="I9" s="34">
        <v>0</v>
      </c>
      <c r="J9" s="33" t="s">
        <v>6</v>
      </c>
      <c r="K9" s="35" t="s">
        <v>257</v>
      </c>
      <c r="L9" s="35" t="s">
        <v>258</v>
      </c>
      <c r="M9" s="67" t="s">
        <v>222</v>
      </c>
      <c r="N9" s="33" t="s">
        <v>73</v>
      </c>
      <c r="O9" s="33" t="s">
        <v>11</v>
      </c>
      <c r="P9" s="33" t="s">
        <v>1</v>
      </c>
      <c r="Q9" s="47" t="s">
        <v>96</v>
      </c>
      <c r="R9" s="47"/>
      <c r="S9" s="45" t="s">
        <v>143</v>
      </c>
      <c r="T9" s="45"/>
      <c r="U9" s="47" t="s">
        <v>222</v>
      </c>
      <c r="V9" s="48">
        <f t="shared" si="0"/>
        <v>44780</v>
      </c>
      <c r="W9" s="39"/>
      <c r="X9" s="261">
        <v>1263000</v>
      </c>
      <c r="Y9" s="260">
        <v>1263000</v>
      </c>
      <c r="Z9" s="260">
        <v>1292000</v>
      </c>
      <c r="AA9" s="35">
        <v>0</v>
      </c>
      <c r="AB9" s="260"/>
      <c r="AC9" s="41"/>
      <c r="AD9" s="42"/>
      <c r="AE9" s="41"/>
      <c r="AF9" s="43"/>
      <c r="AG9" s="40">
        <v>29000</v>
      </c>
      <c r="AH9" s="40">
        <v>0</v>
      </c>
      <c r="AI9" s="44"/>
      <c r="AJ9" s="44"/>
      <c r="AK9" s="40">
        <v>0</v>
      </c>
      <c r="AL9" s="40">
        <v>0</v>
      </c>
      <c r="AM9" s="242">
        <f t="shared" si="1"/>
        <v>44804</v>
      </c>
      <c r="AN9" s="242" t="str">
        <f>IF(AQ9="x","",IF(AQ9="x",AM9,IF(EOMONTH(I9,0)=31,"",EOMONTH(I9,0))))</f>
        <v/>
      </c>
      <c r="AO9" s="79">
        <f>IFERROR(IF(VLOOKUP(C9,C10:C613,1,0)=0,1,0),1)</f>
        <v>0</v>
      </c>
      <c r="AP9" s="79"/>
      <c r="AQ9" s="243" t="str">
        <f t="shared" si="2"/>
        <v/>
      </c>
      <c r="AR9" s="242" t="b">
        <f>IF(AQ9="x",EOMONTH(I9,0))</f>
        <v>0</v>
      </c>
      <c r="AS9" s="79">
        <f t="shared" si="3"/>
        <v>1</v>
      </c>
      <c r="AT9" s="79">
        <f t="shared" si="4"/>
        <v>1</v>
      </c>
      <c r="AU9" s="79" t="str">
        <f t="shared" si="5"/>
        <v>A</v>
      </c>
      <c r="AV9" s="79">
        <f t="shared" si="6"/>
        <v>1</v>
      </c>
      <c r="AW9" s="79" t="str">
        <f>J9&amp;AU9</f>
        <v>IntegralA</v>
      </c>
      <c r="AX9" s="79">
        <f>IF(COUNTIFS(J:J,"Integral",E:E,E9,H:H,"Ativo")=4,1/4,1/10)</f>
        <v>0.25</v>
      </c>
      <c r="AY9" s="79"/>
      <c r="AZ9" s="79"/>
    </row>
    <row r="10" spans="1:52" ht="15.75" customHeight="1">
      <c r="A10" s="31">
        <v>9</v>
      </c>
      <c r="B10" s="399">
        <v>44780</v>
      </c>
      <c r="C10" s="32" t="s">
        <v>253</v>
      </c>
      <c r="D10" s="32" t="s">
        <v>259</v>
      </c>
      <c r="E10" s="32" t="s">
        <v>255</v>
      </c>
      <c r="F10" s="32" t="s">
        <v>260</v>
      </c>
      <c r="G10" s="33" t="s">
        <v>220</v>
      </c>
      <c r="H10" s="33" t="s">
        <v>90</v>
      </c>
      <c r="I10" s="34">
        <v>0</v>
      </c>
      <c r="J10" s="33" t="s">
        <v>6</v>
      </c>
      <c r="K10" s="35" t="s">
        <v>261</v>
      </c>
      <c r="L10" s="35" t="s">
        <v>258</v>
      </c>
      <c r="M10" s="67" t="s">
        <v>222</v>
      </c>
      <c r="N10" s="33" t="s">
        <v>73</v>
      </c>
      <c r="O10" s="33" t="s">
        <v>11</v>
      </c>
      <c r="P10" s="33" t="s">
        <v>1</v>
      </c>
      <c r="Q10" s="47" t="s">
        <v>96</v>
      </c>
      <c r="R10" s="47"/>
      <c r="S10" s="45" t="s">
        <v>143</v>
      </c>
      <c r="T10" s="45"/>
      <c r="U10" s="47" t="s">
        <v>222</v>
      </c>
      <c r="V10" s="48">
        <f t="shared" si="0"/>
        <v>44780</v>
      </c>
      <c r="W10" s="39"/>
      <c r="X10" s="261">
        <v>1263000</v>
      </c>
      <c r="Y10" s="260">
        <v>1263000</v>
      </c>
      <c r="Z10" s="260">
        <v>1292000</v>
      </c>
      <c r="AA10" s="35">
        <v>0</v>
      </c>
      <c r="AB10" s="260"/>
      <c r="AC10" s="41"/>
      <c r="AD10" s="42"/>
      <c r="AE10" s="41"/>
      <c r="AF10" s="43"/>
      <c r="AG10" s="40">
        <v>29000</v>
      </c>
      <c r="AH10" s="40">
        <v>0</v>
      </c>
      <c r="AI10" s="44"/>
      <c r="AJ10" s="44"/>
      <c r="AK10" s="40">
        <v>0</v>
      </c>
      <c r="AL10" s="40">
        <v>0</v>
      </c>
      <c r="AM10" s="242">
        <f t="shared" si="1"/>
        <v>44804</v>
      </c>
      <c r="AN10" s="242" t="str">
        <f>IF(AQ10="x","",IF(AQ10="x",AM10,IF(EOMONTH(I10,0)=31,"",EOMONTH(I10,0))))</f>
        <v/>
      </c>
      <c r="AO10" s="79">
        <f>IFERROR(IF(VLOOKUP(C10,C11:C614,1,0)=0,1,0),1)</f>
        <v>0</v>
      </c>
      <c r="AP10" s="79"/>
      <c r="AQ10" s="243" t="str">
        <f t="shared" si="2"/>
        <v/>
      </c>
      <c r="AR10" s="242" t="b">
        <f>IF(AQ10="x",EOMONTH(I10,0))</f>
        <v>0</v>
      </c>
      <c r="AS10" s="79">
        <f t="shared" si="3"/>
        <v>1</v>
      </c>
      <c r="AT10" s="79">
        <f t="shared" si="4"/>
        <v>1</v>
      </c>
      <c r="AU10" s="79" t="str">
        <f t="shared" si="5"/>
        <v>A</v>
      </c>
      <c r="AV10" s="79">
        <f t="shared" si="6"/>
        <v>1</v>
      </c>
      <c r="AW10" s="79" t="str">
        <f>J10&amp;AU10</f>
        <v>IntegralA</v>
      </c>
      <c r="AX10" s="79">
        <f>IF(COUNTIFS(J:J,"Integral",E:E,E10,H:H,"Ativo")=4,1/4,1/10)</f>
        <v>0.25</v>
      </c>
      <c r="AY10" s="79"/>
      <c r="AZ10" s="79"/>
    </row>
    <row r="11" spans="1:52" ht="15.75" customHeight="1">
      <c r="A11" s="31">
        <v>10</v>
      </c>
      <c r="B11" s="399">
        <v>44780</v>
      </c>
      <c r="C11" s="32" t="s">
        <v>253</v>
      </c>
      <c r="D11" s="32" t="s">
        <v>262</v>
      </c>
      <c r="E11" s="32" t="s">
        <v>255</v>
      </c>
      <c r="F11" s="32" t="s">
        <v>263</v>
      </c>
      <c r="G11" s="33" t="s">
        <v>220</v>
      </c>
      <c r="H11" s="33" t="s">
        <v>90</v>
      </c>
      <c r="I11" s="34">
        <v>0</v>
      </c>
      <c r="J11" s="33" t="s">
        <v>6</v>
      </c>
      <c r="K11" s="35" t="s">
        <v>258</v>
      </c>
      <c r="L11" s="35" t="s">
        <v>258</v>
      </c>
      <c r="M11" s="67" t="s">
        <v>222</v>
      </c>
      <c r="N11" s="33" t="s">
        <v>73</v>
      </c>
      <c r="O11" s="33" t="s">
        <v>11</v>
      </c>
      <c r="P11" s="33" t="s">
        <v>1</v>
      </c>
      <c r="Q11" s="47" t="s">
        <v>96</v>
      </c>
      <c r="R11" s="47"/>
      <c r="S11" s="45" t="s">
        <v>143</v>
      </c>
      <c r="T11" s="45"/>
      <c r="U11" s="47" t="s">
        <v>222</v>
      </c>
      <c r="V11" s="48">
        <f t="shared" si="0"/>
        <v>44780</v>
      </c>
      <c r="W11" s="39"/>
      <c r="X11" s="261">
        <v>1263000</v>
      </c>
      <c r="Y11" s="260">
        <v>1263000</v>
      </c>
      <c r="Z11" s="260">
        <v>1292000</v>
      </c>
      <c r="AA11" s="35">
        <v>0</v>
      </c>
      <c r="AB11" s="260"/>
      <c r="AC11" s="41"/>
      <c r="AD11" s="42"/>
      <c r="AE11" s="41"/>
      <c r="AF11" s="43"/>
      <c r="AG11" s="40">
        <v>29000</v>
      </c>
      <c r="AH11" s="40">
        <v>0</v>
      </c>
      <c r="AI11" s="44"/>
      <c r="AJ11" s="44"/>
      <c r="AK11" s="40">
        <v>0</v>
      </c>
      <c r="AL11" s="40">
        <v>0</v>
      </c>
      <c r="AM11" s="242">
        <f t="shared" si="1"/>
        <v>44804</v>
      </c>
      <c r="AN11" s="242" t="str">
        <f>IF(AQ11="x","",IF(AQ11="x",AM11,IF(EOMONTH(I11,0)=31,"",EOMONTH(I11,0))))</f>
        <v/>
      </c>
      <c r="AO11" s="79">
        <f>IFERROR(IF(VLOOKUP(C11,C12:C615,1,0)=0,1,0),1)</f>
        <v>0</v>
      </c>
      <c r="AP11" s="79"/>
      <c r="AQ11" s="243" t="str">
        <f t="shared" si="2"/>
        <v/>
      </c>
      <c r="AR11" s="242" t="b">
        <f>IF(AQ11="x",EOMONTH(I11,0))</f>
        <v>0</v>
      </c>
      <c r="AS11" s="79">
        <f t="shared" si="3"/>
        <v>1</v>
      </c>
      <c r="AT11" s="79">
        <f t="shared" si="4"/>
        <v>1</v>
      </c>
      <c r="AU11" s="79" t="str">
        <f t="shared" si="5"/>
        <v>A</v>
      </c>
      <c r="AV11" s="79">
        <f t="shared" si="6"/>
        <v>1</v>
      </c>
      <c r="AW11" s="79" t="str">
        <f>J11&amp;AU11</f>
        <v>IntegralA</v>
      </c>
      <c r="AX11" s="79">
        <f>IF(COUNTIFS(J:J,"Integral",E:E,E11,H:H,"Ativo")=4,1/4,1/10)</f>
        <v>0.25</v>
      </c>
      <c r="AY11" s="79"/>
      <c r="AZ11" s="79"/>
    </row>
    <row r="12" spans="1:52" ht="15.75" customHeight="1">
      <c r="A12" s="31">
        <v>11</v>
      </c>
      <c r="B12" s="399">
        <v>44780</v>
      </c>
      <c r="C12" s="32" t="s">
        <v>253</v>
      </c>
      <c r="D12" s="32" t="s">
        <v>264</v>
      </c>
      <c r="E12" s="32" t="s">
        <v>255</v>
      </c>
      <c r="F12" s="32" t="s">
        <v>265</v>
      </c>
      <c r="G12" s="33" t="s">
        <v>220</v>
      </c>
      <c r="H12" s="33" t="s">
        <v>90</v>
      </c>
      <c r="I12" s="34">
        <v>0</v>
      </c>
      <c r="J12" s="33" t="s">
        <v>6</v>
      </c>
      <c r="K12" s="35" t="s">
        <v>258</v>
      </c>
      <c r="L12" s="35" t="s">
        <v>258</v>
      </c>
      <c r="M12" s="67" t="s">
        <v>222</v>
      </c>
      <c r="N12" s="33" t="s">
        <v>73</v>
      </c>
      <c r="O12" s="33" t="s">
        <v>11</v>
      </c>
      <c r="P12" s="33" t="s">
        <v>1</v>
      </c>
      <c r="Q12" s="47" t="s">
        <v>96</v>
      </c>
      <c r="R12" s="47"/>
      <c r="S12" s="45" t="s">
        <v>143</v>
      </c>
      <c r="T12" s="45"/>
      <c r="U12" s="47" t="s">
        <v>222</v>
      </c>
      <c r="V12" s="48">
        <f t="shared" si="0"/>
        <v>44780</v>
      </c>
      <c r="W12" s="39"/>
      <c r="X12" s="261">
        <v>1263000</v>
      </c>
      <c r="Y12" s="260">
        <v>1263000</v>
      </c>
      <c r="Z12" s="260">
        <v>1292000</v>
      </c>
      <c r="AA12" s="35">
        <v>0</v>
      </c>
      <c r="AB12" s="260"/>
      <c r="AC12" s="41"/>
      <c r="AD12" s="42"/>
      <c r="AE12" s="41"/>
      <c r="AF12" s="43"/>
      <c r="AG12" s="40">
        <v>29000</v>
      </c>
      <c r="AH12" s="40">
        <v>0</v>
      </c>
      <c r="AI12" s="44"/>
      <c r="AJ12" s="44"/>
      <c r="AK12" s="40">
        <v>0</v>
      </c>
      <c r="AL12" s="40">
        <v>0</v>
      </c>
      <c r="AM12" s="242">
        <f t="shared" si="1"/>
        <v>44804</v>
      </c>
      <c r="AN12" s="242" t="str">
        <f>IF(AQ12="x","",IF(AQ12="x",AM12,IF(EOMONTH(I12,0)=31,"",EOMONTH(I12,0))))</f>
        <v/>
      </c>
      <c r="AO12" s="79">
        <f>IFERROR(IF(VLOOKUP(C12,C13:C616,1,0)=0,1,0),1)</f>
        <v>0</v>
      </c>
      <c r="AP12" s="79"/>
      <c r="AQ12" s="243" t="str">
        <f t="shared" si="2"/>
        <v/>
      </c>
      <c r="AR12" s="242" t="b">
        <f>IF(AQ12="x",EOMONTH(I12,0))</f>
        <v>0</v>
      </c>
      <c r="AS12" s="79">
        <f t="shared" si="3"/>
        <v>1</v>
      </c>
      <c r="AT12" s="79">
        <f t="shared" si="4"/>
        <v>1</v>
      </c>
      <c r="AU12" s="79" t="str">
        <f t="shared" si="5"/>
        <v>A</v>
      </c>
      <c r="AV12" s="79">
        <f t="shared" si="6"/>
        <v>1</v>
      </c>
      <c r="AW12" s="79" t="str">
        <f>J12&amp;AU12</f>
        <v>IntegralA</v>
      </c>
      <c r="AX12" s="79">
        <f>IF(COUNTIFS(J:J,"Integral",E:E,E12,H:H,"Ativo")=4,1/4,1/10)</f>
        <v>0.25</v>
      </c>
      <c r="AY12" s="79"/>
      <c r="AZ12" s="79"/>
    </row>
    <row r="13" spans="1:52" ht="15.75" customHeight="1">
      <c r="A13" s="31">
        <v>12</v>
      </c>
      <c r="B13" s="399">
        <v>44780</v>
      </c>
      <c r="C13" s="32" t="s">
        <v>253</v>
      </c>
      <c r="D13" s="32" t="s">
        <v>266</v>
      </c>
      <c r="E13" s="32" t="s">
        <v>267</v>
      </c>
      <c r="F13" s="32" t="s">
        <v>268</v>
      </c>
      <c r="G13" s="33" t="s">
        <v>220</v>
      </c>
      <c r="H13" s="33" t="s">
        <v>90</v>
      </c>
      <c r="I13" s="34">
        <v>0</v>
      </c>
      <c r="J13" s="33">
        <v>52</v>
      </c>
      <c r="K13" s="35" t="s">
        <v>257</v>
      </c>
      <c r="L13" s="35" t="s">
        <v>258</v>
      </c>
      <c r="M13" s="67" t="s">
        <v>222</v>
      </c>
      <c r="N13" s="33" t="s">
        <v>68</v>
      </c>
      <c r="O13" s="33" t="s">
        <v>11</v>
      </c>
      <c r="P13" s="33" t="s">
        <v>1</v>
      </c>
      <c r="Q13" s="47" t="s">
        <v>96</v>
      </c>
      <c r="R13" s="47"/>
      <c r="S13" s="45" t="s">
        <v>143</v>
      </c>
      <c r="T13" s="45"/>
      <c r="U13" s="47" t="s">
        <v>222</v>
      </c>
      <c r="V13" s="48">
        <f t="shared" si="0"/>
        <v>44780</v>
      </c>
      <c r="W13" s="39"/>
      <c r="X13" s="261">
        <v>1</v>
      </c>
      <c r="Y13" s="260">
        <v>1</v>
      </c>
      <c r="Z13" s="260">
        <v>1</v>
      </c>
      <c r="AA13" s="35">
        <v>0</v>
      </c>
      <c r="AB13" s="260"/>
      <c r="AC13" s="41"/>
      <c r="AD13" s="42"/>
      <c r="AE13" s="41"/>
      <c r="AF13" s="43"/>
      <c r="AG13" s="40">
        <v>0</v>
      </c>
      <c r="AH13" s="40">
        <v>0</v>
      </c>
      <c r="AI13" s="44"/>
      <c r="AJ13" s="44"/>
      <c r="AK13" s="40">
        <v>0</v>
      </c>
      <c r="AL13" s="40">
        <v>0</v>
      </c>
      <c r="AM13" s="242">
        <f t="shared" si="1"/>
        <v>44804</v>
      </c>
      <c r="AN13" s="242" t="str">
        <f>IF(AQ13="x","",IF(AQ13="x",AM13,IF(EOMONTH(I13,0)=31,"",EOMONTH(I13,0))))</f>
        <v/>
      </c>
      <c r="AO13" s="79">
        <f>IFERROR(IF(VLOOKUP(C13,C14:C617,1,0)=0,1,0),1)</f>
        <v>0</v>
      </c>
      <c r="AP13" s="79"/>
      <c r="AQ13" s="243" t="str">
        <f t="shared" si="2"/>
        <v/>
      </c>
      <c r="AR13" s="242" t="b">
        <f>IF(AQ13="x",EOMONTH(I13,0))</f>
        <v>0</v>
      </c>
      <c r="AS13" s="79">
        <f t="shared" si="3"/>
        <v>1</v>
      </c>
      <c r="AT13" s="79">
        <f t="shared" si="4"/>
        <v>1</v>
      </c>
      <c r="AU13" s="79" t="str">
        <f t="shared" si="5"/>
        <v>V</v>
      </c>
      <c r="AV13" s="79">
        <f t="shared" si="6"/>
        <v>1</v>
      </c>
      <c r="AW13" s="79" t="str">
        <f>J13&amp;AU13</f>
        <v>52V</v>
      </c>
      <c r="AX13" s="79">
        <f>IF(COUNTIFS(J:J,"Integral",E:E,E13,H:H,"Ativo")=4,1/4,1/10)</f>
        <v>0.1</v>
      </c>
      <c r="AY13" s="79"/>
      <c r="AZ13" s="79"/>
    </row>
    <row r="14" spans="1:52" ht="15.75" customHeight="1">
      <c r="A14" s="31">
        <v>13</v>
      </c>
      <c r="B14" s="399">
        <v>44784</v>
      </c>
      <c r="C14" s="32" t="s">
        <v>269</v>
      </c>
      <c r="D14" s="32" t="s">
        <v>270</v>
      </c>
      <c r="E14" s="32" t="s">
        <v>271</v>
      </c>
      <c r="F14" s="32" t="s">
        <v>272</v>
      </c>
      <c r="G14" s="33" t="s">
        <v>220</v>
      </c>
      <c r="H14" s="33" t="s">
        <v>90</v>
      </c>
      <c r="I14" s="34">
        <v>0</v>
      </c>
      <c r="J14" s="33" t="s">
        <v>6</v>
      </c>
      <c r="K14" s="35" t="s">
        <v>273</v>
      </c>
      <c r="L14" s="35" t="s">
        <v>274</v>
      </c>
      <c r="M14" s="67" t="s">
        <v>222</v>
      </c>
      <c r="N14" s="33" t="s">
        <v>68</v>
      </c>
      <c r="O14" s="33" t="s">
        <v>12</v>
      </c>
      <c r="P14" s="33" t="s">
        <v>1</v>
      </c>
      <c r="Q14" s="47"/>
      <c r="R14" s="47"/>
      <c r="S14" s="45" t="s">
        <v>145</v>
      </c>
      <c r="T14" s="45"/>
      <c r="U14" s="47" t="s">
        <v>222</v>
      </c>
      <c r="V14" s="48">
        <f t="shared" si="0"/>
        <v>44784</v>
      </c>
      <c r="W14" s="39"/>
      <c r="X14" s="261">
        <v>637750</v>
      </c>
      <c r="Y14" s="260">
        <v>637750</v>
      </c>
      <c r="Z14" s="260">
        <v>691250</v>
      </c>
      <c r="AA14" s="35">
        <v>0</v>
      </c>
      <c r="AB14" s="260"/>
      <c r="AC14" s="41"/>
      <c r="AD14" s="42"/>
      <c r="AE14" s="41"/>
      <c r="AF14" s="43"/>
      <c r="AG14" s="40">
        <v>53500</v>
      </c>
      <c r="AH14" s="40">
        <v>0</v>
      </c>
      <c r="AI14" s="44"/>
      <c r="AJ14" s="44"/>
      <c r="AK14" s="40">
        <v>0</v>
      </c>
      <c r="AL14" s="40">
        <v>0</v>
      </c>
      <c r="AM14" s="242">
        <f t="shared" si="1"/>
        <v>44804</v>
      </c>
      <c r="AN14" s="242" t="str">
        <f>IF(AQ14="x","",IF(AQ14="x",AM14,IF(EOMONTH(I14,0)=31,"",EOMONTH(I14,0))))</f>
        <v/>
      </c>
      <c r="AO14" s="79">
        <f>IFERROR(IF(VLOOKUP(C14,C15:C618,1,0)=0,1,0),1)</f>
        <v>0</v>
      </c>
      <c r="AP14" s="79"/>
      <c r="AQ14" s="243" t="str">
        <f t="shared" si="2"/>
        <v/>
      </c>
      <c r="AR14" s="242" t="b">
        <f>IF(AQ14="x",EOMONTH(I14,0))</f>
        <v>0</v>
      </c>
      <c r="AS14" s="79">
        <f t="shared" si="3"/>
        <v>1</v>
      </c>
      <c r="AT14" s="79">
        <f t="shared" si="4"/>
        <v>1</v>
      </c>
      <c r="AU14" s="79" t="str">
        <f t="shared" si="5"/>
        <v>B</v>
      </c>
      <c r="AV14" s="79">
        <f t="shared" si="6"/>
        <v>1</v>
      </c>
      <c r="AW14" s="79" t="str">
        <f>J14&amp;AU14</f>
        <v>IntegralB</v>
      </c>
      <c r="AX14" s="79">
        <f>IF(COUNTIFS(J:J,"Integral",E:E,E14,H:H,"Ativo")=4,1/4,1/10)</f>
        <v>0.25</v>
      </c>
      <c r="AY14" s="79"/>
      <c r="AZ14" s="79"/>
    </row>
    <row r="15" spans="1:52" ht="15.75" customHeight="1">
      <c r="A15" s="31">
        <v>14</v>
      </c>
      <c r="B15" s="399">
        <v>44784</v>
      </c>
      <c r="C15" s="32" t="s">
        <v>269</v>
      </c>
      <c r="D15" s="32" t="s">
        <v>275</v>
      </c>
      <c r="E15" s="32" t="s">
        <v>271</v>
      </c>
      <c r="F15" s="32" t="s">
        <v>276</v>
      </c>
      <c r="G15" s="33" t="s">
        <v>220</v>
      </c>
      <c r="H15" s="33" t="s">
        <v>90</v>
      </c>
      <c r="I15" s="34">
        <v>0</v>
      </c>
      <c r="J15" s="33" t="s">
        <v>6</v>
      </c>
      <c r="K15" s="35" t="s">
        <v>273</v>
      </c>
      <c r="L15" s="35" t="s">
        <v>274</v>
      </c>
      <c r="M15" s="67" t="s">
        <v>222</v>
      </c>
      <c r="N15" s="33" t="s">
        <v>68</v>
      </c>
      <c r="O15" s="33" t="s">
        <v>12</v>
      </c>
      <c r="P15" s="33" t="s">
        <v>1</v>
      </c>
      <c r="Q15" s="47"/>
      <c r="R15" s="47"/>
      <c r="S15" s="45" t="s">
        <v>145</v>
      </c>
      <c r="T15" s="45"/>
      <c r="U15" s="47" t="s">
        <v>222</v>
      </c>
      <c r="V15" s="48">
        <f t="shared" si="0"/>
        <v>44784</v>
      </c>
      <c r="W15" s="50"/>
      <c r="X15" s="261">
        <v>637750</v>
      </c>
      <c r="Y15" s="260">
        <v>637750</v>
      </c>
      <c r="Z15" s="260">
        <v>691250</v>
      </c>
      <c r="AA15" s="35">
        <v>0</v>
      </c>
      <c r="AB15" s="260"/>
      <c r="AC15" s="41"/>
      <c r="AD15" s="42"/>
      <c r="AE15" s="41"/>
      <c r="AF15" s="43"/>
      <c r="AG15" s="40">
        <v>53500</v>
      </c>
      <c r="AH15" s="40">
        <v>0</v>
      </c>
      <c r="AI15" s="44"/>
      <c r="AJ15" s="44"/>
      <c r="AK15" s="40">
        <v>0</v>
      </c>
      <c r="AL15" s="40">
        <v>0</v>
      </c>
      <c r="AM15" s="242">
        <f t="shared" si="1"/>
        <v>44804</v>
      </c>
      <c r="AN15" s="242" t="str">
        <f>IF(AQ15="x","",IF(AQ15="x",AM15,IF(EOMONTH(I15,0)=31,"",EOMONTH(I15,0))))</f>
        <v/>
      </c>
      <c r="AO15" s="79">
        <f>IFERROR(IF(VLOOKUP(C15,C16:C619,1,0)=0,1,0),1)</f>
        <v>0</v>
      </c>
      <c r="AP15" s="79"/>
      <c r="AQ15" s="243" t="str">
        <f t="shared" si="2"/>
        <v/>
      </c>
      <c r="AR15" s="242" t="b">
        <f>IF(AQ15="x",EOMONTH(I15,0))</f>
        <v>0</v>
      </c>
      <c r="AS15" s="79">
        <f t="shared" si="3"/>
        <v>1</v>
      </c>
      <c r="AT15" s="79">
        <f t="shared" si="4"/>
        <v>1</v>
      </c>
      <c r="AU15" s="79" t="str">
        <f t="shared" si="5"/>
        <v>B</v>
      </c>
      <c r="AV15" s="79">
        <f t="shared" si="6"/>
        <v>1</v>
      </c>
      <c r="AW15" s="79" t="str">
        <f>J15&amp;AU15</f>
        <v>IntegralB</v>
      </c>
      <c r="AX15" s="79">
        <f>IF(COUNTIFS(J:J,"Integral",E:E,E15,H:H,"Ativo")=4,1/4,1/10)</f>
        <v>0.25</v>
      </c>
      <c r="AY15" s="79"/>
      <c r="AZ15" s="79"/>
    </row>
    <row r="16" spans="1:52" ht="15.75" customHeight="1">
      <c r="A16" s="31">
        <v>15</v>
      </c>
      <c r="B16" s="399">
        <v>44784</v>
      </c>
      <c r="C16" s="32" t="s">
        <v>269</v>
      </c>
      <c r="D16" s="32" t="s">
        <v>277</v>
      </c>
      <c r="E16" s="32" t="s">
        <v>271</v>
      </c>
      <c r="F16" s="32" t="s">
        <v>278</v>
      </c>
      <c r="G16" s="33" t="s">
        <v>220</v>
      </c>
      <c r="H16" s="33" t="s">
        <v>90</v>
      </c>
      <c r="I16" s="34">
        <v>0</v>
      </c>
      <c r="J16" s="33" t="s">
        <v>6</v>
      </c>
      <c r="K16" s="35" t="s">
        <v>273</v>
      </c>
      <c r="L16" s="35" t="s">
        <v>274</v>
      </c>
      <c r="M16" s="67" t="s">
        <v>222</v>
      </c>
      <c r="N16" s="33" t="s">
        <v>68</v>
      </c>
      <c r="O16" s="33" t="s">
        <v>12</v>
      </c>
      <c r="P16" s="33" t="s">
        <v>1</v>
      </c>
      <c r="Q16" s="47"/>
      <c r="R16" s="47"/>
      <c r="S16" s="45" t="s">
        <v>145</v>
      </c>
      <c r="T16" s="45"/>
      <c r="U16" s="47" t="s">
        <v>222</v>
      </c>
      <c r="V16" s="48">
        <f t="shared" si="0"/>
        <v>44784</v>
      </c>
      <c r="W16" s="50"/>
      <c r="X16" s="261">
        <v>637750</v>
      </c>
      <c r="Y16" s="260">
        <v>637750</v>
      </c>
      <c r="Z16" s="260">
        <v>691250</v>
      </c>
      <c r="AA16" s="35">
        <v>0</v>
      </c>
      <c r="AB16" s="260"/>
      <c r="AC16" s="41"/>
      <c r="AD16" s="42"/>
      <c r="AE16" s="41"/>
      <c r="AF16" s="43"/>
      <c r="AG16" s="40">
        <v>53500</v>
      </c>
      <c r="AH16" s="40">
        <v>0</v>
      </c>
      <c r="AI16" s="44"/>
      <c r="AJ16" s="44"/>
      <c r="AK16" s="40">
        <v>0</v>
      </c>
      <c r="AL16" s="40">
        <v>0</v>
      </c>
      <c r="AM16" s="242">
        <f t="shared" si="1"/>
        <v>44804</v>
      </c>
      <c r="AN16" s="242" t="str">
        <f>IF(AQ16="x","",IF(AQ16="x",AM16,IF(EOMONTH(I16,0)=31,"",EOMONTH(I16,0))))</f>
        <v/>
      </c>
      <c r="AO16" s="79">
        <f>IFERROR(IF(VLOOKUP(C16,C17:C620,1,0)=0,1,0),1)</f>
        <v>0</v>
      </c>
      <c r="AP16" s="79"/>
      <c r="AQ16" s="243" t="str">
        <f t="shared" si="2"/>
        <v/>
      </c>
      <c r="AR16" s="242" t="b">
        <f>IF(AQ16="x",EOMONTH(I16,0))</f>
        <v>0</v>
      </c>
      <c r="AS16" s="79">
        <f t="shared" si="3"/>
        <v>1</v>
      </c>
      <c r="AT16" s="79">
        <f t="shared" si="4"/>
        <v>1</v>
      </c>
      <c r="AU16" s="79" t="str">
        <f t="shared" si="5"/>
        <v>B</v>
      </c>
      <c r="AV16" s="79">
        <f t="shared" si="6"/>
        <v>1</v>
      </c>
      <c r="AW16" s="79" t="str">
        <f>J16&amp;AU16</f>
        <v>IntegralB</v>
      </c>
      <c r="AX16" s="79">
        <f>IF(COUNTIFS(J:J,"Integral",E:E,E16,H:H,"Ativo")=4,1/4,1/10)</f>
        <v>0.25</v>
      </c>
      <c r="AY16" s="79"/>
      <c r="AZ16" s="79"/>
    </row>
    <row r="17" spans="1:52" ht="15.75" customHeight="1">
      <c r="A17" s="31">
        <v>16</v>
      </c>
      <c r="B17" s="399">
        <v>44784</v>
      </c>
      <c r="C17" s="32" t="s">
        <v>269</v>
      </c>
      <c r="D17" s="32" t="s">
        <v>279</v>
      </c>
      <c r="E17" s="32" t="s">
        <v>271</v>
      </c>
      <c r="F17" s="32" t="s">
        <v>280</v>
      </c>
      <c r="G17" s="33" t="s">
        <v>220</v>
      </c>
      <c r="H17" s="33" t="s">
        <v>90</v>
      </c>
      <c r="I17" s="34">
        <v>0</v>
      </c>
      <c r="J17" s="33" t="s">
        <v>6</v>
      </c>
      <c r="K17" s="35" t="s">
        <v>273</v>
      </c>
      <c r="L17" s="35" t="s">
        <v>274</v>
      </c>
      <c r="M17" s="67" t="s">
        <v>222</v>
      </c>
      <c r="N17" s="33" t="s">
        <v>68</v>
      </c>
      <c r="O17" s="33" t="s">
        <v>12</v>
      </c>
      <c r="P17" s="33" t="s">
        <v>1</v>
      </c>
      <c r="Q17" s="47"/>
      <c r="R17" s="47"/>
      <c r="S17" s="45" t="s">
        <v>145</v>
      </c>
      <c r="T17" s="45"/>
      <c r="U17" s="47" t="s">
        <v>222</v>
      </c>
      <c r="V17" s="48">
        <f t="shared" si="0"/>
        <v>44784</v>
      </c>
      <c r="W17" s="50"/>
      <c r="X17" s="261">
        <v>637750</v>
      </c>
      <c r="Y17" s="260">
        <v>637750</v>
      </c>
      <c r="Z17" s="260">
        <v>691250</v>
      </c>
      <c r="AA17" s="35">
        <v>0</v>
      </c>
      <c r="AB17" s="260"/>
      <c r="AC17" s="41"/>
      <c r="AD17" s="42"/>
      <c r="AE17" s="41"/>
      <c r="AF17" s="43"/>
      <c r="AG17" s="40">
        <v>53500</v>
      </c>
      <c r="AH17" s="40">
        <v>0</v>
      </c>
      <c r="AI17" s="44"/>
      <c r="AJ17" s="44"/>
      <c r="AK17" s="40">
        <v>0</v>
      </c>
      <c r="AL17" s="40">
        <v>0</v>
      </c>
      <c r="AM17" s="242">
        <f t="shared" si="1"/>
        <v>44804</v>
      </c>
      <c r="AN17" s="242" t="str">
        <f>IF(AQ17="x","",IF(AQ17="x",AM17,IF(EOMONTH(I17,0)=31,"",EOMONTH(I17,0))))</f>
        <v/>
      </c>
      <c r="AO17" s="79">
        <f>IFERROR(IF(VLOOKUP(C17,C18:C621,1,0)=0,1,0),1)</f>
        <v>1</v>
      </c>
      <c r="AP17" s="79"/>
      <c r="AQ17" s="243" t="str">
        <f t="shared" si="2"/>
        <v/>
      </c>
      <c r="AR17" s="242" t="b">
        <f>IF(AQ17="x",EOMONTH(I17,0))</f>
        <v>0</v>
      </c>
      <c r="AS17" s="79">
        <f t="shared" si="3"/>
        <v>1</v>
      </c>
      <c r="AT17" s="79">
        <f t="shared" si="4"/>
        <v>1</v>
      </c>
      <c r="AU17" s="79" t="str">
        <f t="shared" si="5"/>
        <v>B</v>
      </c>
      <c r="AV17" s="79">
        <f t="shared" si="6"/>
        <v>1</v>
      </c>
      <c r="AW17" s="79" t="str">
        <f>J17&amp;AU17</f>
        <v>IntegralB</v>
      </c>
      <c r="AX17" s="79">
        <f>IF(COUNTIFS(J:J,"Integral",E:E,E17,H:H,"Ativo")=4,1/4,1/10)</f>
        <v>0.25</v>
      </c>
      <c r="AY17" s="79"/>
      <c r="AZ17" s="79"/>
    </row>
    <row r="18" spans="1:52" ht="15.75" customHeight="1">
      <c r="A18" s="31">
        <v>17</v>
      </c>
      <c r="B18" s="399">
        <v>44793</v>
      </c>
      <c r="C18" s="32" t="s">
        <v>281</v>
      </c>
      <c r="D18" s="32" t="s">
        <v>282</v>
      </c>
      <c r="E18" s="32" t="s">
        <v>283</v>
      </c>
      <c r="F18" s="32" t="s">
        <v>284</v>
      </c>
      <c r="G18" s="33" t="s">
        <v>220</v>
      </c>
      <c r="H18" s="33" t="s">
        <v>90</v>
      </c>
      <c r="I18" s="34">
        <v>0</v>
      </c>
      <c r="J18" s="33">
        <v>6</v>
      </c>
      <c r="K18" s="35" t="s">
        <v>251</v>
      </c>
      <c r="L18" s="35" t="s">
        <v>252</v>
      </c>
      <c r="M18" s="67" t="s">
        <v>222</v>
      </c>
      <c r="N18" s="33" t="s">
        <v>68</v>
      </c>
      <c r="O18" s="33" t="s">
        <v>12</v>
      </c>
      <c r="P18" s="33" t="s">
        <v>1</v>
      </c>
      <c r="Q18" s="47"/>
      <c r="R18" s="47"/>
      <c r="S18" s="45" t="s">
        <v>143</v>
      </c>
      <c r="T18" s="45"/>
      <c r="U18" s="46">
        <v>44588</v>
      </c>
      <c r="V18" s="38">
        <f t="shared" si="0"/>
        <v>44793</v>
      </c>
      <c r="W18" s="50">
        <f>V18-U18</f>
        <v>205</v>
      </c>
      <c r="X18" s="261">
        <v>360000</v>
      </c>
      <c r="Y18" s="260">
        <v>360000</v>
      </c>
      <c r="Z18" s="260">
        <v>342000</v>
      </c>
      <c r="AA18" s="35">
        <v>0</v>
      </c>
      <c r="AB18" s="260"/>
      <c r="AC18" s="41"/>
      <c r="AD18" s="42"/>
      <c r="AE18" s="41"/>
      <c r="AF18" s="43"/>
      <c r="AG18" s="40"/>
      <c r="AH18" s="40">
        <v>18000</v>
      </c>
      <c r="AI18" s="44">
        <v>0.05</v>
      </c>
      <c r="AJ18" s="44">
        <v>0.05</v>
      </c>
      <c r="AK18" s="40">
        <v>0</v>
      </c>
      <c r="AL18" s="40">
        <v>18000</v>
      </c>
      <c r="AM18" s="242">
        <f t="shared" si="1"/>
        <v>44804</v>
      </c>
      <c r="AN18" s="242" t="str">
        <f>IF(AQ18="x","",IF(AQ18="x",AM18,IF(EOMONTH(I18,0)=31,"",EOMONTH(I18,0))))</f>
        <v/>
      </c>
      <c r="AO18" s="79">
        <f>IFERROR(IF(VLOOKUP(C18,C19:C622,1,0)=0,1,0),1)</f>
        <v>1</v>
      </c>
      <c r="AP18" s="79"/>
      <c r="AQ18" s="243" t="str">
        <f t="shared" si="2"/>
        <v/>
      </c>
      <c r="AR18" s="242" t="b">
        <f>IF(AQ18="x",EOMONTH(I18,0))</f>
        <v>0</v>
      </c>
      <c r="AS18" s="79">
        <f t="shared" si="3"/>
        <v>1</v>
      </c>
      <c r="AT18" s="79">
        <f t="shared" si="4"/>
        <v>1</v>
      </c>
      <c r="AU18" s="79" t="str">
        <f t="shared" si="5"/>
        <v>B</v>
      </c>
      <c r="AV18" s="79">
        <f t="shared" si="6"/>
        <v>1</v>
      </c>
      <c r="AW18" s="79" t="str">
        <f>J18&amp;AU18</f>
        <v>6B</v>
      </c>
      <c r="AX18" s="79">
        <f>IF(COUNTIFS(J:J,"Integral",E:E,E18,H:H,"Ativo")=4,1/4,1/10)</f>
        <v>0.1</v>
      </c>
      <c r="AY18" s="79"/>
      <c r="AZ18" s="79"/>
    </row>
    <row r="19" spans="1:52" ht="15.75" customHeight="1">
      <c r="A19" s="31">
        <v>18</v>
      </c>
      <c r="B19" s="399">
        <v>44859</v>
      </c>
      <c r="C19" s="32" t="s">
        <v>285</v>
      </c>
      <c r="D19" s="32" t="s">
        <v>286</v>
      </c>
      <c r="E19" s="32" t="s">
        <v>287</v>
      </c>
      <c r="F19" s="32" t="s">
        <v>288</v>
      </c>
      <c r="G19" s="33" t="s">
        <v>220</v>
      </c>
      <c r="H19" s="33" t="s">
        <v>90</v>
      </c>
      <c r="I19" s="34">
        <v>0</v>
      </c>
      <c r="J19" s="33" t="s">
        <v>6</v>
      </c>
      <c r="K19" s="35" t="s">
        <v>289</v>
      </c>
      <c r="L19" s="35" t="s">
        <v>290</v>
      </c>
      <c r="M19" s="67" t="s">
        <v>222</v>
      </c>
      <c r="N19" s="33" t="s">
        <v>68</v>
      </c>
      <c r="O19" s="33" t="s">
        <v>12</v>
      </c>
      <c r="P19" s="33" t="s">
        <v>1</v>
      </c>
      <c r="Q19" s="47"/>
      <c r="R19" s="47"/>
      <c r="S19" s="45" t="s">
        <v>145</v>
      </c>
      <c r="T19" s="45"/>
      <c r="U19" s="46">
        <v>44781</v>
      </c>
      <c r="V19" s="38">
        <f t="shared" si="0"/>
        <v>44859</v>
      </c>
      <c r="W19" s="50">
        <f>V19-U19</f>
        <v>78</v>
      </c>
      <c r="X19" s="261">
        <v>1946500</v>
      </c>
      <c r="Y19" s="260">
        <v>1946500</v>
      </c>
      <c r="Z19" s="260">
        <v>1763420.59</v>
      </c>
      <c r="AA19" s="35">
        <v>0</v>
      </c>
      <c r="AB19" s="260"/>
      <c r="AC19" s="41"/>
      <c r="AD19" s="42">
        <v>5.6000000000000001E-2</v>
      </c>
      <c r="AE19" s="41"/>
      <c r="AF19" s="43">
        <v>5.6000000000000001E-2</v>
      </c>
      <c r="AG19" s="40">
        <v>0</v>
      </c>
      <c r="AH19" s="40">
        <v>183079.40999999992</v>
      </c>
      <c r="AI19" s="44">
        <v>9.405569483688668E-2</v>
      </c>
      <c r="AJ19" s="44">
        <v>3.8055694836886679E-2</v>
      </c>
      <c r="AK19" s="40">
        <v>109004</v>
      </c>
      <c r="AL19" s="40">
        <v>74075.409999999916</v>
      </c>
      <c r="AM19" s="242">
        <f t="shared" si="1"/>
        <v>44865</v>
      </c>
      <c r="AN19" s="242" t="str">
        <f>IF(AQ19="x","",IF(AQ19="x",AM19,IF(EOMONTH(I19,0)=31,"",EOMONTH(I19,0))))</f>
        <v/>
      </c>
      <c r="AO19" s="79">
        <f>IFERROR(IF(VLOOKUP(C19,C20:C623,1,0)=0,1,0),1)</f>
        <v>0</v>
      </c>
      <c r="AP19" s="79"/>
      <c r="AQ19" s="243" t="str">
        <f t="shared" si="2"/>
        <v/>
      </c>
      <c r="AR19" s="242" t="b">
        <f>IF(AQ19="x",EOMONTH(I19,0))</f>
        <v>0</v>
      </c>
      <c r="AS19" s="79">
        <f t="shared" si="3"/>
        <v>1</v>
      </c>
      <c r="AT19" s="79">
        <f t="shared" si="4"/>
        <v>1</v>
      </c>
      <c r="AU19" s="79" t="str">
        <f t="shared" si="5"/>
        <v>C</v>
      </c>
      <c r="AV19" s="79">
        <f t="shared" si="6"/>
        <v>1</v>
      </c>
      <c r="AW19" s="79" t="str">
        <f>J19&amp;AU19</f>
        <v>IntegralC</v>
      </c>
      <c r="AX19" s="79">
        <f>IF(COUNTIFS(J:J,"Integral",E:E,E19,H:H,"Ativo")=4,1/4,1/10)</f>
        <v>0.25</v>
      </c>
      <c r="AY19" s="79"/>
      <c r="AZ19" s="79"/>
    </row>
    <row r="20" spans="1:52" ht="15.75" customHeight="1">
      <c r="A20" s="31">
        <v>19</v>
      </c>
      <c r="B20" s="399">
        <v>44859</v>
      </c>
      <c r="C20" s="32" t="s">
        <v>285</v>
      </c>
      <c r="D20" s="32" t="s">
        <v>291</v>
      </c>
      <c r="E20" s="32" t="s">
        <v>287</v>
      </c>
      <c r="F20" s="32" t="s">
        <v>292</v>
      </c>
      <c r="G20" s="33" t="s">
        <v>220</v>
      </c>
      <c r="H20" s="33" t="s">
        <v>90</v>
      </c>
      <c r="I20" s="34">
        <v>0</v>
      </c>
      <c r="J20" s="33" t="s">
        <v>6</v>
      </c>
      <c r="K20" s="35" t="s">
        <v>289</v>
      </c>
      <c r="L20" s="35" t="s">
        <v>290</v>
      </c>
      <c r="M20" s="67" t="s">
        <v>222</v>
      </c>
      <c r="N20" s="33" t="s">
        <v>68</v>
      </c>
      <c r="O20" s="33" t="s">
        <v>12</v>
      </c>
      <c r="P20" s="33" t="s">
        <v>1</v>
      </c>
      <c r="Q20" s="47"/>
      <c r="R20" s="47"/>
      <c r="S20" s="45" t="s">
        <v>145</v>
      </c>
      <c r="T20" s="45"/>
      <c r="U20" s="46">
        <v>44781</v>
      </c>
      <c r="V20" s="38">
        <f t="shared" si="0"/>
        <v>44859</v>
      </c>
      <c r="W20" s="50">
        <f>V20-U20</f>
        <v>78</v>
      </c>
      <c r="X20" s="261">
        <v>1946500</v>
      </c>
      <c r="Y20" s="260">
        <v>1946500</v>
      </c>
      <c r="Z20" s="260">
        <v>1763420.59</v>
      </c>
      <c r="AA20" s="35">
        <v>0</v>
      </c>
      <c r="AB20" s="260"/>
      <c r="AC20" s="41"/>
      <c r="AD20" s="42">
        <v>5.6000000000000001E-2</v>
      </c>
      <c r="AE20" s="41"/>
      <c r="AF20" s="43">
        <v>5.6000000000000001E-2</v>
      </c>
      <c r="AG20" s="40">
        <v>0</v>
      </c>
      <c r="AH20" s="40">
        <v>183079.40999999992</v>
      </c>
      <c r="AI20" s="44">
        <v>9.405569483688668E-2</v>
      </c>
      <c r="AJ20" s="44">
        <v>3.8055694836886679E-2</v>
      </c>
      <c r="AK20" s="40">
        <v>109004</v>
      </c>
      <c r="AL20" s="40">
        <v>74075.409999999916</v>
      </c>
      <c r="AM20" s="242">
        <f t="shared" si="1"/>
        <v>44865</v>
      </c>
      <c r="AN20" s="242" t="str">
        <f>IF(AQ20="x","",IF(AQ20="x",AM20,IF(EOMONTH(I20,0)=31,"",EOMONTH(I20,0))))</f>
        <v/>
      </c>
      <c r="AO20" s="79">
        <f>IFERROR(IF(VLOOKUP(C20,C21:C624,1,0)=0,1,0),1)</f>
        <v>1</v>
      </c>
      <c r="AP20" s="79"/>
      <c r="AQ20" s="243" t="str">
        <f t="shared" si="2"/>
        <v/>
      </c>
      <c r="AR20" s="242" t="b">
        <f>IF(AQ20="x",EOMONTH(I20,0))</f>
        <v>0</v>
      </c>
      <c r="AS20" s="79">
        <f t="shared" si="3"/>
        <v>1</v>
      </c>
      <c r="AT20" s="79">
        <f t="shared" si="4"/>
        <v>1</v>
      </c>
      <c r="AU20" s="79" t="str">
        <f t="shared" si="5"/>
        <v>C</v>
      </c>
      <c r="AV20" s="79">
        <f t="shared" si="6"/>
        <v>1</v>
      </c>
      <c r="AW20" s="79" t="str">
        <f>J20&amp;AU20</f>
        <v>IntegralC</v>
      </c>
      <c r="AX20" s="79">
        <f>IF(COUNTIFS(J:J,"Integral",E:E,E20,H:H,"Ativo")=4,1/4,1/10)</f>
        <v>0.25</v>
      </c>
      <c r="AY20" s="79"/>
      <c r="AZ20" s="79"/>
    </row>
    <row r="21" spans="1:52" ht="15.75" customHeight="1">
      <c r="A21" s="31">
        <v>20</v>
      </c>
      <c r="B21" s="399">
        <v>44859</v>
      </c>
      <c r="C21" s="32" t="s">
        <v>293</v>
      </c>
      <c r="D21" s="32" t="s">
        <v>294</v>
      </c>
      <c r="E21" s="32" t="s">
        <v>287</v>
      </c>
      <c r="F21" s="32" t="s">
        <v>295</v>
      </c>
      <c r="G21" s="33" t="s">
        <v>220</v>
      </c>
      <c r="H21" s="33" t="s">
        <v>90</v>
      </c>
      <c r="I21" s="34">
        <v>0</v>
      </c>
      <c r="J21" s="33" t="s">
        <v>6</v>
      </c>
      <c r="K21" s="35" t="s">
        <v>221</v>
      </c>
      <c r="L21" s="35" t="s">
        <v>221</v>
      </c>
      <c r="M21" s="67" t="s">
        <v>222</v>
      </c>
      <c r="N21" s="33" t="s">
        <v>72</v>
      </c>
      <c r="O21" s="33" t="s">
        <v>12</v>
      </c>
      <c r="P21" s="33" t="s">
        <v>72</v>
      </c>
      <c r="Q21" s="47" t="s">
        <v>96</v>
      </c>
      <c r="R21" s="47"/>
      <c r="S21" s="45" t="s">
        <v>143</v>
      </c>
      <c r="T21" s="45"/>
      <c r="U21" s="46" t="s">
        <v>222</v>
      </c>
      <c r="V21" s="38">
        <f t="shared" si="0"/>
        <v>44859</v>
      </c>
      <c r="W21" s="50"/>
      <c r="X21" s="261">
        <v>1946500</v>
      </c>
      <c r="Y21" s="260">
        <v>1946500</v>
      </c>
      <c r="Z21" s="260">
        <v>1763420.59</v>
      </c>
      <c r="AA21" s="35">
        <v>0</v>
      </c>
      <c r="AB21" s="260"/>
      <c r="AC21" s="41"/>
      <c r="AD21" s="42">
        <v>5.6000000000000001E-2</v>
      </c>
      <c r="AE21" s="41"/>
      <c r="AF21" s="43">
        <v>5.6000000000000001E-2</v>
      </c>
      <c r="AG21" s="40">
        <v>0</v>
      </c>
      <c r="AH21" s="40">
        <v>183079.40999999992</v>
      </c>
      <c r="AI21" s="44">
        <v>9.405569483688668E-2</v>
      </c>
      <c r="AJ21" s="44">
        <v>3.8055694836886679E-2</v>
      </c>
      <c r="AK21" s="40">
        <v>109004</v>
      </c>
      <c r="AL21" s="40">
        <v>74075.409999999916</v>
      </c>
      <c r="AM21" s="242">
        <f t="shared" si="1"/>
        <v>44865</v>
      </c>
      <c r="AN21" s="242" t="str">
        <f>IF(AQ21="x","",IF(AQ21="x",AM21,IF(EOMONTH(I21,0)=31,"",EOMONTH(I21,0))))</f>
        <v/>
      </c>
      <c r="AO21" s="79">
        <f>IFERROR(IF(VLOOKUP(C21,C22:C625,1,0)=0,1,0),1)</f>
        <v>0</v>
      </c>
      <c r="AP21" s="79"/>
      <c r="AQ21" s="243" t="str">
        <f t="shared" si="2"/>
        <v/>
      </c>
      <c r="AR21" s="242" t="b">
        <f>IF(AQ21="x",EOMONTH(I21,0))</f>
        <v>0</v>
      </c>
      <c r="AS21" s="79">
        <f t="shared" si="3"/>
        <v>1</v>
      </c>
      <c r="AT21" s="79">
        <f t="shared" si="4"/>
        <v>1</v>
      </c>
      <c r="AU21" s="79" t="str">
        <f t="shared" si="5"/>
        <v>C</v>
      </c>
      <c r="AV21" s="79">
        <f t="shared" si="6"/>
        <v>1</v>
      </c>
      <c r="AW21" s="79" t="str">
        <f>J21&amp;AU21</f>
        <v>IntegralC</v>
      </c>
      <c r="AX21" s="79">
        <f>IF(COUNTIFS(J:J,"Integral",E:E,E21,H:H,"Ativo")=4,1/4,1/10)</f>
        <v>0.25</v>
      </c>
      <c r="AY21" s="79"/>
      <c r="AZ21" s="79"/>
    </row>
    <row r="22" spans="1:52" ht="15.75" customHeight="1">
      <c r="A22" s="31">
        <v>21</v>
      </c>
      <c r="B22" s="399">
        <v>44859</v>
      </c>
      <c r="C22" s="32" t="s">
        <v>293</v>
      </c>
      <c r="D22" s="32" t="s">
        <v>296</v>
      </c>
      <c r="E22" s="32" t="s">
        <v>287</v>
      </c>
      <c r="F22" s="32" t="s">
        <v>297</v>
      </c>
      <c r="G22" s="33" t="s">
        <v>220</v>
      </c>
      <c r="H22" s="33" t="s">
        <v>90</v>
      </c>
      <c r="I22" s="34">
        <v>0</v>
      </c>
      <c r="J22" s="33" t="s">
        <v>6</v>
      </c>
      <c r="K22" s="35" t="s">
        <v>221</v>
      </c>
      <c r="L22" s="35" t="s">
        <v>221</v>
      </c>
      <c r="M22" s="67" t="s">
        <v>222</v>
      </c>
      <c r="N22" s="33" t="s">
        <v>72</v>
      </c>
      <c r="O22" s="33" t="s">
        <v>12</v>
      </c>
      <c r="P22" s="33" t="s">
        <v>72</v>
      </c>
      <c r="Q22" s="47" t="s">
        <v>96</v>
      </c>
      <c r="R22" s="47"/>
      <c r="S22" s="45" t="s">
        <v>143</v>
      </c>
      <c r="T22" s="45"/>
      <c r="U22" s="46" t="s">
        <v>222</v>
      </c>
      <c r="V22" s="38">
        <f t="shared" si="0"/>
        <v>44859</v>
      </c>
      <c r="W22" s="50"/>
      <c r="X22" s="261">
        <v>1946500</v>
      </c>
      <c r="Y22" s="260">
        <v>1946500</v>
      </c>
      <c r="Z22" s="260">
        <v>1763420.59</v>
      </c>
      <c r="AA22" s="35">
        <v>0</v>
      </c>
      <c r="AB22" s="260"/>
      <c r="AC22" s="41"/>
      <c r="AD22" s="42">
        <v>5.6000000000000001E-2</v>
      </c>
      <c r="AE22" s="41"/>
      <c r="AF22" s="43">
        <v>5.6000000000000001E-2</v>
      </c>
      <c r="AG22" s="40">
        <v>0</v>
      </c>
      <c r="AH22" s="40">
        <v>183079.40999999992</v>
      </c>
      <c r="AI22" s="44">
        <v>9.405569483688668E-2</v>
      </c>
      <c r="AJ22" s="44">
        <v>3.8055694836886679E-2</v>
      </c>
      <c r="AK22" s="40">
        <v>109004</v>
      </c>
      <c r="AL22" s="40">
        <v>74075.409999999916</v>
      </c>
      <c r="AM22" s="242">
        <f t="shared" si="1"/>
        <v>44865</v>
      </c>
      <c r="AN22" s="242" t="str">
        <f>IF(AQ22="x","",IF(AQ22="x",AM22,IF(EOMONTH(I22,0)=31,"",EOMONTH(I22,0))))</f>
        <v/>
      </c>
      <c r="AO22" s="79">
        <f>IFERROR(IF(VLOOKUP(C22,C23:C626,1,0)=0,1,0),1)</f>
        <v>1</v>
      </c>
      <c r="AP22" s="79"/>
      <c r="AQ22" s="243" t="str">
        <f t="shared" si="2"/>
        <v/>
      </c>
      <c r="AR22" s="242" t="b">
        <f>IF(AQ22="x",EOMONTH(I22,0))</f>
        <v>0</v>
      </c>
      <c r="AS22" s="79">
        <f t="shared" si="3"/>
        <v>1</v>
      </c>
      <c r="AT22" s="79">
        <f t="shared" si="4"/>
        <v>1</v>
      </c>
      <c r="AU22" s="79" t="str">
        <f t="shared" si="5"/>
        <v>C</v>
      </c>
      <c r="AV22" s="79">
        <f t="shared" si="6"/>
        <v>1</v>
      </c>
      <c r="AW22" s="79" t="str">
        <f>J22&amp;AU22</f>
        <v>IntegralC</v>
      </c>
      <c r="AX22" s="79">
        <f>IF(COUNTIFS(J:J,"Integral",E:E,E22,H:H,"Ativo")=4,1/4,1/10)</f>
        <v>0.25</v>
      </c>
      <c r="AY22" s="79"/>
      <c r="AZ22" s="79"/>
    </row>
    <row r="23" spans="1:52" ht="15.75" customHeight="1">
      <c r="A23" s="31">
        <v>22</v>
      </c>
      <c r="B23" s="399">
        <v>44799</v>
      </c>
      <c r="C23" s="32" t="s">
        <v>298</v>
      </c>
      <c r="D23" s="32" t="s">
        <v>299</v>
      </c>
      <c r="E23" s="32" t="s">
        <v>300</v>
      </c>
      <c r="F23" s="32" t="s">
        <v>301</v>
      </c>
      <c r="G23" s="33" t="s">
        <v>220</v>
      </c>
      <c r="H23" s="33" t="s">
        <v>244</v>
      </c>
      <c r="I23" s="34">
        <v>44819</v>
      </c>
      <c r="J23" s="33">
        <v>6</v>
      </c>
      <c r="K23" s="35" t="s">
        <v>238</v>
      </c>
      <c r="L23" s="35" t="s">
        <v>238</v>
      </c>
      <c r="M23" s="67" t="s">
        <v>222</v>
      </c>
      <c r="N23" s="33" t="s">
        <v>68</v>
      </c>
      <c r="O23" s="33" t="s">
        <v>12</v>
      </c>
      <c r="P23" s="33" t="s">
        <v>1</v>
      </c>
      <c r="Q23" s="47"/>
      <c r="R23" s="47"/>
      <c r="S23" s="45" t="s">
        <v>222</v>
      </c>
      <c r="T23" s="45"/>
      <c r="U23" s="51">
        <v>44799</v>
      </c>
      <c r="V23" s="48">
        <f t="shared" si="0"/>
        <v>44799</v>
      </c>
      <c r="W23" s="50">
        <f>V23-U23</f>
        <v>0</v>
      </c>
      <c r="X23" s="265">
        <v>0</v>
      </c>
      <c r="Y23" s="67">
        <v>0</v>
      </c>
      <c r="Z23" s="67">
        <v>333000</v>
      </c>
      <c r="AA23" s="35">
        <v>0</v>
      </c>
      <c r="AB23" s="67"/>
      <c r="AC23" s="40"/>
      <c r="AD23" s="49"/>
      <c r="AE23" s="41">
        <v>0</v>
      </c>
      <c r="AF23" s="43">
        <v>0</v>
      </c>
      <c r="AG23" s="40">
        <v>0</v>
      </c>
      <c r="AH23" s="40"/>
      <c r="AI23" s="44"/>
      <c r="AJ23" s="44"/>
      <c r="AK23" s="40">
        <v>0</v>
      </c>
      <c r="AL23" s="40"/>
      <c r="AM23" s="242">
        <f t="shared" si="1"/>
        <v>44804</v>
      </c>
      <c r="AN23" s="242">
        <f>IF(AQ23="x","",IF(AQ23="x",AM23,IF(EOMONTH(I23,0)=31,"",EOMONTH(I23,0))))</f>
        <v>44834</v>
      </c>
      <c r="AO23" s="79">
        <f>IFERROR(IF(VLOOKUP(C23,C24:C627,1,0)=0,1,0),1)</f>
        <v>1</v>
      </c>
      <c r="AP23" s="79"/>
      <c r="AQ23" s="243" t="str">
        <f t="shared" si="2"/>
        <v/>
      </c>
      <c r="AR23" s="242" t="b">
        <f>IF(AQ23="x",EOMONTH(I23,0))</f>
        <v>0</v>
      </c>
      <c r="AS23" s="79">
        <f t="shared" si="3"/>
        <v>1</v>
      </c>
      <c r="AT23" s="79">
        <f t="shared" si="4"/>
        <v>1</v>
      </c>
      <c r="AU23" s="79" t="str">
        <f t="shared" si="5"/>
        <v>B</v>
      </c>
      <c r="AV23" s="79">
        <f t="shared" si="6"/>
        <v>1</v>
      </c>
      <c r="AW23" s="79" t="str">
        <f>J23&amp;AU23</f>
        <v>6B</v>
      </c>
      <c r="AX23" s="79">
        <f>IF(COUNTIFS(J:J,"Integral",E:E,E23,H:H,"Ativo")=4,1/4,1/10)</f>
        <v>0.1</v>
      </c>
      <c r="AY23" s="79"/>
      <c r="AZ23" s="79"/>
    </row>
    <row r="24" spans="1:52" ht="15.75" customHeight="1">
      <c r="A24" s="31">
        <v>23</v>
      </c>
      <c r="B24" s="399">
        <v>44902</v>
      </c>
      <c r="C24" s="32" t="s">
        <v>302</v>
      </c>
      <c r="D24" s="32" t="s">
        <v>248</v>
      </c>
      <c r="E24" s="32" t="s">
        <v>249</v>
      </c>
      <c r="F24" s="32" t="s">
        <v>303</v>
      </c>
      <c r="G24" s="33" t="s">
        <v>220</v>
      </c>
      <c r="H24" s="33" t="s">
        <v>90</v>
      </c>
      <c r="I24" s="34">
        <v>0</v>
      </c>
      <c r="J24" s="33">
        <v>13</v>
      </c>
      <c r="K24" s="35" t="s">
        <v>221</v>
      </c>
      <c r="L24" s="35" t="s">
        <v>221</v>
      </c>
      <c r="M24" s="67" t="s">
        <v>222</v>
      </c>
      <c r="N24" s="33" t="s">
        <v>72</v>
      </c>
      <c r="O24" s="33" t="s">
        <v>12</v>
      </c>
      <c r="P24" s="33" t="s">
        <v>72</v>
      </c>
      <c r="Q24" s="47" t="s">
        <v>96</v>
      </c>
      <c r="R24" s="47"/>
      <c r="S24" s="45" t="s">
        <v>147</v>
      </c>
      <c r="T24" s="45"/>
      <c r="U24" s="47" t="s">
        <v>222</v>
      </c>
      <c r="V24" s="48">
        <f t="shared" si="0"/>
        <v>44902</v>
      </c>
      <c r="W24" s="50"/>
      <c r="X24" s="261">
        <v>1240000</v>
      </c>
      <c r="Y24" s="260">
        <v>1240000</v>
      </c>
      <c r="Z24" s="260">
        <v>950000</v>
      </c>
      <c r="AA24" s="35">
        <v>0</v>
      </c>
      <c r="AB24" s="260"/>
      <c r="AC24" s="41"/>
      <c r="AD24" s="42">
        <v>0.28220000000000001</v>
      </c>
      <c r="AE24" s="41"/>
      <c r="AF24" s="43">
        <v>0.28220000000000001</v>
      </c>
      <c r="AG24" s="40">
        <v>0</v>
      </c>
      <c r="AH24" s="40">
        <v>290000</v>
      </c>
      <c r="AI24" s="44">
        <v>0.23387096774193547</v>
      </c>
      <c r="AJ24" s="44"/>
      <c r="AK24" s="40">
        <v>290000</v>
      </c>
      <c r="AL24" s="40">
        <v>0</v>
      </c>
      <c r="AM24" s="242">
        <f t="shared" si="1"/>
        <v>44926</v>
      </c>
      <c r="AN24" s="242" t="str">
        <f>IF(AQ24="x","",IF(AQ24="x",AM24,IF(EOMONTH(I24,0)=31,"",EOMONTH(I24,0))))</f>
        <v/>
      </c>
      <c r="AO24" s="79">
        <f>IFERROR(IF(VLOOKUP(C24,C25:C628,1,0)=0,1,0),1)</f>
        <v>1</v>
      </c>
      <c r="AP24" s="79"/>
      <c r="AQ24" s="243" t="str">
        <f t="shared" si="2"/>
        <v/>
      </c>
      <c r="AR24" s="242" t="b">
        <f>IF(AQ24="x",EOMONTH(I24,0))</f>
        <v>0</v>
      </c>
      <c r="AS24" s="79">
        <f t="shared" si="3"/>
        <v>1</v>
      </c>
      <c r="AT24" s="79">
        <f t="shared" si="4"/>
        <v>1</v>
      </c>
      <c r="AU24" s="79" t="str">
        <f t="shared" si="5"/>
        <v>A</v>
      </c>
      <c r="AV24" s="79">
        <f t="shared" si="6"/>
        <v>1</v>
      </c>
      <c r="AW24" s="79" t="str">
        <f>J24&amp;AU24</f>
        <v>13A</v>
      </c>
      <c r="AX24" s="79">
        <f>IF(COUNTIFS(J:J,"Integral",E:E,E24,H:H,"Ativo")=4,1/4,1/10)</f>
        <v>0.1</v>
      </c>
      <c r="AY24" s="79"/>
      <c r="AZ24" s="79"/>
    </row>
    <row r="25" spans="1:52" ht="15.75" customHeight="1">
      <c r="A25" s="31">
        <v>24</v>
      </c>
      <c r="B25" s="399">
        <v>44803</v>
      </c>
      <c r="C25" s="32" t="s">
        <v>304</v>
      </c>
      <c r="D25" s="32" t="s">
        <v>305</v>
      </c>
      <c r="E25" s="32" t="s">
        <v>306</v>
      </c>
      <c r="F25" s="32" t="s">
        <v>307</v>
      </c>
      <c r="G25" s="33" t="s">
        <v>243</v>
      </c>
      <c r="H25" s="33" t="s">
        <v>244</v>
      </c>
      <c r="I25" s="34">
        <v>44818</v>
      </c>
      <c r="J25" s="33" t="s">
        <v>6</v>
      </c>
      <c r="K25" s="35" t="s">
        <v>289</v>
      </c>
      <c r="L25" s="35" t="s">
        <v>290</v>
      </c>
      <c r="M25" s="67" t="s">
        <v>222</v>
      </c>
      <c r="N25" s="33" t="s">
        <v>68</v>
      </c>
      <c r="O25" s="33" t="s">
        <v>12</v>
      </c>
      <c r="P25" s="33" t="s">
        <v>1</v>
      </c>
      <c r="Q25" s="47"/>
      <c r="R25" s="47"/>
      <c r="S25" s="45" t="s">
        <v>222</v>
      </c>
      <c r="T25" s="45"/>
      <c r="U25" s="51">
        <v>44721</v>
      </c>
      <c r="V25" s="48">
        <f t="shared" si="0"/>
        <v>44803</v>
      </c>
      <c r="W25" s="50">
        <f>V25-U25</f>
        <v>82</v>
      </c>
      <c r="X25" s="265">
        <v>0</v>
      </c>
      <c r="Y25" s="67">
        <v>0</v>
      </c>
      <c r="Z25" s="67">
        <v>775000</v>
      </c>
      <c r="AA25" s="35">
        <v>0</v>
      </c>
      <c r="AB25" s="67"/>
      <c r="AC25" s="40"/>
      <c r="AD25" s="49"/>
      <c r="AE25" s="41">
        <v>0</v>
      </c>
      <c r="AF25" s="43">
        <v>0</v>
      </c>
      <c r="AG25" s="40">
        <v>0</v>
      </c>
      <c r="AH25" s="40"/>
      <c r="AI25" s="44"/>
      <c r="AJ25" s="44"/>
      <c r="AK25" s="40">
        <v>0</v>
      </c>
      <c r="AL25" s="40"/>
      <c r="AM25" s="242">
        <f t="shared" si="1"/>
        <v>44804</v>
      </c>
      <c r="AN25" s="242" t="str">
        <f>IF(AQ25="x","",IF(AQ25="x",AM25,IF(EOMONTH(I25,0)=31,"",EOMONTH(I25,0))))</f>
        <v/>
      </c>
      <c r="AO25" s="79">
        <f>IFERROR(IF(VLOOKUP(C25,C26:C629,1,0)=0,1,0),1)</f>
        <v>0</v>
      </c>
      <c r="AP25" s="79"/>
      <c r="AQ25" s="243" t="str">
        <f t="shared" si="2"/>
        <v>x</v>
      </c>
      <c r="AR25" s="242">
        <f>IF(AQ25="x",EOMONTH(I25,0))</f>
        <v>44834</v>
      </c>
      <c r="AS25" s="79">
        <f t="shared" si="3"/>
        <v>1</v>
      </c>
      <c r="AT25" s="79">
        <f t="shared" si="4"/>
        <v>1</v>
      </c>
      <c r="AU25" s="79" t="str">
        <f t="shared" si="5"/>
        <v>A</v>
      </c>
      <c r="AV25" s="79">
        <f t="shared" si="6"/>
        <v>1</v>
      </c>
      <c r="AW25" s="79" t="str">
        <f>J25&amp;AU25</f>
        <v>IntegralA</v>
      </c>
      <c r="AX25" s="79">
        <f>IF(COUNTIFS(J:J,"Integral",E:E,E25,H:H,"Ativo")=4,1/4,1/10)</f>
        <v>0.1</v>
      </c>
      <c r="AY25" s="79"/>
      <c r="AZ25" s="79"/>
    </row>
    <row r="26" spans="1:52" ht="15.75" customHeight="1">
      <c r="A26" s="31">
        <v>25</v>
      </c>
      <c r="B26" s="399">
        <v>44803</v>
      </c>
      <c r="C26" s="32" t="s">
        <v>304</v>
      </c>
      <c r="D26" s="32" t="s">
        <v>308</v>
      </c>
      <c r="E26" s="32" t="s">
        <v>306</v>
      </c>
      <c r="F26" s="32" t="s">
        <v>309</v>
      </c>
      <c r="G26" s="33" t="s">
        <v>243</v>
      </c>
      <c r="H26" s="33" t="s">
        <v>244</v>
      </c>
      <c r="I26" s="34">
        <v>44818</v>
      </c>
      <c r="J26" s="33" t="s">
        <v>6</v>
      </c>
      <c r="K26" s="35" t="s">
        <v>289</v>
      </c>
      <c r="L26" s="35" t="s">
        <v>290</v>
      </c>
      <c r="M26" s="67" t="s">
        <v>222</v>
      </c>
      <c r="N26" s="33" t="s">
        <v>68</v>
      </c>
      <c r="O26" s="33" t="s">
        <v>12</v>
      </c>
      <c r="P26" s="33" t="s">
        <v>1</v>
      </c>
      <c r="Q26" s="47"/>
      <c r="R26" s="47"/>
      <c r="S26" s="45" t="s">
        <v>222</v>
      </c>
      <c r="T26" s="45"/>
      <c r="U26" s="51">
        <v>44721</v>
      </c>
      <c r="V26" s="48">
        <f t="shared" si="0"/>
        <v>44803</v>
      </c>
      <c r="W26" s="50">
        <f>V26-U26</f>
        <v>82</v>
      </c>
      <c r="X26" s="265">
        <v>0</v>
      </c>
      <c r="Y26" s="67">
        <v>0</v>
      </c>
      <c r="Z26" s="67">
        <v>775000</v>
      </c>
      <c r="AA26" s="35">
        <v>0</v>
      </c>
      <c r="AB26" s="67"/>
      <c r="AC26" s="40"/>
      <c r="AD26" s="49"/>
      <c r="AE26" s="41">
        <v>0</v>
      </c>
      <c r="AF26" s="43">
        <v>0</v>
      </c>
      <c r="AG26" s="40">
        <v>0</v>
      </c>
      <c r="AH26" s="40"/>
      <c r="AI26" s="44"/>
      <c r="AJ26" s="44"/>
      <c r="AK26" s="40">
        <v>0</v>
      </c>
      <c r="AL26" s="40"/>
      <c r="AM26" s="242">
        <f t="shared" si="1"/>
        <v>44804</v>
      </c>
      <c r="AN26" s="242" t="str">
        <f>IF(AQ26="x","",IF(AQ26="x",AM26,IF(EOMONTH(I26,0)=31,"",EOMONTH(I26,0))))</f>
        <v/>
      </c>
      <c r="AO26" s="79">
        <f>IFERROR(IF(VLOOKUP(C26,C27:C630,1,0)=0,1,0),1)</f>
        <v>0</v>
      </c>
      <c r="AP26" s="79"/>
      <c r="AQ26" s="243" t="str">
        <f t="shared" si="2"/>
        <v>x</v>
      </c>
      <c r="AR26" s="242">
        <f>IF(AQ26="x",EOMONTH(I26,0))</f>
        <v>44834</v>
      </c>
      <c r="AS26" s="79">
        <f t="shared" si="3"/>
        <v>1</v>
      </c>
      <c r="AT26" s="79">
        <f t="shared" si="4"/>
        <v>1</v>
      </c>
      <c r="AU26" s="79" t="str">
        <f t="shared" si="5"/>
        <v>A</v>
      </c>
      <c r="AV26" s="79">
        <f t="shared" si="6"/>
        <v>1</v>
      </c>
      <c r="AW26" s="79" t="str">
        <f>J26&amp;AU26</f>
        <v>IntegralA</v>
      </c>
      <c r="AX26" s="79">
        <f>IF(COUNTIFS(J:J,"Integral",E:E,E26,H:H,"Ativo")=4,1/4,1/10)</f>
        <v>0.1</v>
      </c>
      <c r="AY26" s="79"/>
      <c r="AZ26" s="79"/>
    </row>
    <row r="27" spans="1:52" ht="15.75" customHeight="1">
      <c r="A27" s="31">
        <v>26</v>
      </c>
      <c r="B27" s="399">
        <v>44803</v>
      </c>
      <c r="C27" s="32" t="s">
        <v>304</v>
      </c>
      <c r="D27" s="32" t="s">
        <v>310</v>
      </c>
      <c r="E27" s="32" t="s">
        <v>306</v>
      </c>
      <c r="F27" s="32" t="s">
        <v>311</v>
      </c>
      <c r="G27" s="33" t="s">
        <v>243</v>
      </c>
      <c r="H27" s="33" t="s">
        <v>244</v>
      </c>
      <c r="I27" s="34">
        <v>44818</v>
      </c>
      <c r="J27" s="33" t="s">
        <v>6</v>
      </c>
      <c r="K27" s="35" t="s">
        <v>289</v>
      </c>
      <c r="L27" s="35" t="s">
        <v>290</v>
      </c>
      <c r="M27" s="67" t="s">
        <v>222</v>
      </c>
      <c r="N27" s="33" t="s">
        <v>68</v>
      </c>
      <c r="O27" s="33" t="s">
        <v>12</v>
      </c>
      <c r="P27" s="33" t="s">
        <v>1</v>
      </c>
      <c r="Q27" s="47"/>
      <c r="R27" s="47"/>
      <c r="S27" s="45" t="s">
        <v>222</v>
      </c>
      <c r="T27" s="45"/>
      <c r="U27" s="51">
        <v>44721</v>
      </c>
      <c r="V27" s="48">
        <f t="shared" si="0"/>
        <v>44803</v>
      </c>
      <c r="W27" s="50">
        <f>V27-U27</f>
        <v>82</v>
      </c>
      <c r="X27" s="265">
        <v>0</v>
      </c>
      <c r="Y27" s="67">
        <v>0</v>
      </c>
      <c r="Z27" s="67">
        <v>775000</v>
      </c>
      <c r="AA27" s="35">
        <v>0</v>
      </c>
      <c r="AB27" s="67"/>
      <c r="AC27" s="40"/>
      <c r="AD27" s="49"/>
      <c r="AE27" s="41">
        <v>0</v>
      </c>
      <c r="AF27" s="43">
        <v>0</v>
      </c>
      <c r="AG27" s="40">
        <v>0</v>
      </c>
      <c r="AH27" s="40"/>
      <c r="AI27" s="44"/>
      <c r="AJ27" s="44"/>
      <c r="AK27" s="40">
        <v>0</v>
      </c>
      <c r="AL27" s="40"/>
      <c r="AM27" s="242">
        <f t="shared" si="1"/>
        <v>44804</v>
      </c>
      <c r="AN27" s="242" t="str">
        <f>IF(AQ27="x","",IF(AQ27="x",AM27,IF(EOMONTH(I27,0)=31,"",EOMONTH(I27,0))))</f>
        <v/>
      </c>
      <c r="AO27" s="79">
        <f>IFERROR(IF(VLOOKUP(C27,C28:C631,1,0)=0,1,0),1)</f>
        <v>0</v>
      </c>
      <c r="AP27" s="79"/>
      <c r="AQ27" s="243" t="str">
        <f t="shared" si="2"/>
        <v>x</v>
      </c>
      <c r="AR27" s="242">
        <f>IF(AQ27="x",EOMONTH(I27,0))</f>
        <v>44834</v>
      </c>
      <c r="AS27" s="79">
        <f t="shared" si="3"/>
        <v>1</v>
      </c>
      <c r="AT27" s="79">
        <f t="shared" si="4"/>
        <v>1</v>
      </c>
      <c r="AU27" s="79" t="str">
        <f t="shared" si="5"/>
        <v>A</v>
      </c>
      <c r="AV27" s="79">
        <f t="shared" si="6"/>
        <v>1</v>
      </c>
      <c r="AW27" s="79" t="str">
        <f>J27&amp;AU27</f>
        <v>IntegralA</v>
      </c>
      <c r="AX27" s="79">
        <f>IF(COUNTIFS(J:J,"Integral",E:E,E27,H:H,"Ativo")=4,1/4,1/10)</f>
        <v>0.1</v>
      </c>
      <c r="AY27" s="79"/>
      <c r="AZ27" s="79"/>
    </row>
    <row r="28" spans="1:52" ht="15.75" customHeight="1">
      <c r="A28" s="31">
        <v>27</v>
      </c>
      <c r="B28" s="399">
        <v>44803</v>
      </c>
      <c r="C28" s="32" t="s">
        <v>304</v>
      </c>
      <c r="D28" s="32" t="s">
        <v>312</v>
      </c>
      <c r="E28" s="32" t="s">
        <v>306</v>
      </c>
      <c r="F28" s="32" t="s">
        <v>313</v>
      </c>
      <c r="G28" s="33" t="s">
        <v>243</v>
      </c>
      <c r="H28" s="33" t="s">
        <v>244</v>
      </c>
      <c r="I28" s="34">
        <v>44818</v>
      </c>
      <c r="J28" s="33" t="s">
        <v>6</v>
      </c>
      <c r="K28" s="35" t="s">
        <v>289</v>
      </c>
      <c r="L28" s="35" t="s">
        <v>290</v>
      </c>
      <c r="M28" s="67" t="s">
        <v>222</v>
      </c>
      <c r="N28" s="33" t="s">
        <v>68</v>
      </c>
      <c r="O28" s="33" t="s">
        <v>12</v>
      </c>
      <c r="P28" s="33" t="s">
        <v>1</v>
      </c>
      <c r="Q28" s="47"/>
      <c r="R28" s="47"/>
      <c r="S28" s="45" t="s">
        <v>222</v>
      </c>
      <c r="T28" s="45"/>
      <c r="U28" s="51">
        <v>44721</v>
      </c>
      <c r="V28" s="48">
        <f t="shared" si="0"/>
        <v>44803</v>
      </c>
      <c r="W28" s="50">
        <f>V28-U28</f>
        <v>82</v>
      </c>
      <c r="X28" s="265">
        <v>0</v>
      </c>
      <c r="Y28" s="67">
        <v>0</v>
      </c>
      <c r="Z28" s="67">
        <v>775000</v>
      </c>
      <c r="AA28" s="35">
        <v>0</v>
      </c>
      <c r="AB28" s="67"/>
      <c r="AC28" s="40"/>
      <c r="AD28" s="49"/>
      <c r="AE28" s="41">
        <v>0</v>
      </c>
      <c r="AF28" s="43">
        <v>0</v>
      </c>
      <c r="AG28" s="40">
        <v>0</v>
      </c>
      <c r="AH28" s="40"/>
      <c r="AI28" s="44"/>
      <c r="AJ28" s="44"/>
      <c r="AK28" s="40">
        <v>0</v>
      </c>
      <c r="AL28" s="40"/>
      <c r="AM28" s="242">
        <f t="shared" si="1"/>
        <v>44804</v>
      </c>
      <c r="AN28" s="242" t="str">
        <f>IF(AQ28="x","",IF(AQ28="x",AM28,IF(EOMONTH(I28,0)=31,"",EOMONTH(I28,0))))</f>
        <v/>
      </c>
      <c r="AO28" s="79">
        <f>IFERROR(IF(VLOOKUP(C28,C29:C632,1,0)=0,1,0),1)</f>
        <v>1</v>
      </c>
      <c r="AP28" s="79"/>
      <c r="AQ28" s="243" t="str">
        <f t="shared" si="2"/>
        <v>x</v>
      </c>
      <c r="AR28" s="242">
        <f>IF(AQ28="x",EOMONTH(I28,0))</f>
        <v>44834</v>
      </c>
      <c r="AS28" s="79">
        <f t="shared" si="3"/>
        <v>1</v>
      </c>
      <c r="AT28" s="79">
        <f t="shared" si="4"/>
        <v>1</v>
      </c>
      <c r="AU28" s="79" t="str">
        <f t="shared" si="5"/>
        <v>A</v>
      </c>
      <c r="AV28" s="79">
        <f t="shared" si="6"/>
        <v>1</v>
      </c>
      <c r="AW28" s="79" t="str">
        <f>J28&amp;AU28</f>
        <v>IntegralA</v>
      </c>
      <c r="AX28" s="79">
        <f>IF(COUNTIFS(J:J,"Integral",E:E,E28,H:H,"Ativo")=4,1/4,1/10)</f>
        <v>0.1</v>
      </c>
      <c r="AY28" s="79"/>
      <c r="AZ28" s="79"/>
    </row>
    <row r="29" spans="1:52" ht="15.75" customHeight="1">
      <c r="A29" s="31">
        <v>28</v>
      </c>
      <c r="B29" s="399">
        <v>44808</v>
      </c>
      <c r="C29" s="32" t="s">
        <v>314</v>
      </c>
      <c r="D29" s="32" t="s">
        <v>315</v>
      </c>
      <c r="E29" s="32" t="s">
        <v>316</v>
      </c>
      <c r="F29" s="32" t="s">
        <v>317</v>
      </c>
      <c r="G29" s="33" t="s">
        <v>220</v>
      </c>
      <c r="H29" s="33" t="s">
        <v>90</v>
      </c>
      <c r="I29" s="34">
        <v>0</v>
      </c>
      <c r="J29" s="33">
        <v>6</v>
      </c>
      <c r="K29" s="35" t="s">
        <v>318</v>
      </c>
      <c r="L29" s="35" t="s">
        <v>238</v>
      </c>
      <c r="M29" s="67" t="s">
        <v>222</v>
      </c>
      <c r="N29" s="33" t="s">
        <v>68</v>
      </c>
      <c r="O29" s="33" t="s">
        <v>11</v>
      </c>
      <c r="P29" s="33" t="s">
        <v>1</v>
      </c>
      <c r="Q29" s="47"/>
      <c r="R29" s="47"/>
      <c r="S29" s="45" t="s">
        <v>160</v>
      </c>
      <c r="T29" s="45"/>
      <c r="U29" s="46">
        <v>44808</v>
      </c>
      <c r="V29" s="38">
        <f t="shared" si="0"/>
        <v>44808</v>
      </c>
      <c r="W29" s="50">
        <f>V29-U29</f>
        <v>0</v>
      </c>
      <c r="X29" s="261">
        <v>360000</v>
      </c>
      <c r="Y29" s="260">
        <v>360000</v>
      </c>
      <c r="Z29" s="260">
        <v>300000</v>
      </c>
      <c r="AA29" s="35">
        <v>0</v>
      </c>
      <c r="AB29" s="260"/>
      <c r="AC29" s="41"/>
      <c r="AD29" s="42"/>
      <c r="AE29" s="41"/>
      <c r="AF29" s="43"/>
      <c r="AG29" s="40">
        <v>0</v>
      </c>
      <c r="AH29" s="40">
        <v>60000</v>
      </c>
      <c r="AI29" s="44">
        <v>0.16666666666666666</v>
      </c>
      <c r="AJ29" s="44">
        <v>0.16666666666666666</v>
      </c>
      <c r="AK29" s="40">
        <v>0</v>
      </c>
      <c r="AL29" s="40">
        <v>60000</v>
      </c>
      <c r="AM29" s="242">
        <f t="shared" si="1"/>
        <v>44834</v>
      </c>
      <c r="AN29" s="242" t="str">
        <f>IF(AQ29="x","",IF(AQ29="x",AM29,IF(EOMONTH(I29,0)=31,"",EOMONTH(I29,0))))</f>
        <v/>
      </c>
      <c r="AO29" s="79">
        <f>IFERROR(IF(VLOOKUP(C29,C30:C633,1,0)=0,1,0),1)</f>
        <v>1</v>
      </c>
      <c r="AP29" s="79"/>
      <c r="AQ29" s="243" t="str">
        <f t="shared" si="2"/>
        <v/>
      </c>
      <c r="AR29" s="242" t="b">
        <f>IF(AQ29="x",EOMONTH(I29,0))</f>
        <v>0</v>
      </c>
      <c r="AS29" s="79">
        <f t="shared" si="3"/>
        <v>1</v>
      </c>
      <c r="AT29" s="79">
        <f t="shared" si="4"/>
        <v>1</v>
      </c>
      <c r="AU29" s="79" t="str">
        <f t="shared" si="5"/>
        <v>B</v>
      </c>
      <c r="AV29" s="79">
        <f t="shared" si="6"/>
        <v>1</v>
      </c>
      <c r="AW29" s="79" t="str">
        <f>J29&amp;AU29</f>
        <v>6B</v>
      </c>
      <c r="AX29" s="79">
        <f>IF(COUNTIFS(J:J,"Integral",E:E,E29,H:H,"Ativo")=4,1/4,1/10)</f>
        <v>0.1</v>
      </c>
      <c r="AY29" s="79"/>
      <c r="AZ29" s="79"/>
    </row>
    <row r="30" spans="1:52" ht="15.75" customHeight="1">
      <c r="A30" s="31">
        <v>29</v>
      </c>
      <c r="B30" s="399">
        <v>44816</v>
      </c>
      <c r="C30" s="32" t="s">
        <v>319</v>
      </c>
      <c r="D30" s="32" t="s">
        <v>320</v>
      </c>
      <c r="E30" s="32" t="s">
        <v>321</v>
      </c>
      <c r="F30" s="32" t="s">
        <v>322</v>
      </c>
      <c r="G30" s="33" t="s">
        <v>243</v>
      </c>
      <c r="H30" s="33" t="s">
        <v>244</v>
      </c>
      <c r="I30" s="34">
        <v>44867</v>
      </c>
      <c r="J30" s="33" t="s">
        <v>6</v>
      </c>
      <c r="K30" s="35" t="s">
        <v>258</v>
      </c>
      <c r="L30" s="35" t="s">
        <v>258</v>
      </c>
      <c r="M30" s="67" t="s">
        <v>222</v>
      </c>
      <c r="N30" s="33" t="s">
        <v>73</v>
      </c>
      <c r="O30" s="33" t="s">
        <v>12</v>
      </c>
      <c r="P30" s="33" t="s">
        <v>1</v>
      </c>
      <c r="Q30" s="47"/>
      <c r="R30" s="47"/>
      <c r="S30" s="45" t="s">
        <v>222</v>
      </c>
      <c r="T30" s="45"/>
      <c r="U30" s="47" t="s">
        <v>222</v>
      </c>
      <c r="V30" s="48">
        <f t="shared" si="0"/>
        <v>44816</v>
      </c>
      <c r="W30" s="50"/>
      <c r="X30" s="265">
        <v>0</v>
      </c>
      <c r="Y30" s="67">
        <v>0</v>
      </c>
      <c r="Z30" s="67">
        <v>1140250</v>
      </c>
      <c r="AA30" s="35">
        <v>0</v>
      </c>
      <c r="AB30" s="67"/>
      <c r="AC30" s="40"/>
      <c r="AD30" s="49"/>
      <c r="AE30" s="41">
        <v>0</v>
      </c>
      <c r="AF30" s="43">
        <v>0</v>
      </c>
      <c r="AG30" s="40">
        <v>0</v>
      </c>
      <c r="AH30" s="40"/>
      <c r="AI30" s="44"/>
      <c r="AJ30" s="44"/>
      <c r="AK30" s="40">
        <v>0</v>
      </c>
      <c r="AL30" s="40"/>
      <c r="AM30" s="242">
        <f t="shared" si="1"/>
        <v>44834</v>
      </c>
      <c r="AN30" s="242" t="str">
        <f>IF(AQ30="x","",IF(AQ30="x",AM30,IF(EOMONTH(I30,0)=31,"",EOMONTH(I30,0))))</f>
        <v/>
      </c>
      <c r="AO30" s="79">
        <f>IFERROR(IF(VLOOKUP(C30,C31:C634,1,0)=0,1,0),1)</f>
        <v>0</v>
      </c>
      <c r="AP30" s="79"/>
      <c r="AQ30" s="243" t="str">
        <f t="shared" si="2"/>
        <v>x</v>
      </c>
      <c r="AR30" s="242">
        <f>IF(AQ30="x",EOMONTH(I30,0))</f>
        <v>44895</v>
      </c>
      <c r="AS30" s="79">
        <f t="shared" si="3"/>
        <v>1</v>
      </c>
      <c r="AT30" s="79">
        <f t="shared" si="4"/>
        <v>1</v>
      </c>
      <c r="AU30" s="79" t="str">
        <f t="shared" si="5"/>
        <v>A</v>
      </c>
      <c r="AV30" s="79">
        <f t="shared" si="6"/>
        <v>1</v>
      </c>
      <c r="AW30" s="79" t="str">
        <f>J30&amp;AU30</f>
        <v>IntegralA</v>
      </c>
      <c r="AX30" s="79">
        <f>IF(COUNTIFS(J:J,"Integral",E:E,E30,H:H,"Ativo")=4,1/4,1/10)</f>
        <v>0.25</v>
      </c>
      <c r="AY30" s="79"/>
      <c r="AZ30" s="79"/>
    </row>
    <row r="31" spans="1:52" ht="15.75" customHeight="1">
      <c r="A31" s="31">
        <v>30</v>
      </c>
      <c r="B31" s="399">
        <v>44816</v>
      </c>
      <c r="C31" s="32" t="s">
        <v>319</v>
      </c>
      <c r="D31" s="32" t="s">
        <v>323</v>
      </c>
      <c r="E31" s="32" t="s">
        <v>321</v>
      </c>
      <c r="F31" s="32" t="s">
        <v>324</v>
      </c>
      <c r="G31" s="33" t="s">
        <v>243</v>
      </c>
      <c r="H31" s="33" t="s">
        <v>244</v>
      </c>
      <c r="I31" s="34">
        <v>44867</v>
      </c>
      <c r="J31" s="33" t="s">
        <v>6</v>
      </c>
      <c r="K31" s="35" t="s">
        <v>258</v>
      </c>
      <c r="L31" s="35" t="s">
        <v>258</v>
      </c>
      <c r="M31" s="67" t="s">
        <v>222</v>
      </c>
      <c r="N31" s="33" t="s">
        <v>73</v>
      </c>
      <c r="O31" s="33" t="s">
        <v>12</v>
      </c>
      <c r="P31" s="33" t="s">
        <v>1</v>
      </c>
      <c r="Q31" s="47"/>
      <c r="R31" s="47"/>
      <c r="S31" s="45" t="s">
        <v>222</v>
      </c>
      <c r="T31" s="45"/>
      <c r="U31" s="47" t="s">
        <v>222</v>
      </c>
      <c r="V31" s="48">
        <f t="shared" si="0"/>
        <v>44816</v>
      </c>
      <c r="W31" s="50"/>
      <c r="X31" s="265">
        <v>0</v>
      </c>
      <c r="Y31" s="67">
        <v>0</v>
      </c>
      <c r="Z31" s="67">
        <v>1140250</v>
      </c>
      <c r="AA31" s="35">
        <v>0</v>
      </c>
      <c r="AB31" s="67"/>
      <c r="AC31" s="40"/>
      <c r="AD31" s="49"/>
      <c r="AE31" s="41">
        <v>0</v>
      </c>
      <c r="AF31" s="43">
        <v>0</v>
      </c>
      <c r="AG31" s="40">
        <v>0</v>
      </c>
      <c r="AH31" s="40"/>
      <c r="AI31" s="44"/>
      <c r="AJ31" s="44"/>
      <c r="AK31" s="40">
        <v>0</v>
      </c>
      <c r="AL31" s="40"/>
      <c r="AM31" s="242">
        <f t="shared" si="1"/>
        <v>44834</v>
      </c>
      <c r="AN31" s="242" t="str">
        <f>IF(AQ31="x","",IF(AQ31="x",AM31,IF(EOMONTH(I31,0)=31,"",EOMONTH(I31,0))))</f>
        <v/>
      </c>
      <c r="AO31" s="79">
        <f>IFERROR(IF(VLOOKUP(C31,C32:C635,1,0)=0,1,0),1)</f>
        <v>0</v>
      </c>
      <c r="AP31" s="79"/>
      <c r="AQ31" s="243" t="str">
        <f t="shared" si="2"/>
        <v>x</v>
      </c>
      <c r="AR31" s="242">
        <f>IF(AQ31="x",EOMONTH(I31,0))</f>
        <v>44895</v>
      </c>
      <c r="AS31" s="79">
        <f t="shared" si="3"/>
        <v>1</v>
      </c>
      <c r="AT31" s="79">
        <f t="shared" si="4"/>
        <v>1</v>
      </c>
      <c r="AU31" s="79" t="str">
        <f t="shared" si="5"/>
        <v>A</v>
      </c>
      <c r="AV31" s="79">
        <f t="shared" si="6"/>
        <v>1</v>
      </c>
      <c r="AW31" s="79" t="str">
        <f>J31&amp;AU31</f>
        <v>IntegralA</v>
      </c>
      <c r="AX31" s="79">
        <f>IF(COUNTIFS(J:J,"Integral",E:E,E31,H:H,"Ativo")=4,1/4,1/10)</f>
        <v>0.25</v>
      </c>
      <c r="AY31" s="79"/>
      <c r="AZ31" s="79"/>
    </row>
    <row r="32" spans="1:52" ht="15.75" customHeight="1">
      <c r="A32" s="31">
        <v>31</v>
      </c>
      <c r="B32" s="399">
        <v>44816</v>
      </c>
      <c r="C32" s="32" t="s">
        <v>319</v>
      </c>
      <c r="D32" s="32" t="s">
        <v>325</v>
      </c>
      <c r="E32" s="32" t="s">
        <v>321</v>
      </c>
      <c r="F32" s="32" t="s">
        <v>326</v>
      </c>
      <c r="G32" s="33" t="s">
        <v>243</v>
      </c>
      <c r="H32" s="33" t="s">
        <v>244</v>
      </c>
      <c r="I32" s="34">
        <v>44867</v>
      </c>
      <c r="J32" s="33" t="s">
        <v>6</v>
      </c>
      <c r="K32" s="35" t="s">
        <v>327</v>
      </c>
      <c r="L32" s="35" t="s">
        <v>327</v>
      </c>
      <c r="M32" s="67" t="s">
        <v>222</v>
      </c>
      <c r="N32" s="33" t="s">
        <v>68</v>
      </c>
      <c r="O32" s="33" t="s">
        <v>12</v>
      </c>
      <c r="P32" s="33">
        <v>0</v>
      </c>
      <c r="Q32" s="47"/>
      <c r="R32" s="47"/>
      <c r="S32" s="45" t="s">
        <v>222</v>
      </c>
      <c r="T32" s="45"/>
      <c r="U32" s="51">
        <v>44816</v>
      </c>
      <c r="V32" s="48">
        <f t="shared" si="0"/>
        <v>44816</v>
      </c>
      <c r="W32" s="50">
        <f>V32-U32</f>
        <v>0</v>
      </c>
      <c r="X32" s="265">
        <v>0</v>
      </c>
      <c r="Y32" s="67">
        <v>0</v>
      </c>
      <c r="Z32" s="67">
        <v>1140250</v>
      </c>
      <c r="AA32" s="35">
        <v>0</v>
      </c>
      <c r="AB32" s="67"/>
      <c r="AC32" s="40"/>
      <c r="AD32" s="49"/>
      <c r="AE32" s="41">
        <v>0</v>
      </c>
      <c r="AF32" s="43">
        <v>0</v>
      </c>
      <c r="AG32" s="40">
        <v>0</v>
      </c>
      <c r="AH32" s="40"/>
      <c r="AI32" s="44"/>
      <c r="AJ32" s="44"/>
      <c r="AK32" s="40">
        <v>0</v>
      </c>
      <c r="AL32" s="40"/>
      <c r="AM32" s="242">
        <f t="shared" si="1"/>
        <v>44834</v>
      </c>
      <c r="AN32" s="242" t="str">
        <f>IF(AQ32="x","",IF(AQ32="x",AM32,IF(EOMONTH(I32,0)=31,"",EOMONTH(I32,0))))</f>
        <v/>
      </c>
      <c r="AO32" s="79">
        <f>IFERROR(IF(VLOOKUP(C32,C33:C636,1,0)=0,1,0),1)</f>
        <v>0</v>
      </c>
      <c r="AP32" s="79"/>
      <c r="AQ32" s="243" t="str">
        <f t="shared" si="2"/>
        <v>x</v>
      </c>
      <c r="AR32" s="242">
        <f>IF(AQ32="x",EOMONTH(I32,0))</f>
        <v>44895</v>
      </c>
      <c r="AS32" s="79">
        <f t="shared" si="3"/>
        <v>1</v>
      </c>
      <c r="AT32" s="79">
        <f t="shared" si="4"/>
        <v>1</v>
      </c>
      <c r="AU32" s="79" t="str">
        <f t="shared" si="5"/>
        <v>A</v>
      </c>
      <c r="AV32" s="79">
        <f t="shared" si="6"/>
        <v>1</v>
      </c>
      <c r="AW32" s="79" t="str">
        <f>J32&amp;AU32</f>
        <v>IntegralA</v>
      </c>
      <c r="AX32" s="79">
        <f>IF(COUNTIFS(J:J,"Integral",E:E,E32,H:H,"Ativo")=4,1/4,1/10)</f>
        <v>0.25</v>
      </c>
      <c r="AY32" s="79"/>
      <c r="AZ32" s="79"/>
    </row>
    <row r="33" spans="1:52" ht="15.75" customHeight="1">
      <c r="A33" s="31">
        <v>32</v>
      </c>
      <c r="B33" s="399">
        <v>44816</v>
      </c>
      <c r="C33" s="32" t="s">
        <v>319</v>
      </c>
      <c r="D33" s="32" t="s">
        <v>328</v>
      </c>
      <c r="E33" s="32" t="s">
        <v>321</v>
      </c>
      <c r="F33" s="32" t="s">
        <v>329</v>
      </c>
      <c r="G33" s="33" t="s">
        <v>243</v>
      </c>
      <c r="H33" s="33" t="s">
        <v>244</v>
      </c>
      <c r="I33" s="34">
        <v>44867</v>
      </c>
      <c r="J33" s="33" t="s">
        <v>6</v>
      </c>
      <c r="K33" s="35" t="s">
        <v>327</v>
      </c>
      <c r="L33" s="35" t="s">
        <v>327</v>
      </c>
      <c r="M33" s="67" t="s">
        <v>222</v>
      </c>
      <c r="N33" s="33" t="s">
        <v>68</v>
      </c>
      <c r="O33" s="33" t="s">
        <v>12</v>
      </c>
      <c r="P33" s="33">
        <v>0</v>
      </c>
      <c r="Q33" s="47"/>
      <c r="R33" s="47"/>
      <c r="S33" s="45" t="s">
        <v>222</v>
      </c>
      <c r="T33" s="45"/>
      <c r="U33" s="51">
        <v>44816</v>
      </c>
      <c r="V33" s="48">
        <f t="shared" si="0"/>
        <v>44816</v>
      </c>
      <c r="W33" s="50">
        <f>V33-U33</f>
        <v>0</v>
      </c>
      <c r="X33" s="265">
        <v>0</v>
      </c>
      <c r="Y33" s="67">
        <v>0</v>
      </c>
      <c r="Z33" s="67">
        <v>1140250</v>
      </c>
      <c r="AA33" s="35">
        <v>0</v>
      </c>
      <c r="AB33" s="67"/>
      <c r="AC33" s="40"/>
      <c r="AD33" s="49"/>
      <c r="AE33" s="41">
        <v>0</v>
      </c>
      <c r="AF33" s="43">
        <v>0</v>
      </c>
      <c r="AG33" s="40">
        <v>0</v>
      </c>
      <c r="AH33" s="40"/>
      <c r="AI33" s="44"/>
      <c r="AJ33" s="44"/>
      <c r="AK33" s="40">
        <v>0</v>
      </c>
      <c r="AL33" s="40"/>
      <c r="AM33" s="242">
        <f t="shared" si="1"/>
        <v>44834</v>
      </c>
      <c r="AN33" s="242" t="str">
        <f>IF(AQ33="x","",IF(AQ33="x",AM33,IF(EOMONTH(I33,0)=31,"",EOMONTH(I33,0))))</f>
        <v/>
      </c>
      <c r="AO33" s="79">
        <f>IFERROR(IF(VLOOKUP(C33,C34:C637,1,0)=0,1,0),1)</f>
        <v>1</v>
      </c>
      <c r="AP33" s="79"/>
      <c r="AQ33" s="243" t="str">
        <f t="shared" si="2"/>
        <v>x</v>
      </c>
      <c r="AR33" s="242">
        <f>IF(AQ33="x",EOMONTH(I33,0))</f>
        <v>44895</v>
      </c>
      <c r="AS33" s="79">
        <f t="shared" si="3"/>
        <v>1</v>
      </c>
      <c r="AT33" s="79">
        <f t="shared" si="4"/>
        <v>1</v>
      </c>
      <c r="AU33" s="79" t="str">
        <f t="shared" si="5"/>
        <v>A</v>
      </c>
      <c r="AV33" s="79">
        <f t="shared" si="6"/>
        <v>1</v>
      </c>
      <c r="AW33" s="79" t="str">
        <f>J33&amp;AU33</f>
        <v>IntegralA</v>
      </c>
      <c r="AX33" s="79">
        <f>IF(COUNTIFS(J:J,"Integral",E:E,E33,H:H,"Ativo")=4,1/4,1/10)</f>
        <v>0.25</v>
      </c>
      <c r="AY33" s="79"/>
      <c r="AZ33" s="79"/>
    </row>
    <row r="34" spans="1:52" ht="15.75" customHeight="1">
      <c r="A34" s="31">
        <v>33</v>
      </c>
      <c r="B34" s="399">
        <v>44816</v>
      </c>
      <c r="C34" s="32" t="s">
        <v>330</v>
      </c>
      <c r="D34" s="32" t="s">
        <v>331</v>
      </c>
      <c r="E34" s="32" t="s">
        <v>235</v>
      </c>
      <c r="F34" s="32" t="s">
        <v>332</v>
      </c>
      <c r="G34" s="33" t="s">
        <v>243</v>
      </c>
      <c r="H34" s="33" t="s">
        <v>244</v>
      </c>
      <c r="I34" s="34">
        <v>44823</v>
      </c>
      <c r="J34" s="33">
        <v>13</v>
      </c>
      <c r="K34" s="35" t="s">
        <v>333</v>
      </c>
      <c r="L34" s="35" t="s">
        <v>238</v>
      </c>
      <c r="M34" s="67" t="s">
        <v>222</v>
      </c>
      <c r="N34" s="33" t="s">
        <v>68</v>
      </c>
      <c r="O34" s="33" t="s">
        <v>11</v>
      </c>
      <c r="P34" s="33" t="s">
        <v>1</v>
      </c>
      <c r="Q34" s="47"/>
      <c r="R34" s="47"/>
      <c r="S34" s="45" t="s">
        <v>222</v>
      </c>
      <c r="T34" s="45"/>
      <c r="U34" s="51">
        <v>44816</v>
      </c>
      <c r="V34" s="48">
        <f t="shared" si="0"/>
        <v>44816</v>
      </c>
      <c r="W34" s="50">
        <f>V34-U34</f>
        <v>0</v>
      </c>
      <c r="X34" s="265">
        <v>0</v>
      </c>
      <c r="Y34" s="67">
        <v>0</v>
      </c>
      <c r="Z34" s="67">
        <v>932400</v>
      </c>
      <c r="AA34" s="35">
        <v>0</v>
      </c>
      <c r="AB34" s="67"/>
      <c r="AC34" s="40"/>
      <c r="AD34" s="49"/>
      <c r="AE34" s="41">
        <v>0</v>
      </c>
      <c r="AF34" s="43">
        <v>0</v>
      </c>
      <c r="AG34" s="40">
        <v>0</v>
      </c>
      <c r="AH34" s="40"/>
      <c r="AI34" s="44"/>
      <c r="AJ34" s="44"/>
      <c r="AK34" s="40">
        <v>0</v>
      </c>
      <c r="AL34" s="40"/>
      <c r="AM34" s="242">
        <f t="shared" si="1"/>
        <v>44834</v>
      </c>
      <c r="AN34" s="242" t="str">
        <f>IF(AQ34="x","",IF(AQ34="x",AM34,IF(EOMONTH(I34,0)=31,"",EOMONTH(I34,0))))</f>
        <v/>
      </c>
      <c r="AO34" s="79">
        <f>IFERROR(IF(VLOOKUP(C34,C35:C638,1,0)=0,1,0),1)</f>
        <v>1</v>
      </c>
      <c r="AP34" s="79"/>
      <c r="AQ34" s="243" t="str">
        <f t="shared" si="2"/>
        <v>x</v>
      </c>
      <c r="AR34" s="242">
        <f>IF(AQ34="x",EOMONTH(I34,0))</f>
        <v>44834</v>
      </c>
      <c r="AS34" s="79">
        <f t="shared" si="3"/>
        <v>1</v>
      </c>
      <c r="AT34" s="79">
        <f t="shared" si="4"/>
        <v>1</v>
      </c>
      <c r="AU34" s="79" t="str">
        <f t="shared" si="5"/>
        <v>A</v>
      </c>
      <c r="AV34" s="79">
        <f t="shared" si="6"/>
        <v>1</v>
      </c>
      <c r="AW34" s="79" t="str">
        <f>J34&amp;AU34</f>
        <v>13A</v>
      </c>
      <c r="AX34" s="79">
        <f>IF(COUNTIFS(J:J,"Integral",E:E,E34,H:H,"Ativo")=4,1/4,1/10)</f>
        <v>0.1</v>
      </c>
      <c r="AY34" s="79"/>
      <c r="AZ34" s="79"/>
    </row>
    <row r="35" spans="1:52" ht="15.75" customHeight="1">
      <c r="A35" s="31">
        <v>34</v>
      </c>
      <c r="B35" s="399">
        <v>44816</v>
      </c>
      <c r="C35" s="32" t="s">
        <v>334</v>
      </c>
      <c r="D35" s="32" t="s">
        <v>335</v>
      </c>
      <c r="E35" s="32" t="s">
        <v>316</v>
      </c>
      <c r="F35" s="32" t="s">
        <v>336</v>
      </c>
      <c r="G35" s="33" t="s">
        <v>220</v>
      </c>
      <c r="H35" s="33" t="s">
        <v>337</v>
      </c>
      <c r="I35" s="34">
        <v>45107</v>
      </c>
      <c r="J35" s="33">
        <v>6</v>
      </c>
      <c r="K35" s="35" t="s">
        <v>333</v>
      </c>
      <c r="L35" s="35" t="s">
        <v>333</v>
      </c>
      <c r="M35" s="67" t="s">
        <v>222</v>
      </c>
      <c r="N35" s="33" t="s">
        <v>68</v>
      </c>
      <c r="O35" s="33" t="s">
        <v>12</v>
      </c>
      <c r="P35" s="33" t="s">
        <v>1</v>
      </c>
      <c r="Q35" s="47"/>
      <c r="R35" s="47"/>
      <c r="S35" s="45" t="s">
        <v>222</v>
      </c>
      <c r="T35" s="45"/>
      <c r="U35" s="51">
        <v>44816</v>
      </c>
      <c r="V35" s="48">
        <f t="shared" si="0"/>
        <v>44816</v>
      </c>
      <c r="W35" s="50">
        <f>V35-U35</f>
        <v>0</v>
      </c>
      <c r="X35" s="265">
        <v>360000</v>
      </c>
      <c r="Y35" s="67">
        <v>360000</v>
      </c>
      <c r="Z35" s="67">
        <v>383000</v>
      </c>
      <c r="AA35" s="35" t="s">
        <v>222</v>
      </c>
      <c r="AB35" s="67"/>
      <c r="AC35" s="40"/>
      <c r="AD35" s="49"/>
      <c r="AE35" s="41"/>
      <c r="AF35" s="43"/>
      <c r="AG35" s="40">
        <v>23000</v>
      </c>
      <c r="AH35" s="40"/>
      <c r="AI35" s="44"/>
      <c r="AJ35" s="44"/>
      <c r="AK35" s="40"/>
      <c r="AL35" s="40" t="s">
        <v>222</v>
      </c>
      <c r="AM35" s="242">
        <f t="shared" si="1"/>
        <v>44834</v>
      </c>
      <c r="AN35" s="242">
        <f>IF(AQ35="x","",IF(AQ35="x",AM35,IF(EOMONTH(I35,0)=31,"",EOMONTH(I35,0))))</f>
        <v>45107</v>
      </c>
      <c r="AO35" s="79">
        <f>IFERROR(IF(VLOOKUP(C35,C36:C639,1,0)=0,1,0),1)</f>
        <v>0</v>
      </c>
      <c r="AP35" s="79"/>
      <c r="AQ35" s="243"/>
      <c r="AR35" s="242" t="s">
        <v>338</v>
      </c>
      <c r="AS35" s="79">
        <v>1</v>
      </c>
      <c r="AT35" s="79">
        <v>1</v>
      </c>
      <c r="AU35" s="79" t="s">
        <v>134</v>
      </c>
      <c r="AV35" s="79">
        <v>1</v>
      </c>
      <c r="AW35" s="79" t="s">
        <v>339</v>
      </c>
      <c r="AX35" s="79">
        <f>IF(COUNTIFS(J:J,"Integral",E:E,E35,H:H,"Ativo")=4,1/4,1/10)</f>
        <v>0.1</v>
      </c>
      <c r="AY35" s="79"/>
      <c r="AZ35" s="79"/>
    </row>
    <row r="36" spans="1:52" ht="15.75" customHeight="1">
      <c r="A36" s="31">
        <v>35</v>
      </c>
      <c r="B36" s="399">
        <v>44817</v>
      </c>
      <c r="C36" s="32" t="s">
        <v>340</v>
      </c>
      <c r="D36" s="32" t="s">
        <v>341</v>
      </c>
      <c r="E36" s="32" t="s">
        <v>342</v>
      </c>
      <c r="F36" s="32" t="s">
        <v>343</v>
      </c>
      <c r="G36" s="33" t="s">
        <v>220</v>
      </c>
      <c r="H36" s="33" t="s">
        <v>90</v>
      </c>
      <c r="I36" s="34">
        <v>0</v>
      </c>
      <c r="J36" s="33" t="s">
        <v>6</v>
      </c>
      <c r="K36" s="35" t="s">
        <v>273</v>
      </c>
      <c r="L36" s="35" t="s">
        <v>246</v>
      </c>
      <c r="M36" s="67" t="s">
        <v>222</v>
      </c>
      <c r="N36" s="33" t="s">
        <v>68</v>
      </c>
      <c r="O36" s="33" t="s">
        <v>11</v>
      </c>
      <c r="P36" s="33" t="s">
        <v>1</v>
      </c>
      <c r="Q36" s="47"/>
      <c r="R36" s="47"/>
      <c r="S36" s="45" t="s">
        <v>145</v>
      </c>
      <c r="T36" s="45"/>
      <c r="U36" s="46">
        <v>44817</v>
      </c>
      <c r="V36" s="38">
        <f t="shared" si="0"/>
        <v>44817</v>
      </c>
      <c r="W36" s="50">
        <f>V36-U36</f>
        <v>0</v>
      </c>
      <c r="X36" s="261">
        <v>2551000</v>
      </c>
      <c r="Y36" s="260">
        <v>2551000</v>
      </c>
      <c r="Z36" s="260">
        <v>2040000</v>
      </c>
      <c r="AA36" s="35">
        <v>0</v>
      </c>
      <c r="AB36" s="260"/>
      <c r="AC36" s="41"/>
      <c r="AD36" s="42"/>
      <c r="AE36" s="41"/>
      <c r="AF36" s="43"/>
      <c r="AG36" s="40"/>
      <c r="AH36" s="40">
        <v>511000</v>
      </c>
      <c r="AI36" s="44">
        <v>0.20031360250882008</v>
      </c>
      <c r="AJ36" s="44">
        <v>0.20031360250882008</v>
      </c>
      <c r="AK36" s="40">
        <v>0</v>
      </c>
      <c r="AL36" s="40">
        <v>511000</v>
      </c>
      <c r="AM36" s="242">
        <f t="shared" si="1"/>
        <v>44834</v>
      </c>
      <c r="AN36" s="242" t="str">
        <f>IF(AQ36="x","",IF(AQ36="x",AM36,IF(EOMONTH(I36,0)=31,"",EOMONTH(I36,0))))</f>
        <v/>
      </c>
      <c r="AO36" s="79">
        <f>IFERROR(IF(VLOOKUP(C36,C37:C640,1,0)=0,1,0),1)</f>
        <v>0</v>
      </c>
      <c r="AP36" s="79"/>
      <c r="AQ36" s="243" t="str">
        <f t="shared" ref="AQ36:AQ99" si="7">IF(MID(G36,1,15)="NAO ASSINADO","x","")</f>
        <v/>
      </c>
      <c r="AR36" s="242" t="b">
        <f>IF(AQ36="x",EOMONTH(I36,0))</f>
        <v>0</v>
      </c>
      <c r="AS36" s="79">
        <f t="shared" ref="AS36:AS99" si="8">IF(AH36&lt;0,0,1)</f>
        <v>1</v>
      </c>
      <c r="AT36" s="79">
        <f t="shared" ref="AT36:AT99" si="9">IF(AL36&lt;0,0,1)</f>
        <v>1</v>
      </c>
      <c r="AU36" s="79" t="str">
        <f t="shared" ref="AU36:AU99" si="10">MID(E36,1,1)</f>
        <v>B</v>
      </c>
      <c r="AV36" s="79">
        <f t="shared" ref="AV36:AV67" si="11">IF(AG36&lt;0,0,1)</f>
        <v>1</v>
      </c>
      <c r="AW36" s="79" t="str">
        <f>J36&amp;AU36</f>
        <v>IntegralB</v>
      </c>
      <c r="AX36" s="79">
        <f>IF(COUNTIFS(J:J,"Integral",E:E,E36,H:H,"Ativo")=4,1/4,1/10)</f>
        <v>0.1</v>
      </c>
      <c r="AY36" s="79"/>
      <c r="AZ36" s="79"/>
    </row>
    <row r="37" spans="1:52" ht="15.75" customHeight="1">
      <c r="A37" s="31">
        <v>36</v>
      </c>
      <c r="B37" s="399">
        <v>44817</v>
      </c>
      <c r="C37" s="32" t="s">
        <v>340</v>
      </c>
      <c r="D37" s="32" t="s">
        <v>344</v>
      </c>
      <c r="E37" s="32" t="s">
        <v>342</v>
      </c>
      <c r="F37" s="32" t="s">
        <v>345</v>
      </c>
      <c r="G37" s="33" t="s">
        <v>220</v>
      </c>
      <c r="H37" s="33" t="s">
        <v>90</v>
      </c>
      <c r="I37" s="34">
        <v>0</v>
      </c>
      <c r="J37" s="33" t="s">
        <v>6</v>
      </c>
      <c r="K37" s="35" t="s">
        <v>273</v>
      </c>
      <c r="L37" s="35" t="s">
        <v>246</v>
      </c>
      <c r="M37" s="67" t="s">
        <v>222</v>
      </c>
      <c r="N37" s="33" t="s">
        <v>68</v>
      </c>
      <c r="O37" s="33" t="s">
        <v>11</v>
      </c>
      <c r="P37" s="33" t="s">
        <v>1</v>
      </c>
      <c r="Q37" s="47"/>
      <c r="R37" s="47"/>
      <c r="S37" s="45" t="s">
        <v>145</v>
      </c>
      <c r="T37" s="45"/>
      <c r="U37" s="52">
        <v>44817</v>
      </c>
      <c r="V37" s="48">
        <f t="shared" si="0"/>
        <v>44817</v>
      </c>
      <c r="W37" s="50">
        <f>V37-U37</f>
        <v>0</v>
      </c>
      <c r="X37" s="261">
        <v>0</v>
      </c>
      <c r="Y37" s="262">
        <v>0</v>
      </c>
      <c r="Z37" s="260">
        <v>0</v>
      </c>
      <c r="AA37" s="35">
        <v>0</v>
      </c>
      <c r="AB37" s="260"/>
      <c r="AC37" s="41"/>
      <c r="AD37" s="42"/>
      <c r="AE37" s="41"/>
      <c r="AF37" s="43"/>
      <c r="AG37" s="40">
        <v>0</v>
      </c>
      <c r="AH37" s="40">
        <v>0</v>
      </c>
      <c r="AI37" s="44"/>
      <c r="AJ37" s="44"/>
      <c r="AK37" s="40">
        <v>0</v>
      </c>
      <c r="AL37" s="40">
        <v>0</v>
      </c>
      <c r="AM37" s="242">
        <f t="shared" si="1"/>
        <v>44834</v>
      </c>
      <c r="AN37" s="242" t="str">
        <f>IF(AQ37="x","",IF(AQ37="x",AM37,IF(EOMONTH(I37,0)=31,"",EOMONTH(I37,0))))</f>
        <v/>
      </c>
      <c r="AO37" s="79">
        <f>IFERROR(IF(VLOOKUP(C37,C38:C641,1,0)=0,1,0),1)</f>
        <v>0</v>
      </c>
      <c r="AP37" s="79"/>
      <c r="AQ37" s="243" t="str">
        <f t="shared" si="7"/>
        <v/>
      </c>
      <c r="AR37" s="242" t="b">
        <f>IF(AQ37="x",EOMONTH(I37,0))</f>
        <v>0</v>
      </c>
      <c r="AS37" s="79">
        <f t="shared" si="8"/>
        <v>1</v>
      </c>
      <c r="AT37" s="79">
        <f t="shared" si="9"/>
        <v>1</v>
      </c>
      <c r="AU37" s="79" t="str">
        <f t="shared" si="10"/>
        <v>B</v>
      </c>
      <c r="AV37" s="79">
        <f t="shared" si="11"/>
        <v>1</v>
      </c>
      <c r="AW37" s="79" t="str">
        <f>J37&amp;AU37</f>
        <v>IntegralB</v>
      </c>
      <c r="AX37" s="79">
        <f>IF(COUNTIFS(J:J,"Integral",E:E,E37,H:H,"Ativo")=4,1/4,1/10)</f>
        <v>0.1</v>
      </c>
      <c r="AY37" s="79"/>
      <c r="AZ37" s="79"/>
    </row>
    <row r="38" spans="1:52" ht="15.75" customHeight="1">
      <c r="A38" s="31">
        <v>37</v>
      </c>
      <c r="B38" s="399">
        <v>44817</v>
      </c>
      <c r="C38" s="32" t="s">
        <v>340</v>
      </c>
      <c r="D38" s="32" t="s">
        <v>346</v>
      </c>
      <c r="E38" s="32" t="s">
        <v>342</v>
      </c>
      <c r="F38" s="32" t="s">
        <v>347</v>
      </c>
      <c r="G38" s="33" t="s">
        <v>220</v>
      </c>
      <c r="H38" s="33" t="s">
        <v>90</v>
      </c>
      <c r="I38" s="34">
        <v>0</v>
      </c>
      <c r="J38" s="33" t="s">
        <v>6</v>
      </c>
      <c r="K38" s="35" t="s">
        <v>273</v>
      </c>
      <c r="L38" s="35" t="s">
        <v>246</v>
      </c>
      <c r="M38" s="67" t="s">
        <v>222</v>
      </c>
      <c r="N38" s="33" t="s">
        <v>68</v>
      </c>
      <c r="O38" s="33" t="s">
        <v>11</v>
      </c>
      <c r="P38" s="33" t="s">
        <v>1</v>
      </c>
      <c r="Q38" s="47"/>
      <c r="R38" s="47"/>
      <c r="S38" s="45" t="s">
        <v>145</v>
      </c>
      <c r="T38" s="45"/>
      <c r="U38" s="52">
        <v>44817</v>
      </c>
      <c r="V38" s="48">
        <f t="shared" si="0"/>
        <v>44817</v>
      </c>
      <c r="W38" s="50">
        <f>V38-U38</f>
        <v>0</v>
      </c>
      <c r="X38" s="261">
        <v>0</v>
      </c>
      <c r="Y38" s="262">
        <v>0</v>
      </c>
      <c r="Z38" s="260">
        <v>0</v>
      </c>
      <c r="AA38" s="35">
        <v>0</v>
      </c>
      <c r="AB38" s="260"/>
      <c r="AC38" s="41"/>
      <c r="AD38" s="42"/>
      <c r="AE38" s="41"/>
      <c r="AF38" s="43"/>
      <c r="AG38" s="40">
        <v>0</v>
      </c>
      <c r="AH38" s="40">
        <v>0</v>
      </c>
      <c r="AI38" s="44"/>
      <c r="AJ38" s="44"/>
      <c r="AK38" s="40">
        <v>0</v>
      </c>
      <c r="AL38" s="40">
        <v>0</v>
      </c>
      <c r="AM38" s="242">
        <f t="shared" si="1"/>
        <v>44834</v>
      </c>
      <c r="AN38" s="242" t="str">
        <f>IF(AQ38="x","",IF(AQ38="x",AM38,IF(EOMONTH(I38,0)=31,"",EOMONTH(I38,0))))</f>
        <v/>
      </c>
      <c r="AO38" s="79">
        <f>IFERROR(IF(VLOOKUP(C38,C39:C642,1,0)=0,1,0),1)</f>
        <v>0</v>
      </c>
      <c r="AP38" s="79"/>
      <c r="AQ38" s="243" t="str">
        <f t="shared" si="7"/>
        <v/>
      </c>
      <c r="AR38" s="242" t="b">
        <f>IF(AQ38="x",EOMONTH(I38,0))</f>
        <v>0</v>
      </c>
      <c r="AS38" s="79">
        <f t="shared" si="8"/>
        <v>1</v>
      </c>
      <c r="AT38" s="79">
        <f t="shared" si="9"/>
        <v>1</v>
      </c>
      <c r="AU38" s="79" t="str">
        <f t="shared" si="10"/>
        <v>B</v>
      </c>
      <c r="AV38" s="79">
        <f t="shared" si="11"/>
        <v>1</v>
      </c>
      <c r="AW38" s="79" t="str">
        <f>J38&amp;AU38</f>
        <v>IntegralB</v>
      </c>
      <c r="AX38" s="79">
        <f>IF(COUNTIFS(J:J,"Integral",E:E,E38,H:H,"Ativo")=4,1/4,1/10)</f>
        <v>0.1</v>
      </c>
      <c r="AY38" s="79"/>
      <c r="AZ38" s="79"/>
    </row>
    <row r="39" spans="1:52" ht="15.75" customHeight="1">
      <c r="A39" s="31">
        <v>38</v>
      </c>
      <c r="B39" s="399">
        <v>44817</v>
      </c>
      <c r="C39" s="32" t="s">
        <v>340</v>
      </c>
      <c r="D39" s="32" t="s">
        <v>348</v>
      </c>
      <c r="E39" s="32" t="s">
        <v>342</v>
      </c>
      <c r="F39" s="32" t="s">
        <v>349</v>
      </c>
      <c r="G39" s="33" t="s">
        <v>220</v>
      </c>
      <c r="H39" s="33" t="s">
        <v>90</v>
      </c>
      <c r="I39" s="34">
        <v>0</v>
      </c>
      <c r="J39" s="33" t="s">
        <v>6</v>
      </c>
      <c r="K39" s="35" t="s">
        <v>273</v>
      </c>
      <c r="L39" s="35" t="s">
        <v>246</v>
      </c>
      <c r="M39" s="67" t="s">
        <v>222</v>
      </c>
      <c r="N39" s="33" t="s">
        <v>68</v>
      </c>
      <c r="O39" s="33" t="s">
        <v>11</v>
      </c>
      <c r="P39" s="33" t="s">
        <v>1</v>
      </c>
      <c r="Q39" s="47"/>
      <c r="R39" s="47"/>
      <c r="S39" s="45" t="s">
        <v>145</v>
      </c>
      <c r="T39" s="45"/>
      <c r="U39" s="52">
        <v>44817</v>
      </c>
      <c r="V39" s="48">
        <f t="shared" si="0"/>
        <v>44817</v>
      </c>
      <c r="W39" s="50">
        <f>V39-U39</f>
        <v>0</v>
      </c>
      <c r="X39" s="261">
        <v>0</v>
      </c>
      <c r="Y39" s="262">
        <v>0</v>
      </c>
      <c r="Z39" s="260">
        <v>0</v>
      </c>
      <c r="AA39" s="35">
        <v>0</v>
      </c>
      <c r="AB39" s="260"/>
      <c r="AC39" s="41"/>
      <c r="AD39" s="42"/>
      <c r="AE39" s="41"/>
      <c r="AF39" s="43"/>
      <c r="AG39" s="40">
        <v>0</v>
      </c>
      <c r="AH39" s="40">
        <v>0</v>
      </c>
      <c r="AI39" s="44"/>
      <c r="AJ39" s="44"/>
      <c r="AK39" s="40">
        <v>0</v>
      </c>
      <c r="AL39" s="40">
        <v>0</v>
      </c>
      <c r="AM39" s="242">
        <f t="shared" si="1"/>
        <v>44834</v>
      </c>
      <c r="AN39" s="242" t="str">
        <f>IF(AQ39="x","",IF(AQ39="x",AM39,IF(EOMONTH(I39,0)=31,"",EOMONTH(I39,0))))</f>
        <v/>
      </c>
      <c r="AO39" s="79">
        <f>IFERROR(IF(VLOOKUP(C39,C40:C643,1,0)=0,1,0),1)</f>
        <v>0</v>
      </c>
      <c r="AP39" s="79"/>
      <c r="AQ39" s="243" t="str">
        <f t="shared" si="7"/>
        <v/>
      </c>
      <c r="AR39" s="242" t="b">
        <f>IF(AQ39="x",EOMONTH(I39,0))</f>
        <v>0</v>
      </c>
      <c r="AS39" s="79">
        <f t="shared" si="8"/>
        <v>1</v>
      </c>
      <c r="AT39" s="79">
        <f t="shared" si="9"/>
        <v>1</v>
      </c>
      <c r="AU39" s="79" t="str">
        <f t="shared" si="10"/>
        <v>B</v>
      </c>
      <c r="AV39" s="79">
        <f t="shared" si="11"/>
        <v>1</v>
      </c>
      <c r="AW39" s="79" t="str">
        <f>J39&amp;AU39</f>
        <v>IntegralB</v>
      </c>
      <c r="AX39" s="79">
        <f>IF(COUNTIFS(J:J,"Integral",E:E,E39,H:H,"Ativo")=4,1/4,1/10)</f>
        <v>0.1</v>
      </c>
      <c r="AY39" s="79"/>
      <c r="AZ39" s="79"/>
    </row>
    <row r="40" spans="1:52" ht="15.75" customHeight="1">
      <c r="A40" s="31">
        <v>39</v>
      </c>
      <c r="B40" s="399">
        <v>44817</v>
      </c>
      <c r="C40" s="32" t="s">
        <v>340</v>
      </c>
      <c r="D40" s="32" t="s">
        <v>350</v>
      </c>
      <c r="E40" s="32" t="s">
        <v>342</v>
      </c>
      <c r="F40" s="32" t="s">
        <v>351</v>
      </c>
      <c r="G40" s="33" t="s">
        <v>220</v>
      </c>
      <c r="H40" s="33" t="s">
        <v>90</v>
      </c>
      <c r="I40" s="34">
        <v>0</v>
      </c>
      <c r="J40" s="33" t="s">
        <v>6</v>
      </c>
      <c r="K40" s="35" t="s">
        <v>273</v>
      </c>
      <c r="L40" s="35" t="s">
        <v>246</v>
      </c>
      <c r="M40" s="67" t="s">
        <v>222</v>
      </c>
      <c r="N40" s="33" t="s">
        <v>68</v>
      </c>
      <c r="O40" s="33" t="s">
        <v>11</v>
      </c>
      <c r="P40" s="33" t="s">
        <v>1</v>
      </c>
      <c r="Q40" s="47"/>
      <c r="R40" s="47"/>
      <c r="S40" s="45" t="s">
        <v>145</v>
      </c>
      <c r="T40" s="45"/>
      <c r="U40" s="52">
        <v>44817</v>
      </c>
      <c r="V40" s="48">
        <f t="shared" si="0"/>
        <v>44817</v>
      </c>
      <c r="W40" s="50">
        <f>V40-U40</f>
        <v>0</v>
      </c>
      <c r="X40" s="261">
        <v>0</v>
      </c>
      <c r="Y40" s="262">
        <v>0</v>
      </c>
      <c r="Z40" s="260">
        <v>0</v>
      </c>
      <c r="AA40" s="35">
        <v>0</v>
      </c>
      <c r="AB40" s="260"/>
      <c r="AC40" s="41"/>
      <c r="AD40" s="42"/>
      <c r="AE40" s="41"/>
      <c r="AF40" s="43"/>
      <c r="AG40" s="40">
        <v>0</v>
      </c>
      <c r="AH40" s="40">
        <v>0</v>
      </c>
      <c r="AI40" s="44"/>
      <c r="AJ40" s="44"/>
      <c r="AK40" s="40">
        <v>0</v>
      </c>
      <c r="AL40" s="40">
        <v>0</v>
      </c>
      <c r="AM40" s="242">
        <f t="shared" si="1"/>
        <v>44834</v>
      </c>
      <c r="AN40" s="242" t="str">
        <f>IF(AQ40="x","",IF(AQ40="x",AM40,IF(EOMONTH(I40,0)=31,"",EOMONTH(I40,0))))</f>
        <v/>
      </c>
      <c r="AO40" s="79">
        <f>IFERROR(IF(VLOOKUP(C40,C41:C644,1,0)=0,1,0),1)</f>
        <v>0</v>
      </c>
      <c r="AP40" s="79"/>
      <c r="AQ40" s="243" t="str">
        <f t="shared" si="7"/>
        <v/>
      </c>
      <c r="AR40" s="242" t="b">
        <f>IF(AQ40="x",EOMONTH(I40,0))</f>
        <v>0</v>
      </c>
      <c r="AS40" s="79">
        <f t="shared" si="8"/>
        <v>1</v>
      </c>
      <c r="AT40" s="79">
        <f t="shared" si="9"/>
        <v>1</v>
      </c>
      <c r="AU40" s="79" t="str">
        <f t="shared" si="10"/>
        <v>B</v>
      </c>
      <c r="AV40" s="79">
        <f t="shared" si="11"/>
        <v>1</v>
      </c>
      <c r="AW40" s="79" t="str">
        <f>J40&amp;AU40</f>
        <v>IntegralB</v>
      </c>
      <c r="AX40" s="79">
        <f>IF(COUNTIFS(J:J,"Integral",E:E,E40,H:H,"Ativo")=4,1/4,1/10)</f>
        <v>0.1</v>
      </c>
      <c r="AY40" s="79"/>
      <c r="AZ40" s="79"/>
    </row>
    <row r="41" spans="1:52" ht="15.75" customHeight="1">
      <c r="A41" s="31">
        <v>40</v>
      </c>
      <c r="B41" s="399">
        <v>44817</v>
      </c>
      <c r="C41" s="32" t="s">
        <v>340</v>
      </c>
      <c r="D41" s="32" t="s">
        <v>352</v>
      </c>
      <c r="E41" s="32" t="s">
        <v>342</v>
      </c>
      <c r="F41" s="32" t="s">
        <v>353</v>
      </c>
      <c r="G41" s="33" t="s">
        <v>220</v>
      </c>
      <c r="H41" s="33" t="s">
        <v>90</v>
      </c>
      <c r="I41" s="34">
        <v>0</v>
      </c>
      <c r="J41" s="33" t="s">
        <v>6</v>
      </c>
      <c r="K41" s="35" t="s">
        <v>273</v>
      </c>
      <c r="L41" s="35" t="s">
        <v>246</v>
      </c>
      <c r="M41" s="67" t="s">
        <v>222</v>
      </c>
      <c r="N41" s="33" t="s">
        <v>68</v>
      </c>
      <c r="O41" s="33" t="s">
        <v>11</v>
      </c>
      <c r="P41" s="33" t="s">
        <v>1</v>
      </c>
      <c r="Q41" s="47"/>
      <c r="R41" s="47"/>
      <c r="S41" s="45" t="s">
        <v>145</v>
      </c>
      <c r="T41" s="45"/>
      <c r="U41" s="52">
        <v>44817</v>
      </c>
      <c r="V41" s="48">
        <f t="shared" si="0"/>
        <v>44817</v>
      </c>
      <c r="W41" s="50">
        <f>V41-U41</f>
        <v>0</v>
      </c>
      <c r="X41" s="261">
        <v>0</v>
      </c>
      <c r="Y41" s="262">
        <v>0</v>
      </c>
      <c r="Z41" s="260">
        <v>0</v>
      </c>
      <c r="AA41" s="35">
        <v>0</v>
      </c>
      <c r="AB41" s="260"/>
      <c r="AC41" s="41"/>
      <c r="AD41" s="42"/>
      <c r="AE41" s="41"/>
      <c r="AF41" s="43"/>
      <c r="AG41" s="40">
        <v>0</v>
      </c>
      <c r="AH41" s="40">
        <v>0</v>
      </c>
      <c r="AI41" s="44"/>
      <c r="AJ41" s="44"/>
      <c r="AK41" s="40">
        <v>0</v>
      </c>
      <c r="AL41" s="40">
        <v>0</v>
      </c>
      <c r="AM41" s="242">
        <f t="shared" si="1"/>
        <v>44834</v>
      </c>
      <c r="AN41" s="242" t="str">
        <f>IF(AQ41="x","",IF(AQ41="x",AM41,IF(EOMONTH(I41,0)=31,"",EOMONTH(I41,0))))</f>
        <v/>
      </c>
      <c r="AO41" s="79">
        <f>IFERROR(IF(VLOOKUP(C41,C42:C645,1,0)=0,1,0),1)</f>
        <v>0</v>
      </c>
      <c r="AP41" s="79"/>
      <c r="AQ41" s="243" t="str">
        <f t="shared" si="7"/>
        <v/>
      </c>
      <c r="AR41" s="242" t="b">
        <f>IF(AQ41="x",EOMONTH(I41,0))</f>
        <v>0</v>
      </c>
      <c r="AS41" s="79">
        <f t="shared" si="8"/>
        <v>1</v>
      </c>
      <c r="AT41" s="79">
        <f t="shared" si="9"/>
        <v>1</v>
      </c>
      <c r="AU41" s="79" t="str">
        <f t="shared" si="10"/>
        <v>B</v>
      </c>
      <c r="AV41" s="79">
        <f t="shared" si="11"/>
        <v>1</v>
      </c>
      <c r="AW41" s="79" t="str">
        <f>J41&amp;AU41</f>
        <v>IntegralB</v>
      </c>
      <c r="AX41" s="79">
        <f>IF(COUNTIFS(J:J,"Integral",E:E,E41,H:H,"Ativo")=4,1/4,1/10)</f>
        <v>0.1</v>
      </c>
      <c r="AY41" s="79"/>
      <c r="AZ41" s="79"/>
    </row>
    <row r="42" spans="1:52" ht="15.75" customHeight="1">
      <c r="A42" s="31">
        <v>41</v>
      </c>
      <c r="B42" s="399">
        <v>44817</v>
      </c>
      <c r="C42" s="32" t="s">
        <v>340</v>
      </c>
      <c r="D42" s="32" t="s">
        <v>354</v>
      </c>
      <c r="E42" s="32" t="s">
        <v>342</v>
      </c>
      <c r="F42" s="32" t="s">
        <v>355</v>
      </c>
      <c r="G42" s="33" t="s">
        <v>220</v>
      </c>
      <c r="H42" s="33" t="s">
        <v>90</v>
      </c>
      <c r="I42" s="34">
        <v>0</v>
      </c>
      <c r="J42" s="33" t="s">
        <v>6</v>
      </c>
      <c r="K42" s="35" t="s">
        <v>273</v>
      </c>
      <c r="L42" s="35" t="s">
        <v>246</v>
      </c>
      <c r="M42" s="67" t="s">
        <v>222</v>
      </c>
      <c r="N42" s="33" t="s">
        <v>68</v>
      </c>
      <c r="O42" s="33" t="s">
        <v>11</v>
      </c>
      <c r="P42" s="33" t="s">
        <v>1</v>
      </c>
      <c r="Q42" s="47"/>
      <c r="R42" s="47"/>
      <c r="S42" s="45" t="s">
        <v>145</v>
      </c>
      <c r="T42" s="45"/>
      <c r="U42" s="52">
        <v>44817</v>
      </c>
      <c r="V42" s="48">
        <f t="shared" si="0"/>
        <v>44817</v>
      </c>
      <c r="W42" s="50">
        <f>V42-U42</f>
        <v>0</v>
      </c>
      <c r="X42" s="261">
        <v>0</v>
      </c>
      <c r="Y42" s="262">
        <v>0</v>
      </c>
      <c r="Z42" s="260">
        <v>0</v>
      </c>
      <c r="AA42" s="35">
        <v>0</v>
      </c>
      <c r="AB42" s="260"/>
      <c r="AC42" s="41"/>
      <c r="AD42" s="42"/>
      <c r="AE42" s="41"/>
      <c r="AF42" s="43"/>
      <c r="AG42" s="40">
        <v>0</v>
      </c>
      <c r="AH42" s="40">
        <v>0</v>
      </c>
      <c r="AI42" s="44"/>
      <c r="AJ42" s="44"/>
      <c r="AK42" s="40">
        <v>0</v>
      </c>
      <c r="AL42" s="40">
        <v>0</v>
      </c>
      <c r="AM42" s="242">
        <f t="shared" si="1"/>
        <v>44834</v>
      </c>
      <c r="AN42" s="242" t="str">
        <f>IF(AQ42="x","",IF(AQ42="x",AM42,IF(EOMONTH(I42,0)=31,"",EOMONTH(I42,0))))</f>
        <v/>
      </c>
      <c r="AO42" s="79">
        <f>IFERROR(IF(VLOOKUP(C42,C43:C646,1,0)=0,1,0),1)</f>
        <v>0</v>
      </c>
      <c r="AP42" s="79"/>
      <c r="AQ42" s="243" t="str">
        <f t="shared" si="7"/>
        <v/>
      </c>
      <c r="AR42" s="242" t="b">
        <f>IF(AQ42="x",EOMONTH(I42,0))</f>
        <v>0</v>
      </c>
      <c r="AS42" s="79">
        <f t="shared" si="8"/>
        <v>1</v>
      </c>
      <c r="AT42" s="79">
        <f t="shared" si="9"/>
        <v>1</v>
      </c>
      <c r="AU42" s="79" t="str">
        <f t="shared" si="10"/>
        <v>B</v>
      </c>
      <c r="AV42" s="79">
        <f t="shared" si="11"/>
        <v>1</v>
      </c>
      <c r="AW42" s="79" t="str">
        <f>J42&amp;AU42</f>
        <v>IntegralB</v>
      </c>
      <c r="AX42" s="79">
        <f>IF(COUNTIFS(J:J,"Integral",E:E,E42,H:H,"Ativo")=4,1/4,1/10)</f>
        <v>0.1</v>
      </c>
      <c r="AY42" s="79"/>
      <c r="AZ42" s="79"/>
    </row>
    <row r="43" spans="1:52" ht="15.75" customHeight="1">
      <c r="A43" s="31">
        <v>42</v>
      </c>
      <c r="B43" s="399">
        <v>44817</v>
      </c>
      <c r="C43" s="32" t="s">
        <v>340</v>
      </c>
      <c r="D43" s="32" t="s">
        <v>356</v>
      </c>
      <c r="E43" s="32" t="s">
        <v>342</v>
      </c>
      <c r="F43" s="32" t="s">
        <v>357</v>
      </c>
      <c r="G43" s="33" t="s">
        <v>220</v>
      </c>
      <c r="H43" s="33" t="s">
        <v>90</v>
      </c>
      <c r="I43" s="34">
        <v>0</v>
      </c>
      <c r="J43" s="33" t="s">
        <v>6</v>
      </c>
      <c r="K43" s="35" t="s">
        <v>273</v>
      </c>
      <c r="L43" s="35" t="s">
        <v>246</v>
      </c>
      <c r="M43" s="67" t="s">
        <v>222</v>
      </c>
      <c r="N43" s="33" t="s">
        <v>68</v>
      </c>
      <c r="O43" s="33" t="s">
        <v>11</v>
      </c>
      <c r="P43" s="33" t="s">
        <v>1</v>
      </c>
      <c r="Q43" s="47"/>
      <c r="R43" s="47"/>
      <c r="S43" s="45" t="s">
        <v>145</v>
      </c>
      <c r="T43" s="45"/>
      <c r="U43" s="52">
        <v>44817</v>
      </c>
      <c r="V43" s="48">
        <f t="shared" si="0"/>
        <v>44817</v>
      </c>
      <c r="W43" s="50">
        <f>V43-U43</f>
        <v>0</v>
      </c>
      <c r="X43" s="261">
        <v>0</v>
      </c>
      <c r="Y43" s="262">
        <v>0</v>
      </c>
      <c r="Z43" s="260">
        <v>0</v>
      </c>
      <c r="AA43" s="35">
        <v>0</v>
      </c>
      <c r="AB43" s="260"/>
      <c r="AC43" s="41"/>
      <c r="AD43" s="42"/>
      <c r="AE43" s="41"/>
      <c r="AF43" s="43"/>
      <c r="AG43" s="40">
        <v>0</v>
      </c>
      <c r="AH43" s="40">
        <v>0</v>
      </c>
      <c r="AI43" s="44"/>
      <c r="AJ43" s="44"/>
      <c r="AK43" s="40">
        <v>0</v>
      </c>
      <c r="AL43" s="40">
        <v>0</v>
      </c>
      <c r="AM43" s="242">
        <f t="shared" si="1"/>
        <v>44834</v>
      </c>
      <c r="AN43" s="242" t="str">
        <f>IF(AQ43="x","",IF(AQ43="x",AM43,IF(EOMONTH(I43,0)=31,"",EOMONTH(I43,0))))</f>
        <v/>
      </c>
      <c r="AO43" s="79">
        <f>IFERROR(IF(VLOOKUP(C43,C44:C647,1,0)=0,1,0),1)</f>
        <v>0</v>
      </c>
      <c r="AP43" s="79"/>
      <c r="AQ43" s="243" t="str">
        <f t="shared" si="7"/>
        <v/>
      </c>
      <c r="AR43" s="242" t="b">
        <f>IF(AQ43="x",EOMONTH(I43,0))</f>
        <v>0</v>
      </c>
      <c r="AS43" s="79">
        <f t="shared" si="8"/>
        <v>1</v>
      </c>
      <c r="AT43" s="79">
        <f t="shared" si="9"/>
        <v>1</v>
      </c>
      <c r="AU43" s="79" t="str">
        <f t="shared" si="10"/>
        <v>B</v>
      </c>
      <c r="AV43" s="79">
        <f t="shared" si="11"/>
        <v>1</v>
      </c>
      <c r="AW43" s="79" t="str">
        <f>J43&amp;AU43</f>
        <v>IntegralB</v>
      </c>
      <c r="AX43" s="79">
        <f>IF(COUNTIFS(J:J,"Integral",E:E,E43,H:H,"Ativo")=4,1/4,1/10)</f>
        <v>0.1</v>
      </c>
      <c r="AY43" s="79"/>
      <c r="AZ43" s="79"/>
    </row>
    <row r="44" spans="1:52" ht="15.75" customHeight="1">
      <c r="A44" s="31">
        <v>43</v>
      </c>
      <c r="B44" s="399">
        <v>44817</v>
      </c>
      <c r="C44" s="32" t="s">
        <v>340</v>
      </c>
      <c r="D44" s="32" t="s">
        <v>358</v>
      </c>
      <c r="E44" s="32" t="s">
        <v>342</v>
      </c>
      <c r="F44" s="32" t="s">
        <v>359</v>
      </c>
      <c r="G44" s="33" t="s">
        <v>220</v>
      </c>
      <c r="H44" s="33" t="s">
        <v>90</v>
      </c>
      <c r="I44" s="34">
        <v>0</v>
      </c>
      <c r="J44" s="33" t="s">
        <v>6</v>
      </c>
      <c r="K44" s="35" t="s">
        <v>273</v>
      </c>
      <c r="L44" s="35" t="s">
        <v>246</v>
      </c>
      <c r="M44" s="67" t="s">
        <v>222</v>
      </c>
      <c r="N44" s="33" t="s">
        <v>68</v>
      </c>
      <c r="O44" s="33" t="s">
        <v>11</v>
      </c>
      <c r="P44" s="33" t="s">
        <v>1</v>
      </c>
      <c r="Q44" s="47"/>
      <c r="R44" s="47"/>
      <c r="S44" s="45" t="s">
        <v>145</v>
      </c>
      <c r="T44" s="45"/>
      <c r="U44" s="52">
        <v>44817</v>
      </c>
      <c r="V44" s="48">
        <f t="shared" si="0"/>
        <v>44817</v>
      </c>
      <c r="W44" s="50">
        <f>V44-U44</f>
        <v>0</v>
      </c>
      <c r="X44" s="261">
        <v>0</v>
      </c>
      <c r="Y44" s="262">
        <v>0</v>
      </c>
      <c r="Z44" s="260">
        <v>0</v>
      </c>
      <c r="AA44" s="35">
        <v>0</v>
      </c>
      <c r="AB44" s="260"/>
      <c r="AC44" s="41"/>
      <c r="AD44" s="42"/>
      <c r="AE44" s="41"/>
      <c r="AF44" s="43"/>
      <c r="AG44" s="40">
        <v>0</v>
      </c>
      <c r="AH44" s="40">
        <v>0</v>
      </c>
      <c r="AI44" s="44"/>
      <c r="AJ44" s="44"/>
      <c r="AK44" s="40">
        <v>0</v>
      </c>
      <c r="AL44" s="40">
        <v>0</v>
      </c>
      <c r="AM44" s="242">
        <f t="shared" si="1"/>
        <v>44834</v>
      </c>
      <c r="AN44" s="242" t="str">
        <f>IF(AQ44="x","",IF(AQ44="x",AM44,IF(EOMONTH(I44,0)=31,"",EOMONTH(I44,0))))</f>
        <v/>
      </c>
      <c r="AO44" s="79">
        <f>IFERROR(IF(VLOOKUP(C44,C45:C648,1,0)=0,1,0),1)</f>
        <v>0</v>
      </c>
      <c r="AP44" s="79"/>
      <c r="AQ44" s="243" t="str">
        <f t="shared" si="7"/>
        <v/>
      </c>
      <c r="AR44" s="242" t="b">
        <f>IF(AQ44="x",EOMONTH(I44,0))</f>
        <v>0</v>
      </c>
      <c r="AS44" s="79">
        <f t="shared" si="8"/>
        <v>1</v>
      </c>
      <c r="AT44" s="79">
        <f t="shared" si="9"/>
        <v>1</v>
      </c>
      <c r="AU44" s="79" t="str">
        <f t="shared" si="10"/>
        <v>B</v>
      </c>
      <c r="AV44" s="79">
        <f t="shared" si="11"/>
        <v>1</v>
      </c>
      <c r="AW44" s="79" t="str">
        <f>J44&amp;AU44</f>
        <v>IntegralB</v>
      </c>
      <c r="AX44" s="79">
        <f>IF(COUNTIFS(J:J,"Integral",E:E,E44,H:H,"Ativo")=4,1/4,1/10)</f>
        <v>0.1</v>
      </c>
      <c r="AY44" s="79"/>
      <c r="AZ44" s="79"/>
    </row>
    <row r="45" spans="1:52" ht="15.75" customHeight="1">
      <c r="A45" s="31">
        <v>44</v>
      </c>
      <c r="B45" s="399">
        <v>44817</v>
      </c>
      <c r="C45" s="32" t="s">
        <v>340</v>
      </c>
      <c r="D45" s="32" t="s">
        <v>360</v>
      </c>
      <c r="E45" s="32" t="s">
        <v>342</v>
      </c>
      <c r="F45" s="32" t="s">
        <v>361</v>
      </c>
      <c r="G45" s="33" t="s">
        <v>220</v>
      </c>
      <c r="H45" s="33" t="s">
        <v>90</v>
      </c>
      <c r="I45" s="34">
        <v>0</v>
      </c>
      <c r="J45" s="33" t="s">
        <v>6</v>
      </c>
      <c r="K45" s="35" t="s">
        <v>273</v>
      </c>
      <c r="L45" s="35" t="s">
        <v>246</v>
      </c>
      <c r="M45" s="67" t="s">
        <v>222</v>
      </c>
      <c r="N45" s="33" t="s">
        <v>68</v>
      </c>
      <c r="O45" s="33" t="s">
        <v>11</v>
      </c>
      <c r="P45" s="33" t="s">
        <v>1</v>
      </c>
      <c r="Q45" s="47"/>
      <c r="R45" s="47"/>
      <c r="S45" s="45" t="s">
        <v>145</v>
      </c>
      <c r="T45" s="45"/>
      <c r="U45" s="52">
        <v>44817</v>
      </c>
      <c r="V45" s="48">
        <f t="shared" si="0"/>
        <v>44817</v>
      </c>
      <c r="W45" s="50">
        <f>V45-U45</f>
        <v>0</v>
      </c>
      <c r="X45" s="261">
        <v>0</v>
      </c>
      <c r="Y45" s="262">
        <v>0</v>
      </c>
      <c r="Z45" s="260">
        <v>0</v>
      </c>
      <c r="AA45" s="35">
        <v>0</v>
      </c>
      <c r="AB45" s="260"/>
      <c r="AC45" s="41"/>
      <c r="AD45" s="42"/>
      <c r="AE45" s="41"/>
      <c r="AF45" s="43"/>
      <c r="AG45" s="40">
        <v>0</v>
      </c>
      <c r="AH45" s="40">
        <v>0</v>
      </c>
      <c r="AI45" s="44"/>
      <c r="AJ45" s="44"/>
      <c r="AK45" s="40">
        <v>0</v>
      </c>
      <c r="AL45" s="40">
        <v>0</v>
      </c>
      <c r="AM45" s="242">
        <f t="shared" si="1"/>
        <v>44834</v>
      </c>
      <c r="AN45" s="242" t="str">
        <f>IF(AQ45="x","",IF(AQ45="x",AM45,IF(EOMONTH(I45,0)=31,"",EOMONTH(I45,0))))</f>
        <v/>
      </c>
      <c r="AO45" s="79">
        <f>IFERROR(IF(VLOOKUP(C45,C46:C649,1,0)=0,1,0),1)</f>
        <v>1</v>
      </c>
      <c r="AP45" s="79"/>
      <c r="AQ45" s="243" t="str">
        <f t="shared" si="7"/>
        <v/>
      </c>
      <c r="AR45" s="242" t="b">
        <f>IF(AQ45="x",EOMONTH(I45,0))</f>
        <v>0</v>
      </c>
      <c r="AS45" s="79">
        <f t="shared" si="8"/>
        <v>1</v>
      </c>
      <c r="AT45" s="79">
        <f t="shared" si="9"/>
        <v>1</v>
      </c>
      <c r="AU45" s="79" t="str">
        <f t="shared" si="10"/>
        <v>B</v>
      </c>
      <c r="AV45" s="79">
        <f t="shared" si="11"/>
        <v>1</v>
      </c>
      <c r="AW45" s="79" t="str">
        <f>J45&amp;AU45</f>
        <v>IntegralB</v>
      </c>
      <c r="AX45" s="79">
        <f>IF(COUNTIFS(J:J,"Integral",E:E,E45,H:H,"Ativo")=4,1/4,1/10)</f>
        <v>0.1</v>
      </c>
      <c r="AY45" s="79"/>
      <c r="AZ45" s="79"/>
    </row>
    <row r="46" spans="1:52" ht="15.75" customHeight="1">
      <c r="A46" s="31">
        <v>45</v>
      </c>
      <c r="B46" s="399">
        <v>44819</v>
      </c>
      <c r="C46" s="32" t="s">
        <v>362</v>
      </c>
      <c r="D46" s="32" t="s">
        <v>363</v>
      </c>
      <c r="E46" s="32" t="s">
        <v>316</v>
      </c>
      <c r="F46" s="32" t="s">
        <v>364</v>
      </c>
      <c r="G46" s="33" t="s">
        <v>220</v>
      </c>
      <c r="H46" s="33" t="s">
        <v>90</v>
      </c>
      <c r="I46" s="34">
        <v>0</v>
      </c>
      <c r="J46" s="33">
        <v>4</v>
      </c>
      <c r="K46" s="35" t="s">
        <v>273</v>
      </c>
      <c r="L46" s="35" t="s">
        <v>274</v>
      </c>
      <c r="M46" s="67" t="s">
        <v>222</v>
      </c>
      <c r="N46" s="33" t="s">
        <v>68</v>
      </c>
      <c r="O46" s="33" t="s">
        <v>12</v>
      </c>
      <c r="P46" s="33" t="s">
        <v>1</v>
      </c>
      <c r="Q46" s="47"/>
      <c r="R46" s="47"/>
      <c r="S46" s="45" t="s">
        <v>143</v>
      </c>
      <c r="T46" s="45"/>
      <c r="U46" s="51">
        <v>44819</v>
      </c>
      <c r="V46" s="48">
        <f t="shared" si="0"/>
        <v>44819</v>
      </c>
      <c r="W46" s="50">
        <f>V46-U46</f>
        <v>0</v>
      </c>
      <c r="X46" s="261">
        <v>238000</v>
      </c>
      <c r="Y46" s="260">
        <v>238000</v>
      </c>
      <c r="Z46" s="260">
        <v>246550</v>
      </c>
      <c r="AA46" s="35">
        <v>0</v>
      </c>
      <c r="AB46" s="260"/>
      <c r="AC46" s="41"/>
      <c r="AD46" s="42"/>
      <c r="AE46" s="41"/>
      <c r="AF46" s="43"/>
      <c r="AG46" s="40">
        <v>8550</v>
      </c>
      <c r="AH46" s="40">
        <v>0</v>
      </c>
      <c r="AI46" s="44"/>
      <c r="AJ46" s="44"/>
      <c r="AK46" s="40"/>
      <c r="AL46" s="40">
        <v>0</v>
      </c>
      <c r="AM46" s="242">
        <f t="shared" si="1"/>
        <v>44834</v>
      </c>
      <c r="AN46" s="242" t="str">
        <f>IF(AQ46="x","",IF(AQ46="x",AM46,IF(EOMONTH(I46,0)=31,"",EOMONTH(I46,0))))</f>
        <v/>
      </c>
      <c r="AO46" s="79">
        <f>IFERROR(IF(VLOOKUP(C46,C47:C650,1,0)=0,1,0),1)</f>
        <v>0</v>
      </c>
      <c r="AP46" s="79"/>
      <c r="AQ46" s="243" t="str">
        <f t="shared" si="7"/>
        <v/>
      </c>
      <c r="AR46" s="242" t="b">
        <f>IF(AQ46="x",EOMONTH(I46,0))</f>
        <v>0</v>
      </c>
      <c r="AS46" s="79">
        <f t="shared" si="8"/>
        <v>1</v>
      </c>
      <c r="AT46" s="79">
        <f t="shared" si="9"/>
        <v>1</v>
      </c>
      <c r="AU46" s="79" t="str">
        <f t="shared" si="10"/>
        <v>B</v>
      </c>
      <c r="AV46" s="79">
        <f t="shared" si="11"/>
        <v>1</v>
      </c>
      <c r="AW46" s="79" t="str">
        <f>J46&amp;AU46</f>
        <v>4B</v>
      </c>
      <c r="AX46" s="79">
        <f>IF(COUNTIFS(J:J,"Integral",E:E,E46,H:H,"Ativo")=4,1/4,1/10)</f>
        <v>0.1</v>
      </c>
      <c r="AY46" s="79"/>
      <c r="AZ46" s="79"/>
    </row>
    <row r="47" spans="1:52" ht="15.75" customHeight="1">
      <c r="A47" s="31">
        <v>46</v>
      </c>
      <c r="B47" s="399">
        <v>44819</v>
      </c>
      <c r="C47" s="32" t="s">
        <v>362</v>
      </c>
      <c r="D47" s="32" t="s">
        <v>365</v>
      </c>
      <c r="E47" s="32" t="s">
        <v>316</v>
      </c>
      <c r="F47" s="32" t="s">
        <v>366</v>
      </c>
      <c r="G47" s="33" t="s">
        <v>220</v>
      </c>
      <c r="H47" s="33" t="s">
        <v>90</v>
      </c>
      <c r="I47" s="34">
        <v>0</v>
      </c>
      <c r="J47" s="33">
        <v>4</v>
      </c>
      <c r="K47" s="35" t="s">
        <v>273</v>
      </c>
      <c r="L47" s="35" t="s">
        <v>274</v>
      </c>
      <c r="M47" s="67" t="s">
        <v>222</v>
      </c>
      <c r="N47" s="33" t="s">
        <v>68</v>
      </c>
      <c r="O47" s="33" t="s">
        <v>12</v>
      </c>
      <c r="P47" s="33" t="s">
        <v>1</v>
      </c>
      <c r="Q47" s="47"/>
      <c r="R47" s="47"/>
      <c r="S47" s="45" t="s">
        <v>143</v>
      </c>
      <c r="T47" s="45"/>
      <c r="U47" s="51">
        <v>44819</v>
      </c>
      <c r="V47" s="48">
        <f t="shared" si="0"/>
        <v>44819</v>
      </c>
      <c r="W47" s="50">
        <f>V47-U47</f>
        <v>0</v>
      </c>
      <c r="X47" s="261">
        <v>238000</v>
      </c>
      <c r="Y47" s="260">
        <v>238000</v>
      </c>
      <c r="Z47" s="260">
        <v>246550</v>
      </c>
      <c r="AA47" s="35">
        <v>0</v>
      </c>
      <c r="AB47" s="260"/>
      <c r="AC47" s="41"/>
      <c r="AD47" s="42"/>
      <c r="AE47" s="41"/>
      <c r="AF47" s="43"/>
      <c r="AG47" s="40">
        <v>8550</v>
      </c>
      <c r="AH47" s="40">
        <v>0</v>
      </c>
      <c r="AI47" s="44"/>
      <c r="AJ47" s="44"/>
      <c r="AK47" s="40"/>
      <c r="AL47" s="40">
        <v>0</v>
      </c>
      <c r="AM47" s="242">
        <f t="shared" si="1"/>
        <v>44834</v>
      </c>
      <c r="AN47" s="242" t="str">
        <f>IF(AQ47="x","",IF(AQ47="x",AM47,IF(EOMONTH(I47,0)=31,"",EOMONTH(I47,0))))</f>
        <v/>
      </c>
      <c r="AO47" s="79">
        <f>IFERROR(IF(VLOOKUP(C47,C48:C651,1,0)=0,1,0),1)</f>
        <v>1</v>
      </c>
      <c r="AP47" s="79"/>
      <c r="AQ47" s="243" t="str">
        <f t="shared" si="7"/>
        <v/>
      </c>
      <c r="AR47" s="242" t="b">
        <f>IF(AQ47="x",EOMONTH(I47,0))</f>
        <v>0</v>
      </c>
      <c r="AS47" s="79">
        <f t="shared" si="8"/>
        <v>1</v>
      </c>
      <c r="AT47" s="79">
        <f t="shared" si="9"/>
        <v>1</v>
      </c>
      <c r="AU47" s="79" t="str">
        <f t="shared" si="10"/>
        <v>B</v>
      </c>
      <c r="AV47" s="79">
        <f t="shared" si="11"/>
        <v>1</v>
      </c>
      <c r="AW47" s="79" t="str">
        <f>J47&amp;AU47</f>
        <v>4B</v>
      </c>
      <c r="AX47" s="79">
        <f>IF(COUNTIFS(J:J,"Integral",E:E,E47,H:H,"Ativo")=4,1/4,1/10)</f>
        <v>0.1</v>
      </c>
      <c r="AY47" s="79"/>
      <c r="AZ47" s="79"/>
    </row>
    <row r="48" spans="1:52" ht="15.75" customHeight="1">
      <c r="A48" s="31">
        <v>47</v>
      </c>
      <c r="B48" s="399">
        <v>44820</v>
      </c>
      <c r="C48" s="32" t="s">
        <v>367</v>
      </c>
      <c r="D48" s="32" t="s">
        <v>305</v>
      </c>
      <c r="E48" s="32" t="s">
        <v>306</v>
      </c>
      <c r="F48" s="32" t="s">
        <v>368</v>
      </c>
      <c r="G48" s="33" t="s">
        <v>243</v>
      </c>
      <c r="H48" s="33" t="s">
        <v>244</v>
      </c>
      <c r="I48" s="34">
        <v>44827</v>
      </c>
      <c r="J48" s="33" t="s">
        <v>6</v>
      </c>
      <c r="K48" s="35" t="s">
        <v>369</v>
      </c>
      <c r="L48" s="35" t="s">
        <v>238</v>
      </c>
      <c r="M48" s="67" t="s">
        <v>222</v>
      </c>
      <c r="N48" s="33" t="s">
        <v>68</v>
      </c>
      <c r="O48" s="33" t="s">
        <v>13</v>
      </c>
      <c r="P48" s="33" t="s">
        <v>1</v>
      </c>
      <c r="Q48" s="47"/>
      <c r="R48" s="47"/>
      <c r="S48" s="45" t="s">
        <v>222</v>
      </c>
      <c r="T48" s="45"/>
      <c r="U48" s="51">
        <v>44728</v>
      </c>
      <c r="V48" s="48">
        <f t="shared" si="0"/>
        <v>44820</v>
      </c>
      <c r="W48" s="50">
        <f>V48-U48</f>
        <v>92</v>
      </c>
      <c r="X48" s="265">
        <v>0</v>
      </c>
      <c r="Y48" s="67">
        <v>0</v>
      </c>
      <c r="Z48" s="67">
        <v>836000</v>
      </c>
      <c r="AA48" s="35">
        <v>0</v>
      </c>
      <c r="AB48" s="67"/>
      <c r="AC48" s="40"/>
      <c r="AD48" s="42"/>
      <c r="AE48" s="41">
        <v>0</v>
      </c>
      <c r="AF48" s="43">
        <v>0</v>
      </c>
      <c r="AG48" s="40">
        <v>0</v>
      </c>
      <c r="AH48" s="40"/>
      <c r="AI48" s="44"/>
      <c r="AJ48" s="44"/>
      <c r="AK48" s="40">
        <v>0</v>
      </c>
      <c r="AL48" s="40"/>
      <c r="AM48" s="242">
        <f t="shared" si="1"/>
        <v>44834</v>
      </c>
      <c r="AN48" s="242" t="str">
        <f>IF(AQ48="x","",IF(AQ48="x",AM48,IF(EOMONTH(I48,0)=31,"",EOMONTH(I48,0))))</f>
        <v/>
      </c>
      <c r="AO48" s="79">
        <f>IFERROR(IF(VLOOKUP(C48,C49:C652,1,0)=0,1,0),1)</f>
        <v>0</v>
      </c>
      <c r="AP48" s="79"/>
      <c r="AQ48" s="243" t="str">
        <f t="shared" si="7"/>
        <v>x</v>
      </c>
      <c r="AR48" s="242">
        <f>IF(AQ48="x",EOMONTH(I48,0))</f>
        <v>44834</v>
      </c>
      <c r="AS48" s="79">
        <f t="shared" si="8"/>
        <v>1</v>
      </c>
      <c r="AT48" s="79">
        <f t="shared" si="9"/>
        <v>1</v>
      </c>
      <c r="AU48" s="79" t="str">
        <f t="shared" si="10"/>
        <v>A</v>
      </c>
      <c r="AV48" s="79">
        <f t="shared" si="11"/>
        <v>1</v>
      </c>
      <c r="AW48" s="79" t="str">
        <f>J48&amp;AU48</f>
        <v>IntegralA</v>
      </c>
      <c r="AX48" s="79">
        <f>IF(COUNTIFS(J:J,"Integral",E:E,E48,H:H,"Ativo")=4,1/4,1/10)</f>
        <v>0.1</v>
      </c>
      <c r="AY48" s="79"/>
      <c r="AZ48" s="79"/>
    </row>
    <row r="49" spans="1:52" ht="15.75" customHeight="1">
      <c r="A49" s="31">
        <v>48</v>
      </c>
      <c r="B49" s="399">
        <v>44820</v>
      </c>
      <c r="C49" s="32" t="s">
        <v>367</v>
      </c>
      <c r="D49" s="32" t="s">
        <v>308</v>
      </c>
      <c r="E49" s="32" t="s">
        <v>306</v>
      </c>
      <c r="F49" s="32" t="s">
        <v>370</v>
      </c>
      <c r="G49" s="33" t="s">
        <v>243</v>
      </c>
      <c r="H49" s="33" t="s">
        <v>244</v>
      </c>
      <c r="I49" s="34">
        <v>44827</v>
      </c>
      <c r="J49" s="33" t="s">
        <v>6</v>
      </c>
      <c r="K49" s="35" t="s">
        <v>369</v>
      </c>
      <c r="L49" s="35" t="s">
        <v>238</v>
      </c>
      <c r="M49" s="67" t="s">
        <v>222</v>
      </c>
      <c r="N49" s="33" t="s">
        <v>68</v>
      </c>
      <c r="O49" s="33" t="s">
        <v>13</v>
      </c>
      <c r="P49" s="33" t="s">
        <v>1</v>
      </c>
      <c r="Q49" s="47"/>
      <c r="R49" s="47"/>
      <c r="S49" s="45" t="s">
        <v>222</v>
      </c>
      <c r="T49" s="45"/>
      <c r="U49" s="51">
        <v>44820</v>
      </c>
      <c r="V49" s="48">
        <f t="shared" si="0"/>
        <v>44820</v>
      </c>
      <c r="W49" s="50">
        <f>V49-U49</f>
        <v>0</v>
      </c>
      <c r="X49" s="265">
        <v>0</v>
      </c>
      <c r="Y49" s="67">
        <v>0</v>
      </c>
      <c r="Z49" s="67">
        <v>836000</v>
      </c>
      <c r="AA49" s="35">
        <v>0</v>
      </c>
      <c r="AB49" s="67"/>
      <c r="AC49" s="40"/>
      <c r="AD49" s="42"/>
      <c r="AE49" s="41">
        <v>0</v>
      </c>
      <c r="AF49" s="43">
        <v>0</v>
      </c>
      <c r="AG49" s="40">
        <v>0</v>
      </c>
      <c r="AH49" s="40"/>
      <c r="AI49" s="44"/>
      <c r="AJ49" s="44"/>
      <c r="AK49" s="40">
        <v>0</v>
      </c>
      <c r="AL49" s="40"/>
      <c r="AM49" s="242">
        <f t="shared" si="1"/>
        <v>44834</v>
      </c>
      <c r="AN49" s="242" t="str">
        <f>IF(AQ49="x","",IF(AQ49="x",AM49,IF(EOMONTH(I49,0)=31,"",EOMONTH(I49,0))))</f>
        <v/>
      </c>
      <c r="AO49" s="79">
        <f>IFERROR(IF(VLOOKUP(C49,C50:C653,1,0)=0,1,0),1)</f>
        <v>0</v>
      </c>
      <c r="AP49" s="79"/>
      <c r="AQ49" s="243" t="str">
        <f t="shared" si="7"/>
        <v>x</v>
      </c>
      <c r="AR49" s="242">
        <f>IF(AQ49="x",EOMONTH(I49,0))</f>
        <v>44834</v>
      </c>
      <c r="AS49" s="79">
        <f t="shared" si="8"/>
        <v>1</v>
      </c>
      <c r="AT49" s="79">
        <f t="shared" si="9"/>
        <v>1</v>
      </c>
      <c r="AU49" s="79" t="str">
        <f t="shared" si="10"/>
        <v>A</v>
      </c>
      <c r="AV49" s="79">
        <f t="shared" si="11"/>
        <v>1</v>
      </c>
      <c r="AW49" s="79" t="str">
        <f>J49&amp;AU49</f>
        <v>IntegralA</v>
      </c>
      <c r="AX49" s="79">
        <f>IF(COUNTIFS(J:J,"Integral",E:E,E49,H:H,"Ativo")=4,1/4,1/10)</f>
        <v>0.1</v>
      </c>
      <c r="AY49" s="79"/>
      <c r="AZ49" s="79"/>
    </row>
    <row r="50" spans="1:52" ht="15.75" customHeight="1">
      <c r="A50" s="31">
        <v>49</v>
      </c>
      <c r="B50" s="399">
        <v>44820</v>
      </c>
      <c r="C50" s="32" t="s">
        <v>367</v>
      </c>
      <c r="D50" s="32" t="s">
        <v>310</v>
      </c>
      <c r="E50" s="32" t="s">
        <v>306</v>
      </c>
      <c r="F50" s="32" t="s">
        <v>371</v>
      </c>
      <c r="G50" s="33" t="s">
        <v>243</v>
      </c>
      <c r="H50" s="33" t="s">
        <v>244</v>
      </c>
      <c r="I50" s="34">
        <v>44827</v>
      </c>
      <c r="J50" s="33" t="s">
        <v>6</v>
      </c>
      <c r="K50" s="35" t="s">
        <v>369</v>
      </c>
      <c r="L50" s="35" t="s">
        <v>238</v>
      </c>
      <c r="M50" s="67" t="s">
        <v>222</v>
      </c>
      <c r="N50" s="33" t="s">
        <v>68</v>
      </c>
      <c r="O50" s="33" t="s">
        <v>13</v>
      </c>
      <c r="P50" s="33" t="s">
        <v>1</v>
      </c>
      <c r="Q50" s="47"/>
      <c r="R50" s="47"/>
      <c r="S50" s="411" t="s">
        <v>372</v>
      </c>
      <c r="T50" s="45"/>
      <c r="U50" s="51">
        <v>44820</v>
      </c>
      <c r="V50" s="48">
        <f t="shared" si="0"/>
        <v>44820</v>
      </c>
      <c r="W50" s="50">
        <f>V50-U50</f>
        <v>0</v>
      </c>
      <c r="X50" s="265">
        <v>0</v>
      </c>
      <c r="Y50" s="67">
        <v>0</v>
      </c>
      <c r="Z50" s="67">
        <v>836000</v>
      </c>
      <c r="AA50" s="35">
        <v>0</v>
      </c>
      <c r="AB50" s="67"/>
      <c r="AC50" s="40"/>
      <c r="AD50" s="42"/>
      <c r="AE50" s="41">
        <v>0</v>
      </c>
      <c r="AF50" s="43">
        <v>0</v>
      </c>
      <c r="AG50" s="40">
        <v>0</v>
      </c>
      <c r="AH50" s="40"/>
      <c r="AI50" s="44"/>
      <c r="AJ50" s="44"/>
      <c r="AK50" s="40">
        <v>0</v>
      </c>
      <c r="AL50" s="40"/>
      <c r="AM50" s="242">
        <f t="shared" si="1"/>
        <v>44834</v>
      </c>
      <c r="AN50" s="242" t="str">
        <f>IF(AQ50="x","",IF(AQ50="x",AM50,IF(EOMONTH(I50,0)=31,"",EOMONTH(I50,0))))</f>
        <v/>
      </c>
      <c r="AO50" s="79">
        <f>IFERROR(IF(VLOOKUP(C50,C51:C654,1,0)=0,1,0),1)</f>
        <v>0</v>
      </c>
      <c r="AP50" s="79"/>
      <c r="AQ50" s="243" t="str">
        <f t="shared" si="7"/>
        <v>x</v>
      </c>
      <c r="AR50" s="242">
        <f>IF(AQ50="x",EOMONTH(I50,0))</f>
        <v>44834</v>
      </c>
      <c r="AS50" s="79">
        <f t="shared" si="8"/>
        <v>1</v>
      </c>
      <c r="AT50" s="79">
        <f t="shared" si="9"/>
        <v>1</v>
      </c>
      <c r="AU50" s="79" t="str">
        <f t="shared" si="10"/>
        <v>A</v>
      </c>
      <c r="AV50" s="79">
        <f t="shared" si="11"/>
        <v>1</v>
      </c>
      <c r="AW50" s="79" t="str">
        <f>J50&amp;AU50</f>
        <v>IntegralA</v>
      </c>
      <c r="AX50" s="79">
        <f>IF(COUNTIFS(J:J,"Integral",E:E,E50,H:H,"Ativo")=4,1/4,1/10)</f>
        <v>0.1</v>
      </c>
      <c r="AY50" s="79"/>
      <c r="AZ50" s="79"/>
    </row>
    <row r="51" spans="1:52" ht="15.75" customHeight="1">
      <c r="A51" s="31">
        <v>50</v>
      </c>
      <c r="B51" s="399">
        <v>44820</v>
      </c>
      <c r="C51" s="32" t="s">
        <v>367</v>
      </c>
      <c r="D51" s="32" t="s">
        <v>312</v>
      </c>
      <c r="E51" s="32" t="s">
        <v>306</v>
      </c>
      <c r="F51" s="32" t="s">
        <v>373</v>
      </c>
      <c r="G51" s="33" t="s">
        <v>243</v>
      </c>
      <c r="H51" s="33" t="s">
        <v>244</v>
      </c>
      <c r="I51" s="34">
        <v>44827</v>
      </c>
      <c r="J51" s="33" t="s">
        <v>6</v>
      </c>
      <c r="K51" s="35" t="s">
        <v>369</v>
      </c>
      <c r="L51" s="35" t="s">
        <v>238</v>
      </c>
      <c r="M51" s="67" t="s">
        <v>222</v>
      </c>
      <c r="N51" s="33" t="s">
        <v>68</v>
      </c>
      <c r="O51" s="33" t="s">
        <v>13</v>
      </c>
      <c r="P51" s="33" t="s">
        <v>1</v>
      </c>
      <c r="Q51" s="47"/>
      <c r="R51" s="47"/>
      <c r="S51" s="45" t="s">
        <v>222</v>
      </c>
      <c r="T51" s="45"/>
      <c r="U51" s="51">
        <v>44820</v>
      </c>
      <c r="V51" s="48">
        <f t="shared" si="0"/>
        <v>44820</v>
      </c>
      <c r="W51" s="50">
        <f>V51-U51</f>
        <v>0</v>
      </c>
      <c r="X51" s="265">
        <v>0</v>
      </c>
      <c r="Y51" s="67">
        <v>0</v>
      </c>
      <c r="Z51" s="67">
        <v>836000</v>
      </c>
      <c r="AA51" s="35">
        <v>0</v>
      </c>
      <c r="AB51" s="67"/>
      <c r="AC51" s="40"/>
      <c r="AD51" s="42"/>
      <c r="AE51" s="41">
        <v>0</v>
      </c>
      <c r="AF51" s="43">
        <v>0</v>
      </c>
      <c r="AG51" s="40">
        <v>0</v>
      </c>
      <c r="AH51" s="40"/>
      <c r="AI51" s="44"/>
      <c r="AJ51" s="44"/>
      <c r="AK51" s="40">
        <v>0</v>
      </c>
      <c r="AL51" s="40"/>
      <c r="AM51" s="242">
        <f t="shared" si="1"/>
        <v>44834</v>
      </c>
      <c r="AN51" s="242" t="str">
        <f>IF(AQ51="x","",IF(AQ51="x",AM51,IF(EOMONTH(I51,0)=31,"",EOMONTH(I51,0))))</f>
        <v/>
      </c>
      <c r="AO51" s="79">
        <f>IFERROR(IF(VLOOKUP(C51,C52:C655,1,0)=0,1,0),1)</f>
        <v>0</v>
      </c>
      <c r="AP51" s="79"/>
      <c r="AQ51" s="243" t="str">
        <f t="shared" si="7"/>
        <v>x</v>
      </c>
      <c r="AR51" s="242">
        <f>IF(AQ51="x",EOMONTH(I51,0))</f>
        <v>44834</v>
      </c>
      <c r="AS51" s="79">
        <f t="shared" si="8"/>
        <v>1</v>
      </c>
      <c r="AT51" s="79">
        <f t="shared" si="9"/>
        <v>1</v>
      </c>
      <c r="AU51" s="79" t="str">
        <f t="shared" si="10"/>
        <v>A</v>
      </c>
      <c r="AV51" s="79">
        <f t="shared" si="11"/>
        <v>1</v>
      </c>
      <c r="AW51" s="79" t="str">
        <f>J51&amp;AU51</f>
        <v>IntegralA</v>
      </c>
      <c r="AX51" s="79">
        <f>IF(COUNTIFS(J:J,"Integral",E:E,E51,H:H,"Ativo")=4,1/4,1/10)</f>
        <v>0.1</v>
      </c>
      <c r="AY51" s="79"/>
      <c r="AZ51" s="79"/>
    </row>
    <row r="52" spans="1:52" ht="15.75" customHeight="1">
      <c r="A52" s="31">
        <v>51</v>
      </c>
      <c r="B52" s="399">
        <v>44821</v>
      </c>
      <c r="C52" s="32" t="s">
        <v>374</v>
      </c>
      <c r="D52" s="32" t="s">
        <v>375</v>
      </c>
      <c r="E52" s="32" t="s">
        <v>376</v>
      </c>
      <c r="F52" s="32" t="s">
        <v>377</v>
      </c>
      <c r="G52" s="33" t="s">
        <v>243</v>
      </c>
      <c r="H52" s="33" t="s">
        <v>244</v>
      </c>
      <c r="I52" s="34">
        <v>44837</v>
      </c>
      <c r="J52" s="33" t="s">
        <v>6</v>
      </c>
      <c r="K52" s="35" t="s">
        <v>378</v>
      </c>
      <c r="L52" s="35" t="s">
        <v>238</v>
      </c>
      <c r="M52" s="67" t="s">
        <v>222</v>
      </c>
      <c r="N52" s="33" t="s">
        <v>68</v>
      </c>
      <c r="O52" s="33" t="s">
        <v>13</v>
      </c>
      <c r="P52" s="33" t="s">
        <v>1</v>
      </c>
      <c r="Q52" s="47"/>
      <c r="R52" s="47"/>
      <c r="S52" s="45" t="s">
        <v>222</v>
      </c>
      <c r="T52" s="45"/>
      <c r="U52" s="51">
        <v>44821</v>
      </c>
      <c r="V52" s="48">
        <f t="shared" si="0"/>
        <v>44821</v>
      </c>
      <c r="W52" s="50">
        <f>V52-U52</f>
        <v>0</v>
      </c>
      <c r="X52" s="265">
        <v>0</v>
      </c>
      <c r="Y52" s="67">
        <v>0</v>
      </c>
      <c r="Z52" s="67">
        <v>836000</v>
      </c>
      <c r="AA52" s="35">
        <v>0</v>
      </c>
      <c r="AB52" s="67"/>
      <c r="AC52" s="40"/>
      <c r="AD52" s="42"/>
      <c r="AE52" s="41">
        <v>0</v>
      </c>
      <c r="AF52" s="43">
        <v>0</v>
      </c>
      <c r="AG52" s="40">
        <v>0</v>
      </c>
      <c r="AH52" s="40"/>
      <c r="AI52" s="44"/>
      <c r="AJ52" s="44"/>
      <c r="AK52" s="40">
        <v>0</v>
      </c>
      <c r="AL52" s="40"/>
      <c r="AM52" s="242">
        <f t="shared" si="1"/>
        <v>44834</v>
      </c>
      <c r="AN52" s="242" t="str">
        <f>IF(AQ52="x","",IF(AQ52="x",AM52,IF(EOMONTH(I52,0)=31,"",EOMONTH(I52,0))))</f>
        <v/>
      </c>
      <c r="AO52" s="79">
        <f>IFERROR(IF(VLOOKUP(C52,C53:C656,1,0)=0,1,0),1)</f>
        <v>0</v>
      </c>
      <c r="AP52" s="79"/>
      <c r="AQ52" s="243" t="str">
        <f t="shared" si="7"/>
        <v>x</v>
      </c>
      <c r="AR52" s="242">
        <f>IF(AQ52="x",EOMONTH(I52,0))</f>
        <v>44865</v>
      </c>
      <c r="AS52" s="79">
        <f t="shared" si="8"/>
        <v>1</v>
      </c>
      <c r="AT52" s="79">
        <f t="shared" si="9"/>
        <v>1</v>
      </c>
      <c r="AU52" s="79" t="str">
        <f t="shared" si="10"/>
        <v>A</v>
      </c>
      <c r="AV52" s="79">
        <f t="shared" si="11"/>
        <v>1</v>
      </c>
      <c r="AW52" s="79" t="str">
        <f>J52&amp;AU52</f>
        <v>IntegralA</v>
      </c>
      <c r="AX52" s="79">
        <f>IF(COUNTIFS(J:J,"Integral",E:E,E52,H:H,"Ativo")=4,1/4,1/10)</f>
        <v>0.1</v>
      </c>
      <c r="AY52" s="79"/>
      <c r="AZ52" s="79"/>
    </row>
    <row r="53" spans="1:52" ht="15.75" customHeight="1">
      <c r="A53" s="31">
        <v>52</v>
      </c>
      <c r="B53" s="399">
        <v>44821</v>
      </c>
      <c r="C53" s="32" t="s">
        <v>374</v>
      </c>
      <c r="D53" s="32" t="s">
        <v>379</v>
      </c>
      <c r="E53" s="32" t="s">
        <v>376</v>
      </c>
      <c r="F53" s="32" t="s">
        <v>380</v>
      </c>
      <c r="G53" s="33" t="s">
        <v>243</v>
      </c>
      <c r="H53" s="33" t="s">
        <v>244</v>
      </c>
      <c r="I53" s="34">
        <v>44837</v>
      </c>
      <c r="J53" s="33" t="s">
        <v>6</v>
      </c>
      <c r="K53" s="35" t="s">
        <v>378</v>
      </c>
      <c r="L53" s="35" t="s">
        <v>238</v>
      </c>
      <c r="M53" s="67" t="s">
        <v>222</v>
      </c>
      <c r="N53" s="33" t="s">
        <v>68</v>
      </c>
      <c r="O53" s="33" t="s">
        <v>13</v>
      </c>
      <c r="P53" s="33" t="s">
        <v>1</v>
      </c>
      <c r="Q53" s="47"/>
      <c r="R53" s="47"/>
      <c r="S53" s="45" t="s">
        <v>222</v>
      </c>
      <c r="T53" s="45"/>
      <c r="U53" s="51">
        <v>44821</v>
      </c>
      <c r="V53" s="48">
        <f t="shared" si="0"/>
        <v>44821</v>
      </c>
      <c r="W53" s="50">
        <f>V53-U53</f>
        <v>0</v>
      </c>
      <c r="X53" s="265">
        <v>0</v>
      </c>
      <c r="Y53" s="67">
        <v>0</v>
      </c>
      <c r="Z53" s="67">
        <v>836000</v>
      </c>
      <c r="AA53" s="35">
        <v>0</v>
      </c>
      <c r="AB53" s="67"/>
      <c r="AC53" s="40"/>
      <c r="AD53" s="42"/>
      <c r="AE53" s="41">
        <v>0</v>
      </c>
      <c r="AF53" s="43">
        <v>0</v>
      </c>
      <c r="AG53" s="40">
        <v>0</v>
      </c>
      <c r="AH53" s="40"/>
      <c r="AI53" s="44"/>
      <c r="AJ53" s="44"/>
      <c r="AK53" s="40">
        <v>0</v>
      </c>
      <c r="AL53" s="40"/>
      <c r="AM53" s="242">
        <f t="shared" si="1"/>
        <v>44834</v>
      </c>
      <c r="AN53" s="242" t="str">
        <f>IF(AQ53="x","",IF(AQ53="x",AM53,IF(EOMONTH(I53,0)=31,"",EOMONTH(I53,0))))</f>
        <v/>
      </c>
      <c r="AO53" s="79">
        <f>IFERROR(IF(VLOOKUP(C53,C54:C657,1,0)=0,1,0),1)</f>
        <v>0</v>
      </c>
      <c r="AP53" s="79"/>
      <c r="AQ53" s="243" t="str">
        <f t="shared" si="7"/>
        <v>x</v>
      </c>
      <c r="AR53" s="242">
        <f>IF(AQ53="x",EOMONTH(I53,0))</f>
        <v>44865</v>
      </c>
      <c r="AS53" s="79">
        <f t="shared" si="8"/>
        <v>1</v>
      </c>
      <c r="AT53" s="79">
        <f t="shared" si="9"/>
        <v>1</v>
      </c>
      <c r="AU53" s="79" t="str">
        <f t="shared" si="10"/>
        <v>A</v>
      </c>
      <c r="AV53" s="79">
        <f t="shared" si="11"/>
        <v>1</v>
      </c>
      <c r="AW53" s="79" t="str">
        <f>J53&amp;AU53</f>
        <v>IntegralA</v>
      </c>
      <c r="AX53" s="79">
        <f>IF(COUNTIFS(J:J,"Integral",E:E,E53,H:H,"Ativo")=4,1/4,1/10)</f>
        <v>0.1</v>
      </c>
      <c r="AY53" s="79"/>
      <c r="AZ53" s="79"/>
    </row>
    <row r="54" spans="1:52" ht="15.75" customHeight="1">
      <c r="A54" s="31">
        <v>53</v>
      </c>
      <c r="B54" s="399">
        <v>44821</v>
      </c>
      <c r="C54" s="32" t="s">
        <v>374</v>
      </c>
      <c r="D54" s="32" t="s">
        <v>381</v>
      </c>
      <c r="E54" s="32" t="s">
        <v>376</v>
      </c>
      <c r="F54" s="32" t="s">
        <v>382</v>
      </c>
      <c r="G54" s="33" t="s">
        <v>243</v>
      </c>
      <c r="H54" s="33" t="s">
        <v>244</v>
      </c>
      <c r="I54" s="34">
        <v>44837</v>
      </c>
      <c r="J54" s="33" t="s">
        <v>6</v>
      </c>
      <c r="K54" s="35" t="s">
        <v>378</v>
      </c>
      <c r="L54" s="35" t="s">
        <v>238</v>
      </c>
      <c r="M54" s="67" t="s">
        <v>222</v>
      </c>
      <c r="N54" s="33" t="s">
        <v>68</v>
      </c>
      <c r="O54" s="33" t="s">
        <v>13</v>
      </c>
      <c r="P54" s="33" t="s">
        <v>1</v>
      </c>
      <c r="Q54" s="47"/>
      <c r="R54" s="47"/>
      <c r="S54" s="45" t="s">
        <v>222</v>
      </c>
      <c r="T54" s="45"/>
      <c r="U54" s="51">
        <v>44821</v>
      </c>
      <c r="V54" s="48">
        <f t="shared" si="0"/>
        <v>44821</v>
      </c>
      <c r="W54" s="50">
        <f>V54-U54</f>
        <v>0</v>
      </c>
      <c r="X54" s="265">
        <v>0</v>
      </c>
      <c r="Y54" s="67">
        <v>0</v>
      </c>
      <c r="Z54" s="67">
        <v>836000</v>
      </c>
      <c r="AA54" s="35">
        <v>0</v>
      </c>
      <c r="AB54" s="67"/>
      <c r="AC54" s="40"/>
      <c r="AD54" s="42"/>
      <c r="AE54" s="41">
        <v>0</v>
      </c>
      <c r="AF54" s="43">
        <v>0</v>
      </c>
      <c r="AG54" s="40">
        <v>0</v>
      </c>
      <c r="AH54" s="40"/>
      <c r="AI54" s="44"/>
      <c r="AJ54" s="44"/>
      <c r="AK54" s="40">
        <v>0</v>
      </c>
      <c r="AL54" s="40"/>
      <c r="AM54" s="242">
        <f t="shared" si="1"/>
        <v>44834</v>
      </c>
      <c r="AN54" s="242" t="str">
        <f>IF(AQ54="x","",IF(AQ54="x",AM54,IF(EOMONTH(I54,0)=31,"",EOMONTH(I54,0))))</f>
        <v/>
      </c>
      <c r="AO54" s="79">
        <f>IFERROR(IF(VLOOKUP(C54,C55:C658,1,0)=0,1,0),1)</f>
        <v>0</v>
      </c>
      <c r="AP54" s="79"/>
      <c r="AQ54" s="243" t="str">
        <f t="shared" si="7"/>
        <v>x</v>
      </c>
      <c r="AR54" s="242">
        <f>IF(AQ54="x",EOMONTH(I54,0))</f>
        <v>44865</v>
      </c>
      <c r="AS54" s="79">
        <f t="shared" si="8"/>
        <v>1</v>
      </c>
      <c r="AT54" s="79">
        <f t="shared" si="9"/>
        <v>1</v>
      </c>
      <c r="AU54" s="79" t="str">
        <f t="shared" si="10"/>
        <v>A</v>
      </c>
      <c r="AV54" s="79">
        <f t="shared" si="11"/>
        <v>1</v>
      </c>
      <c r="AW54" s="79" t="str">
        <f>J54&amp;AU54</f>
        <v>IntegralA</v>
      </c>
      <c r="AX54" s="79">
        <f>IF(COUNTIFS(J:J,"Integral",E:E,E54,H:H,"Ativo")=4,1/4,1/10)</f>
        <v>0.1</v>
      </c>
      <c r="AY54" s="79"/>
      <c r="AZ54" s="79"/>
    </row>
    <row r="55" spans="1:52" ht="15.75" customHeight="1">
      <c r="A55" s="31">
        <v>54</v>
      </c>
      <c r="B55" s="399">
        <v>44821</v>
      </c>
      <c r="C55" s="32" t="s">
        <v>383</v>
      </c>
      <c r="D55" s="32" t="s">
        <v>384</v>
      </c>
      <c r="E55" s="32" t="s">
        <v>385</v>
      </c>
      <c r="F55" s="32" t="s">
        <v>386</v>
      </c>
      <c r="G55" s="33" t="s">
        <v>220</v>
      </c>
      <c r="H55" s="33" t="s">
        <v>90</v>
      </c>
      <c r="I55" s="34">
        <v>0</v>
      </c>
      <c r="J55" s="33">
        <v>6</v>
      </c>
      <c r="K55" s="35" t="s">
        <v>289</v>
      </c>
      <c r="L55" s="35" t="s">
        <v>387</v>
      </c>
      <c r="M55" s="67" t="s">
        <v>222</v>
      </c>
      <c r="N55" s="33" t="s">
        <v>68</v>
      </c>
      <c r="O55" s="33" t="s">
        <v>12</v>
      </c>
      <c r="P55" s="33" t="s">
        <v>1</v>
      </c>
      <c r="Q55" s="47"/>
      <c r="R55" s="47"/>
      <c r="S55" s="45" t="s">
        <v>143</v>
      </c>
      <c r="T55" s="45"/>
      <c r="U55" s="51">
        <v>44694</v>
      </c>
      <c r="V55" s="48">
        <f t="shared" si="0"/>
        <v>44821</v>
      </c>
      <c r="W55" s="50">
        <f>V55-U55</f>
        <v>127</v>
      </c>
      <c r="X55" s="261">
        <v>327000</v>
      </c>
      <c r="Y55" s="260">
        <v>327000</v>
      </c>
      <c r="Z55" s="260">
        <v>329000</v>
      </c>
      <c r="AA55" s="35">
        <v>0</v>
      </c>
      <c r="AB55" s="260"/>
      <c r="AC55" s="41"/>
      <c r="AD55" s="42"/>
      <c r="AE55" s="41"/>
      <c r="AF55" s="43"/>
      <c r="AG55" s="40">
        <v>2000</v>
      </c>
      <c r="AH55" s="40"/>
      <c r="AI55" s="44"/>
      <c r="AJ55" s="44"/>
      <c r="AK55" s="40"/>
      <c r="AL55" s="40">
        <v>0</v>
      </c>
      <c r="AM55" s="242">
        <f t="shared" si="1"/>
        <v>44834</v>
      </c>
      <c r="AN55" s="242" t="str">
        <f>IF(AQ55="x","",IF(AQ55="x",AM55,IF(EOMONTH(I55,0)=31,"",EOMONTH(I55,0))))</f>
        <v/>
      </c>
      <c r="AO55" s="79">
        <f>IFERROR(IF(VLOOKUP(C55,C56:C660,1,0)=0,1,0),1)</f>
        <v>1</v>
      </c>
      <c r="AP55" s="79"/>
      <c r="AQ55" s="243" t="str">
        <f t="shared" si="7"/>
        <v/>
      </c>
      <c r="AR55" s="242" t="b">
        <f>IF(AQ55="x",EOMONTH(I55,0))</f>
        <v>0</v>
      </c>
      <c r="AS55" s="79">
        <f t="shared" si="8"/>
        <v>1</v>
      </c>
      <c r="AT55" s="79">
        <f t="shared" si="9"/>
        <v>1</v>
      </c>
      <c r="AU55" s="79" t="str">
        <f t="shared" si="10"/>
        <v>B</v>
      </c>
      <c r="AV55" s="79">
        <f t="shared" si="11"/>
        <v>1</v>
      </c>
      <c r="AW55" s="79" t="str">
        <f>J55&amp;AU55</f>
        <v>6B</v>
      </c>
      <c r="AX55" s="79">
        <f>IF(COUNTIFS(J:J,"Integral",E:E,E55,H:H,"Ativo")=4,1/4,1/10)</f>
        <v>0.1</v>
      </c>
      <c r="AY55" s="79"/>
      <c r="AZ55" s="79"/>
    </row>
    <row r="56" spans="1:52" ht="15.75" customHeight="1">
      <c r="A56" s="31">
        <v>55</v>
      </c>
      <c r="B56" s="399">
        <v>44821</v>
      </c>
      <c r="C56" s="32" t="s">
        <v>388</v>
      </c>
      <c r="D56" s="32" t="s">
        <v>389</v>
      </c>
      <c r="E56" s="32" t="s">
        <v>385</v>
      </c>
      <c r="F56" s="32" t="s">
        <v>390</v>
      </c>
      <c r="G56" s="33" t="s">
        <v>220</v>
      </c>
      <c r="H56" s="33" t="s">
        <v>244</v>
      </c>
      <c r="I56" s="34">
        <v>44832</v>
      </c>
      <c r="J56" s="33">
        <v>6</v>
      </c>
      <c r="K56" s="35" t="s">
        <v>261</v>
      </c>
      <c r="L56" s="35" t="s">
        <v>261</v>
      </c>
      <c r="M56" s="67" t="s">
        <v>222</v>
      </c>
      <c r="N56" s="33" t="s">
        <v>68</v>
      </c>
      <c r="O56" s="33" t="s">
        <v>12</v>
      </c>
      <c r="P56" s="33" t="s">
        <v>1</v>
      </c>
      <c r="Q56" s="47"/>
      <c r="R56" s="47"/>
      <c r="S56" s="45" t="s">
        <v>222</v>
      </c>
      <c r="T56" s="45"/>
      <c r="U56" s="51">
        <v>44549</v>
      </c>
      <c r="V56" s="48">
        <f t="shared" si="0"/>
        <v>44821</v>
      </c>
      <c r="W56" s="50">
        <f>V56-U56</f>
        <v>272</v>
      </c>
      <c r="X56" s="265">
        <v>0</v>
      </c>
      <c r="Y56" s="67">
        <v>0</v>
      </c>
      <c r="Z56" s="67">
        <v>340000</v>
      </c>
      <c r="AA56" s="35">
        <v>0</v>
      </c>
      <c r="AB56" s="67"/>
      <c r="AC56" s="40"/>
      <c r="AD56" s="42"/>
      <c r="AE56" s="41">
        <v>0</v>
      </c>
      <c r="AF56" s="43">
        <v>0</v>
      </c>
      <c r="AG56" s="40">
        <v>0</v>
      </c>
      <c r="AH56" s="40"/>
      <c r="AI56" s="44"/>
      <c r="AJ56" s="44"/>
      <c r="AK56" s="40">
        <v>0</v>
      </c>
      <c r="AL56" s="40"/>
      <c r="AM56" s="242">
        <f t="shared" si="1"/>
        <v>44834</v>
      </c>
      <c r="AN56" s="242">
        <f>IF(AQ56="x","",IF(AQ56="x",AM56,IF(EOMONTH(I56,0)=31,"",EOMONTH(I56,0))))</f>
        <v>44834</v>
      </c>
      <c r="AO56" s="79">
        <f>IFERROR(IF(VLOOKUP(C56,C57:C660,1,0)=0,1,0),1)</f>
        <v>1</v>
      </c>
      <c r="AP56" s="79"/>
      <c r="AQ56" s="243" t="str">
        <f t="shared" si="7"/>
        <v/>
      </c>
      <c r="AR56" s="242" t="b">
        <f>IF(AQ56="x",EOMONTH(I56,0))</f>
        <v>0</v>
      </c>
      <c r="AS56" s="79">
        <f t="shared" si="8"/>
        <v>1</v>
      </c>
      <c r="AT56" s="79">
        <f t="shared" si="9"/>
        <v>1</v>
      </c>
      <c r="AU56" s="79" t="str">
        <f t="shared" si="10"/>
        <v>B</v>
      </c>
      <c r="AV56" s="79">
        <f t="shared" si="11"/>
        <v>1</v>
      </c>
      <c r="AW56" s="79" t="str">
        <f>J56&amp;AU56</f>
        <v>6B</v>
      </c>
      <c r="AX56" s="79">
        <f>IF(COUNTIFS(J:J,"Integral",E:E,E56,H:H,"Ativo")=4,1/4,1/10)</f>
        <v>0.1</v>
      </c>
      <c r="AY56" s="79"/>
      <c r="AZ56" s="79"/>
    </row>
    <row r="57" spans="1:52" ht="15.75" customHeight="1">
      <c r="A57" s="31">
        <v>56</v>
      </c>
      <c r="B57" s="399">
        <v>44821</v>
      </c>
      <c r="C57" s="32" t="s">
        <v>391</v>
      </c>
      <c r="D57" s="32" t="s">
        <v>392</v>
      </c>
      <c r="E57" s="32" t="s">
        <v>316</v>
      </c>
      <c r="F57" s="32" t="s">
        <v>393</v>
      </c>
      <c r="G57" s="33" t="s">
        <v>220</v>
      </c>
      <c r="H57" s="33" t="s">
        <v>90</v>
      </c>
      <c r="I57" s="34">
        <v>0</v>
      </c>
      <c r="J57" s="33">
        <v>4</v>
      </c>
      <c r="K57" s="35" t="s">
        <v>394</v>
      </c>
      <c r="L57" s="35" t="s">
        <v>246</v>
      </c>
      <c r="M57" s="67" t="s">
        <v>222</v>
      </c>
      <c r="N57" s="33" t="s">
        <v>68</v>
      </c>
      <c r="O57" s="33" t="s">
        <v>13</v>
      </c>
      <c r="P57" s="33" t="s">
        <v>1</v>
      </c>
      <c r="Q57" s="47"/>
      <c r="R57" s="47"/>
      <c r="S57" s="45" t="s">
        <v>145</v>
      </c>
      <c r="T57" s="45"/>
      <c r="U57" s="51">
        <v>44819</v>
      </c>
      <c r="V57" s="48">
        <f t="shared" si="0"/>
        <v>44821</v>
      </c>
      <c r="W57" s="50">
        <f>V57-U57</f>
        <v>2</v>
      </c>
      <c r="X57" s="261">
        <v>238000</v>
      </c>
      <c r="Y57" s="260">
        <v>238000</v>
      </c>
      <c r="Z57" s="260">
        <v>235000</v>
      </c>
      <c r="AA57" s="35">
        <v>0</v>
      </c>
      <c r="AB57" s="260"/>
      <c r="AC57" s="41"/>
      <c r="AD57" s="42">
        <v>8.9700000000000002E-2</v>
      </c>
      <c r="AE57" s="41"/>
      <c r="AF57" s="43">
        <v>8.9700000000000002E-2</v>
      </c>
      <c r="AG57" s="40">
        <v>0</v>
      </c>
      <c r="AH57" s="40">
        <v>3000</v>
      </c>
      <c r="AI57" s="44">
        <v>1.2605042016806723E-2</v>
      </c>
      <c r="AJ57" s="44"/>
      <c r="AK57" s="40">
        <v>3000</v>
      </c>
      <c r="AL57" s="40">
        <v>0</v>
      </c>
      <c r="AM57" s="242">
        <f t="shared" si="1"/>
        <v>44834</v>
      </c>
      <c r="AN57" s="242" t="str">
        <f>IF(AQ57="x","",IF(AQ57="x",AM57,IF(EOMONTH(I57,0)=31,"",EOMONTH(I57,0))))</f>
        <v/>
      </c>
      <c r="AO57" s="79">
        <f>IFERROR(IF(VLOOKUP(C57,C58:C661,1,0)=0,1,0),1)</f>
        <v>1</v>
      </c>
      <c r="AP57" s="79"/>
      <c r="AQ57" s="243" t="str">
        <f t="shared" si="7"/>
        <v/>
      </c>
      <c r="AR57" s="242" t="b">
        <f>IF(AQ57="x",EOMONTH(I57,0))</f>
        <v>0</v>
      </c>
      <c r="AS57" s="79">
        <f t="shared" si="8"/>
        <v>1</v>
      </c>
      <c r="AT57" s="79">
        <f t="shared" si="9"/>
        <v>1</v>
      </c>
      <c r="AU57" s="79" t="str">
        <f t="shared" si="10"/>
        <v>B</v>
      </c>
      <c r="AV57" s="79">
        <f t="shared" si="11"/>
        <v>1</v>
      </c>
      <c r="AW57" s="79" t="str">
        <f>J57&amp;AU57</f>
        <v>4B</v>
      </c>
      <c r="AX57" s="79">
        <f>IF(COUNTIFS(J:J,"Integral",E:E,E57,H:H,"Ativo")=4,1/4,1/10)</f>
        <v>0.1</v>
      </c>
      <c r="AY57" s="79"/>
      <c r="AZ57" s="79"/>
    </row>
    <row r="58" spans="1:52" ht="15.75" customHeight="1">
      <c r="A58" s="31">
        <v>57</v>
      </c>
      <c r="B58" s="399">
        <v>44821</v>
      </c>
      <c r="C58" s="32" t="s">
        <v>374</v>
      </c>
      <c r="D58" s="32" t="s">
        <v>395</v>
      </c>
      <c r="E58" s="32" t="s">
        <v>376</v>
      </c>
      <c r="F58" s="32" t="s">
        <v>396</v>
      </c>
      <c r="G58" s="33" t="s">
        <v>243</v>
      </c>
      <c r="H58" s="33" t="s">
        <v>244</v>
      </c>
      <c r="I58" s="34">
        <v>44837</v>
      </c>
      <c r="J58" s="33" t="s">
        <v>6</v>
      </c>
      <c r="K58" s="35" t="s">
        <v>378</v>
      </c>
      <c r="L58" s="35" t="s">
        <v>238</v>
      </c>
      <c r="M58" s="67" t="s">
        <v>222</v>
      </c>
      <c r="N58" s="33" t="s">
        <v>68</v>
      </c>
      <c r="O58" s="33" t="s">
        <v>13</v>
      </c>
      <c r="P58" s="33" t="s">
        <v>1</v>
      </c>
      <c r="Q58" s="47"/>
      <c r="R58" s="47"/>
      <c r="S58" s="45" t="s">
        <v>222</v>
      </c>
      <c r="T58" s="45"/>
      <c r="U58" s="51">
        <v>44821</v>
      </c>
      <c r="V58" s="48">
        <f t="shared" si="0"/>
        <v>44821</v>
      </c>
      <c r="W58" s="50">
        <f>V58-U58</f>
        <v>0</v>
      </c>
      <c r="X58" s="265">
        <v>0</v>
      </c>
      <c r="Y58" s="67">
        <v>0</v>
      </c>
      <c r="Z58" s="67">
        <v>836000</v>
      </c>
      <c r="AA58" s="35">
        <v>0</v>
      </c>
      <c r="AB58" s="67"/>
      <c r="AC58" s="40"/>
      <c r="AD58" s="42"/>
      <c r="AE58" s="41">
        <v>0</v>
      </c>
      <c r="AF58" s="43">
        <v>0</v>
      </c>
      <c r="AG58" s="40">
        <v>0</v>
      </c>
      <c r="AH58" s="40"/>
      <c r="AI58" s="44"/>
      <c r="AJ58" s="44"/>
      <c r="AK58" s="40">
        <v>0</v>
      </c>
      <c r="AL58" s="40"/>
      <c r="AM58" s="242">
        <f t="shared" si="1"/>
        <v>44834</v>
      </c>
      <c r="AN58" s="242" t="str">
        <f>IF(AQ58="x","",IF(AQ58="x",AM58,IF(EOMONTH(I58,0)=31,"",EOMONTH(I58,0))))</f>
        <v/>
      </c>
      <c r="AO58" s="79">
        <f>IFERROR(IF(VLOOKUP(C58,C59:C662,1,0)=0,1,0),1)</f>
        <v>1</v>
      </c>
      <c r="AP58" s="79"/>
      <c r="AQ58" s="243" t="str">
        <f t="shared" si="7"/>
        <v>x</v>
      </c>
      <c r="AR58" s="242">
        <f>IF(AQ58="x",EOMONTH(I58,0))</f>
        <v>44865</v>
      </c>
      <c r="AS58" s="79">
        <f t="shared" si="8"/>
        <v>1</v>
      </c>
      <c r="AT58" s="79">
        <f t="shared" si="9"/>
        <v>1</v>
      </c>
      <c r="AU58" s="79" t="str">
        <f t="shared" si="10"/>
        <v>A</v>
      </c>
      <c r="AV58" s="79">
        <f t="shared" si="11"/>
        <v>1</v>
      </c>
      <c r="AW58" s="79" t="str">
        <f>J58&amp;AU58</f>
        <v>IntegralA</v>
      </c>
      <c r="AX58" s="79">
        <f>IF(COUNTIFS(J:J,"Integral",E:E,E58,H:H,"Ativo")=4,1/4,1/10)</f>
        <v>0.1</v>
      </c>
      <c r="AY58" s="79"/>
      <c r="AZ58" s="79"/>
    </row>
    <row r="59" spans="1:52" ht="15.75" customHeight="1">
      <c r="A59" s="31">
        <v>58</v>
      </c>
      <c r="B59" s="399">
        <v>44821</v>
      </c>
      <c r="C59" s="32" t="s">
        <v>397</v>
      </c>
      <c r="D59" s="32" t="s">
        <v>398</v>
      </c>
      <c r="E59" s="32" t="s">
        <v>316</v>
      </c>
      <c r="F59" s="32" t="s">
        <v>399</v>
      </c>
      <c r="G59" s="33" t="s">
        <v>220</v>
      </c>
      <c r="H59" s="33" t="s">
        <v>90</v>
      </c>
      <c r="I59" s="34">
        <v>0</v>
      </c>
      <c r="J59" s="33">
        <v>4</v>
      </c>
      <c r="K59" s="35" t="s">
        <v>394</v>
      </c>
      <c r="L59" s="35" t="s">
        <v>246</v>
      </c>
      <c r="M59" s="67" t="s">
        <v>222</v>
      </c>
      <c r="N59" s="33" t="s">
        <v>68</v>
      </c>
      <c r="O59" s="33" t="s">
        <v>13</v>
      </c>
      <c r="P59" s="33" t="s">
        <v>1</v>
      </c>
      <c r="Q59" s="47"/>
      <c r="R59" s="47"/>
      <c r="S59" s="45" t="s">
        <v>145</v>
      </c>
      <c r="T59" s="45"/>
      <c r="U59" s="51">
        <v>44819</v>
      </c>
      <c r="V59" s="48">
        <f t="shared" si="0"/>
        <v>44821</v>
      </c>
      <c r="W59" s="50">
        <f>V59-U59</f>
        <v>2</v>
      </c>
      <c r="X59" s="261">
        <v>238000</v>
      </c>
      <c r="Y59" s="260">
        <v>238000</v>
      </c>
      <c r="Z59" s="260">
        <v>235000</v>
      </c>
      <c r="AA59" s="35">
        <v>0</v>
      </c>
      <c r="AB59" s="260"/>
      <c r="AC59" s="41"/>
      <c r="AD59" s="42">
        <v>8.9700000000000002E-2</v>
      </c>
      <c r="AE59" s="41"/>
      <c r="AF59" s="43">
        <v>8.9700000000000002E-2</v>
      </c>
      <c r="AG59" s="40">
        <v>0</v>
      </c>
      <c r="AH59" s="40">
        <v>3000</v>
      </c>
      <c r="AI59" s="44">
        <v>1.2605042016806723E-2</v>
      </c>
      <c r="AJ59" s="44"/>
      <c r="AK59" s="40">
        <v>3000</v>
      </c>
      <c r="AL59" s="40">
        <v>0</v>
      </c>
      <c r="AM59" s="242">
        <f t="shared" si="1"/>
        <v>44834</v>
      </c>
      <c r="AN59" s="242" t="str">
        <f>IF(AQ59="x","",IF(AQ59="x",AM59,IF(EOMONTH(I59,0)=31,"",EOMONTH(I59,0))))</f>
        <v/>
      </c>
      <c r="AO59" s="79">
        <f>IFERROR(IF(VLOOKUP(C59,C60:C663,1,0)=0,1,0),1)</f>
        <v>1</v>
      </c>
      <c r="AP59" s="79"/>
      <c r="AQ59" s="243" t="str">
        <f t="shared" si="7"/>
        <v/>
      </c>
      <c r="AR59" s="242" t="b">
        <f>IF(AQ59="x",EOMONTH(I59,0))</f>
        <v>0</v>
      </c>
      <c r="AS59" s="79">
        <f t="shared" si="8"/>
        <v>1</v>
      </c>
      <c r="AT59" s="79">
        <f t="shared" si="9"/>
        <v>1</v>
      </c>
      <c r="AU59" s="79" t="str">
        <f t="shared" si="10"/>
        <v>B</v>
      </c>
      <c r="AV59" s="79">
        <f t="shared" si="11"/>
        <v>1</v>
      </c>
      <c r="AW59" s="79" t="str">
        <f>J59&amp;AU59</f>
        <v>4B</v>
      </c>
      <c r="AX59" s="79">
        <f>IF(COUNTIFS(J:J,"Integral",E:E,E59,H:H,"Ativo")=4,1/4,1/10)</f>
        <v>0.1</v>
      </c>
      <c r="AY59" s="79"/>
      <c r="AZ59" s="79"/>
    </row>
    <row r="60" spans="1:52" ht="15.75" customHeight="1">
      <c r="A60" s="31">
        <v>59</v>
      </c>
      <c r="B60" s="399">
        <v>44824</v>
      </c>
      <c r="C60" s="32" t="s">
        <v>400</v>
      </c>
      <c r="D60" s="32" t="s">
        <v>401</v>
      </c>
      <c r="E60" s="32" t="s">
        <v>402</v>
      </c>
      <c r="F60" s="32" t="s">
        <v>403</v>
      </c>
      <c r="G60" s="33" t="s">
        <v>220</v>
      </c>
      <c r="H60" s="33" t="s">
        <v>337</v>
      </c>
      <c r="I60" s="34">
        <v>45496</v>
      </c>
      <c r="J60" s="33">
        <v>6</v>
      </c>
      <c r="K60" s="35" t="s">
        <v>318</v>
      </c>
      <c r="L60" s="35" t="s">
        <v>238</v>
      </c>
      <c r="M60" s="67" t="s">
        <v>222</v>
      </c>
      <c r="N60" s="33" t="s">
        <v>68</v>
      </c>
      <c r="O60" s="33" t="s">
        <v>13</v>
      </c>
      <c r="P60" s="33" t="s">
        <v>1</v>
      </c>
      <c r="Q60" s="47"/>
      <c r="R60" s="47"/>
      <c r="S60" s="45" t="s">
        <v>147</v>
      </c>
      <c r="T60" s="45"/>
      <c r="U60" s="51">
        <v>44824</v>
      </c>
      <c r="V60" s="48">
        <f t="shared" si="0"/>
        <v>44824</v>
      </c>
      <c r="W60" s="50">
        <f>V60-U60</f>
        <v>0</v>
      </c>
      <c r="X60" s="261">
        <v>327000</v>
      </c>
      <c r="Y60" s="260">
        <v>327000</v>
      </c>
      <c r="Z60" s="260">
        <v>328000</v>
      </c>
      <c r="AA60" s="35">
        <v>0</v>
      </c>
      <c r="AB60" s="260"/>
      <c r="AC60" s="41"/>
      <c r="AD60" s="42"/>
      <c r="AE60" s="41"/>
      <c r="AF60" s="43"/>
      <c r="AG60" s="40">
        <v>1000</v>
      </c>
      <c r="AH60" s="40"/>
      <c r="AI60" s="44"/>
      <c r="AJ60" s="44"/>
      <c r="AK60" s="40">
        <v>0</v>
      </c>
      <c r="AL60" s="40">
        <v>0</v>
      </c>
      <c r="AM60" s="242">
        <f t="shared" si="1"/>
        <v>44834</v>
      </c>
      <c r="AN60" s="242">
        <f>IF(AQ60="x","",IF(AQ60="x",AM60,IF(EOMONTH(I60,0)=31,"",EOMONTH(I60,0))))</f>
        <v>45504</v>
      </c>
      <c r="AO60" s="79">
        <f>IFERROR(IF(VLOOKUP(C60,C61:C664,1,0)=0,1,0),1)</f>
        <v>1</v>
      </c>
      <c r="AP60" s="79"/>
      <c r="AQ60" s="243" t="str">
        <f t="shared" si="7"/>
        <v/>
      </c>
      <c r="AR60" s="242" t="b">
        <f>IF(AQ60="x",EOMONTH(I60,0))</f>
        <v>0</v>
      </c>
      <c r="AS60" s="79">
        <f t="shared" si="8"/>
        <v>1</v>
      </c>
      <c r="AT60" s="79">
        <f t="shared" si="9"/>
        <v>1</v>
      </c>
      <c r="AU60" s="79" t="str">
        <f t="shared" si="10"/>
        <v>B</v>
      </c>
      <c r="AV60" s="79">
        <f t="shared" si="11"/>
        <v>1</v>
      </c>
      <c r="AW60" s="79" t="str">
        <f>J60&amp;AU60</f>
        <v>6B</v>
      </c>
      <c r="AX60" s="79">
        <f>IF(COUNTIFS(J:J,"Integral",E:E,E60,H:H,"Ativo")=4,1/4,1/10)</f>
        <v>0.1</v>
      </c>
      <c r="AY60" s="79"/>
      <c r="AZ60" s="79"/>
    </row>
    <row r="61" spans="1:52" ht="15.75" customHeight="1">
      <c r="A61" s="31">
        <v>60</v>
      </c>
      <c r="B61" s="399">
        <v>44825</v>
      </c>
      <c r="C61" s="32" t="s">
        <v>404</v>
      </c>
      <c r="D61" s="32" t="s">
        <v>405</v>
      </c>
      <c r="E61" s="32" t="s">
        <v>406</v>
      </c>
      <c r="F61" s="32" t="s">
        <v>407</v>
      </c>
      <c r="G61" s="33" t="s">
        <v>220</v>
      </c>
      <c r="H61" s="33" t="s">
        <v>90</v>
      </c>
      <c r="I61" s="34">
        <v>0</v>
      </c>
      <c r="J61" s="33">
        <v>13</v>
      </c>
      <c r="K61" s="35" t="s">
        <v>221</v>
      </c>
      <c r="L61" s="35" t="s">
        <v>221</v>
      </c>
      <c r="M61" s="67" t="s">
        <v>222</v>
      </c>
      <c r="N61" s="33" t="s">
        <v>72</v>
      </c>
      <c r="O61" s="33" t="s">
        <v>10</v>
      </c>
      <c r="P61" s="33" t="s">
        <v>72</v>
      </c>
      <c r="Q61" s="47" t="s">
        <v>96</v>
      </c>
      <c r="R61" s="47"/>
      <c r="S61" s="45" t="s">
        <v>143</v>
      </c>
      <c r="T61" s="45"/>
      <c r="U61" s="46" t="s">
        <v>222</v>
      </c>
      <c r="V61" s="38">
        <f t="shared" si="0"/>
        <v>44825</v>
      </c>
      <c r="W61" s="50"/>
      <c r="X61" s="261">
        <v>683000</v>
      </c>
      <c r="Y61" s="260">
        <v>683000</v>
      </c>
      <c r="Z61" s="260">
        <v>341500</v>
      </c>
      <c r="AA61" s="35">
        <v>0</v>
      </c>
      <c r="AB61" s="260"/>
      <c r="AC61" s="41"/>
      <c r="AD61" s="42">
        <v>0.35249999999999998</v>
      </c>
      <c r="AE61" s="41"/>
      <c r="AF61" s="43">
        <v>0.35249999999999998</v>
      </c>
      <c r="AG61" s="40">
        <v>0</v>
      </c>
      <c r="AH61" s="40">
        <v>341500</v>
      </c>
      <c r="AI61" s="44">
        <v>0.5</v>
      </c>
      <c r="AJ61" s="44">
        <v>0.14750000000000002</v>
      </c>
      <c r="AK61" s="40">
        <v>240757.5</v>
      </c>
      <c r="AL61" s="40">
        <v>100742.5</v>
      </c>
      <c r="AM61" s="242">
        <f t="shared" si="1"/>
        <v>44834</v>
      </c>
      <c r="AN61" s="242" t="str">
        <f>IF(AQ61="x","",IF(AQ61="x",AM61,IF(EOMONTH(I61,0)=31,"",EOMONTH(I61,0))))</f>
        <v/>
      </c>
      <c r="AO61" s="79">
        <f>IFERROR(IF(VLOOKUP(C61,C62:C665,1,0)=0,1,0),1)</f>
        <v>1</v>
      </c>
      <c r="AP61" s="79"/>
      <c r="AQ61" s="243" t="str">
        <f t="shared" si="7"/>
        <v/>
      </c>
      <c r="AR61" s="242" t="b">
        <f>IF(AQ61="x",EOMONTH(I61,0))</f>
        <v>0</v>
      </c>
      <c r="AS61" s="79">
        <f t="shared" si="8"/>
        <v>1</v>
      </c>
      <c r="AT61" s="79">
        <f t="shared" si="9"/>
        <v>1</v>
      </c>
      <c r="AU61" s="79" t="str">
        <f t="shared" si="10"/>
        <v>B</v>
      </c>
      <c r="AV61" s="79">
        <f t="shared" si="11"/>
        <v>1</v>
      </c>
      <c r="AW61" s="79" t="str">
        <f>J61&amp;AU61</f>
        <v>13B</v>
      </c>
      <c r="AX61" s="79">
        <f>IF(COUNTIFS(J:J,"Integral",E:E,E61,H:H,"Ativo")=4,1/4,1/10)</f>
        <v>0.1</v>
      </c>
      <c r="AY61" s="79"/>
      <c r="AZ61" s="79"/>
    </row>
    <row r="62" spans="1:52" ht="15.75" customHeight="1">
      <c r="A62" s="31">
        <v>65</v>
      </c>
      <c r="B62" s="399">
        <v>44827</v>
      </c>
      <c r="C62" s="32" t="s">
        <v>367</v>
      </c>
      <c r="D62" s="32" t="s">
        <v>408</v>
      </c>
      <c r="E62" s="32" t="s">
        <v>235</v>
      </c>
      <c r="F62" s="32" t="s">
        <v>409</v>
      </c>
      <c r="G62" s="33" t="s">
        <v>220</v>
      </c>
      <c r="H62" s="33" t="s">
        <v>90</v>
      </c>
      <c r="I62" s="34">
        <v>0</v>
      </c>
      <c r="J62" s="33">
        <v>13</v>
      </c>
      <c r="K62" s="35" t="s">
        <v>369</v>
      </c>
      <c r="L62" s="35" t="s">
        <v>238</v>
      </c>
      <c r="M62" s="67" t="s">
        <v>222</v>
      </c>
      <c r="N62" s="33" t="s">
        <v>68</v>
      </c>
      <c r="O62" s="33" t="s">
        <v>13</v>
      </c>
      <c r="P62" s="33" t="s">
        <v>1</v>
      </c>
      <c r="Q62" s="47"/>
      <c r="R62" s="47"/>
      <c r="S62" s="45" t="s">
        <v>143</v>
      </c>
      <c r="T62" s="45"/>
      <c r="U62" s="51">
        <v>44820</v>
      </c>
      <c r="V62" s="48">
        <f t="shared" si="0"/>
        <v>44827</v>
      </c>
      <c r="W62" s="50">
        <f>V62-U62</f>
        <v>7</v>
      </c>
      <c r="X62" s="261">
        <v>1022000</v>
      </c>
      <c r="Y62" s="260">
        <v>1022000</v>
      </c>
      <c r="Z62" s="260">
        <v>1040000</v>
      </c>
      <c r="AA62" s="35">
        <v>0</v>
      </c>
      <c r="AB62" s="260"/>
      <c r="AC62" s="41"/>
      <c r="AD62" s="42"/>
      <c r="AE62" s="41"/>
      <c r="AF62" s="43"/>
      <c r="AG62" s="40">
        <v>18000</v>
      </c>
      <c r="AH62" s="40"/>
      <c r="AI62" s="44"/>
      <c r="AJ62" s="44"/>
      <c r="AK62" s="40">
        <v>0</v>
      </c>
      <c r="AL62" s="40">
        <v>0</v>
      </c>
      <c r="AM62" s="242">
        <f t="shared" si="1"/>
        <v>44834</v>
      </c>
      <c r="AN62" s="242" t="str">
        <f>IF(AQ62="x","",IF(AQ62="x",AM62,IF(EOMONTH(I62,0)=31,"",EOMONTH(I62,0))))</f>
        <v/>
      </c>
      <c r="AO62" s="79">
        <f>IFERROR(IF(VLOOKUP(C62,C63:C666,1,0)=0,1,0),1)</f>
        <v>1</v>
      </c>
      <c r="AP62" s="79"/>
      <c r="AQ62" s="243" t="str">
        <f t="shared" si="7"/>
        <v/>
      </c>
      <c r="AR62" s="242" t="b">
        <f>IF(AQ62="x",EOMONTH(I62,0))</f>
        <v>0</v>
      </c>
      <c r="AS62" s="79">
        <f t="shared" si="8"/>
        <v>1</v>
      </c>
      <c r="AT62" s="79">
        <f t="shared" si="9"/>
        <v>1</v>
      </c>
      <c r="AU62" s="79" t="str">
        <f t="shared" si="10"/>
        <v>A</v>
      </c>
      <c r="AV62" s="79">
        <f t="shared" si="11"/>
        <v>1</v>
      </c>
      <c r="AW62" s="79" t="str">
        <f>J62&amp;AU62</f>
        <v>13A</v>
      </c>
      <c r="AX62" s="79">
        <f>IF(COUNTIFS(J:J,"Integral",E:E,E62,H:H,"Ativo")=4,1/4,1/10)</f>
        <v>0.1</v>
      </c>
      <c r="AY62" s="79"/>
      <c r="AZ62" s="79"/>
    </row>
    <row r="63" spans="1:52" ht="15.75" customHeight="1">
      <c r="A63" s="31">
        <v>66</v>
      </c>
      <c r="B63" s="399">
        <v>44828</v>
      </c>
      <c r="C63" s="32" t="s">
        <v>410</v>
      </c>
      <c r="D63" s="32" t="s">
        <v>411</v>
      </c>
      <c r="E63" s="32" t="s">
        <v>316</v>
      </c>
      <c r="F63" s="32" t="s">
        <v>412</v>
      </c>
      <c r="G63" s="33" t="s">
        <v>220</v>
      </c>
      <c r="H63" s="33" t="s">
        <v>90</v>
      </c>
      <c r="I63" s="34">
        <v>0</v>
      </c>
      <c r="J63" s="33">
        <v>6</v>
      </c>
      <c r="K63" s="35" t="s">
        <v>413</v>
      </c>
      <c r="L63" s="35" t="s">
        <v>413</v>
      </c>
      <c r="M63" s="67" t="s">
        <v>222</v>
      </c>
      <c r="N63" s="33" t="s">
        <v>68</v>
      </c>
      <c r="O63" s="33" t="s">
        <v>11</v>
      </c>
      <c r="P63" s="33" t="s">
        <v>1</v>
      </c>
      <c r="Q63" s="47"/>
      <c r="R63" s="47"/>
      <c r="S63" s="45" t="s">
        <v>143</v>
      </c>
      <c r="T63" s="45"/>
      <c r="U63" s="46">
        <v>44828</v>
      </c>
      <c r="V63" s="38">
        <f t="shared" si="0"/>
        <v>44828</v>
      </c>
      <c r="W63" s="50">
        <f>V63-U63</f>
        <v>0</v>
      </c>
      <c r="X63" s="261">
        <v>360000</v>
      </c>
      <c r="Y63" s="260">
        <v>360000</v>
      </c>
      <c r="Z63" s="260">
        <v>334069.2</v>
      </c>
      <c r="AA63" s="35">
        <v>0</v>
      </c>
      <c r="AB63" s="260"/>
      <c r="AC63" s="41"/>
      <c r="AD63" s="42"/>
      <c r="AE63" s="41"/>
      <c r="AF63" s="43"/>
      <c r="AG63" s="40">
        <v>0</v>
      </c>
      <c r="AH63" s="40">
        <v>25930.799999999988</v>
      </c>
      <c r="AI63" s="44">
        <v>7.2029999999999969E-2</v>
      </c>
      <c r="AJ63" s="44">
        <v>7.2029999999999969E-2</v>
      </c>
      <c r="AK63" s="40">
        <v>0</v>
      </c>
      <c r="AL63" s="40">
        <v>25930.799999999988</v>
      </c>
      <c r="AM63" s="242">
        <f t="shared" si="1"/>
        <v>44834</v>
      </c>
      <c r="AN63" s="242" t="str">
        <f>IF(AQ63="x","",IF(AQ63="x",AM63,IF(EOMONTH(I63,0)=31,"",EOMONTH(I63,0))))</f>
        <v/>
      </c>
      <c r="AO63" s="79">
        <f>IFERROR(IF(VLOOKUP(C63,C64:C667,1,0)=0,1,0),1)</f>
        <v>1</v>
      </c>
      <c r="AP63" s="79"/>
      <c r="AQ63" s="243" t="str">
        <f t="shared" si="7"/>
        <v/>
      </c>
      <c r="AR63" s="242" t="b">
        <f>IF(AQ63="x",EOMONTH(I63,0))</f>
        <v>0</v>
      </c>
      <c r="AS63" s="79">
        <f t="shared" si="8"/>
        <v>1</v>
      </c>
      <c r="AT63" s="79">
        <f t="shared" si="9"/>
        <v>1</v>
      </c>
      <c r="AU63" s="79" t="str">
        <f t="shared" si="10"/>
        <v>B</v>
      </c>
      <c r="AV63" s="79">
        <f t="shared" si="11"/>
        <v>1</v>
      </c>
      <c r="AW63" s="79" t="str">
        <f>J63&amp;AU63</f>
        <v>6B</v>
      </c>
      <c r="AX63" s="79">
        <f>IF(COUNTIFS(J:J,"Integral",E:E,E63,H:H,"Ativo")=4,1/4,1/10)</f>
        <v>0.1</v>
      </c>
      <c r="AY63" s="79"/>
      <c r="AZ63" s="79"/>
    </row>
    <row r="64" spans="1:52" ht="15.75" customHeight="1">
      <c r="A64" s="31">
        <v>67</v>
      </c>
      <c r="B64" s="399">
        <v>44830</v>
      </c>
      <c r="C64" s="32" t="s">
        <v>414</v>
      </c>
      <c r="D64" s="32" t="s">
        <v>415</v>
      </c>
      <c r="E64" s="32" t="s">
        <v>385</v>
      </c>
      <c r="F64" s="32" t="s">
        <v>416</v>
      </c>
      <c r="G64" s="33" t="s">
        <v>220</v>
      </c>
      <c r="H64" s="33" t="s">
        <v>90</v>
      </c>
      <c r="I64" s="34">
        <v>0</v>
      </c>
      <c r="J64" s="33">
        <v>6</v>
      </c>
      <c r="K64" s="35" t="s">
        <v>333</v>
      </c>
      <c r="L64" s="35" t="s">
        <v>333</v>
      </c>
      <c r="M64" s="67" t="s">
        <v>222</v>
      </c>
      <c r="N64" s="33" t="s">
        <v>68</v>
      </c>
      <c r="O64" s="33" t="s">
        <v>12</v>
      </c>
      <c r="P64" s="33" t="s">
        <v>1</v>
      </c>
      <c r="Q64" s="47"/>
      <c r="R64" s="47"/>
      <c r="S64" s="45" t="s">
        <v>145</v>
      </c>
      <c r="T64" s="45"/>
      <c r="U64" s="51">
        <v>44830</v>
      </c>
      <c r="V64" s="48">
        <f t="shared" si="0"/>
        <v>44830</v>
      </c>
      <c r="W64" s="50">
        <f>V64-U64</f>
        <v>0</v>
      </c>
      <c r="X64" s="261">
        <v>327000</v>
      </c>
      <c r="Y64" s="260">
        <v>327000</v>
      </c>
      <c r="Z64" s="260">
        <v>338079.1</v>
      </c>
      <c r="AA64" s="35">
        <v>0</v>
      </c>
      <c r="AB64" s="260"/>
      <c r="AC64" s="41"/>
      <c r="AD64" s="42"/>
      <c r="AE64" s="41"/>
      <c r="AF64" s="43"/>
      <c r="AG64" s="40">
        <v>11079.099999999977</v>
      </c>
      <c r="AH64" s="40">
        <v>0</v>
      </c>
      <c r="AI64" s="44"/>
      <c r="AJ64" s="44"/>
      <c r="AK64" s="40">
        <v>0</v>
      </c>
      <c r="AL64" s="40">
        <v>0</v>
      </c>
      <c r="AM64" s="242">
        <f t="shared" si="1"/>
        <v>44834</v>
      </c>
      <c r="AN64" s="242" t="str">
        <f>IF(AQ64="x","",IF(AQ64="x",AM64,IF(EOMONTH(I64,0)=31,"",EOMONTH(I64,0))))</f>
        <v/>
      </c>
      <c r="AO64" s="79">
        <f>IFERROR(IF(VLOOKUP(C64,C65:C668,1,0)=0,1,0),1)</f>
        <v>1</v>
      </c>
      <c r="AP64" s="79"/>
      <c r="AQ64" s="243" t="str">
        <f t="shared" si="7"/>
        <v/>
      </c>
      <c r="AR64" s="242" t="b">
        <f>IF(AQ64="x",EOMONTH(I64,0))</f>
        <v>0</v>
      </c>
      <c r="AS64" s="79">
        <f t="shared" si="8"/>
        <v>1</v>
      </c>
      <c r="AT64" s="79">
        <f t="shared" si="9"/>
        <v>1</v>
      </c>
      <c r="AU64" s="79" t="str">
        <f t="shared" si="10"/>
        <v>B</v>
      </c>
      <c r="AV64" s="79">
        <f t="shared" si="11"/>
        <v>1</v>
      </c>
      <c r="AW64" s="79" t="str">
        <f>J64&amp;AU64</f>
        <v>6B</v>
      </c>
      <c r="AX64" s="79">
        <f>IF(COUNTIFS(J:J,"Integral",E:E,E64,H:H,"Ativo")=4,1/4,1/10)</f>
        <v>0.1</v>
      </c>
      <c r="AY64" s="79"/>
      <c r="AZ64" s="79"/>
    </row>
    <row r="65" spans="1:52" ht="15.75" customHeight="1">
      <c r="A65" s="31">
        <v>68</v>
      </c>
      <c r="B65" s="399">
        <v>44831</v>
      </c>
      <c r="C65" s="32" t="s">
        <v>417</v>
      </c>
      <c r="D65" s="32" t="s">
        <v>418</v>
      </c>
      <c r="E65" s="32" t="s">
        <v>419</v>
      </c>
      <c r="F65" s="32" t="s">
        <v>420</v>
      </c>
      <c r="G65" s="33" t="s">
        <v>220</v>
      </c>
      <c r="H65" s="33" t="s">
        <v>90</v>
      </c>
      <c r="I65" s="34">
        <v>0</v>
      </c>
      <c r="J65" s="33">
        <v>6</v>
      </c>
      <c r="K65" s="35" t="s">
        <v>245</v>
      </c>
      <c r="L65" s="35" t="s">
        <v>421</v>
      </c>
      <c r="M65" s="67" t="s">
        <v>222</v>
      </c>
      <c r="N65" s="33" t="s">
        <v>68</v>
      </c>
      <c r="O65" s="33" t="s">
        <v>11</v>
      </c>
      <c r="P65" s="33" t="s">
        <v>1</v>
      </c>
      <c r="Q65" s="47"/>
      <c r="R65" s="47"/>
      <c r="S65" s="45" t="s">
        <v>145</v>
      </c>
      <c r="T65" s="45"/>
      <c r="U65" s="51">
        <v>44828</v>
      </c>
      <c r="V65" s="48">
        <f t="shared" si="0"/>
        <v>44831</v>
      </c>
      <c r="W65" s="50">
        <f>V65-U65</f>
        <v>3</v>
      </c>
      <c r="X65" s="261">
        <v>354000</v>
      </c>
      <c r="Y65" s="260">
        <v>354000</v>
      </c>
      <c r="Z65" s="260">
        <v>356000</v>
      </c>
      <c r="AA65" s="35">
        <v>0</v>
      </c>
      <c r="AB65" s="260"/>
      <c r="AC65" s="41"/>
      <c r="AD65" s="42"/>
      <c r="AE65" s="41"/>
      <c r="AF65" s="43"/>
      <c r="AG65" s="40">
        <v>2000</v>
      </c>
      <c r="AH65" s="40">
        <v>0</v>
      </c>
      <c r="AI65" s="44"/>
      <c r="AJ65" s="44"/>
      <c r="AK65" s="40">
        <v>0</v>
      </c>
      <c r="AL65" s="40">
        <v>0</v>
      </c>
      <c r="AM65" s="242">
        <f t="shared" si="1"/>
        <v>44834</v>
      </c>
      <c r="AN65" s="242" t="str">
        <f>IF(AQ65="x","",IF(AQ65="x",AM65,IF(EOMONTH(I65,0)=31,"",EOMONTH(I65,0))))</f>
        <v/>
      </c>
      <c r="AO65" s="79">
        <f>IFERROR(IF(VLOOKUP(C65,C66:C669,1,0)=0,1,0),1)</f>
        <v>1</v>
      </c>
      <c r="AP65" s="79"/>
      <c r="AQ65" s="243" t="str">
        <f t="shared" si="7"/>
        <v/>
      </c>
      <c r="AR65" s="242" t="b">
        <f>IF(AQ65="x",EOMONTH(I65,0))</f>
        <v>0</v>
      </c>
      <c r="AS65" s="79">
        <f t="shared" si="8"/>
        <v>1</v>
      </c>
      <c r="AT65" s="79">
        <f t="shared" si="9"/>
        <v>1</v>
      </c>
      <c r="AU65" s="79" t="str">
        <f t="shared" si="10"/>
        <v>B</v>
      </c>
      <c r="AV65" s="79">
        <f t="shared" si="11"/>
        <v>1</v>
      </c>
      <c r="AW65" s="79" t="str">
        <f>J65&amp;AU65</f>
        <v>6B</v>
      </c>
      <c r="AX65" s="79">
        <f>IF(COUNTIFS(J:J,"Integral",E:E,E65,H:H,"Ativo")=4,1/4,1/10)</f>
        <v>0.1</v>
      </c>
      <c r="AY65" s="79"/>
      <c r="AZ65" s="79"/>
    </row>
    <row r="66" spans="1:52" ht="15.75" customHeight="1">
      <c r="A66" s="31">
        <v>69</v>
      </c>
      <c r="B66" s="399">
        <v>44834</v>
      </c>
      <c r="C66" s="32" t="s">
        <v>422</v>
      </c>
      <c r="D66" s="32" t="s">
        <v>423</v>
      </c>
      <c r="E66" s="32" t="s">
        <v>385</v>
      </c>
      <c r="F66" s="32" t="s">
        <v>424</v>
      </c>
      <c r="G66" s="33" t="s">
        <v>220</v>
      </c>
      <c r="H66" s="33" t="s">
        <v>90</v>
      </c>
      <c r="I66" s="34">
        <v>0</v>
      </c>
      <c r="J66" s="33">
        <v>6</v>
      </c>
      <c r="K66" s="35" t="s">
        <v>425</v>
      </c>
      <c r="L66" s="35" t="s">
        <v>425</v>
      </c>
      <c r="M66" s="67" t="s">
        <v>222</v>
      </c>
      <c r="N66" s="33" t="s">
        <v>68</v>
      </c>
      <c r="O66" s="33" t="s">
        <v>12</v>
      </c>
      <c r="P66" s="33" t="s">
        <v>1</v>
      </c>
      <c r="Q66" s="47"/>
      <c r="R66" s="47"/>
      <c r="S66" s="45" t="s">
        <v>149</v>
      </c>
      <c r="T66" s="45"/>
      <c r="U66" s="51">
        <v>44834</v>
      </c>
      <c r="V66" s="48">
        <f t="shared" ref="V66:V129" si="12">B66</f>
        <v>44834</v>
      </c>
      <c r="W66" s="50">
        <f>V66-U66</f>
        <v>0</v>
      </c>
      <c r="X66" s="261">
        <v>327000</v>
      </c>
      <c r="Y66" s="260">
        <v>327000</v>
      </c>
      <c r="Z66" s="260">
        <v>329000</v>
      </c>
      <c r="AA66" s="35">
        <v>0</v>
      </c>
      <c r="AB66" s="260"/>
      <c r="AC66" s="41"/>
      <c r="AD66" s="42"/>
      <c r="AE66" s="41"/>
      <c r="AF66" s="43"/>
      <c r="AG66" s="40">
        <v>2000</v>
      </c>
      <c r="AH66" s="40"/>
      <c r="AI66" s="44"/>
      <c r="AJ66" s="44"/>
      <c r="AK66" s="40">
        <v>0</v>
      </c>
      <c r="AL66" s="40">
        <v>0</v>
      </c>
      <c r="AM66" s="242">
        <f t="shared" ref="AM66:AM129" si="13">IFERROR(EOMONTH(B66,0),"Pendente")</f>
        <v>44834</v>
      </c>
      <c r="AN66" s="242" t="str">
        <f>IF(AQ66="x","",IF(AQ66="x",AM66,IF(EOMONTH(I66,0)=31,"",EOMONTH(I66,0))))</f>
        <v/>
      </c>
      <c r="AO66" s="79">
        <f>IFERROR(IF(VLOOKUP(C66,C67:C670,1,0)=0,1,0),1)</f>
        <v>1</v>
      </c>
      <c r="AP66" s="79"/>
      <c r="AQ66" s="243" t="str">
        <f t="shared" si="7"/>
        <v/>
      </c>
      <c r="AR66" s="242" t="b">
        <f>IF(AQ66="x",EOMONTH(I66,0))</f>
        <v>0</v>
      </c>
      <c r="AS66" s="79">
        <f t="shared" si="8"/>
        <v>1</v>
      </c>
      <c r="AT66" s="79">
        <f t="shared" si="9"/>
        <v>1</v>
      </c>
      <c r="AU66" s="79" t="str">
        <f t="shared" si="10"/>
        <v>B</v>
      </c>
      <c r="AV66" s="79">
        <f t="shared" si="11"/>
        <v>1</v>
      </c>
      <c r="AW66" s="79" t="str">
        <f>J66&amp;AU66</f>
        <v>6B</v>
      </c>
      <c r="AX66" s="79">
        <f>IF(COUNTIFS(J:J,"Integral",E:E,E66,H:H,"Ativo")=4,1/4,1/10)</f>
        <v>0.1</v>
      </c>
      <c r="AY66" s="79"/>
      <c r="AZ66" s="79"/>
    </row>
    <row r="67" spans="1:52" ht="15.75" customHeight="1">
      <c r="A67" s="31">
        <v>70</v>
      </c>
      <c r="B67" s="399">
        <v>44835</v>
      </c>
      <c r="C67" s="32" t="s">
        <v>426</v>
      </c>
      <c r="D67" s="32" t="s">
        <v>427</v>
      </c>
      <c r="E67" s="32" t="s">
        <v>316</v>
      </c>
      <c r="F67" s="32" t="s">
        <v>428</v>
      </c>
      <c r="G67" s="33" t="s">
        <v>220</v>
      </c>
      <c r="H67" s="33" t="s">
        <v>90</v>
      </c>
      <c r="I67" s="34">
        <v>0</v>
      </c>
      <c r="J67" s="33">
        <v>6</v>
      </c>
      <c r="K67" s="35" t="s">
        <v>333</v>
      </c>
      <c r="L67" s="35" t="s">
        <v>333</v>
      </c>
      <c r="M67" s="67" t="s">
        <v>222</v>
      </c>
      <c r="N67" s="33" t="s">
        <v>68</v>
      </c>
      <c r="O67" s="33" t="s">
        <v>12</v>
      </c>
      <c r="P67" s="33" t="s">
        <v>1</v>
      </c>
      <c r="Q67" s="47"/>
      <c r="R67" s="47"/>
      <c r="S67" s="45" t="s">
        <v>143</v>
      </c>
      <c r="T67" s="45"/>
      <c r="U67" s="51">
        <v>44835</v>
      </c>
      <c r="V67" s="48">
        <f t="shared" si="12"/>
        <v>44835</v>
      </c>
      <c r="W67" s="50">
        <f>V67-U67</f>
        <v>0</v>
      </c>
      <c r="X67" s="261">
        <v>360000</v>
      </c>
      <c r="Y67" s="260">
        <v>360000</v>
      </c>
      <c r="Z67" s="260">
        <v>362039</v>
      </c>
      <c r="AA67" s="35">
        <v>0</v>
      </c>
      <c r="AB67" s="260"/>
      <c r="AC67" s="41"/>
      <c r="AD67" s="42"/>
      <c r="AE67" s="41"/>
      <c r="AF67" s="43"/>
      <c r="AG67" s="40">
        <v>2039</v>
      </c>
      <c r="AH67" s="40">
        <v>0</v>
      </c>
      <c r="AI67" s="44"/>
      <c r="AJ67" s="44"/>
      <c r="AK67" s="40">
        <v>0</v>
      </c>
      <c r="AL67" s="40">
        <v>0</v>
      </c>
      <c r="AM67" s="242">
        <f t="shared" si="13"/>
        <v>44865</v>
      </c>
      <c r="AN67" s="242" t="str">
        <f>IF(AQ67="x","",IF(AQ67="x",AM67,IF(EOMONTH(I67,0)=31,"",EOMONTH(I67,0))))</f>
        <v/>
      </c>
      <c r="AO67" s="79">
        <f>IFERROR(IF(VLOOKUP(C67,C68:C671,1,0)=0,1,0),1)</f>
        <v>1</v>
      </c>
      <c r="AP67" s="79"/>
      <c r="AQ67" s="243" t="str">
        <f t="shared" si="7"/>
        <v/>
      </c>
      <c r="AR67" s="242" t="b">
        <f>IF(AQ67="x",EOMONTH(I67,0))</f>
        <v>0</v>
      </c>
      <c r="AS67" s="79">
        <f t="shared" si="8"/>
        <v>1</v>
      </c>
      <c r="AT67" s="79">
        <f t="shared" si="9"/>
        <v>1</v>
      </c>
      <c r="AU67" s="79" t="str">
        <f t="shared" si="10"/>
        <v>B</v>
      </c>
      <c r="AV67" s="79">
        <f t="shared" si="11"/>
        <v>1</v>
      </c>
      <c r="AW67" s="79" t="str">
        <f>J67&amp;AU67</f>
        <v>6B</v>
      </c>
      <c r="AX67" s="79">
        <f>IF(COUNTIFS(J:J,"Integral",E:E,E67,H:H,"Ativo")=4,1/4,1/10)</f>
        <v>0.1</v>
      </c>
      <c r="AY67" s="79"/>
      <c r="AZ67" s="79"/>
    </row>
    <row r="68" spans="1:52" ht="15.75" customHeight="1">
      <c r="A68" s="31">
        <v>71</v>
      </c>
      <c r="B68" s="399">
        <v>44836</v>
      </c>
      <c r="C68" s="32" t="s">
        <v>429</v>
      </c>
      <c r="D68" s="32" t="s">
        <v>430</v>
      </c>
      <c r="E68" s="32" t="s">
        <v>431</v>
      </c>
      <c r="F68" s="32" t="s">
        <v>432</v>
      </c>
      <c r="G68" s="33" t="s">
        <v>220</v>
      </c>
      <c r="H68" s="33" t="s">
        <v>90</v>
      </c>
      <c r="I68" s="34">
        <v>0</v>
      </c>
      <c r="J68" s="33">
        <v>4</v>
      </c>
      <c r="K68" s="35" t="s">
        <v>273</v>
      </c>
      <c r="L68" s="35" t="s">
        <v>246</v>
      </c>
      <c r="M68" s="67" t="s">
        <v>222</v>
      </c>
      <c r="N68" s="33" t="s">
        <v>68</v>
      </c>
      <c r="O68" s="33" t="s">
        <v>12</v>
      </c>
      <c r="P68" s="33" t="s">
        <v>1</v>
      </c>
      <c r="Q68" s="47"/>
      <c r="R68" s="47"/>
      <c r="S68" s="45" t="s">
        <v>147</v>
      </c>
      <c r="T68" s="45"/>
      <c r="U68" s="51">
        <v>44833</v>
      </c>
      <c r="V68" s="48">
        <f t="shared" si="12"/>
        <v>44836</v>
      </c>
      <c r="W68" s="50">
        <f>V68-U68</f>
        <v>3</v>
      </c>
      <c r="X68" s="261">
        <v>265000</v>
      </c>
      <c r="Y68" s="260">
        <v>265000</v>
      </c>
      <c r="Z68" s="260">
        <v>266000</v>
      </c>
      <c r="AA68" s="35">
        <v>0</v>
      </c>
      <c r="AB68" s="260"/>
      <c r="AC68" s="41"/>
      <c r="AD68" s="42"/>
      <c r="AE68" s="41"/>
      <c r="AF68" s="43"/>
      <c r="AG68" s="40">
        <v>1000</v>
      </c>
      <c r="AH68" s="40"/>
      <c r="AI68" s="44"/>
      <c r="AJ68" s="44"/>
      <c r="AK68" s="40">
        <v>0</v>
      </c>
      <c r="AL68" s="40">
        <v>0</v>
      </c>
      <c r="AM68" s="242">
        <f t="shared" si="13"/>
        <v>44865</v>
      </c>
      <c r="AN68" s="242" t="str">
        <f>IF(AQ68="x","",IF(AQ68="x",AM68,IF(EOMONTH(I68,0)=31,"",EOMONTH(I68,0))))</f>
        <v/>
      </c>
      <c r="AO68" s="79">
        <f>IFERROR(IF(VLOOKUP(C68,C69:C672,1,0)=0,1,0),1)</f>
        <v>0</v>
      </c>
      <c r="AP68" s="79"/>
      <c r="AQ68" s="243" t="str">
        <f t="shared" si="7"/>
        <v/>
      </c>
      <c r="AR68" s="242" t="b">
        <f>IF(AQ68="x",EOMONTH(I68,0))</f>
        <v>0</v>
      </c>
      <c r="AS68" s="79">
        <f t="shared" si="8"/>
        <v>1</v>
      </c>
      <c r="AT68" s="79">
        <f t="shared" si="9"/>
        <v>1</v>
      </c>
      <c r="AU68" s="79" t="str">
        <f t="shared" si="10"/>
        <v>B</v>
      </c>
      <c r="AV68" s="79">
        <f t="shared" ref="AV68:AV99" si="14">IF(AG68&lt;0,0,1)</f>
        <v>1</v>
      </c>
      <c r="AW68" s="79" t="str">
        <f>J68&amp;AU68</f>
        <v>4B</v>
      </c>
      <c r="AX68" s="79">
        <f>IF(COUNTIFS(J:J,"Integral",E:E,E68,H:H,"Ativo")=4,1/4,1/10)</f>
        <v>0.1</v>
      </c>
      <c r="AY68" s="79"/>
      <c r="AZ68" s="79"/>
    </row>
    <row r="69" spans="1:52" ht="15.75" customHeight="1">
      <c r="A69" s="31">
        <v>72</v>
      </c>
      <c r="B69" s="399">
        <v>44836</v>
      </c>
      <c r="C69" s="32" t="s">
        <v>429</v>
      </c>
      <c r="D69" s="32" t="s">
        <v>433</v>
      </c>
      <c r="E69" s="32" t="s">
        <v>431</v>
      </c>
      <c r="F69" s="32" t="s">
        <v>434</v>
      </c>
      <c r="G69" s="33" t="s">
        <v>220</v>
      </c>
      <c r="H69" s="33" t="s">
        <v>90</v>
      </c>
      <c r="I69" s="34">
        <v>0</v>
      </c>
      <c r="J69" s="33">
        <v>4</v>
      </c>
      <c r="K69" s="35" t="s">
        <v>273</v>
      </c>
      <c r="L69" s="35" t="s">
        <v>246</v>
      </c>
      <c r="M69" s="67" t="s">
        <v>222</v>
      </c>
      <c r="N69" s="33" t="s">
        <v>68</v>
      </c>
      <c r="O69" s="33" t="s">
        <v>12</v>
      </c>
      <c r="P69" s="33" t="s">
        <v>1</v>
      </c>
      <c r="Q69" s="47"/>
      <c r="R69" s="47"/>
      <c r="S69" s="45" t="s">
        <v>147</v>
      </c>
      <c r="T69" s="45"/>
      <c r="U69" s="51">
        <v>44833</v>
      </c>
      <c r="V69" s="48">
        <f t="shared" si="12"/>
        <v>44836</v>
      </c>
      <c r="W69" s="50">
        <f>V69-U69</f>
        <v>3</v>
      </c>
      <c r="X69" s="261">
        <v>265000</v>
      </c>
      <c r="Y69" s="260">
        <v>265000</v>
      </c>
      <c r="Z69" s="260">
        <v>266000</v>
      </c>
      <c r="AA69" s="35">
        <v>0</v>
      </c>
      <c r="AB69" s="260"/>
      <c r="AC69" s="41"/>
      <c r="AD69" s="42"/>
      <c r="AE69" s="41"/>
      <c r="AF69" s="43"/>
      <c r="AG69" s="40">
        <v>1000</v>
      </c>
      <c r="AH69" s="40"/>
      <c r="AI69" s="44"/>
      <c r="AJ69" s="44"/>
      <c r="AK69" s="40">
        <v>0</v>
      </c>
      <c r="AL69" s="40">
        <v>0</v>
      </c>
      <c r="AM69" s="242">
        <f t="shared" si="13"/>
        <v>44865</v>
      </c>
      <c r="AN69" s="242" t="str">
        <f>IF(AQ69="x","",IF(AQ69="x",AM69,IF(EOMONTH(I69,0)=31,"",EOMONTH(I69,0))))</f>
        <v/>
      </c>
      <c r="AO69" s="79">
        <f>IFERROR(IF(VLOOKUP(C69,C70:C673,1,0)=0,1,0),1)</f>
        <v>1</v>
      </c>
      <c r="AP69" s="79"/>
      <c r="AQ69" s="243" t="str">
        <f t="shared" si="7"/>
        <v/>
      </c>
      <c r="AR69" s="242" t="b">
        <f>IF(AQ69="x",EOMONTH(I69,0))</f>
        <v>0</v>
      </c>
      <c r="AS69" s="79">
        <f t="shared" si="8"/>
        <v>1</v>
      </c>
      <c r="AT69" s="79">
        <f t="shared" si="9"/>
        <v>1</v>
      </c>
      <c r="AU69" s="79" t="str">
        <f t="shared" si="10"/>
        <v>B</v>
      </c>
      <c r="AV69" s="79">
        <f t="shared" si="14"/>
        <v>1</v>
      </c>
      <c r="AW69" s="79" t="str">
        <f>J69&amp;AU69</f>
        <v>4B</v>
      </c>
      <c r="AX69" s="79">
        <f>IF(COUNTIFS(J:J,"Integral",E:E,E69,H:H,"Ativo")=4,1/4,1/10)</f>
        <v>0.1</v>
      </c>
      <c r="AY69" s="79"/>
      <c r="AZ69" s="79"/>
    </row>
    <row r="70" spans="1:52" ht="15.75" customHeight="1">
      <c r="A70" s="31">
        <v>73</v>
      </c>
      <c r="B70" s="399">
        <v>44838</v>
      </c>
      <c r="C70" s="32" t="s">
        <v>435</v>
      </c>
      <c r="D70" s="32" t="s">
        <v>436</v>
      </c>
      <c r="E70" s="32" t="s">
        <v>419</v>
      </c>
      <c r="F70" s="32" t="s">
        <v>437</v>
      </c>
      <c r="G70" s="33" t="s">
        <v>220</v>
      </c>
      <c r="H70" s="33" t="s">
        <v>90</v>
      </c>
      <c r="I70" s="34">
        <v>0</v>
      </c>
      <c r="J70" s="33">
        <v>4</v>
      </c>
      <c r="K70" s="35" t="s">
        <v>394</v>
      </c>
      <c r="L70" s="35" t="s">
        <v>261</v>
      </c>
      <c r="M70" s="67" t="s">
        <v>222</v>
      </c>
      <c r="N70" s="33" t="s">
        <v>68</v>
      </c>
      <c r="O70" s="33" t="s">
        <v>11</v>
      </c>
      <c r="P70" s="33" t="s">
        <v>2</v>
      </c>
      <c r="Q70" s="47"/>
      <c r="R70" s="47"/>
      <c r="S70" s="45" t="s">
        <v>143</v>
      </c>
      <c r="T70" s="45"/>
      <c r="U70" s="51">
        <v>44835</v>
      </c>
      <c r="V70" s="48">
        <f t="shared" si="12"/>
        <v>44838</v>
      </c>
      <c r="W70" s="50">
        <f>V70-U70</f>
        <v>3</v>
      </c>
      <c r="X70" s="261">
        <v>234000</v>
      </c>
      <c r="Y70" s="260">
        <v>234000</v>
      </c>
      <c r="Z70" s="260">
        <v>247500</v>
      </c>
      <c r="AA70" s="35">
        <v>0</v>
      </c>
      <c r="AB70" s="260"/>
      <c r="AC70" s="41"/>
      <c r="AD70" s="42"/>
      <c r="AE70" s="41"/>
      <c r="AF70" s="43"/>
      <c r="AG70" s="40">
        <v>13500</v>
      </c>
      <c r="AH70" s="40">
        <v>0</v>
      </c>
      <c r="AI70" s="44"/>
      <c r="AJ70" s="44"/>
      <c r="AK70" s="40">
        <v>0</v>
      </c>
      <c r="AL70" s="40">
        <v>0</v>
      </c>
      <c r="AM70" s="242">
        <f t="shared" si="13"/>
        <v>44865</v>
      </c>
      <c r="AN70" s="242" t="str">
        <f>IF(AQ70="x","",IF(AQ70="x",AM70,IF(EOMONTH(I70,0)=31,"",EOMONTH(I70,0))))</f>
        <v/>
      </c>
      <c r="AO70" s="79">
        <f>IFERROR(IF(VLOOKUP(C70,C71:C674,1,0)=0,1,0),1)</f>
        <v>0</v>
      </c>
      <c r="AP70" s="79"/>
      <c r="AQ70" s="243" t="str">
        <f t="shared" si="7"/>
        <v/>
      </c>
      <c r="AR70" s="242" t="b">
        <f>IF(AQ70="x",EOMONTH(I70,0))</f>
        <v>0</v>
      </c>
      <c r="AS70" s="79">
        <f t="shared" si="8"/>
        <v>1</v>
      </c>
      <c r="AT70" s="79">
        <f t="shared" si="9"/>
        <v>1</v>
      </c>
      <c r="AU70" s="79" t="str">
        <f t="shared" si="10"/>
        <v>B</v>
      </c>
      <c r="AV70" s="79">
        <f t="shared" si="14"/>
        <v>1</v>
      </c>
      <c r="AW70" s="79" t="str">
        <f>J70&amp;AU70</f>
        <v>4B</v>
      </c>
      <c r="AX70" s="79">
        <f>IF(COUNTIFS(J:J,"Integral",E:E,E70,H:H,"Ativo")=4,1/4,1/10)</f>
        <v>0.1</v>
      </c>
      <c r="AY70" s="79"/>
      <c r="AZ70" s="79"/>
    </row>
    <row r="71" spans="1:52" ht="15.75" customHeight="1">
      <c r="A71" s="31">
        <v>74</v>
      </c>
      <c r="B71" s="399">
        <v>44838</v>
      </c>
      <c r="C71" s="32" t="s">
        <v>435</v>
      </c>
      <c r="D71" s="32" t="s">
        <v>438</v>
      </c>
      <c r="E71" s="32" t="s">
        <v>419</v>
      </c>
      <c r="F71" s="32" t="s">
        <v>439</v>
      </c>
      <c r="G71" s="33" t="s">
        <v>220</v>
      </c>
      <c r="H71" s="33" t="s">
        <v>90</v>
      </c>
      <c r="I71" s="34">
        <v>0</v>
      </c>
      <c r="J71" s="33">
        <v>4</v>
      </c>
      <c r="K71" s="35" t="s">
        <v>394</v>
      </c>
      <c r="L71" s="35" t="s">
        <v>261</v>
      </c>
      <c r="M71" s="67" t="s">
        <v>222</v>
      </c>
      <c r="N71" s="33" t="s">
        <v>68</v>
      </c>
      <c r="O71" s="33" t="s">
        <v>11</v>
      </c>
      <c r="P71" s="33" t="s">
        <v>2</v>
      </c>
      <c r="Q71" s="47"/>
      <c r="R71" s="47"/>
      <c r="S71" s="45" t="s">
        <v>143</v>
      </c>
      <c r="T71" s="45"/>
      <c r="U71" s="51">
        <v>44835</v>
      </c>
      <c r="V71" s="48">
        <f t="shared" si="12"/>
        <v>44838</v>
      </c>
      <c r="W71" s="50">
        <f>V71-U71</f>
        <v>3</v>
      </c>
      <c r="X71" s="261">
        <v>234000</v>
      </c>
      <c r="Y71" s="260">
        <v>234000</v>
      </c>
      <c r="Z71" s="260">
        <v>247500</v>
      </c>
      <c r="AA71" s="35">
        <v>0</v>
      </c>
      <c r="AB71" s="260"/>
      <c r="AC71" s="41"/>
      <c r="AD71" s="42"/>
      <c r="AE71" s="41"/>
      <c r="AF71" s="43"/>
      <c r="AG71" s="40">
        <v>13500</v>
      </c>
      <c r="AH71" s="40">
        <v>0</v>
      </c>
      <c r="AI71" s="44"/>
      <c r="AJ71" s="44"/>
      <c r="AK71" s="40">
        <v>0</v>
      </c>
      <c r="AL71" s="40">
        <v>0</v>
      </c>
      <c r="AM71" s="242">
        <f t="shared" si="13"/>
        <v>44865</v>
      </c>
      <c r="AN71" s="242" t="str">
        <f>IF(AQ71="x","",IF(AQ71="x",AM71,IF(EOMONTH(I71,0)=31,"",EOMONTH(I71,0))))</f>
        <v/>
      </c>
      <c r="AO71" s="79">
        <f>IFERROR(IF(VLOOKUP(C71,C72:C675,1,0)=0,1,0),1)</f>
        <v>1</v>
      </c>
      <c r="AP71" s="79"/>
      <c r="AQ71" s="243" t="str">
        <f t="shared" si="7"/>
        <v/>
      </c>
      <c r="AR71" s="242" t="b">
        <f>IF(AQ71="x",EOMONTH(I71,0))</f>
        <v>0</v>
      </c>
      <c r="AS71" s="79">
        <f t="shared" si="8"/>
        <v>1</v>
      </c>
      <c r="AT71" s="79">
        <f t="shared" si="9"/>
        <v>1</v>
      </c>
      <c r="AU71" s="79" t="str">
        <f t="shared" si="10"/>
        <v>B</v>
      </c>
      <c r="AV71" s="79">
        <f t="shared" si="14"/>
        <v>1</v>
      </c>
      <c r="AW71" s="79" t="str">
        <f>J71&amp;AU71</f>
        <v>4B</v>
      </c>
      <c r="AX71" s="79">
        <f>IF(COUNTIFS(J:J,"Integral",E:E,E71,H:H,"Ativo")=4,1/4,1/10)</f>
        <v>0.1</v>
      </c>
      <c r="AY71" s="79"/>
      <c r="AZ71" s="79"/>
    </row>
    <row r="72" spans="1:52" ht="15.75" customHeight="1">
      <c r="A72" s="31">
        <v>75</v>
      </c>
      <c r="B72" s="399">
        <v>44841</v>
      </c>
      <c r="C72" s="32" t="s">
        <v>440</v>
      </c>
      <c r="D72" s="32" t="s">
        <v>441</v>
      </c>
      <c r="E72" s="32" t="s">
        <v>402</v>
      </c>
      <c r="F72" s="32" t="s">
        <v>442</v>
      </c>
      <c r="G72" s="33" t="s">
        <v>220</v>
      </c>
      <c r="H72" s="33" t="s">
        <v>90</v>
      </c>
      <c r="I72" s="34">
        <v>0</v>
      </c>
      <c r="J72" s="33">
        <v>6</v>
      </c>
      <c r="K72" s="35" t="s">
        <v>273</v>
      </c>
      <c r="L72" s="35" t="s">
        <v>238</v>
      </c>
      <c r="M72" s="67" t="s">
        <v>222</v>
      </c>
      <c r="N72" s="33" t="s">
        <v>68</v>
      </c>
      <c r="O72" s="33" t="s">
        <v>11</v>
      </c>
      <c r="P72" s="33" t="s">
        <v>1</v>
      </c>
      <c r="Q72" s="47"/>
      <c r="R72" s="47"/>
      <c r="S72" s="45" t="s">
        <v>147</v>
      </c>
      <c r="T72" s="45"/>
      <c r="U72" s="46">
        <v>44839</v>
      </c>
      <c r="V72" s="38">
        <f t="shared" si="12"/>
        <v>44841</v>
      </c>
      <c r="W72" s="50">
        <f>V72-U72</f>
        <v>2</v>
      </c>
      <c r="X72" s="261">
        <v>327000</v>
      </c>
      <c r="Y72" s="260">
        <v>327000</v>
      </c>
      <c r="Z72" s="260">
        <v>275000</v>
      </c>
      <c r="AA72" s="35">
        <v>0</v>
      </c>
      <c r="AB72" s="260"/>
      <c r="AC72" s="41"/>
      <c r="AD72" s="42"/>
      <c r="AE72" s="41"/>
      <c r="AF72" s="43"/>
      <c r="AG72" s="40">
        <v>0</v>
      </c>
      <c r="AH72" s="40">
        <v>52000</v>
      </c>
      <c r="AI72" s="44">
        <v>0.15902140672782875</v>
      </c>
      <c r="AJ72" s="44">
        <v>0.15902140672782875</v>
      </c>
      <c r="AK72" s="40">
        <v>0</v>
      </c>
      <c r="AL72" s="40">
        <v>52000</v>
      </c>
      <c r="AM72" s="242">
        <f t="shared" si="13"/>
        <v>44865</v>
      </c>
      <c r="AN72" s="242" t="str">
        <f>IF(AQ72="x","",IF(AQ72="x",AM72,IF(EOMONTH(I72,0)=31,"",EOMONTH(I72,0))))</f>
        <v/>
      </c>
      <c r="AO72" s="79">
        <f>IFERROR(IF(VLOOKUP(C72,C73:C676,1,0)=0,1,0),1)</f>
        <v>1</v>
      </c>
      <c r="AP72" s="79"/>
      <c r="AQ72" s="243" t="str">
        <f t="shared" si="7"/>
        <v/>
      </c>
      <c r="AR72" s="242" t="b">
        <f>IF(AQ72="x",EOMONTH(I72,0))</f>
        <v>0</v>
      </c>
      <c r="AS72" s="79">
        <f t="shared" si="8"/>
        <v>1</v>
      </c>
      <c r="AT72" s="79">
        <f t="shared" si="9"/>
        <v>1</v>
      </c>
      <c r="AU72" s="79" t="str">
        <f t="shared" si="10"/>
        <v>B</v>
      </c>
      <c r="AV72" s="79">
        <f t="shared" si="14"/>
        <v>1</v>
      </c>
      <c r="AW72" s="79" t="str">
        <f>J72&amp;AU72</f>
        <v>6B</v>
      </c>
      <c r="AX72" s="79">
        <f>IF(COUNTIFS(J:J,"Integral",E:E,E72,H:H,"Ativo")=4,1/4,1/10)</f>
        <v>0.1</v>
      </c>
      <c r="AY72" s="79"/>
      <c r="AZ72" s="79"/>
    </row>
    <row r="73" spans="1:52" ht="15.75" customHeight="1">
      <c r="A73" s="31">
        <v>76</v>
      </c>
      <c r="B73" s="399">
        <v>44842</v>
      </c>
      <c r="C73" s="32" t="s">
        <v>443</v>
      </c>
      <c r="D73" s="32" t="s">
        <v>444</v>
      </c>
      <c r="E73" s="32" t="s">
        <v>445</v>
      </c>
      <c r="F73" s="32" t="s">
        <v>446</v>
      </c>
      <c r="G73" s="33" t="s">
        <v>220</v>
      </c>
      <c r="H73" s="33" t="s">
        <v>244</v>
      </c>
      <c r="I73" s="34">
        <v>44882</v>
      </c>
      <c r="J73" s="33" t="s">
        <v>6</v>
      </c>
      <c r="K73" s="35" t="s">
        <v>425</v>
      </c>
      <c r="L73" s="35" t="s">
        <v>238</v>
      </c>
      <c r="M73" s="67" t="s">
        <v>222</v>
      </c>
      <c r="N73" s="33" t="s">
        <v>68</v>
      </c>
      <c r="O73" s="33" t="s">
        <v>13</v>
      </c>
      <c r="P73" s="33" t="s">
        <v>1</v>
      </c>
      <c r="Q73" s="47"/>
      <c r="R73" s="47"/>
      <c r="S73" s="45" t="s">
        <v>222</v>
      </c>
      <c r="T73" s="45"/>
      <c r="U73" s="51">
        <v>44842</v>
      </c>
      <c r="V73" s="48">
        <f t="shared" si="12"/>
        <v>44842</v>
      </c>
      <c r="W73" s="50">
        <f>V73-U73</f>
        <v>0</v>
      </c>
      <c r="X73" s="265">
        <v>0</v>
      </c>
      <c r="Y73" s="67">
        <v>0</v>
      </c>
      <c r="Z73" s="67">
        <v>710000</v>
      </c>
      <c r="AA73" s="35">
        <v>0</v>
      </c>
      <c r="AB73" s="67"/>
      <c r="AC73" s="40"/>
      <c r="AD73" s="42"/>
      <c r="AE73" s="41">
        <v>0</v>
      </c>
      <c r="AF73" s="43">
        <v>0</v>
      </c>
      <c r="AG73" s="40">
        <v>0</v>
      </c>
      <c r="AH73" s="40"/>
      <c r="AI73" s="44"/>
      <c r="AJ73" s="44"/>
      <c r="AK73" s="40">
        <v>0</v>
      </c>
      <c r="AL73" s="40"/>
      <c r="AM73" s="242">
        <f t="shared" si="13"/>
        <v>44865</v>
      </c>
      <c r="AN73" s="242">
        <f>IF(AQ73="x","",IF(AQ73="x",AM73,IF(EOMONTH(I73,0)=31,"",EOMONTH(I73,0))))</f>
        <v>44895</v>
      </c>
      <c r="AO73" s="79">
        <f>IFERROR(IF(VLOOKUP(C73,C74:C677,1,0)=0,1,0),1)</f>
        <v>0</v>
      </c>
      <c r="AP73" s="79"/>
      <c r="AQ73" s="243" t="str">
        <f t="shared" si="7"/>
        <v/>
      </c>
      <c r="AR73" s="242" t="b">
        <f>IF(AQ73="x",EOMONTH(I73,0))</f>
        <v>0</v>
      </c>
      <c r="AS73" s="79">
        <f t="shared" si="8"/>
        <v>1</v>
      </c>
      <c r="AT73" s="79">
        <f t="shared" si="9"/>
        <v>1</v>
      </c>
      <c r="AU73" s="79" t="str">
        <f t="shared" si="10"/>
        <v>B</v>
      </c>
      <c r="AV73" s="79">
        <f t="shared" si="14"/>
        <v>1</v>
      </c>
      <c r="AW73" s="79" t="str">
        <f>J73&amp;AU73</f>
        <v>IntegralB</v>
      </c>
      <c r="AX73" s="79">
        <f>IF(COUNTIFS(J:J,"Integral",E:E,E73,H:H,"Ativo")=4,1/4,1/10)</f>
        <v>0.1</v>
      </c>
      <c r="AY73" s="79"/>
      <c r="AZ73" s="79"/>
    </row>
    <row r="74" spans="1:52" ht="15.75" customHeight="1">
      <c r="A74" s="31">
        <v>77</v>
      </c>
      <c r="B74" s="399">
        <v>44842</v>
      </c>
      <c r="C74" s="32" t="s">
        <v>443</v>
      </c>
      <c r="D74" s="32" t="s">
        <v>447</v>
      </c>
      <c r="E74" s="32" t="s">
        <v>448</v>
      </c>
      <c r="F74" s="32" t="s">
        <v>449</v>
      </c>
      <c r="G74" s="33" t="s">
        <v>220</v>
      </c>
      <c r="H74" s="33" t="s">
        <v>244</v>
      </c>
      <c r="I74" s="34">
        <v>44882</v>
      </c>
      <c r="J74" s="33" t="s">
        <v>6</v>
      </c>
      <c r="K74" s="35" t="s">
        <v>425</v>
      </c>
      <c r="L74" s="35" t="s">
        <v>238</v>
      </c>
      <c r="M74" s="67" t="s">
        <v>222</v>
      </c>
      <c r="N74" s="33" t="s">
        <v>68</v>
      </c>
      <c r="O74" s="33" t="s">
        <v>13</v>
      </c>
      <c r="P74" s="33" t="s">
        <v>1</v>
      </c>
      <c r="Q74" s="47"/>
      <c r="R74" s="47"/>
      <c r="S74" s="45" t="s">
        <v>222</v>
      </c>
      <c r="T74" s="45"/>
      <c r="U74" s="51">
        <v>44842</v>
      </c>
      <c r="V74" s="48">
        <f t="shared" si="12"/>
        <v>44842</v>
      </c>
      <c r="W74" s="50">
        <f>V74-U74</f>
        <v>0</v>
      </c>
      <c r="X74" s="265">
        <v>0</v>
      </c>
      <c r="Y74" s="67">
        <v>0</v>
      </c>
      <c r="Z74" s="67">
        <v>572000</v>
      </c>
      <c r="AA74" s="35">
        <v>0</v>
      </c>
      <c r="AB74" s="67"/>
      <c r="AC74" s="40"/>
      <c r="AD74" s="42"/>
      <c r="AE74" s="41">
        <v>0</v>
      </c>
      <c r="AF74" s="43">
        <v>0</v>
      </c>
      <c r="AG74" s="40">
        <v>0</v>
      </c>
      <c r="AH74" s="40"/>
      <c r="AI74" s="44"/>
      <c r="AJ74" s="44"/>
      <c r="AK74" s="40">
        <v>0</v>
      </c>
      <c r="AL74" s="40"/>
      <c r="AM74" s="242">
        <f t="shared" si="13"/>
        <v>44865</v>
      </c>
      <c r="AN74" s="242">
        <f>IF(AQ74="x","",IF(AQ74="x",AM74,IF(EOMONTH(I74,0)=31,"",EOMONTH(I74,0))))</f>
        <v>44895</v>
      </c>
      <c r="AO74" s="79">
        <f>IFERROR(IF(VLOOKUP(C74,C75:C678,1,0)=0,1,0),1)</f>
        <v>0</v>
      </c>
      <c r="AP74" s="79"/>
      <c r="AQ74" s="243" t="str">
        <f t="shared" si="7"/>
        <v/>
      </c>
      <c r="AR74" s="242" t="b">
        <f>IF(AQ74="x",EOMONTH(I74,0))</f>
        <v>0</v>
      </c>
      <c r="AS74" s="79">
        <f t="shared" si="8"/>
        <v>1</v>
      </c>
      <c r="AT74" s="79">
        <f t="shared" si="9"/>
        <v>1</v>
      </c>
      <c r="AU74" s="79" t="str">
        <f t="shared" si="10"/>
        <v>B</v>
      </c>
      <c r="AV74" s="79">
        <f t="shared" si="14"/>
        <v>1</v>
      </c>
      <c r="AW74" s="79" t="str">
        <f>J74&amp;AU74</f>
        <v>IntegralB</v>
      </c>
      <c r="AX74" s="79">
        <f>IF(COUNTIFS(J:J,"Integral",E:E,E74,H:H,"Ativo")=4,1/4,1/10)</f>
        <v>0.1</v>
      </c>
      <c r="AY74" s="79"/>
      <c r="AZ74" s="79"/>
    </row>
    <row r="75" spans="1:52" ht="15.75" customHeight="1">
      <c r="A75" s="31">
        <v>78</v>
      </c>
      <c r="B75" s="399">
        <v>44842</v>
      </c>
      <c r="C75" s="32" t="s">
        <v>443</v>
      </c>
      <c r="D75" s="32" t="s">
        <v>450</v>
      </c>
      <c r="E75" s="32" t="s">
        <v>448</v>
      </c>
      <c r="F75" s="32" t="s">
        <v>451</v>
      </c>
      <c r="G75" s="33" t="s">
        <v>220</v>
      </c>
      <c r="H75" s="33" t="s">
        <v>244</v>
      </c>
      <c r="I75" s="34">
        <v>44882</v>
      </c>
      <c r="J75" s="33" t="s">
        <v>6</v>
      </c>
      <c r="K75" s="35" t="s">
        <v>425</v>
      </c>
      <c r="L75" s="35" t="s">
        <v>238</v>
      </c>
      <c r="M75" s="67" t="s">
        <v>222</v>
      </c>
      <c r="N75" s="33" t="s">
        <v>68</v>
      </c>
      <c r="O75" s="33" t="s">
        <v>13</v>
      </c>
      <c r="P75" s="33" t="s">
        <v>1</v>
      </c>
      <c r="Q75" s="47"/>
      <c r="R75" s="47"/>
      <c r="S75" s="45" t="s">
        <v>222</v>
      </c>
      <c r="T75" s="45"/>
      <c r="U75" s="51">
        <v>44842</v>
      </c>
      <c r="V75" s="48">
        <f t="shared" si="12"/>
        <v>44842</v>
      </c>
      <c r="W75" s="50">
        <f>V75-U75</f>
        <v>0</v>
      </c>
      <c r="X75" s="265">
        <v>0</v>
      </c>
      <c r="Y75" s="67">
        <v>0</v>
      </c>
      <c r="Z75" s="67">
        <v>572000</v>
      </c>
      <c r="AA75" s="35">
        <v>0</v>
      </c>
      <c r="AB75" s="67"/>
      <c r="AC75" s="40"/>
      <c r="AD75" s="42"/>
      <c r="AE75" s="41">
        <v>0</v>
      </c>
      <c r="AF75" s="43">
        <v>0</v>
      </c>
      <c r="AG75" s="40">
        <v>0</v>
      </c>
      <c r="AH75" s="40"/>
      <c r="AI75" s="44"/>
      <c r="AJ75" s="44"/>
      <c r="AK75" s="40">
        <v>0</v>
      </c>
      <c r="AL75" s="40"/>
      <c r="AM75" s="242">
        <f t="shared" si="13"/>
        <v>44865</v>
      </c>
      <c r="AN75" s="242">
        <f>IF(AQ75="x","",IF(AQ75="x",AM75,IF(EOMONTH(I75,0)=31,"",EOMONTH(I75,0))))</f>
        <v>44895</v>
      </c>
      <c r="AO75" s="79">
        <f>IFERROR(IF(VLOOKUP(C75,C76:C679,1,0)=0,1,0),1)</f>
        <v>0</v>
      </c>
      <c r="AP75" s="79"/>
      <c r="AQ75" s="243" t="str">
        <f t="shared" si="7"/>
        <v/>
      </c>
      <c r="AR75" s="242" t="b">
        <f>IF(AQ75="x",EOMONTH(I75,0))</f>
        <v>0</v>
      </c>
      <c r="AS75" s="79">
        <f t="shared" si="8"/>
        <v>1</v>
      </c>
      <c r="AT75" s="79">
        <f t="shared" si="9"/>
        <v>1</v>
      </c>
      <c r="AU75" s="79" t="str">
        <f t="shared" si="10"/>
        <v>B</v>
      </c>
      <c r="AV75" s="79">
        <f t="shared" si="14"/>
        <v>1</v>
      </c>
      <c r="AW75" s="79" t="str">
        <f>J75&amp;AU75</f>
        <v>IntegralB</v>
      </c>
      <c r="AX75" s="79">
        <f>IF(COUNTIFS(J:J,"Integral",E:E,E75,H:H,"Ativo")=4,1/4,1/10)</f>
        <v>0.1</v>
      </c>
      <c r="AY75" s="79"/>
      <c r="AZ75" s="79"/>
    </row>
    <row r="76" spans="1:52" ht="15.75" customHeight="1">
      <c r="A76" s="31">
        <v>79</v>
      </c>
      <c r="B76" s="399">
        <v>44842</v>
      </c>
      <c r="C76" s="32" t="s">
        <v>443</v>
      </c>
      <c r="D76" s="32" t="s">
        <v>452</v>
      </c>
      <c r="E76" s="32" t="s">
        <v>448</v>
      </c>
      <c r="F76" s="32" t="s">
        <v>453</v>
      </c>
      <c r="G76" s="33" t="s">
        <v>220</v>
      </c>
      <c r="H76" s="33" t="s">
        <v>244</v>
      </c>
      <c r="I76" s="34">
        <v>44882</v>
      </c>
      <c r="J76" s="33" t="s">
        <v>6</v>
      </c>
      <c r="K76" s="35" t="s">
        <v>425</v>
      </c>
      <c r="L76" s="35" t="s">
        <v>238</v>
      </c>
      <c r="M76" s="67" t="s">
        <v>222</v>
      </c>
      <c r="N76" s="33" t="s">
        <v>68</v>
      </c>
      <c r="O76" s="33" t="s">
        <v>13</v>
      </c>
      <c r="P76" s="33" t="s">
        <v>1</v>
      </c>
      <c r="Q76" s="47"/>
      <c r="R76" s="47"/>
      <c r="S76" s="45" t="s">
        <v>222</v>
      </c>
      <c r="T76" s="45"/>
      <c r="U76" s="51">
        <v>44842</v>
      </c>
      <c r="V76" s="48">
        <f t="shared" si="12"/>
        <v>44842</v>
      </c>
      <c r="W76" s="50">
        <f>V76-U76</f>
        <v>0</v>
      </c>
      <c r="X76" s="265">
        <v>0</v>
      </c>
      <c r="Y76" s="67">
        <v>0</v>
      </c>
      <c r="Z76" s="67">
        <v>572000</v>
      </c>
      <c r="AA76" s="35">
        <v>0</v>
      </c>
      <c r="AB76" s="67"/>
      <c r="AC76" s="40"/>
      <c r="AD76" s="42"/>
      <c r="AE76" s="41">
        <v>0</v>
      </c>
      <c r="AF76" s="43">
        <v>0</v>
      </c>
      <c r="AG76" s="40">
        <v>0</v>
      </c>
      <c r="AH76" s="40"/>
      <c r="AI76" s="44"/>
      <c r="AJ76" s="44"/>
      <c r="AK76" s="40">
        <v>0</v>
      </c>
      <c r="AL76" s="40"/>
      <c r="AM76" s="242">
        <f t="shared" si="13"/>
        <v>44865</v>
      </c>
      <c r="AN76" s="242">
        <f>IF(AQ76="x","",IF(AQ76="x",AM76,IF(EOMONTH(I76,0)=31,"",EOMONTH(I76,0))))</f>
        <v>44895</v>
      </c>
      <c r="AO76" s="79">
        <f>IFERROR(IF(VLOOKUP(C76,C77:C680,1,0)=0,1,0),1)</f>
        <v>0</v>
      </c>
      <c r="AP76" s="79"/>
      <c r="AQ76" s="243" t="str">
        <f t="shared" si="7"/>
        <v/>
      </c>
      <c r="AR76" s="242" t="b">
        <f>IF(AQ76="x",EOMONTH(I76,0))</f>
        <v>0</v>
      </c>
      <c r="AS76" s="79">
        <f t="shared" si="8"/>
        <v>1</v>
      </c>
      <c r="AT76" s="79">
        <f t="shared" si="9"/>
        <v>1</v>
      </c>
      <c r="AU76" s="79" t="str">
        <f t="shared" si="10"/>
        <v>B</v>
      </c>
      <c r="AV76" s="79">
        <f t="shared" si="14"/>
        <v>1</v>
      </c>
      <c r="AW76" s="79" t="str">
        <f>J76&amp;AU76</f>
        <v>IntegralB</v>
      </c>
      <c r="AX76" s="79">
        <f>IF(COUNTIFS(J:J,"Integral",E:E,E76,H:H,"Ativo")=4,1/4,1/10)</f>
        <v>0.1</v>
      </c>
      <c r="AY76" s="79"/>
      <c r="AZ76" s="79"/>
    </row>
    <row r="77" spans="1:52" ht="15.75" customHeight="1">
      <c r="A77" s="31">
        <v>80</v>
      </c>
      <c r="B77" s="399">
        <v>44845</v>
      </c>
      <c r="C77" s="32" t="s">
        <v>454</v>
      </c>
      <c r="D77" s="32" t="s">
        <v>455</v>
      </c>
      <c r="E77" s="32" t="s">
        <v>385</v>
      </c>
      <c r="F77" s="32" t="s">
        <v>456</v>
      </c>
      <c r="G77" s="33" t="s">
        <v>220</v>
      </c>
      <c r="H77" s="33" t="s">
        <v>90</v>
      </c>
      <c r="I77" s="34">
        <v>0</v>
      </c>
      <c r="J77" s="33">
        <v>6</v>
      </c>
      <c r="K77" s="35" t="s">
        <v>333</v>
      </c>
      <c r="L77" s="35" t="s">
        <v>333</v>
      </c>
      <c r="M77" s="67" t="s">
        <v>222</v>
      </c>
      <c r="N77" s="33" t="s">
        <v>68</v>
      </c>
      <c r="O77" s="33" t="s">
        <v>12</v>
      </c>
      <c r="P77" s="33" t="s">
        <v>1</v>
      </c>
      <c r="Q77" s="47"/>
      <c r="R77" s="47"/>
      <c r="S77" s="45" t="s">
        <v>150</v>
      </c>
      <c r="T77" s="45"/>
      <c r="U77" s="51">
        <v>44845</v>
      </c>
      <c r="V77" s="48">
        <f t="shared" si="12"/>
        <v>44845</v>
      </c>
      <c r="W77" s="50">
        <f>V77-U77</f>
        <v>0</v>
      </c>
      <c r="X77" s="261">
        <v>327000</v>
      </c>
      <c r="Y77" s="260">
        <v>327000</v>
      </c>
      <c r="Z77" s="260">
        <v>330000</v>
      </c>
      <c r="AA77" s="35">
        <v>0</v>
      </c>
      <c r="AB77" s="260"/>
      <c r="AC77" s="41"/>
      <c r="AD77" s="42"/>
      <c r="AE77" s="41"/>
      <c r="AF77" s="43"/>
      <c r="AG77" s="40">
        <v>3000</v>
      </c>
      <c r="AH77" s="40"/>
      <c r="AI77" s="44"/>
      <c r="AJ77" s="44"/>
      <c r="AK77" s="40">
        <v>0</v>
      </c>
      <c r="AL77" s="40">
        <v>0</v>
      </c>
      <c r="AM77" s="242">
        <f t="shared" si="13"/>
        <v>44865</v>
      </c>
      <c r="AN77" s="242" t="str">
        <f>IF(AQ77="x","",IF(AQ77="x",AM77,IF(EOMONTH(I77,0)=31,"",EOMONTH(I77,0))))</f>
        <v/>
      </c>
      <c r="AO77" s="79">
        <f>IFERROR(IF(VLOOKUP(C77,C78:C681,1,0)=0,1,0),1)</f>
        <v>1</v>
      </c>
      <c r="AP77" s="79"/>
      <c r="AQ77" s="243" t="str">
        <f t="shared" si="7"/>
        <v/>
      </c>
      <c r="AR77" s="242" t="b">
        <f>IF(AQ77="x",EOMONTH(I77,0))</f>
        <v>0</v>
      </c>
      <c r="AS77" s="79">
        <f t="shared" si="8"/>
        <v>1</v>
      </c>
      <c r="AT77" s="79">
        <f t="shared" si="9"/>
        <v>1</v>
      </c>
      <c r="AU77" s="79" t="str">
        <f t="shared" si="10"/>
        <v>B</v>
      </c>
      <c r="AV77" s="79">
        <f t="shared" si="14"/>
        <v>1</v>
      </c>
      <c r="AW77" s="79" t="str">
        <f>J77&amp;AU77</f>
        <v>6B</v>
      </c>
      <c r="AX77" s="79">
        <f>IF(COUNTIFS(J:J,"Integral",E:E,E77,H:H,"Ativo")=4,1/4,1/10)</f>
        <v>0.1</v>
      </c>
      <c r="AY77" s="79"/>
      <c r="AZ77" s="79"/>
    </row>
    <row r="78" spans="1:52" ht="15.75" customHeight="1">
      <c r="A78" s="31">
        <v>81</v>
      </c>
      <c r="B78" s="399">
        <v>44846</v>
      </c>
      <c r="C78" s="32" t="s">
        <v>457</v>
      </c>
      <c r="D78" s="32" t="s">
        <v>458</v>
      </c>
      <c r="E78" s="32" t="s">
        <v>402</v>
      </c>
      <c r="F78" s="32" t="s">
        <v>459</v>
      </c>
      <c r="G78" s="33" t="s">
        <v>243</v>
      </c>
      <c r="H78" s="33" t="s">
        <v>244</v>
      </c>
      <c r="I78" s="34">
        <v>44852</v>
      </c>
      <c r="J78" s="33">
        <v>6</v>
      </c>
      <c r="K78" s="35" t="s">
        <v>273</v>
      </c>
      <c r="L78" s="35" t="s">
        <v>261</v>
      </c>
      <c r="M78" s="67" t="s">
        <v>222</v>
      </c>
      <c r="N78" s="33" t="s">
        <v>68</v>
      </c>
      <c r="O78" s="33" t="s">
        <v>12</v>
      </c>
      <c r="P78" s="33" t="s">
        <v>1</v>
      </c>
      <c r="Q78" s="47"/>
      <c r="R78" s="47"/>
      <c r="S78" s="45" t="s">
        <v>222</v>
      </c>
      <c r="T78" s="45"/>
      <c r="U78" s="51">
        <v>44846</v>
      </c>
      <c r="V78" s="48">
        <f t="shared" si="12"/>
        <v>44846</v>
      </c>
      <c r="W78" s="50">
        <f>V78-U78</f>
        <v>0</v>
      </c>
      <c r="X78" s="265">
        <v>0</v>
      </c>
      <c r="Y78" s="67">
        <v>0</v>
      </c>
      <c r="Z78" s="67">
        <v>330000</v>
      </c>
      <c r="AA78" s="35">
        <v>0</v>
      </c>
      <c r="AB78" s="67"/>
      <c r="AC78" s="40"/>
      <c r="AD78" s="42"/>
      <c r="AE78" s="41">
        <v>0</v>
      </c>
      <c r="AF78" s="43">
        <v>0</v>
      </c>
      <c r="AG78" s="40">
        <v>0</v>
      </c>
      <c r="AH78" s="40"/>
      <c r="AI78" s="44"/>
      <c r="AJ78" s="44"/>
      <c r="AK78" s="40">
        <v>0</v>
      </c>
      <c r="AL78" s="40"/>
      <c r="AM78" s="242">
        <f t="shared" si="13"/>
        <v>44865</v>
      </c>
      <c r="AN78" s="242" t="str">
        <f>IF(AQ78="x","",IF(AQ78="x",AM78,IF(EOMONTH(I78,0)=31,"",EOMONTH(I78,0))))</f>
        <v/>
      </c>
      <c r="AO78" s="79">
        <f>IFERROR(IF(VLOOKUP(C78,C79:C682,1,0)=0,1,0),1)</f>
        <v>1</v>
      </c>
      <c r="AP78" s="79"/>
      <c r="AQ78" s="243" t="str">
        <f t="shared" si="7"/>
        <v>x</v>
      </c>
      <c r="AR78" s="242">
        <f>IF(AQ78="x",EOMONTH(I78,0))</f>
        <v>44865</v>
      </c>
      <c r="AS78" s="79">
        <f t="shared" si="8"/>
        <v>1</v>
      </c>
      <c r="AT78" s="79">
        <f t="shared" si="9"/>
        <v>1</v>
      </c>
      <c r="AU78" s="79" t="str">
        <f t="shared" si="10"/>
        <v>B</v>
      </c>
      <c r="AV78" s="79">
        <f t="shared" si="14"/>
        <v>1</v>
      </c>
      <c r="AW78" s="79" t="str">
        <f>J78&amp;AU78</f>
        <v>6B</v>
      </c>
      <c r="AX78" s="79">
        <f>IF(COUNTIFS(J:J,"Integral",E:E,E78,H:H,"Ativo")=4,1/4,1/10)</f>
        <v>0.1</v>
      </c>
      <c r="AY78" s="79"/>
      <c r="AZ78" s="79"/>
    </row>
    <row r="79" spans="1:52" ht="15.75" customHeight="1">
      <c r="A79" s="31">
        <v>82</v>
      </c>
      <c r="B79" s="399">
        <v>44848</v>
      </c>
      <c r="C79" s="32" t="s">
        <v>460</v>
      </c>
      <c r="D79" s="32" t="s">
        <v>461</v>
      </c>
      <c r="E79" s="32" t="s">
        <v>385</v>
      </c>
      <c r="F79" s="32" t="s">
        <v>462</v>
      </c>
      <c r="G79" s="33" t="s">
        <v>220</v>
      </c>
      <c r="H79" s="33" t="s">
        <v>90</v>
      </c>
      <c r="I79" s="34">
        <v>0</v>
      </c>
      <c r="J79" s="33">
        <v>6</v>
      </c>
      <c r="K79" s="35" t="s">
        <v>413</v>
      </c>
      <c r="L79" s="35" t="s">
        <v>413</v>
      </c>
      <c r="M79" s="67" t="s">
        <v>222</v>
      </c>
      <c r="N79" s="33" t="s">
        <v>68</v>
      </c>
      <c r="O79" s="33" t="s">
        <v>12</v>
      </c>
      <c r="P79" s="33" t="s">
        <v>1</v>
      </c>
      <c r="Q79" s="47"/>
      <c r="R79" s="47"/>
      <c r="S79" s="45" t="s">
        <v>145</v>
      </c>
      <c r="T79" s="45"/>
      <c r="U79" s="51">
        <v>44848</v>
      </c>
      <c r="V79" s="48">
        <f t="shared" si="12"/>
        <v>44848</v>
      </c>
      <c r="W79" s="50">
        <f>V79-U79</f>
        <v>0</v>
      </c>
      <c r="X79" s="261">
        <v>327000</v>
      </c>
      <c r="Y79" s="260">
        <v>327000</v>
      </c>
      <c r="Z79" s="260">
        <v>320000</v>
      </c>
      <c r="AA79" s="35">
        <v>0</v>
      </c>
      <c r="AB79" s="260"/>
      <c r="AC79" s="41"/>
      <c r="AD79" s="42">
        <v>3.49E-2</v>
      </c>
      <c r="AE79" s="41"/>
      <c r="AF79" s="43">
        <v>3.49E-2</v>
      </c>
      <c r="AG79" s="40">
        <v>0</v>
      </c>
      <c r="AH79" s="40">
        <v>7000</v>
      </c>
      <c r="AI79" s="44">
        <v>2.1406727828746176E-2</v>
      </c>
      <c r="AJ79" s="44"/>
      <c r="AK79" s="40">
        <v>7000</v>
      </c>
      <c r="AL79" s="40">
        <v>0</v>
      </c>
      <c r="AM79" s="242">
        <f t="shared" si="13"/>
        <v>44865</v>
      </c>
      <c r="AN79" s="242" t="str">
        <f>IF(AQ79="x","",IF(AQ79="x",AM79,IF(EOMONTH(I79,0)=31,"",EOMONTH(I79,0))))</f>
        <v/>
      </c>
      <c r="AO79" s="79">
        <f>IFERROR(IF(VLOOKUP(C79,C80:C683,1,0)=0,1,0),1)</f>
        <v>1</v>
      </c>
      <c r="AP79" s="79"/>
      <c r="AQ79" s="243" t="str">
        <f t="shared" si="7"/>
        <v/>
      </c>
      <c r="AR79" s="242" t="b">
        <f>IF(AQ79="x",EOMONTH(I79,0))</f>
        <v>0</v>
      </c>
      <c r="AS79" s="79">
        <f t="shared" si="8"/>
        <v>1</v>
      </c>
      <c r="AT79" s="79">
        <f t="shared" si="9"/>
        <v>1</v>
      </c>
      <c r="AU79" s="79" t="str">
        <f t="shared" si="10"/>
        <v>B</v>
      </c>
      <c r="AV79" s="79">
        <f t="shared" si="14"/>
        <v>1</v>
      </c>
      <c r="AW79" s="79" t="str">
        <f>J79&amp;AU79</f>
        <v>6B</v>
      </c>
      <c r="AX79" s="79">
        <f>IF(COUNTIFS(J:J,"Integral",E:E,E79,H:H,"Ativo")=4,1/4,1/10)</f>
        <v>0.1</v>
      </c>
      <c r="AY79" s="79"/>
      <c r="AZ79" s="79"/>
    </row>
    <row r="80" spans="1:52" ht="15.75" customHeight="1">
      <c r="A80" s="31">
        <v>83</v>
      </c>
      <c r="B80" s="399">
        <v>44848</v>
      </c>
      <c r="C80" s="32" t="s">
        <v>463</v>
      </c>
      <c r="D80" s="32" t="s">
        <v>464</v>
      </c>
      <c r="E80" s="32" t="s">
        <v>402</v>
      </c>
      <c r="F80" s="32" t="s">
        <v>465</v>
      </c>
      <c r="G80" s="33" t="s">
        <v>220</v>
      </c>
      <c r="H80" s="33" t="s">
        <v>90</v>
      </c>
      <c r="I80" s="34">
        <v>0</v>
      </c>
      <c r="J80" s="33">
        <v>6</v>
      </c>
      <c r="K80" s="35" t="s">
        <v>237</v>
      </c>
      <c r="L80" s="35" t="s">
        <v>274</v>
      </c>
      <c r="M80" s="67" t="s">
        <v>222</v>
      </c>
      <c r="N80" s="33" t="s">
        <v>68</v>
      </c>
      <c r="O80" s="33" t="s">
        <v>13</v>
      </c>
      <c r="P80" s="33" t="s">
        <v>1</v>
      </c>
      <c r="Q80" s="47"/>
      <c r="R80" s="47"/>
      <c r="S80" s="45" t="s">
        <v>150</v>
      </c>
      <c r="T80" s="45"/>
      <c r="U80" s="51">
        <v>44848</v>
      </c>
      <c r="V80" s="48">
        <f t="shared" si="12"/>
        <v>44848</v>
      </c>
      <c r="W80" s="50">
        <f>V80-U80</f>
        <v>0</v>
      </c>
      <c r="X80" s="261">
        <v>327000</v>
      </c>
      <c r="Y80" s="260">
        <v>327000</v>
      </c>
      <c r="Z80" s="260">
        <v>330000</v>
      </c>
      <c r="AA80" s="35">
        <v>0</v>
      </c>
      <c r="AB80" s="260"/>
      <c r="AC80" s="41"/>
      <c r="AD80" s="42"/>
      <c r="AE80" s="41"/>
      <c r="AF80" s="43"/>
      <c r="AG80" s="40">
        <v>3000</v>
      </c>
      <c r="AH80" s="40"/>
      <c r="AI80" s="44"/>
      <c r="AJ80" s="44"/>
      <c r="AK80" s="40">
        <v>0</v>
      </c>
      <c r="AL80" s="40">
        <v>0</v>
      </c>
      <c r="AM80" s="242">
        <f t="shared" si="13"/>
        <v>44865</v>
      </c>
      <c r="AN80" s="242" t="str">
        <f>IF(AQ80="x","",IF(AQ80="x",AM80,IF(EOMONTH(I80,0)=31,"",EOMONTH(I80,0))))</f>
        <v/>
      </c>
      <c r="AO80" s="79">
        <f>IFERROR(IF(VLOOKUP(C80,C81:C684,1,0)=0,1,0),1)</f>
        <v>1</v>
      </c>
      <c r="AP80" s="79"/>
      <c r="AQ80" s="243" t="str">
        <f t="shared" si="7"/>
        <v/>
      </c>
      <c r="AR80" s="242" t="b">
        <f>IF(AQ80="x",EOMONTH(I80,0))</f>
        <v>0</v>
      </c>
      <c r="AS80" s="79">
        <f t="shared" si="8"/>
        <v>1</v>
      </c>
      <c r="AT80" s="79">
        <f t="shared" si="9"/>
        <v>1</v>
      </c>
      <c r="AU80" s="79" t="str">
        <f t="shared" si="10"/>
        <v>B</v>
      </c>
      <c r="AV80" s="79">
        <f t="shared" si="14"/>
        <v>1</v>
      </c>
      <c r="AW80" s="79" t="str">
        <f>J80&amp;AU80</f>
        <v>6B</v>
      </c>
      <c r="AX80" s="79">
        <f>IF(COUNTIFS(J:J,"Integral",E:E,E80,H:H,"Ativo")=4,1/4,1/10)</f>
        <v>0.1</v>
      </c>
      <c r="AY80" s="79"/>
      <c r="AZ80" s="79"/>
    </row>
    <row r="81" spans="1:52" ht="15.75" customHeight="1">
      <c r="A81" s="31">
        <v>84</v>
      </c>
      <c r="B81" s="399">
        <v>44850</v>
      </c>
      <c r="C81" s="32" t="s">
        <v>466</v>
      </c>
      <c r="D81" s="32" t="s">
        <v>467</v>
      </c>
      <c r="E81" s="32" t="s">
        <v>468</v>
      </c>
      <c r="F81" s="32" t="s">
        <v>469</v>
      </c>
      <c r="G81" s="33" t="s">
        <v>243</v>
      </c>
      <c r="H81" s="33" t="s">
        <v>244</v>
      </c>
      <c r="I81" s="34">
        <v>44866</v>
      </c>
      <c r="J81" s="33" t="s">
        <v>6</v>
      </c>
      <c r="K81" s="35" t="s">
        <v>273</v>
      </c>
      <c r="L81" s="35" t="s">
        <v>238</v>
      </c>
      <c r="M81" s="67" t="s">
        <v>222</v>
      </c>
      <c r="N81" s="33" t="s">
        <v>68</v>
      </c>
      <c r="O81" s="33" t="s">
        <v>12</v>
      </c>
      <c r="P81" s="33" t="s">
        <v>85</v>
      </c>
      <c r="Q81" s="47"/>
      <c r="R81" s="47"/>
      <c r="S81" s="45" t="s">
        <v>222</v>
      </c>
      <c r="T81" s="45"/>
      <c r="U81" s="51">
        <v>44850</v>
      </c>
      <c r="V81" s="48">
        <f t="shared" si="12"/>
        <v>44850</v>
      </c>
      <c r="W81" s="50">
        <f>V81-U81</f>
        <v>0</v>
      </c>
      <c r="X81" s="265">
        <v>0</v>
      </c>
      <c r="Y81" s="67">
        <v>0</v>
      </c>
      <c r="Z81" s="67">
        <v>583250</v>
      </c>
      <c r="AA81" s="35">
        <v>0</v>
      </c>
      <c r="AB81" s="67"/>
      <c r="AC81" s="40"/>
      <c r="AD81" s="42"/>
      <c r="AE81" s="41">
        <v>0</v>
      </c>
      <c r="AF81" s="43">
        <v>0</v>
      </c>
      <c r="AG81" s="40">
        <v>0</v>
      </c>
      <c r="AH81" s="40"/>
      <c r="AI81" s="44"/>
      <c r="AJ81" s="44"/>
      <c r="AK81" s="40">
        <v>0</v>
      </c>
      <c r="AL81" s="40"/>
      <c r="AM81" s="242">
        <f t="shared" si="13"/>
        <v>44865</v>
      </c>
      <c r="AN81" s="242" t="str">
        <f>IF(AQ81="x","",IF(AQ81="x",AM81,IF(EOMONTH(I81,0)=31,"",EOMONTH(I81,0))))</f>
        <v/>
      </c>
      <c r="AO81" s="79">
        <f>IFERROR(IF(VLOOKUP(C81,C82:C685,1,0)=0,1,0),1)</f>
        <v>0</v>
      </c>
      <c r="AP81" s="79"/>
      <c r="AQ81" s="243" t="str">
        <f t="shared" si="7"/>
        <v>x</v>
      </c>
      <c r="AR81" s="242">
        <f>IF(AQ81="x",EOMONTH(I81,0))</f>
        <v>44895</v>
      </c>
      <c r="AS81" s="79">
        <f t="shared" si="8"/>
        <v>1</v>
      </c>
      <c r="AT81" s="79">
        <f t="shared" si="9"/>
        <v>1</v>
      </c>
      <c r="AU81" s="79" t="str">
        <f t="shared" si="10"/>
        <v>B</v>
      </c>
      <c r="AV81" s="79">
        <f t="shared" si="14"/>
        <v>1</v>
      </c>
      <c r="AW81" s="79" t="str">
        <f>J81&amp;AU81</f>
        <v>IntegralB</v>
      </c>
      <c r="AX81" s="79">
        <f>IF(COUNTIFS(J:J,"Integral",E:E,E81,H:H,"Ativo")=4,1/4,1/10)</f>
        <v>0.1</v>
      </c>
      <c r="AY81" s="79"/>
      <c r="AZ81" s="79"/>
    </row>
    <row r="82" spans="1:52" ht="15.75" customHeight="1">
      <c r="A82" s="31">
        <v>85</v>
      </c>
      <c r="B82" s="399">
        <v>44850</v>
      </c>
      <c r="C82" s="32" t="s">
        <v>466</v>
      </c>
      <c r="D82" s="32" t="s">
        <v>470</v>
      </c>
      <c r="E82" s="32" t="s">
        <v>468</v>
      </c>
      <c r="F82" s="32" t="s">
        <v>471</v>
      </c>
      <c r="G82" s="33" t="s">
        <v>243</v>
      </c>
      <c r="H82" s="33" t="s">
        <v>244</v>
      </c>
      <c r="I82" s="34">
        <v>44866</v>
      </c>
      <c r="J82" s="33" t="s">
        <v>6</v>
      </c>
      <c r="K82" s="35" t="s">
        <v>273</v>
      </c>
      <c r="L82" s="35" t="s">
        <v>238</v>
      </c>
      <c r="M82" s="67" t="s">
        <v>222</v>
      </c>
      <c r="N82" s="33" t="s">
        <v>68</v>
      </c>
      <c r="O82" s="33" t="s">
        <v>12</v>
      </c>
      <c r="P82" s="33" t="s">
        <v>85</v>
      </c>
      <c r="Q82" s="47"/>
      <c r="R82" s="47"/>
      <c r="S82" s="45" t="s">
        <v>222</v>
      </c>
      <c r="T82" s="45"/>
      <c r="U82" s="51">
        <v>44850</v>
      </c>
      <c r="V82" s="48">
        <f t="shared" si="12"/>
        <v>44850</v>
      </c>
      <c r="W82" s="50">
        <f>V82-U82</f>
        <v>0</v>
      </c>
      <c r="X82" s="265">
        <v>0</v>
      </c>
      <c r="Y82" s="67">
        <v>0</v>
      </c>
      <c r="Z82" s="67">
        <v>583250</v>
      </c>
      <c r="AA82" s="35">
        <v>0</v>
      </c>
      <c r="AB82" s="67"/>
      <c r="AC82" s="40"/>
      <c r="AD82" s="42"/>
      <c r="AE82" s="41">
        <v>0</v>
      </c>
      <c r="AF82" s="43">
        <v>0</v>
      </c>
      <c r="AG82" s="40">
        <v>0</v>
      </c>
      <c r="AH82" s="40"/>
      <c r="AI82" s="44"/>
      <c r="AJ82" s="44"/>
      <c r="AK82" s="40">
        <v>0</v>
      </c>
      <c r="AL82" s="40"/>
      <c r="AM82" s="242">
        <f t="shared" si="13"/>
        <v>44865</v>
      </c>
      <c r="AN82" s="242" t="str">
        <f>IF(AQ82="x","",IF(AQ82="x",AM82,IF(EOMONTH(I82,0)=31,"",EOMONTH(I82,0))))</f>
        <v/>
      </c>
      <c r="AO82" s="79">
        <f>IFERROR(IF(VLOOKUP(C82,C83:C686,1,0)=0,1,0),1)</f>
        <v>0</v>
      </c>
      <c r="AP82" s="79"/>
      <c r="AQ82" s="243" t="str">
        <f t="shared" si="7"/>
        <v>x</v>
      </c>
      <c r="AR82" s="242">
        <f>IF(AQ82="x",EOMONTH(I82,0))</f>
        <v>44895</v>
      </c>
      <c r="AS82" s="79">
        <f t="shared" si="8"/>
        <v>1</v>
      </c>
      <c r="AT82" s="79">
        <f t="shared" si="9"/>
        <v>1</v>
      </c>
      <c r="AU82" s="79" t="str">
        <f t="shared" si="10"/>
        <v>B</v>
      </c>
      <c r="AV82" s="79">
        <f t="shared" si="14"/>
        <v>1</v>
      </c>
      <c r="AW82" s="79" t="str">
        <f>J82&amp;AU82</f>
        <v>IntegralB</v>
      </c>
      <c r="AX82" s="79">
        <f>IF(COUNTIFS(J:J,"Integral",E:E,E82,H:H,"Ativo")=4,1/4,1/10)</f>
        <v>0.1</v>
      </c>
      <c r="AY82" s="79"/>
      <c r="AZ82" s="79"/>
    </row>
    <row r="83" spans="1:52" ht="15.75" customHeight="1">
      <c r="A83" s="31">
        <v>86</v>
      </c>
      <c r="B83" s="399">
        <v>44850</v>
      </c>
      <c r="C83" s="32" t="s">
        <v>466</v>
      </c>
      <c r="D83" s="32" t="s">
        <v>472</v>
      </c>
      <c r="E83" s="32" t="s">
        <v>468</v>
      </c>
      <c r="F83" s="32" t="s">
        <v>473</v>
      </c>
      <c r="G83" s="33" t="s">
        <v>243</v>
      </c>
      <c r="H83" s="33" t="s">
        <v>244</v>
      </c>
      <c r="I83" s="34">
        <v>44866</v>
      </c>
      <c r="J83" s="33" t="s">
        <v>6</v>
      </c>
      <c r="K83" s="35" t="s">
        <v>474</v>
      </c>
      <c r="L83" s="35" t="s">
        <v>474</v>
      </c>
      <c r="M83" s="67" t="s">
        <v>222</v>
      </c>
      <c r="N83" s="33" t="s">
        <v>73</v>
      </c>
      <c r="O83" s="33" t="s">
        <v>12</v>
      </c>
      <c r="P83" s="33" t="s">
        <v>85</v>
      </c>
      <c r="Q83" s="47"/>
      <c r="R83" s="47"/>
      <c r="S83" s="45" t="s">
        <v>222</v>
      </c>
      <c r="T83" s="45"/>
      <c r="U83" s="47" t="s">
        <v>222</v>
      </c>
      <c r="V83" s="48">
        <f t="shared" si="12"/>
        <v>44850</v>
      </c>
      <c r="W83" s="50"/>
      <c r="X83" s="265">
        <v>0</v>
      </c>
      <c r="Y83" s="67">
        <v>0</v>
      </c>
      <c r="Z83" s="67">
        <v>583250</v>
      </c>
      <c r="AA83" s="35">
        <v>0</v>
      </c>
      <c r="AB83" s="67"/>
      <c r="AC83" s="40"/>
      <c r="AD83" s="42"/>
      <c r="AE83" s="41">
        <v>0</v>
      </c>
      <c r="AF83" s="43">
        <v>0</v>
      </c>
      <c r="AG83" s="40">
        <v>0</v>
      </c>
      <c r="AH83" s="40"/>
      <c r="AI83" s="44"/>
      <c r="AJ83" s="44"/>
      <c r="AK83" s="40">
        <v>0</v>
      </c>
      <c r="AL83" s="40"/>
      <c r="AM83" s="242">
        <f t="shared" si="13"/>
        <v>44865</v>
      </c>
      <c r="AN83" s="242" t="str">
        <f>IF(AQ83="x","",IF(AQ83="x",AM83,IF(EOMONTH(I83,0)=31,"",EOMONTH(I83,0))))</f>
        <v/>
      </c>
      <c r="AO83" s="79">
        <f>IFERROR(IF(VLOOKUP(C83,C84:C687,1,0)=0,1,0),1)</f>
        <v>0</v>
      </c>
      <c r="AP83" s="79"/>
      <c r="AQ83" s="243" t="str">
        <f t="shared" si="7"/>
        <v>x</v>
      </c>
      <c r="AR83" s="242">
        <f>IF(AQ83="x",EOMONTH(I83,0))</f>
        <v>44895</v>
      </c>
      <c r="AS83" s="79">
        <f t="shared" si="8"/>
        <v>1</v>
      </c>
      <c r="AT83" s="79">
        <f t="shared" si="9"/>
        <v>1</v>
      </c>
      <c r="AU83" s="79" t="str">
        <f t="shared" si="10"/>
        <v>B</v>
      </c>
      <c r="AV83" s="79">
        <f t="shared" si="14"/>
        <v>1</v>
      </c>
      <c r="AW83" s="79" t="str">
        <f>J83&amp;AU83</f>
        <v>IntegralB</v>
      </c>
      <c r="AX83" s="79">
        <f>IF(COUNTIFS(J:J,"Integral",E:E,E83,H:H,"Ativo")=4,1/4,1/10)</f>
        <v>0.1</v>
      </c>
      <c r="AY83" s="79"/>
      <c r="AZ83" s="79"/>
    </row>
    <row r="84" spans="1:52" ht="15.75" customHeight="1">
      <c r="A84" s="31">
        <v>87</v>
      </c>
      <c r="B84" s="399">
        <v>44850</v>
      </c>
      <c r="C84" s="32" t="s">
        <v>466</v>
      </c>
      <c r="D84" s="32" t="s">
        <v>475</v>
      </c>
      <c r="E84" s="32" t="s">
        <v>468</v>
      </c>
      <c r="F84" s="32" t="s">
        <v>476</v>
      </c>
      <c r="G84" s="33" t="s">
        <v>243</v>
      </c>
      <c r="H84" s="33" t="s">
        <v>244</v>
      </c>
      <c r="I84" s="34">
        <v>44866</v>
      </c>
      <c r="J84" s="33" t="s">
        <v>6</v>
      </c>
      <c r="K84" s="35" t="s">
        <v>474</v>
      </c>
      <c r="L84" s="35" t="s">
        <v>474</v>
      </c>
      <c r="M84" s="67" t="s">
        <v>222</v>
      </c>
      <c r="N84" s="33" t="s">
        <v>73</v>
      </c>
      <c r="O84" s="33" t="s">
        <v>12</v>
      </c>
      <c r="P84" s="33" t="s">
        <v>85</v>
      </c>
      <c r="Q84" s="47"/>
      <c r="R84" s="47"/>
      <c r="S84" s="45" t="s">
        <v>222</v>
      </c>
      <c r="T84" s="45"/>
      <c r="U84" s="47" t="s">
        <v>222</v>
      </c>
      <c r="V84" s="48">
        <f t="shared" si="12"/>
        <v>44850</v>
      </c>
      <c r="W84" s="50"/>
      <c r="X84" s="265">
        <v>0</v>
      </c>
      <c r="Y84" s="67">
        <v>0</v>
      </c>
      <c r="Z84" s="67">
        <v>583250</v>
      </c>
      <c r="AA84" s="35">
        <v>0</v>
      </c>
      <c r="AB84" s="67"/>
      <c r="AC84" s="40"/>
      <c r="AD84" s="42"/>
      <c r="AE84" s="41">
        <v>0</v>
      </c>
      <c r="AF84" s="43">
        <v>0</v>
      </c>
      <c r="AG84" s="40">
        <v>0</v>
      </c>
      <c r="AH84" s="40"/>
      <c r="AI84" s="44"/>
      <c r="AJ84" s="44"/>
      <c r="AK84" s="40">
        <v>0</v>
      </c>
      <c r="AL84" s="40"/>
      <c r="AM84" s="242">
        <f t="shared" si="13"/>
        <v>44865</v>
      </c>
      <c r="AN84" s="242" t="str">
        <f>IF(AQ84="x","",IF(AQ84="x",AM84,IF(EOMONTH(I84,0)=31,"",EOMONTH(I84,0))))</f>
        <v/>
      </c>
      <c r="AO84" s="79">
        <f>IFERROR(IF(VLOOKUP(C84,C85:C688,1,0)=0,1,0),1)</f>
        <v>1</v>
      </c>
      <c r="AP84" s="79"/>
      <c r="AQ84" s="243" t="str">
        <f t="shared" si="7"/>
        <v>x</v>
      </c>
      <c r="AR84" s="242">
        <f>IF(AQ84="x",EOMONTH(I84,0))</f>
        <v>44895</v>
      </c>
      <c r="AS84" s="79">
        <f t="shared" si="8"/>
        <v>1</v>
      </c>
      <c r="AT84" s="79">
        <f t="shared" si="9"/>
        <v>1</v>
      </c>
      <c r="AU84" s="79" t="str">
        <f t="shared" si="10"/>
        <v>B</v>
      </c>
      <c r="AV84" s="79">
        <f t="shared" si="14"/>
        <v>1</v>
      </c>
      <c r="AW84" s="79" t="str">
        <f>J84&amp;AU84</f>
        <v>IntegralB</v>
      </c>
      <c r="AX84" s="79">
        <f>IF(COUNTIFS(J:J,"Integral",E:E,E84,H:H,"Ativo")=4,1/4,1/10)</f>
        <v>0.1</v>
      </c>
      <c r="AY84" s="79"/>
      <c r="AZ84" s="79"/>
    </row>
    <row r="85" spans="1:52" ht="15.75" customHeight="1">
      <c r="A85" s="31">
        <v>88</v>
      </c>
      <c r="B85" s="399">
        <v>44856</v>
      </c>
      <c r="C85" s="32" t="s">
        <v>477</v>
      </c>
      <c r="D85" s="32" t="s">
        <v>478</v>
      </c>
      <c r="E85" s="32" t="s">
        <v>402</v>
      </c>
      <c r="F85" s="32" t="s">
        <v>479</v>
      </c>
      <c r="G85" s="33" t="s">
        <v>220</v>
      </c>
      <c r="H85" s="33" t="s">
        <v>244</v>
      </c>
      <c r="I85" s="34">
        <v>44868</v>
      </c>
      <c r="J85" s="33">
        <v>4</v>
      </c>
      <c r="K85" s="35" t="s">
        <v>480</v>
      </c>
      <c r="L85" s="35" t="s">
        <v>387</v>
      </c>
      <c r="M85" s="67" t="s">
        <v>222</v>
      </c>
      <c r="N85" s="33" t="s">
        <v>68</v>
      </c>
      <c r="O85" s="33" t="s">
        <v>12</v>
      </c>
      <c r="P85" s="33" t="s">
        <v>1</v>
      </c>
      <c r="Q85" s="47"/>
      <c r="R85" s="47"/>
      <c r="S85" s="45" t="s">
        <v>222</v>
      </c>
      <c r="T85" s="45"/>
      <c r="U85" s="51">
        <v>44856</v>
      </c>
      <c r="V85" s="48">
        <f t="shared" si="12"/>
        <v>44856</v>
      </c>
      <c r="W85" s="50">
        <f>V85-U85</f>
        <v>0</v>
      </c>
      <c r="X85" s="265">
        <v>0</v>
      </c>
      <c r="Y85" s="67">
        <v>0</v>
      </c>
      <c r="Z85" s="67">
        <v>221930</v>
      </c>
      <c r="AA85" s="35">
        <v>0</v>
      </c>
      <c r="AB85" s="67"/>
      <c r="AC85" s="40"/>
      <c r="AD85" s="42"/>
      <c r="AE85" s="41">
        <v>0</v>
      </c>
      <c r="AF85" s="43">
        <v>0</v>
      </c>
      <c r="AG85" s="40">
        <v>0</v>
      </c>
      <c r="AH85" s="40"/>
      <c r="AI85" s="44"/>
      <c r="AJ85" s="44"/>
      <c r="AK85" s="40">
        <v>0</v>
      </c>
      <c r="AL85" s="40"/>
      <c r="AM85" s="242">
        <f t="shared" si="13"/>
        <v>44865</v>
      </c>
      <c r="AN85" s="242">
        <f>IF(AQ85="x","",IF(AQ85="x",AM85,IF(EOMONTH(I85,0)=31,"",EOMONTH(I85,0))))</f>
        <v>44895</v>
      </c>
      <c r="AO85" s="79">
        <f>IFERROR(IF(VLOOKUP(C85,C86:C689,1,0)=0,1,0),1)</f>
        <v>0</v>
      </c>
      <c r="AP85" s="79"/>
      <c r="AQ85" s="243" t="str">
        <f t="shared" si="7"/>
        <v/>
      </c>
      <c r="AR85" s="242" t="b">
        <f>IF(AQ85="x",EOMONTH(I85,0))</f>
        <v>0</v>
      </c>
      <c r="AS85" s="79">
        <f t="shared" si="8"/>
        <v>1</v>
      </c>
      <c r="AT85" s="79">
        <f t="shared" si="9"/>
        <v>1</v>
      </c>
      <c r="AU85" s="79" t="str">
        <f t="shared" si="10"/>
        <v>B</v>
      </c>
      <c r="AV85" s="79">
        <f t="shared" si="14"/>
        <v>1</v>
      </c>
      <c r="AW85" s="79" t="str">
        <f>J85&amp;AU85</f>
        <v>4B</v>
      </c>
      <c r="AX85" s="79">
        <f>IF(COUNTIFS(J:J,"Integral",E:E,E85,H:H,"Ativo")=4,1/4,1/10)</f>
        <v>0.1</v>
      </c>
      <c r="AY85" s="79"/>
      <c r="AZ85" s="79"/>
    </row>
    <row r="86" spans="1:52" ht="15.75" customHeight="1">
      <c r="A86" s="31">
        <v>89</v>
      </c>
      <c r="B86" s="399">
        <v>44856</v>
      </c>
      <c r="C86" s="32" t="s">
        <v>477</v>
      </c>
      <c r="D86" s="32" t="s">
        <v>481</v>
      </c>
      <c r="E86" s="32" t="s">
        <v>402</v>
      </c>
      <c r="F86" s="32" t="s">
        <v>482</v>
      </c>
      <c r="G86" s="33" t="s">
        <v>220</v>
      </c>
      <c r="H86" s="33" t="s">
        <v>244</v>
      </c>
      <c r="I86" s="34">
        <v>44868</v>
      </c>
      <c r="J86" s="33">
        <v>4</v>
      </c>
      <c r="K86" s="35" t="s">
        <v>480</v>
      </c>
      <c r="L86" s="35" t="s">
        <v>387</v>
      </c>
      <c r="M86" s="67" t="s">
        <v>222</v>
      </c>
      <c r="N86" s="33" t="s">
        <v>68</v>
      </c>
      <c r="O86" s="33" t="s">
        <v>12</v>
      </c>
      <c r="P86" s="33" t="s">
        <v>1</v>
      </c>
      <c r="Q86" s="47"/>
      <c r="R86" s="47"/>
      <c r="S86" s="45" t="s">
        <v>222</v>
      </c>
      <c r="T86" s="45"/>
      <c r="U86" s="51">
        <v>44856</v>
      </c>
      <c r="V86" s="48">
        <f t="shared" si="12"/>
        <v>44856</v>
      </c>
      <c r="W86" s="50">
        <f>V86-U86</f>
        <v>0</v>
      </c>
      <c r="X86" s="265">
        <v>0</v>
      </c>
      <c r="Y86" s="67">
        <v>0</v>
      </c>
      <c r="Z86" s="67">
        <v>221930</v>
      </c>
      <c r="AA86" s="35">
        <v>0</v>
      </c>
      <c r="AB86" s="67"/>
      <c r="AC86" s="40"/>
      <c r="AD86" s="42"/>
      <c r="AE86" s="41">
        <v>0</v>
      </c>
      <c r="AF86" s="43">
        <v>0</v>
      </c>
      <c r="AG86" s="40">
        <v>0</v>
      </c>
      <c r="AH86" s="40"/>
      <c r="AI86" s="44"/>
      <c r="AJ86" s="44"/>
      <c r="AK86" s="40">
        <v>0</v>
      </c>
      <c r="AL86" s="40"/>
      <c r="AM86" s="242">
        <f t="shared" si="13"/>
        <v>44865</v>
      </c>
      <c r="AN86" s="242">
        <f>IF(AQ86="x","",IF(AQ86="x",AM86,IF(EOMONTH(I86,0)=31,"",EOMONTH(I86,0))))</f>
        <v>44895</v>
      </c>
      <c r="AO86" s="79">
        <f>IFERROR(IF(VLOOKUP(C86,C87:C690,1,0)=0,1,0),1)</f>
        <v>1</v>
      </c>
      <c r="AP86" s="79"/>
      <c r="AQ86" s="243" t="str">
        <f t="shared" si="7"/>
        <v/>
      </c>
      <c r="AR86" s="242" t="b">
        <f>IF(AQ86="x",EOMONTH(I86,0))</f>
        <v>0</v>
      </c>
      <c r="AS86" s="79">
        <f t="shared" si="8"/>
        <v>1</v>
      </c>
      <c r="AT86" s="79">
        <f t="shared" si="9"/>
        <v>1</v>
      </c>
      <c r="AU86" s="79" t="str">
        <f t="shared" si="10"/>
        <v>B</v>
      </c>
      <c r="AV86" s="79">
        <f t="shared" si="14"/>
        <v>1</v>
      </c>
      <c r="AW86" s="79" t="str">
        <f>J86&amp;AU86</f>
        <v>4B</v>
      </c>
      <c r="AX86" s="79">
        <f>IF(COUNTIFS(J:J,"Integral",E:E,E86,H:H,"Ativo")=4,1/4,1/10)</f>
        <v>0.1</v>
      </c>
      <c r="AY86" s="79"/>
      <c r="AZ86" s="79"/>
    </row>
    <row r="87" spans="1:52" ht="15.75" customHeight="1">
      <c r="A87" s="31">
        <v>90</v>
      </c>
      <c r="B87" s="399">
        <v>44857</v>
      </c>
      <c r="C87" s="32" t="s">
        <v>483</v>
      </c>
      <c r="D87" s="32" t="s">
        <v>375</v>
      </c>
      <c r="E87" s="32" t="s">
        <v>376</v>
      </c>
      <c r="F87" s="32" t="s">
        <v>484</v>
      </c>
      <c r="G87" s="33" t="s">
        <v>220</v>
      </c>
      <c r="H87" s="33" t="s">
        <v>244</v>
      </c>
      <c r="I87" s="34">
        <v>44932</v>
      </c>
      <c r="J87" s="33" t="s">
        <v>6</v>
      </c>
      <c r="K87" s="35" t="s">
        <v>273</v>
      </c>
      <c r="L87" s="35" t="s">
        <v>238</v>
      </c>
      <c r="M87" s="67" t="s">
        <v>222</v>
      </c>
      <c r="N87" s="33" t="s">
        <v>68</v>
      </c>
      <c r="O87" s="33" t="s">
        <v>13</v>
      </c>
      <c r="P87" s="33" t="s">
        <v>1</v>
      </c>
      <c r="Q87" s="47"/>
      <c r="R87" s="47"/>
      <c r="S87" s="45" t="s">
        <v>222</v>
      </c>
      <c r="T87" s="45"/>
      <c r="U87" s="51">
        <v>44857</v>
      </c>
      <c r="V87" s="48">
        <f t="shared" si="12"/>
        <v>44857</v>
      </c>
      <c r="W87" s="50">
        <f>V87-U87</f>
        <v>0</v>
      </c>
      <c r="X87" s="265">
        <v>0</v>
      </c>
      <c r="Y87" s="67">
        <v>0</v>
      </c>
      <c r="Z87" s="67">
        <v>837000</v>
      </c>
      <c r="AA87" s="35">
        <v>0</v>
      </c>
      <c r="AB87" s="67"/>
      <c r="AC87" s="40"/>
      <c r="AD87" s="42"/>
      <c r="AE87" s="41">
        <v>0</v>
      </c>
      <c r="AF87" s="43">
        <v>0</v>
      </c>
      <c r="AG87" s="40">
        <v>0</v>
      </c>
      <c r="AH87" s="40"/>
      <c r="AI87" s="44"/>
      <c r="AJ87" s="44"/>
      <c r="AK87" s="40">
        <v>0</v>
      </c>
      <c r="AL87" s="40"/>
      <c r="AM87" s="242">
        <f t="shared" si="13"/>
        <v>44865</v>
      </c>
      <c r="AN87" s="242">
        <f>IF(AQ87="x","",IF(AQ87="x",AM87,IF(EOMONTH(I87,0)=31,"",EOMONTH(I87,0))))</f>
        <v>44957</v>
      </c>
      <c r="AO87" s="79">
        <f>IFERROR(IF(VLOOKUP(C87,C88:C691,1,0)=0,1,0),1)</f>
        <v>0</v>
      </c>
      <c r="AP87" s="79"/>
      <c r="AQ87" s="243" t="str">
        <f t="shared" si="7"/>
        <v/>
      </c>
      <c r="AR87" s="242" t="b">
        <f>IF(AQ87="x",EOMONTH(I87,0))</f>
        <v>0</v>
      </c>
      <c r="AS87" s="79">
        <f t="shared" si="8"/>
        <v>1</v>
      </c>
      <c r="AT87" s="79">
        <f t="shared" si="9"/>
        <v>1</v>
      </c>
      <c r="AU87" s="79" t="str">
        <f t="shared" si="10"/>
        <v>A</v>
      </c>
      <c r="AV87" s="79">
        <f t="shared" si="14"/>
        <v>1</v>
      </c>
      <c r="AW87" s="79" t="str">
        <f>J87&amp;AU87</f>
        <v>IntegralA</v>
      </c>
      <c r="AX87" s="79">
        <f>IF(COUNTIFS(J:J,"Integral",E:E,E87,H:H,"Ativo")=4,1/4,1/10)</f>
        <v>0.1</v>
      </c>
      <c r="AY87" s="79"/>
      <c r="AZ87" s="79"/>
    </row>
    <row r="88" spans="1:52" ht="15.75" customHeight="1">
      <c r="A88" s="31">
        <v>91</v>
      </c>
      <c r="B88" s="399">
        <v>44857</v>
      </c>
      <c r="C88" s="32" t="s">
        <v>483</v>
      </c>
      <c r="D88" s="32" t="s">
        <v>379</v>
      </c>
      <c r="E88" s="32" t="s">
        <v>376</v>
      </c>
      <c r="F88" s="32" t="s">
        <v>485</v>
      </c>
      <c r="G88" s="33" t="s">
        <v>220</v>
      </c>
      <c r="H88" s="33" t="s">
        <v>244</v>
      </c>
      <c r="I88" s="34">
        <v>44932</v>
      </c>
      <c r="J88" s="33" t="s">
        <v>6</v>
      </c>
      <c r="K88" s="35" t="s">
        <v>273</v>
      </c>
      <c r="L88" s="35" t="s">
        <v>238</v>
      </c>
      <c r="M88" s="67" t="s">
        <v>222</v>
      </c>
      <c r="N88" s="33" t="s">
        <v>68</v>
      </c>
      <c r="O88" s="33" t="s">
        <v>13</v>
      </c>
      <c r="P88" s="33" t="s">
        <v>1</v>
      </c>
      <c r="Q88" s="47"/>
      <c r="R88" s="47"/>
      <c r="S88" s="45" t="s">
        <v>222</v>
      </c>
      <c r="T88" s="45"/>
      <c r="U88" s="51">
        <v>44857</v>
      </c>
      <c r="V88" s="48">
        <f t="shared" si="12"/>
        <v>44857</v>
      </c>
      <c r="W88" s="50">
        <f>V88-U88</f>
        <v>0</v>
      </c>
      <c r="X88" s="265">
        <v>0</v>
      </c>
      <c r="Y88" s="67">
        <v>0</v>
      </c>
      <c r="Z88" s="67">
        <v>837000</v>
      </c>
      <c r="AA88" s="35">
        <v>0</v>
      </c>
      <c r="AB88" s="67"/>
      <c r="AC88" s="40"/>
      <c r="AD88" s="42"/>
      <c r="AE88" s="41">
        <v>0</v>
      </c>
      <c r="AF88" s="43">
        <v>0</v>
      </c>
      <c r="AG88" s="40">
        <v>0</v>
      </c>
      <c r="AH88" s="40"/>
      <c r="AI88" s="44"/>
      <c r="AJ88" s="44"/>
      <c r="AK88" s="40">
        <v>0</v>
      </c>
      <c r="AL88" s="40"/>
      <c r="AM88" s="242">
        <f t="shared" si="13"/>
        <v>44865</v>
      </c>
      <c r="AN88" s="242">
        <f>IF(AQ88="x","",IF(AQ88="x",AM88,IF(EOMONTH(I88,0)=31,"",EOMONTH(I88,0))))</f>
        <v>44957</v>
      </c>
      <c r="AO88" s="79">
        <f>IFERROR(IF(VLOOKUP(C88,C89:C692,1,0)=0,1,0),1)</f>
        <v>0</v>
      </c>
      <c r="AP88" s="79"/>
      <c r="AQ88" s="243" t="str">
        <f t="shared" si="7"/>
        <v/>
      </c>
      <c r="AR88" s="242" t="b">
        <f>IF(AQ88="x",EOMONTH(I88,0))</f>
        <v>0</v>
      </c>
      <c r="AS88" s="79">
        <f t="shared" si="8"/>
        <v>1</v>
      </c>
      <c r="AT88" s="79">
        <f t="shared" si="9"/>
        <v>1</v>
      </c>
      <c r="AU88" s="79" t="str">
        <f t="shared" si="10"/>
        <v>A</v>
      </c>
      <c r="AV88" s="79">
        <f t="shared" si="14"/>
        <v>1</v>
      </c>
      <c r="AW88" s="79" t="str">
        <f>J88&amp;AU88</f>
        <v>IntegralA</v>
      </c>
      <c r="AX88" s="79">
        <f>IF(COUNTIFS(J:J,"Integral",E:E,E88,H:H,"Ativo")=4,1/4,1/10)</f>
        <v>0.1</v>
      </c>
      <c r="AY88" s="79"/>
      <c r="AZ88" s="79"/>
    </row>
    <row r="89" spans="1:52" ht="15.75" customHeight="1">
      <c r="A89" s="31">
        <v>92</v>
      </c>
      <c r="B89" s="399">
        <v>44857</v>
      </c>
      <c r="C89" s="32" t="s">
        <v>483</v>
      </c>
      <c r="D89" s="32" t="s">
        <v>381</v>
      </c>
      <c r="E89" s="32" t="s">
        <v>376</v>
      </c>
      <c r="F89" s="32" t="s">
        <v>486</v>
      </c>
      <c r="G89" s="33" t="s">
        <v>220</v>
      </c>
      <c r="H89" s="33" t="s">
        <v>244</v>
      </c>
      <c r="I89" s="34">
        <v>44932</v>
      </c>
      <c r="J89" s="33" t="s">
        <v>6</v>
      </c>
      <c r="K89" s="35" t="s">
        <v>273</v>
      </c>
      <c r="L89" s="35" t="s">
        <v>238</v>
      </c>
      <c r="M89" s="67" t="s">
        <v>222</v>
      </c>
      <c r="N89" s="33" t="s">
        <v>68</v>
      </c>
      <c r="O89" s="33" t="s">
        <v>13</v>
      </c>
      <c r="P89" s="33" t="s">
        <v>1</v>
      </c>
      <c r="Q89" s="47"/>
      <c r="R89" s="47"/>
      <c r="S89" s="45" t="s">
        <v>222</v>
      </c>
      <c r="T89" s="45"/>
      <c r="U89" s="51">
        <v>44857</v>
      </c>
      <c r="V89" s="48">
        <f t="shared" si="12"/>
        <v>44857</v>
      </c>
      <c r="W89" s="50">
        <f>V89-U89</f>
        <v>0</v>
      </c>
      <c r="X89" s="265">
        <v>0</v>
      </c>
      <c r="Y89" s="67">
        <v>0</v>
      </c>
      <c r="Z89" s="67">
        <v>837000</v>
      </c>
      <c r="AA89" s="35">
        <v>0</v>
      </c>
      <c r="AB89" s="67"/>
      <c r="AC89" s="40"/>
      <c r="AD89" s="42"/>
      <c r="AE89" s="41">
        <v>0</v>
      </c>
      <c r="AF89" s="43">
        <v>0</v>
      </c>
      <c r="AG89" s="40">
        <v>0</v>
      </c>
      <c r="AH89" s="40"/>
      <c r="AI89" s="44"/>
      <c r="AJ89" s="44"/>
      <c r="AK89" s="40">
        <v>0</v>
      </c>
      <c r="AL89" s="40"/>
      <c r="AM89" s="242">
        <f t="shared" si="13"/>
        <v>44865</v>
      </c>
      <c r="AN89" s="242">
        <f>IF(AQ89="x","",IF(AQ89="x",AM89,IF(EOMONTH(I89,0)=31,"",EOMONTH(I89,0))))</f>
        <v>44957</v>
      </c>
      <c r="AO89" s="79">
        <f>IFERROR(IF(VLOOKUP(C89,C90:C693,1,0)=0,1,0),1)</f>
        <v>0</v>
      </c>
      <c r="AP89" s="79"/>
      <c r="AQ89" s="243" t="str">
        <f t="shared" si="7"/>
        <v/>
      </c>
      <c r="AR89" s="242" t="b">
        <f>IF(AQ89="x",EOMONTH(I89,0))</f>
        <v>0</v>
      </c>
      <c r="AS89" s="79">
        <f t="shared" si="8"/>
        <v>1</v>
      </c>
      <c r="AT89" s="79">
        <f t="shared" si="9"/>
        <v>1</v>
      </c>
      <c r="AU89" s="79" t="str">
        <f t="shared" si="10"/>
        <v>A</v>
      </c>
      <c r="AV89" s="79">
        <f t="shared" si="14"/>
        <v>1</v>
      </c>
      <c r="AW89" s="79" t="str">
        <f>J89&amp;AU89</f>
        <v>IntegralA</v>
      </c>
      <c r="AX89" s="79">
        <f>IF(COUNTIFS(J:J,"Integral",E:E,E89,H:H,"Ativo")=4,1/4,1/10)</f>
        <v>0.1</v>
      </c>
      <c r="AY89" s="79"/>
      <c r="AZ89" s="79"/>
    </row>
    <row r="90" spans="1:52" ht="15" customHeight="1">
      <c r="A90" s="31">
        <v>93</v>
      </c>
      <c r="B90" s="399">
        <v>44857</v>
      </c>
      <c r="C90" s="32" t="s">
        <v>483</v>
      </c>
      <c r="D90" s="32" t="s">
        <v>395</v>
      </c>
      <c r="E90" s="32" t="s">
        <v>376</v>
      </c>
      <c r="F90" s="32" t="s">
        <v>487</v>
      </c>
      <c r="G90" s="33" t="s">
        <v>220</v>
      </c>
      <c r="H90" s="33" t="s">
        <v>244</v>
      </c>
      <c r="I90" s="34">
        <v>44932</v>
      </c>
      <c r="J90" s="33" t="s">
        <v>6</v>
      </c>
      <c r="K90" s="35" t="s">
        <v>273</v>
      </c>
      <c r="L90" s="35" t="s">
        <v>238</v>
      </c>
      <c r="M90" s="67" t="s">
        <v>222</v>
      </c>
      <c r="N90" s="33" t="s">
        <v>68</v>
      </c>
      <c r="O90" s="33" t="s">
        <v>13</v>
      </c>
      <c r="P90" s="33" t="s">
        <v>1</v>
      </c>
      <c r="Q90" s="47"/>
      <c r="R90" s="47"/>
      <c r="S90" s="45" t="s">
        <v>222</v>
      </c>
      <c r="T90" s="45"/>
      <c r="U90" s="51">
        <v>44857</v>
      </c>
      <c r="V90" s="48">
        <f t="shared" si="12"/>
        <v>44857</v>
      </c>
      <c r="W90" s="50">
        <f>V90-U90</f>
        <v>0</v>
      </c>
      <c r="X90" s="265">
        <v>0</v>
      </c>
      <c r="Y90" s="67">
        <v>0</v>
      </c>
      <c r="Z90" s="67">
        <v>837000</v>
      </c>
      <c r="AA90" s="35">
        <v>0</v>
      </c>
      <c r="AB90" s="67"/>
      <c r="AC90" s="40"/>
      <c r="AD90" s="42"/>
      <c r="AE90" s="41">
        <v>0</v>
      </c>
      <c r="AF90" s="43">
        <v>0</v>
      </c>
      <c r="AG90" s="40">
        <v>0</v>
      </c>
      <c r="AH90" s="40"/>
      <c r="AI90" s="44"/>
      <c r="AJ90" s="44"/>
      <c r="AK90" s="40">
        <v>0</v>
      </c>
      <c r="AL90" s="40"/>
      <c r="AM90" s="242">
        <f t="shared" si="13"/>
        <v>44865</v>
      </c>
      <c r="AN90" s="242">
        <f>IF(AQ90="x","",IF(AQ90="x",AM90,IF(EOMONTH(I90,0)=31,"",EOMONTH(I90,0))))</f>
        <v>44957</v>
      </c>
      <c r="AO90" s="79">
        <f>IFERROR(IF(VLOOKUP(C90,C91:C694,1,0)=0,1,0),1)</f>
        <v>1</v>
      </c>
      <c r="AP90" s="79"/>
      <c r="AQ90" s="243" t="str">
        <f t="shared" si="7"/>
        <v/>
      </c>
      <c r="AR90" s="242" t="b">
        <f>IF(AQ90="x",EOMONTH(I90,0))</f>
        <v>0</v>
      </c>
      <c r="AS90" s="79">
        <f t="shared" si="8"/>
        <v>1</v>
      </c>
      <c r="AT90" s="79">
        <f t="shared" si="9"/>
        <v>1</v>
      </c>
      <c r="AU90" s="79" t="str">
        <f t="shared" si="10"/>
        <v>A</v>
      </c>
      <c r="AV90" s="79">
        <f t="shared" si="14"/>
        <v>1</v>
      </c>
      <c r="AW90" s="79" t="str">
        <f>J90&amp;AU90</f>
        <v>IntegralA</v>
      </c>
      <c r="AX90" s="79">
        <f>IF(COUNTIFS(J:J,"Integral",E:E,E90,H:H,"Ativo")=4,1/4,1/10)</f>
        <v>0.1</v>
      </c>
      <c r="AY90" s="79"/>
      <c r="AZ90" s="79"/>
    </row>
    <row r="91" spans="1:52" ht="15.75" customHeight="1">
      <c r="A91" s="31">
        <v>94</v>
      </c>
      <c r="B91" s="399">
        <v>44857</v>
      </c>
      <c r="C91" s="32" t="s">
        <v>488</v>
      </c>
      <c r="D91" s="32" t="s">
        <v>389</v>
      </c>
      <c r="E91" s="32" t="s">
        <v>385</v>
      </c>
      <c r="F91" s="32" t="s">
        <v>489</v>
      </c>
      <c r="G91" s="33" t="s">
        <v>220</v>
      </c>
      <c r="H91" s="33" t="s">
        <v>244</v>
      </c>
      <c r="I91" s="34">
        <v>45090</v>
      </c>
      <c r="J91" s="33">
        <v>6</v>
      </c>
      <c r="K91" s="35" t="s">
        <v>413</v>
      </c>
      <c r="L91" s="35" t="s">
        <v>413</v>
      </c>
      <c r="M91" s="67" t="s">
        <v>222</v>
      </c>
      <c r="N91" s="33" t="s">
        <v>68</v>
      </c>
      <c r="O91" s="33" t="s">
        <v>13</v>
      </c>
      <c r="P91" s="33" t="s">
        <v>1</v>
      </c>
      <c r="Q91" s="47"/>
      <c r="R91" s="47"/>
      <c r="S91" s="45" t="s">
        <v>222</v>
      </c>
      <c r="T91" s="45"/>
      <c r="U91" s="51">
        <v>44857</v>
      </c>
      <c r="V91" s="48">
        <f t="shared" si="12"/>
        <v>44857</v>
      </c>
      <c r="W91" s="50">
        <f>V91-U91</f>
        <v>0</v>
      </c>
      <c r="X91" s="265">
        <v>327000</v>
      </c>
      <c r="Y91" s="67">
        <v>327000</v>
      </c>
      <c r="Z91" s="67">
        <v>338000</v>
      </c>
      <c r="AA91" s="35">
        <v>0</v>
      </c>
      <c r="AB91" s="67"/>
      <c r="AC91" s="41"/>
      <c r="AD91" s="42"/>
      <c r="AE91" s="41"/>
      <c r="AF91" s="43"/>
      <c r="AG91" s="40">
        <v>11000</v>
      </c>
      <c r="AH91" s="40"/>
      <c r="AI91" s="44"/>
      <c r="AJ91" s="44"/>
      <c r="AK91" s="40">
        <v>0</v>
      </c>
      <c r="AL91" s="40">
        <v>0</v>
      </c>
      <c r="AM91" s="242">
        <f t="shared" si="13"/>
        <v>44865</v>
      </c>
      <c r="AN91" s="242">
        <f>IF(AQ91="x","",IF(AQ91="x",AM91,IF(EOMONTH(I91,0)=31,"",EOMONTH(I91,0))))</f>
        <v>45107</v>
      </c>
      <c r="AO91" s="79">
        <f>IFERROR(IF(VLOOKUP(C91,C92:C695,1,0)=0,1,0),1)</f>
        <v>1</v>
      </c>
      <c r="AP91" s="79"/>
      <c r="AQ91" s="243" t="str">
        <f t="shared" si="7"/>
        <v/>
      </c>
      <c r="AR91" s="242" t="b">
        <f>IF(AQ91="x",EOMONTH(I91,0))</f>
        <v>0</v>
      </c>
      <c r="AS91" s="79">
        <f t="shared" si="8"/>
        <v>1</v>
      </c>
      <c r="AT91" s="79">
        <f t="shared" si="9"/>
        <v>1</v>
      </c>
      <c r="AU91" s="79" t="str">
        <f t="shared" si="10"/>
        <v>B</v>
      </c>
      <c r="AV91" s="79">
        <f t="shared" si="14"/>
        <v>1</v>
      </c>
      <c r="AW91" s="79" t="str">
        <f>J91&amp;AU91</f>
        <v>6B</v>
      </c>
      <c r="AX91" s="79">
        <f>IF(COUNTIFS(J:J,"Integral",E:E,E91,H:H,"Ativo")=4,1/4,1/10)</f>
        <v>0.1</v>
      </c>
      <c r="AY91" s="79"/>
      <c r="AZ91" s="79"/>
    </row>
    <row r="92" spans="1:52" ht="15" customHeight="1">
      <c r="A92" s="31">
        <v>95</v>
      </c>
      <c r="B92" s="399">
        <v>44861</v>
      </c>
      <c r="C92" s="32" t="s">
        <v>490</v>
      </c>
      <c r="D92" s="32" t="s">
        <v>491</v>
      </c>
      <c r="E92" s="32" t="s">
        <v>402</v>
      </c>
      <c r="F92" s="32" t="s">
        <v>492</v>
      </c>
      <c r="G92" s="33" t="s">
        <v>243</v>
      </c>
      <c r="H92" s="33" t="s">
        <v>244</v>
      </c>
      <c r="I92" s="34">
        <v>44868</v>
      </c>
      <c r="J92" s="33">
        <v>4</v>
      </c>
      <c r="K92" s="35" t="s">
        <v>273</v>
      </c>
      <c r="L92" s="35" t="s">
        <v>246</v>
      </c>
      <c r="M92" s="67" t="s">
        <v>222</v>
      </c>
      <c r="N92" s="33" t="s">
        <v>68</v>
      </c>
      <c r="O92" s="33" t="s">
        <v>11</v>
      </c>
      <c r="P92" s="33" t="s">
        <v>1</v>
      </c>
      <c r="Q92" s="47"/>
      <c r="R92" s="47"/>
      <c r="S92" s="45" t="s">
        <v>222</v>
      </c>
      <c r="T92" s="45"/>
      <c r="U92" s="51">
        <v>44861</v>
      </c>
      <c r="V92" s="48">
        <f t="shared" si="12"/>
        <v>44861</v>
      </c>
      <c r="W92" s="50">
        <f>V92-U92</f>
        <v>0</v>
      </c>
      <c r="X92" s="265">
        <v>0</v>
      </c>
      <c r="Y92" s="67">
        <v>0</v>
      </c>
      <c r="Z92" s="67">
        <v>194500</v>
      </c>
      <c r="AA92" s="35">
        <v>0</v>
      </c>
      <c r="AB92" s="67"/>
      <c r="AC92" s="40"/>
      <c r="AD92" s="42"/>
      <c r="AE92" s="41">
        <v>0</v>
      </c>
      <c r="AF92" s="43">
        <v>0</v>
      </c>
      <c r="AG92" s="40">
        <v>0</v>
      </c>
      <c r="AH92" s="40"/>
      <c r="AI92" s="44"/>
      <c r="AJ92" s="44"/>
      <c r="AK92" s="40">
        <v>0</v>
      </c>
      <c r="AL92" s="40"/>
      <c r="AM92" s="242">
        <f t="shared" si="13"/>
        <v>44865</v>
      </c>
      <c r="AN92" s="242" t="str">
        <f>IF(AQ92="x","",IF(AQ92="x",AM92,IF(EOMONTH(I92,0)=31,"",EOMONTH(I92,0))))</f>
        <v/>
      </c>
      <c r="AO92" s="79">
        <f>IFERROR(IF(VLOOKUP(C92,C93:C696,1,0)=0,1,0),1)</f>
        <v>0</v>
      </c>
      <c r="AP92" s="79"/>
      <c r="AQ92" s="243" t="str">
        <f t="shared" si="7"/>
        <v>x</v>
      </c>
      <c r="AR92" s="242">
        <f>IF(AQ92="x",EOMONTH(I92,0))</f>
        <v>44895</v>
      </c>
      <c r="AS92" s="79">
        <f t="shared" si="8"/>
        <v>1</v>
      </c>
      <c r="AT92" s="79">
        <f t="shared" si="9"/>
        <v>1</v>
      </c>
      <c r="AU92" s="79" t="str">
        <f t="shared" si="10"/>
        <v>B</v>
      </c>
      <c r="AV92" s="79">
        <f t="shared" si="14"/>
        <v>1</v>
      </c>
      <c r="AW92" s="79" t="str">
        <f>J92&amp;AU92</f>
        <v>4B</v>
      </c>
      <c r="AX92" s="79">
        <f>IF(COUNTIFS(J:J,"Integral",E:E,E92,H:H,"Ativo")=4,1/4,1/10)</f>
        <v>0.1</v>
      </c>
      <c r="AY92" s="79"/>
      <c r="AZ92" s="79"/>
    </row>
    <row r="93" spans="1:52" ht="15.75" customHeight="1">
      <c r="A93" s="31">
        <v>96</v>
      </c>
      <c r="B93" s="399">
        <v>44861</v>
      </c>
      <c r="C93" s="32" t="s">
        <v>490</v>
      </c>
      <c r="D93" s="32" t="s">
        <v>493</v>
      </c>
      <c r="E93" s="32" t="s">
        <v>402</v>
      </c>
      <c r="F93" s="32" t="s">
        <v>494</v>
      </c>
      <c r="G93" s="33" t="s">
        <v>243</v>
      </c>
      <c r="H93" s="33" t="s">
        <v>244</v>
      </c>
      <c r="I93" s="34">
        <v>44868</v>
      </c>
      <c r="J93" s="33">
        <v>4</v>
      </c>
      <c r="K93" s="35" t="s">
        <v>273</v>
      </c>
      <c r="L93" s="35" t="s">
        <v>246</v>
      </c>
      <c r="M93" s="67" t="s">
        <v>222</v>
      </c>
      <c r="N93" s="33" t="s">
        <v>68</v>
      </c>
      <c r="O93" s="33" t="s">
        <v>11</v>
      </c>
      <c r="P93" s="33" t="s">
        <v>1</v>
      </c>
      <c r="Q93" s="47"/>
      <c r="R93" s="47"/>
      <c r="S93" s="45" t="s">
        <v>222</v>
      </c>
      <c r="T93" s="45"/>
      <c r="U93" s="51">
        <v>44861</v>
      </c>
      <c r="V93" s="48">
        <f t="shared" si="12"/>
        <v>44861</v>
      </c>
      <c r="W93" s="50">
        <f>V93-U93</f>
        <v>0</v>
      </c>
      <c r="X93" s="265">
        <v>0</v>
      </c>
      <c r="Y93" s="67">
        <v>0</v>
      </c>
      <c r="Z93" s="67">
        <v>194500</v>
      </c>
      <c r="AA93" s="35">
        <v>0</v>
      </c>
      <c r="AB93" s="67"/>
      <c r="AC93" s="40"/>
      <c r="AD93" s="42"/>
      <c r="AE93" s="41">
        <v>0</v>
      </c>
      <c r="AF93" s="43">
        <v>0</v>
      </c>
      <c r="AG93" s="40">
        <v>0</v>
      </c>
      <c r="AH93" s="40"/>
      <c r="AI93" s="44"/>
      <c r="AJ93" s="44"/>
      <c r="AK93" s="40">
        <v>0</v>
      </c>
      <c r="AL93" s="40"/>
      <c r="AM93" s="242">
        <f t="shared" si="13"/>
        <v>44865</v>
      </c>
      <c r="AN93" s="242" t="str">
        <f>IF(AQ93="x","",IF(AQ93="x",AM93,IF(EOMONTH(I93,0)=31,"",EOMONTH(I93,0))))</f>
        <v/>
      </c>
      <c r="AO93" s="79">
        <f>IFERROR(IF(VLOOKUP(C93,C94:C697,1,0)=0,1,0),1)</f>
        <v>1</v>
      </c>
      <c r="AP93" s="79"/>
      <c r="AQ93" s="243" t="str">
        <f t="shared" si="7"/>
        <v>x</v>
      </c>
      <c r="AR93" s="242">
        <f>IF(AQ93="x",EOMONTH(I93,0))</f>
        <v>44895</v>
      </c>
      <c r="AS93" s="79">
        <f t="shared" si="8"/>
        <v>1</v>
      </c>
      <c r="AT93" s="79">
        <f t="shared" si="9"/>
        <v>1</v>
      </c>
      <c r="AU93" s="79" t="str">
        <f t="shared" si="10"/>
        <v>B</v>
      </c>
      <c r="AV93" s="79">
        <f t="shared" si="14"/>
        <v>1</v>
      </c>
      <c r="AW93" s="79" t="str">
        <f>J93&amp;AU93</f>
        <v>4B</v>
      </c>
      <c r="AX93" s="79">
        <f>IF(COUNTIFS(J:J,"Integral",E:E,E93,H:H,"Ativo")=4,1/4,1/10)</f>
        <v>0.1</v>
      </c>
      <c r="AY93" s="79"/>
      <c r="AZ93" s="79"/>
    </row>
    <row r="94" spans="1:52" ht="15.75" customHeight="1">
      <c r="A94" s="31">
        <v>97</v>
      </c>
      <c r="B94" s="399">
        <v>44862</v>
      </c>
      <c r="C94" s="32" t="s">
        <v>495</v>
      </c>
      <c r="D94" s="32" t="s">
        <v>496</v>
      </c>
      <c r="E94" s="32" t="s">
        <v>497</v>
      </c>
      <c r="F94" s="32" t="s">
        <v>498</v>
      </c>
      <c r="G94" s="33" t="s">
        <v>220</v>
      </c>
      <c r="H94" s="33" t="s">
        <v>90</v>
      </c>
      <c r="I94" s="34">
        <v>0</v>
      </c>
      <c r="J94" s="33" t="s">
        <v>6</v>
      </c>
      <c r="K94" s="35" t="s">
        <v>378</v>
      </c>
      <c r="L94" s="35" t="s">
        <v>238</v>
      </c>
      <c r="M94" s="67" t="s">
        <v>222</v>
      </c>
      <c r="N94" s="33" t="s">
        <v>68</v>
      </c>
      <c r="O94" s="33" t="s">
        <v>13</v>
      </c>
      <c r="P94" s="33" t="s">
        <v>1</v>
      </c>
      <c r="Q94" s="47"/>
      <c r="R94" s="47"/>
      <c r="S94" s="45" t="s">
        <v>152</v>
      </c>
      <c r="T94" s="45"/>
      <c r="U94" s="51">
        <v>44862</v>
      </c>
      <c r="V94" s="48">
        <f t="shared" si="12"/>
        <v>44862</v>
      </c>
      <c r="W94" s="50">
        <f>V94-U94</f>
        <v>0</v>
      </c>
      <c r="X94" s="261">
        <v>1140250</v>
      </c>
      <c r="Y94" s="260">
        <v>1140250</v>
      </c>
      <c r="Z94" s="260">
        <v>1147750</v>
      </c>
      <c r="AA94" s="35">
        <v>0</v>
      </c>
      <c r="AB94" s="260"/>
      <c r="AC94" s="41"/>
      <c r="AD94" s="42"/>
      <c r="AE94" s="41"/>
      <c r="AF94" s="43"/>
      <c r="AG94" s="40">
        <v>7500</v>
      </c>
      <c r="AH94" s="40"/>
      <c r="AI94" s="44"/>
      <c r="AJ94" s="44"/>
      <c r="AK94" s="40">
        <v>0</v>
      </c>
      <c r="AL94" s="40">
        <v>0</v>
      </c>
      <c r="AM94" s="242">
        <f t="shared" si="13"/>
        <v>44865</v>
      </c>
      <c r="AN94" s="242" t="str">
        <f>IF(AQ94="x","",IF(AQ94="x",AM94,IF(EOMONTH(I94,0)=31,"",EOMONTH(I94,0))))</f>
        <v/>
      </c>
      <c r="AO94" s="79">
        <f>IFERROR(IF(VLOOKUP(C94,C95:C699,1,0)=0,1,0),1)</f>
        <v>0</v>
      </c>
      <c r="AP94" s="79"/>
      <c r="AQ94" s="243" t="str">
        <f t="shared" si="7"/>
        <v/>
      </c>
      <c r="AR94" s="242" t="b">
        <f>IF(AQ94="x",EOMONTH(I94,0))</f>
        <v>0</v>
      </c>
      <c r="AS94" s="79">
        <f t="shared" si="8"/>
        <v>1</v>
      </c>
      <c r="AT94" s="79">
        <f t="shared" si="9"/>
        <v>1</v>
      </c>
      <c r="AU94" s="79" t="str">
        <f t="shared" si="10"/>
        <v>A</v>
      </c>
      <c r="AV94" s="79">
        <f t="shared" si="14"/>
        <v>1</v>
      </c>
      <c r="AW94" s="79" t="str">
        <f>J94&amp;AU94</f>
        <v>IntegralA</v>
      </c>
      <c r="AX94" s="79">
        <f>IF(COUNTIFS(J:J,"Integral",E:E,E94,H:H,"Ativo")=4,1/4,1/10)</f>
        <v>0.25</v>
      </c>
      <c r="AY94" s="79"/>
      <c r="AZ94" s="79"/>
    </row>
    <row r="95" spans="1:52" ht="15.75" customHeight="1">
      <c r="A95" s="31">
        <v>98</v>
      </c>
      <c r="B95" s="399">
        <v>44862</v>
      </c>
      <c r="C95" s="32" t="s">
        <v>495</v>
      </c>
      <c r="D95" s="32" t="s">
        <v>499</v>
      </c>
      <c r="E95" s="32" t="s">
        <v>497</v>
      </c>
      <c r="F95" s="32" t="s">
        <v>500</v>
      </c>
      <c r="G95" s="33" t="s">
        <v>220</v>
      </c>
      <c r="H95" s="33" t="s">
        <v>90</v>
      </c>
      <c r="I95" s="34">
        <v>0</v>
      </c>
      <c r="J95" s="33" t="s">
        <v>6</v>
      </c>
      <c r="K95" s="35" t="s">
        <v>378</v>
      </c>
      <c r="L95" s="35" t="s">
        <v>238</v>
      </c>
      <c r="M95" s="67" t="s">
        <v>222</v>
      </c>
      <c r="N95" s="33" t="s">
        <v>68</v>
      </c>
      <c r="O95" s="33" t="s">
        <v>13</v>
      </c>
      <c r="P95" s="33" t="s">
        <v>1</v>
      </c>
      <c r="Q95" s="47"/>
      <c r="R95" s="47"/>
      <c r="S95" s="45" t="s">
        <v>152</v>
      </c>
      <c r="T95" s="45"/>
      <c r="U95" s="51">
        <v>44862</v>
      </c>
      <c r="V95" s="48">
        <f t="shared" si="12"/>
        <v>44862</v>
      </c>
      <c r="W95" s="50">
        <f>V95-U95</f>
        <v>0</v>
      </c>
      <c r="X95" s="261">
        <v>1140250</v>
      </c>
      <c r="Y95" s="260">
        <v>1140250</v>
      </c>
      <c r="Z95" s="260">
        <v>1147750</v>
      </c>
      <c r="AA95" s="35">
        <v>0</v>
      </c>
      <c r="AB95" s="260"/>
      <c r="AC95" s="41"/>
      <c r="AD95" s="42"/>
      <c r="AE95" s="41"/>
      <c r="AF95" s="43"/>
      <c r="AG95" s="40">
        <v>7500</v>
      </c>
      <c r="AH95" s="40"/>
      <c r="AI95" s="44"/>
      <c r="AJ95" s="44"/>
      <c r="AK95" s="40">
        <v>0</v>
      </c>
      <c r="AL95" s="40">
        <v>0</v>
      </c>
      <c r="AM95" s="242">
        <f t="shared" si="13"/>
        <v>44865</v>
      </c>
      <c r="AN95" s="242" t="str">
        <f>IF(AQ95="x","",IF(AQ95="x",AM95,IF(EOMONTH(I95,0)=31,"",EOMONTH(I95,0))))</f>
        <v/>
      </c>
      <c r="AO95" s="79">
        <f>IFERROR(IF(VLOOKUP(C95,C96:C700,1,0)=0,1,0),1)</f>
        <v>0</v>
      </c>
      <c r="AP95" s="79"/>
      <c r="AQ95" s="243" t="str">
        <f t="shared" si="7"/>
        <v/>
      </c>
      <c r="AR95" s="242" t="b">
        <f>IF(AQ95="x",EOMONTH(I95,0))</f>
        <v>0</v>
      </c>
      <c r="AS95" s="79">
        <f t="shared" si="8"/>
        <v>1</v>
      </c>
      <c r="AT95" s="79">
        <f t="shared" si="9"/>
        <v>1</v>
      </c>
      <c r="AU95" s="79" t="str">
        <f t="shared" si="10"/>
        <v>A</v>
      </c>
      <c r="AV95" s="79">
        <f t="shared" si="14"/>
        <v>1</v>
      </c>
      <c r="AW95" s="79" t="str">
        <f>J95&amp;AU95</f>
        <v>IntegralA</v>
      </c>
      <c r="AX95" s="79">
        <f>IF(COUNTIFS(J:J,"Integral",E:E,E95,H:H,"Ativo")=4,1/4,1/10)</f>
        <v>0.25</v>
      </c>
      <c r="AY95" s="79"/>
      <c r="AZ95" s="79"/>
    </row>
    <row r="96" spans="1:52" ht="15.75" customHeight="1">
      <c r="A96" s="31">
        <v>99</v>
      </c>
      <c r="B96" s="399">
        <v>44862</v>
      </c>
      <c r="C96" s="32" t="s">
        <v>495</v>
      </c>
      <c r="D96" s="32" t="s">
        <v>501</v>
      </c>
      <c r="E96" s="32" t="s">
        <v>497</v>
      </c>
      <c r="F96" s="32" t="s">
        <v>502</v>
      </c>
      <c r="G96" s="33" t="s">
        <v>220</v>
      </c>
      <c r="H96" s="33" t="s">
        <v>90</v>
      </c>
      <c r="I96" s="34">
        <v>0</v>
      </c>
      <c r="J96" s="33" t="s">
        <v>6</v>
      </c>
      <c r="K96" s="35" t="s">
        <v>378</v>
      </c>
      <c r="L96" s="35" t="s">
        <v>238</v>
      </c>
      <c r="M96" s="67" t="s">
        <v>222</v>
      </c>
      <c r="N96" s="33" t="s">
        <v>68</v>
      </c>
      <c r="O96" s="33" t="s">
        <v>13</v>
      </c>
      <c r="P96" s="33" t="s">
        <v>1</v>
      </c>
      <c r="Q96" s="47"/>
      <c r="R96" s="47"/>
      <c r="S96" s="45" t="s">
        <v>152</v>
      </c>
      <c r="T96" s="45"/>
      <c r="U96" s="51">
        <v>44862</v>
      </c>
      <c r="V96" s="48">
        <f t="shared" si="12"/>
        <v>44862</v>
      </c>
      <c r="W96" s="50">
        <f>V96-U96</f>
        <v>0</v>
      </c>
      <c r="X96" s="261">
        <v>1140250</v>
      </c>
      <c r="Y96" s="260">
        <v>1140250</v>
      </c>
      <c r="Z96" s="260">
        <v>1147750</v>
      </c>
      <c r="AA96" s="35">
        <v>0</v>
      </c>
      <c r="AB96" s="260"/>
      <c r="AC96" s="41"/>
      <c r="AD96" s="42"/>
      <c r="AE96" s="41"/>
      <c r="AF96" s="43"/>
      <c r="AG96" s="40">
        <v>7500</v>
      </c>
      <c r="AH96" s="40"/>
      <c r="AI96" s="44"/>
      <c r="AJ96" s="44"/>
      <c r="AK96" s="40">
        <v>0</v>
      </c>
      <c r="AL96" s="40">
        <v>0</v>
      </c>
      <c r="AM96" s="242">
        <f t="shared" si="13"/>
        <v>44865</v>
      </c>
      <c r="AN96" s="242" t="str">
        <f>IF(AQ96="x","",IF(AQ96="x",AM96,IF(EOMONTH(I96,0)=31,"",EOMONTH(I96,0))))</f>
        <v/>
      </c>
      <c r="AO96" s="79">
        <f>IFERROR(IF(VLOOKUP(C96,C97:C701,1,0)=0,1,0),1)</f>
        <v>0</v>
      </c>
      <c r="AP96" s="79"/>
      <c r="AQ96" s="243" t="str">
        <f t="shared" si="7"/>
        <v/>
      </c>
      <c r="AR96" s="242" t="b">
        <f>IF(AQ96="x",EOMONTH(I96,0))</f>
        <v>0</v>
      </c>
      <c r="AS96" s="79">
        <f t="shared" si="8"/>
        <v>1</v>
      </c>
      <c r="AT96" s="79">
        <f t="shared" si="9"/>
        <v>1</v>
      </c>
      <c r="AU96" s="79" t="str">
        <f t="shared" si="10"/>
        <v>A</v>
      </c>
      <c r="AV96" s="79">
        <f t="shared" si="14"/>
        <v>1</v>
      </c>
      <c r="AW96" s="79" t="str">
        <f>J96&amp;AU96</f>
        <v>IntegralA</v>
      </c>
      <c r="AX96" s="79">
        <f>IF(COUNTIFS(J:J,"Integral",E:E,E96,H:H,"Ativo")=4,1/4,1/10)</f>
        <v>0.25</v>
      </c>
      <c r="AY96" s="79"/>
      <c r="AZ96" s="79"/>
    </row>
    <row r="97" spans="1:52" ht="15.75" customHeight="1">
      <c r="A97" s="31">
        <v>100</v>
      </c>
      <c r="B97" s="399">
        <v>44862</v>
      </c>
      <c r="C97" s="32" t="s">
        <v>495</v>
      </c>
      <c r="D97" s="32" t="s">
        <v>503</v>
      </c>
      <c r="E97" s="32" t="s">
        <v>497</v>
      </c>
      <c r="F97" s="32" t="s">
        <v>504</v>
      </c>
      <c r="G97" s="33" t="s">
        <v>220</v>
      </c>
      <c r="H97" s="33" t="s">
        <v>90</v>
      </c>
      <c r="I97" s="34">
        <v>0</v>
      </c>
      <c r="J97" s="33" t="s">
        <v>6</v>
      </c>
      <c r="K97" s="35" t="s">
        <v>378</v>
      </c>
      <c r="L97" s="35" t="s">
        <v>238</v>
      </c>
      <c r="M97" s="67" t="s">
        <v>222</v>
      </c>
      <c r="N97" s="33" t="s">
        <v>68</v>
      </c>
      <c r="O97" s="33" t="s">
        <v>13</v>
      </c>
      <c r="P97" s="33" t="s">
        <v>1</v>
      </c>
      <c r="Q97" s="47"/>
      <c r="R97" s="47"/>
      <c r="S97" s="45" t="s">
        <v>152</v>
      </c>
      <c r="T97" s="45"/>
      <c r="U97" s="51">
        <v>44862</v>
      </c>
      <c r="V97" s="48">
        <f t="shared" si="12"/>
        <v>44862</v>
      </c>
      <c r="W97" s="50">
        <f>V97-U97</f>
        <v>0</v>
      </c>
      <c r="X97" s="261">
        <v>1140250</v>
      </c>
      <c r="Y97" s="260">
        <v>1140250</v>
      </c>
      <c r="Z97" s="260">
        <v>1147750</v>
      </c>
      <c r="AA97" s="35">
        <v>0</v>
      </c>
      <c r="AB97" s="260"/>
      <c r="AC97" s="41"/>
      <c r="AD97" s="42"/>
      <c r="AE97" s="41"/>
      <c r="AF97" s="43"/>
      <c r="AG97" s="40">
        <v>7500</v>
      </c>
      <c r="AH97" s="40"/>
      <c r="AI97" s="44"/>
      <c r="AJ97" s="44"/>
      <c r="AK97" s="40">
        <v>0</v>
      </c>
      <c r="AL97" s="40">
        <v>0</v>
      </c>
      <c r="AM97" s="242">
        <f t="shared" si="13"/>
        <v>44865</v>
      </c>
      <c r="AN97" s="242" t="str">
        <f>IF(AQ97="x","",IF(AQ97="x",AM97,IF(EOMONTH(I97,0)=31,"",EOMONTH(I97,0))))</f>
        <v/>
      </c>
      <c r="AO97" s="79">
        <f>IFERROR(IF(VLOOKUP(C97,C98:C702,1,0)=0,1,0),1)</f>
        <v>1</v>
      </c>
      <c r="AP97" s="79"/>
      <c r="AQ97" s="243" t="str">
        <f t="shared" si="7"/>
        <v/>
      </c>
      <c r="AR97" s="242" t="b">
        <f>IF(AQ97="x",EOMONTH(I97,0))</f>
        <v>0</v>
      </c>
      <c r="AS97" s="79">
        <f t="shared" si="8"/>
        <v>1</v>
      </c>
      <c r="AT97" s="79">
        <f t="shared" si="9"/>
        <v>1</v>
      </c>
      <c r="AU97" s="79" t="str">
        <f t="shared" si="10"/>
        <v>A</v>
      </c>
      <c r="AV97" s="79">
        <f t="shared" si="14"/>
        <v>1</v>
      </c>
      <c r="AW97" s="79" t="str">
        <f>J97&amp;AU97</f>
        <v>IntegralA</v>
      </c>
      <c r="AX97" s="79">
        <f>IF(COUNTIFS(J:J,"Integral",E:E,E97,H:H,"Ativo")=4,1/4,1/10)</f>
        <v>0.25</v>
      </c>
      <c r="AY97" s="79"/>
      <c r="AZ97" s="79"/>
    </row>
    <row r="98" spans="1:52" ht="15.75" customHeight="1">
      <c r="A98" s="31">
        <v>101</v>
      </c>
      <c r="B98" s="399">
        <v>44930</v>
      </c>
      <c r="C98" s="32" t="s">
        <v>505</v>
      </c>
      <c r="D98" s="32" t="s">
        <v>506</v>
      </c>
      <c r="E98" s="32" t="s">
        <v>316</v>
      </c>
      <c r="F98" s="32" t="s">
        <v>507</v>
      </c>
      <c r="G98" s="33" t="s">
        <v>220</v>
      </c>
      <c r="H98" s="33" t="s">
        <v>90</v>
      </c>
      <c r="I98" s="34">
        <v>0</v>
      </c>
      <c r="J98" s="33">
        <v>6</v>
      </c>
      <c r="K98" s="35" t="s">
        <v>508</v>
      </c>
      <c r="L98" s="35" t="s">
        <v>474</v>
      </c>
      <c r="M98" s="67" t="s">
        <v>222</v>
      </c>
      <c r="N98" s="33" t="s">
        <v>73</v>
      </c>
      <c r="O98" s="33" t="s">
        <v>12</v>
      </c>
      <c r="P98" s="33" t="s">
        <v>85</v>
      </c>
      <c r="Q98" s="47"/>
      <c r="R98" s="47"/>
      <c r="S98" s="45" t="s">
        <v>143</v>
      </c>
      <c r="T98" s="45"/>
      <c r="U98" s="47" t="s">
        <v>222</v>
      </c>
      <c r="V98" s="48">
        <f t="shared" si="12"/>
        <v>44930</v>
      </c>
      <c r="W98" s="50"/>
      <c r="X98" s="261">
        <v>360000</v>
      </c>
      <c r="Y98" s="260">
        <v>360000</v>
      </c>
      <c r="Z98" s="260">
        <v>361549.19</v>
      </c>
      <c r="AA98" s="35">
        <v>0</v>
      </c>
      <c r="AB98" s="260"/>
      <c r="AC98" s="41"/>
      <c r="AD98" s="42"/>
      <c r="AE98" s="41"/>
      <c r="AF98" s="43"/>
      <c r="AG98" s="40">
        <v>1549.1900000000023</v>
      </c>
      <c r="AH98" s="40">
        <v>0</v>
      </c>
      <c r="AI98" s="44"/>
      <c r="AJ98" s="44"/>
      <c r="AK98" s="40">
        <v>0</v>
      </c>
      <c r="AL98" s="40">
        <v>0</v>
      </c>
      <c r="AM98" s="242">
        <f t="shared" si="13"/>
        <v>44957</v>
      </c>
      <c r="AN98" s="242" t="str">
        <f>IF(AQ98="x","",IF(AQ98="x",AM98,IF(EOMONTH(I98,0)=31,"",EOMONTH(I98,0))))</f>
        <v/>
      </c>
      <c r="AO98" s="79">
        <f>IFERROR(IF(VLOOKUP(C98,C99:C702,1,0)=0,1,0),1)</f>
        <v>1</v>
      </c>
      <c r="AP98" s="79"/>
      <c r="AQ98" s="243" t="str">
        <f t="shared" si="7"/>
        <v/>
      </c>
      <c r="AR98" s="242" t="b">
        <f>IF(AQ98="x",EOMONTH(I98,0))</f>
        <v>0</v>
      </c>
      <c r="AS98" s="79">
        <f t="shared" si="8"/>
        <v>1</v>
      </c>
      <c r="AT98" s="79">
        <f t="shared" si="9"/>
        <v>1</v>
      </c>
      <c r="AU98" s="79" t="str">
        <f t="shared" si="10"/>
        <v>B</v>
      </c>
      <c r="AV98" s="79">
        <f t="shared" si="14"/>
        <v>1</v>
      </c>
      <c r="AW98" s="79" t="str">
        <f>J98&amp;AU98</f>
        <v>6B</v>
      </c>
      <c r="AX98" s="79">
        <f>IF(COUNTIFS(J:J,"Integral",E:E,E98,H:H,"Ativo")=4,1/4,1/10)</f>
        <v>0.1</v>
      </c>
      <c r="AY98" s="79"/>
      <c r="AZ98" s="79"/>
    </row>
    <row r="99" spans="1:52" ht="15.75" customHeight="1">
      <c r="A99" s="31">
        <v>102</v>
      </c>
      <c r="B99" s="399">
        <v>44864</v>
      </c>
      <c r="C99" s="32" t="s">
        <v>509</v>
      </c>
      <c r="D99" s="32" t="s">
        <v>510</v>
      </c>
      <c r="E99" s="32" t="s">
        <v>385</v>
      </c>
      <c r="F99" s="32" t="s">
        <v>511</v>
      </c>
      <c r="G99" s="33" t="s">
        <v>220</v>
      </c>
      <c r="H99" s="33" t="s">
        <v>244</v>
      </c>
      <c r="I99" s="34">
        <v>44868</v>
      </c>
      <c r="J99" s="33">
        <v>4</v>
      </c>
      <c r="K99" s="35" t="s">
        <v>394</v>
      </c>
      <c r="L99" s="35" t="s">
        <v>387</v>
      </c>
      <c r="M99" s="67" t="s">
        <v>222</v>
      </c>
      <c r="N99" s="33" t="s">
        <v>68</v>
      </c>
      <c r="O99" s="33" t="s">
        <v>13</v>
      </c>
      <c r="P99" s="33" t="s">
        <v>1</v>
      </c>
      <c r="Q99" s="47"/>
      <c r="R99" s="47"/>
      <c r="S99" s="45" t="s">
        <v>222</v>
      </c>
      <c r="T99" s="45"/>
      <c r="U99" s="51">
        <v>44864</v>
      </c>
      <c r="V99" s="48">
        <f t="shared" si="12"/>
        <v>44864</v>
      </c>
      <c r="W99" s="50">
        <f>V99-U99</f>
        <v>0</v>
      </c>
      <c r="X99" s="265">
        <v>0</v>
      </c>
      <c r="Y99" s="67">
        <v>0</v>
      </c>
      <c r="Z99" s="67">
        <v>221930</v>
      </c>
      <c r="AA99" s="35">
        <v>0</v>
      </c>
      <c r="AB99" s="67"/>
      <c r="AC99" s="40"/>
      <c r="AD99" s="42"/>
      <c r="AE99" s="41">
        <v>0</v>
      </c>
      <c r="AF99" s="43">
        <v>0</v>
      </c>
      <c r="AG99" s="40">
        <v>0</v>
      </c>
      <c r="AH99" s="40"/>
      <c r="AI99" s="44"/>
      <c r="AJ99" s="44"/>
      <c r="AK99" s="40">
        <v>0</v>
      </c>
      <c r="AL99" s="40"/>
      <c r="AM99" s="242">
        <f t="shared" si="13"/>
        <v>44865</v>
      </c>
      <c r="AN99" s="242">
        <f>IF(AQ99="x","",IF(AQ99="x",AM99,IF(EOMONTH(I99,0)=31,"",EOMONTH(I99,0))))</f>
        <v>44895</v>
      </c>
      <c r="AO99" s="79">
        <f>IFERROR(IF(VLOOKUP(C99,C100:C703,1,0)=0,1,0),1)</f>
        <v>0</v>
      </c>
      <c r="AP99" s="79"/>
      <c r="AQ99" s="243" t="str">
        <f t="shared" si="7"/>
        <v/>
      </c>
      <c r="AR99" s="242" t="b">
        <f>IF(AQ99="x",EOMONTH(I99,0))</f>
        <v>0</v>
      </c>
      <c r="AS99" s="79">
        <f t="shared" si="8"/>
        <v>1</v>
      </c>
      <c r="AT99" s="79">
        <f t="shared" si="9"/>
        <v>1</v>
      </c>
      <c r="AU99" s="79" t="str">
        <f t="shared" si="10"/>
        <v>B</v>
      </c>
      <c r="AV99" s="79">
        <f t="shared" si="14"/>
        <v>1</v>
      </c>
      <c r="AW99" s="79" t="str">
        <f>J99&amp;AU99</f>
        <v>4B</v>
      </c>
      <c r="AX99" s="79">
        <f>IF(COUNTIFS(J:J,"Integral",E:E,E99,H:H,"Ativo")=4,1/4,1/10)</f>
        <v>0.1</v>
      </c>
      <c r="AY99" s="79"/>
      <c r="AZ99" s="79"/>
    </row>
    <row r="100" spans="1:52" ht="15.75" customHeight="1">
      <c r="A100" s="31">
        <v>103</v>
      </c>
      <c r="B100" s="399">
        <v>44864</v>
      </c>
      <c r="C100" s="32" t="s">
        <v>512</v>
      </c>
      <c r="D100" s="32" t="s">
        <v>513</v>
      </c>
      <c r="E100" s="32" t="s">
        <v>385</v>
      </c>
      <c r="F100" s="32" t="s">
        <v>514</v>
      </c>
      <c r="G100" s="33" t="s">
        <v>220</v>
      </c>
      <c r="H100" s="33" t="s">
        <v>244</v>
      </c>
      <c r="I100" s="34">
        <v>44868</v>
      </c>
      <c r="J100" s="33">
        <v>4</v>
      </c>
      <c r="K100" s="35" t="s">
        <v>394</v>
      </c>
      <c r="L100" s="35" t="s">
        <v>387</v>
      </c>
      <c r="M100" s="67" t="s">
        <v>222</v>
      </c>
      <c r="N100" s="33" t="s">
        <v>68</v>
      </c>
      <c r="O100" s="33" t="s">
        <v>13</v>
      </c>
      <c r="P100" s="33" t="s">
        <v>1</v>
      </c>
      <c r="Q100" s="47"/>
      <c r="R100" s="47"/>
      <c r="S100" s="45" t="s">
        <v>222</v>
      </c>
      <c r="T100" s="45"/>
      <c r="U100" s="51">
        <v>44864</v>
      </c>
      <c r="V100" s="48">
        <f t="shared" si="12"/>
        <v>44864</v>
      </c>
      <c r="W100" s="50">
        <f>V100-U100</f>
        <v>0</v>
      </c>
      <c r="X100" s="265">
        <v>0</v>
      </c>
      <c r="Y100" s="67">
        <v>0</v>
      </c>
      <c r="Z100" s="67">
        <v>221930</v>
      </c>
      <c r="AA100" s="35">
        <v>0</v>
      </c>
      <c r="AB100" s="67"/>
      <c r="AC100" s="40"/>
      <c r="AD100" s="42"/>
      <c r="AE100" s="41">
        <v>0</v>
      </c>
      <c r="AF100" s="43">
        <v>0</v>
      </c>
      <c r="AG100" s="40">
        <v>0</v>
      </c>
      <c r="AH100" s="40"/>
      <c r="AI100" s="44"/>
      <c r="AJ100" s="44"/>
      <c r="AK100" s="40">
        <v>0</v>
      </c>
      <c r="AL100" s="40"/>
      <c r="AM100" s="242">
        <f t="shared" si="13"/>
        <v>44865</v>
      </c>
      <c r="AN100" s="242">
        <f>IF(AQ100="x","",IF(AQ100="x",AM100,IF(EOMONTH(I100,0)=31,"",EOMONTH(I100,0))))</f>
        <v>44895</v>
      </c>
      <c r="AO100" s="79">
        <f>IFERROR(IF(VLOOKUP(C100,C101:C704,1,0)=0,1,0),1)</f>
        <v>0</v>
      </c>
      <c r="AP100" s="79"/>
      <c r="AQ100" s="243" t="str">
        <f t="shared" ref="AQ100:AQ163" si="15">IF(MID(G100,1,15)="NAO ASSINADO","x","")</f>
        <v/>
      </c>
      <c r="AR100" s="242" t="b">
        <f>IF(AQ100="x",EOMONTH(I100,0))</f>
        <v>0</v>
      </c>
      <c r="AS100" s="79">
        <f t="shared" ref="AS100:AS163" si="16">IF(AH100&lt;0,0,1)</f>
        <v>1</v>
      </c>
      <c r="AT100" s="79">
        <f t="shared" ref="AT100:AT163" si="17">IF(AL100&lt;0,0,1)</f>
        <v>1</v>
      </c>
      <c r="AU100" s="79" t="str">
        <f t="shared" ref="AU100:AU163" si="18">MID(E100,1,1)</f>
        <v>B</v>
      </c>
      <c r="AV100" s="79">
        <f t="shared" ref="AV100:AV131" si="19">IF(AG100&lt;0,0,1)</f>
        <v>1</v>
      </c>
      <c r="AW100" s="79" t="str">
        <f>J100&amp;AU100</f>
        <v>4B</v>
      </c>
      <c r="AX100" s="79">
        <f>IF(COUNTIFS(J:J,"Integral",E:E,E100,H:H,"Ativo")=4,1/4,1/10)</f>
        <v>0.1</v>
      </c>
      <c r="AY100" s="79"/>
      <c r="AZ100" s="79"/>
    </row>
    <row r="101" spans="1:52" ht="15.75" customHeight="1">
      <c r="A101" s="31">
        <v>104</v>
      </c>
      <c r="B101" s="399">
        <v>44864</v>
      </c>
      <c r="C101" s="32" t="s">
        <v>512</v>
      </c>
      <c r="D101" s="32" t="s">
        <v>515</v>
      </c>
      <c r="E101" s="32" t="s">
        <v>385</v>
      </c>
      <c r="F101" s="32" t="s">
        <v>516</v>
      </c>
      <c r="G101" s="33" t="s">
        <v>220</v>
      </c>
      <c r="H101" s="33" t="s">
        <v>244</v>
      </c>
      <c r="I101" s="34">
        <v>44868</v>
      </c>
      <c r="J101" s="33">
        <v>4</v>
      </c>
      <c r="K101" s="35" t="s">
        <v>394</v>
      </c>
      <c r="L101" s="35" t="s">
        <v>387</v>
      </c>
      <c r="M101" s="67" t="s">
        <v>222</v>
      </c>
      <c r="N101" s="33" t="s">
        <v>68</v>
      </c>
      <c r="O101" s="33" t="s">
        <v>13</v>
      </c>
      <c r="P101" s="33" t="s">
        <v>1</v>
      </c>
      <c r="Q101" s="47"/>
      <c r="R101" s="47"/>
      <c r="S101" s="45" t="s">
        <v>222</v>
      </c>
      <c r="T101" s="45"/>
      <c r="U101" s="51">
        <v>44864</v>
      </c>
      <c r="V101" s="48">
        <f t="shared" si="12"/>
        <v>44864</v>
      </c>
      <c r="W101" s="50">
        <f>V101-U101</f>
        <v>0</v>
      </c>
      <c r="X101" s="265">
        <v>0</v>
      </c>
      <c r="Y101" s="67">
        <v>0</v>
      </c>
      <c r="Z101" s="67">
        <v>221930</v>
      </c>
      <c r="AA101" s="35">
        <v>0</v>
      </c>
      <c r="AB101" s="67"/>
      <c r="AC101" s="40"/>
      <c r="AD101" s="42"/>
      <c r="AE101" s="41">
        <v>0</v>
      </c>
      <c r="AF101" s="43">
        <v>0</v>
      </c>
      <c r="AG101" s="40">
        <v>0</v>
      </c>
      <c r="AH101" s="40"/>
      <c r="AI101" s="44"/>
      <c r="AJ101" s="44"/>
      <c r="AK101" s="40">
        <v>0</v>
      </c>
      <c r="AL101" s="40"/>
      <c r="AM101" s="242">
        <f t="shared" si="13"/>
        <v>44865</v>
      </c>
      <c r="AN101" s="242">
        <f>IF(AQ101="x","",IF(AQ101="x",AM101,IF(EOMONTH(I101,0)=31,"",EOMONTH(I101,0))))</f>
        <v>44895</v>
      </c>
      <c r="AO101" s="79">
        <f>IFERROR(IF(VLOOKUP(C101,C102:C705,1,0)=0,1,0),1)</f>
        <v>1</v>
      </c>
      <c r="AP101" s="79"/>
      <c r="AQ101" s="243" t="str">
        <f t="shared" si="15"/>
        <v/>
      </c>
      <c r="AR101" s="242" t="b">
        <f>IF(AQ101="x",EOMONTH(I101,0))</f>
        <v>0</v>
      </c>
      <c r="AS101" s="79">
        <f t="shared" si="16"/>
        <v>1</v>
      </c>
      <c r="AT101" s="79">
        <f t="shared" si="17"/>
        <v>1</v>
      </c>
      <c r="AU101" s="79" t="str">
        <f t="shared" si="18"/>
        <v>B</v>
      </c>
      <c r="AV101" s="79">
        <f t="shared" si="19"/>
        <v>1</v>
      </c>
      <c r="AW101" s="79" t="str">
        <f>J101&amp;AU101</f>
        <v>4B</v>
      </c>
      <c r="AX101" s="79">
        <f>IF(COUNTIFS(J:J,"Integral",E:E,E101,H:H,"Ativo")=4,1/4,1/10)</f>
        <v>0.1</v>
      </c>
      <c r="AY101" s="79"/>
      <c r="AZ101" s="79"/>
    </row>
    <row r="102" spans="1:52" ht="15.75" customHeight="1">
      <c r="A102" s="31">
        <v>105</v>
      </c>
      <c r="B102" s="399">
        <v>44864</v>
      </c>
      <c r="C102" s="32" t="s">
        <v>509</v>
      </c>
      <c r="D102" s="32" t="s">
        <v>517</v>
      </c>
      <c r="E102" s="32" t="s">
        <v>385</v>
      </c>
      <c r="F102" s="32" t="s">
        <v>518</v>
      </c>
      <c r="G102" s="33" t="s">
        <v>220</v>
      </c>
      <c r="H102" s="33" t="s">
        <v>244</v>
      </c>
      <c r="I102" s="34">
        <v>44868</v>
      </c>
      <c r="J102" s="33">
        <v>4</v>
      </c>
      <c r="K102" s="35" t="s">
        <v>394</v>
      </c>
      <c r="L102" s="35" t="s">
        <v>387</v>
      </c>
      <c r="M102" s="67" t="s">
        <v>222</v>
      </c>
      <c r="N102" s="33" t="s">
        <v>68</v>
      </c>
      <c r="O102" s="33" t="s">
        <v>13</v>
      </c>
      <c r="P102" s="33" t="s">
        <v>1</v>
      </c>
      <c r="Q102" s="47"/>
      <c r="R102" s="47"/>
      <c r="S102" s="45" t="s">
        <v>222</v>
      </c>
      <c r="T102" s="45"/>
      <c r="U102" s="51">
        <v>44864</v>
      </c>
      <c r="V102" s="48">
        <f t="shared" si="12"/>
        <v>44864</v>
      </c>
      <c r="W102" s="50">
        <f>V102-U102</f>
        <v>0</v>
      </c>
      <c r="X102" s="265">
        <v>0</v>
      </c>
      <c r="Y102" s="67">
        <v>0</v>
      </c>
      <c r="Z102" s="67">
        <v>221930</v>
      </c>
      <c r="AA102" s="35">
        <v>0</v>
      </c>
      <c r="AB102" s="67"/>
      <c r="AC102" s="40"/>
      <c r="AD102" s="42"/>
      <c r="AE102" s="41">
        <v>0</v>
      </c>
      <c r="AF102" s="43">
        <v>0</v>
      </c>
      <c r="AG102" s="40">
        <v>0</v>
      </c>
      <c r="AH102" s="40"/>
      <c r="AI102" s="44"/>
      <c r="AJ102" s="44"/>
      <c r="AK102" s="40">
        <v>0</v>
      </c>
      <c r="AL102" s="40"/>
      <c r="AM102" s="242">
        <f t="shared" si="13"/>
        <v>44865</v>
      </c>
      <c r="AN102" s="242">
        <f>IF(AQ102="x","",IF(AQ102="x",AM102,IF(EOMONTH(I102,0)=31,"",EOMONTH(I102,0))))</f>
        <v>44895</v>
      </c>
      <c r="AO102" s="79">
        <f>IFERROR(IF(VLOOKUP(C102,C103:C706,1,0)=0,1,0),1)</f>
        <v>1</v>
      </c>
      <c r="AP102" s="79"/>
      <c r="AQ102" s="243" t="str">
        <f t="shared" si="15"/>
        <v/>
      </c>
      <c r="AR102" s="242" t="b">
        <f>IF(AQ102="x",EOMONTH(I102,0))</f>
        <v>0</v>
      </c>
      <c r="AS102" s="79">
        <f t="shared" si="16"/>
        <v>1</v>
      </c>
      <c r="AT102" s="79">
        <f t="shared" si="17"/>
        <v>1</v>
      </c>
      <c r="AU102" s="79" t="str">
        <f t="shared" si="18"/>
        <v>B</v>
      </c>
      <c r="AV102" s="79">
        <f t="shared" si="19"/>
        <v>1</v>
      </c>
      <c r="AW102" s="79" t="str">
        <f>J102&amp;AU102</f>
        <v>4B</v>
      </c>
      <c r="AX102" s="79">
        <f>IF(COUNTIFS(J:J,"Integral",E:E,E102,H:H,"Ativo")=4,1/4,1/10)</f>
        <v>0.1</v>
      </c>
      <c r="AY102" s="79"/>
      <c r="AZ102" s="79"/>
    </row>
    <row r="103" spans="1:52" ht="15.75" customHeight="1">
      <c r="A103" s="31">
        <v>106</v>
      </c>
      <c r="B103" s="399">
        <v>44866</v>
      </c>
      <c r="C103" s="32" t="s">
        <v>519</v>
      </c>
      <c r="D103" s="32" t="s">
        <v>520</v>
      </c>
      <c r="E103" s="32" t="s">
        <v>235</v>
      </c>
      <c r="F103" s="32" t="s">
        <v>521</v>
      </c>
      <c r="G103" s="33" t="s">
        <v>243</v>
      </c>
      <c r="H103" s="33" t="s">
        <v>244</v>
      </c>
      <c r="I103" s="34">
        <v>44869</v>
      </c>
      <c r="J103" s="33">
        <v>13</v>
      </c>
      <c r="K103" s="35" t="s">
        <v>333</v>
      </c>
      <c r="L103" s="35" t="s">
        <v>238</v>
      </c>
      <c r="M103" s="67" t="s">
        <v>222</v>
      </c>
      <c r="N103" s="33" t="s">
        <v>68</v>
      </c>
      <c r="O103" s="33" t="s">
        <v>13</v>
      </c>
      <c r="P103" s="33" t="s">
        <v>1</v>
      </c>
      <c r="Q103" s="47"/>
      <c r="R103" s="47"/>
      <c r="S103" s="45" t="s">
        <v>222</v>
      </c>
      <c r="T103" s="45"/>
      <c r="U103" s="51">
        <v>44866</v>
      </c>
      <c r="V103" s="48">
        <f t="shared" si="12"/>
        <v>44866</v>
      </c>
      <c r="W103" s="50">
        <f>V103-U103</f>
        <v>0</v>
      </c>
      <c r="X103" s="265">
        <v>0</v>
      </c>
      <c r="Y103" s="67">
        <v>0</v>
      </c>
      <c r="Z103" s="67">
        <v>1037000</v>
      </c>
      <c r="AA103" s="35">
        <v>0</v>
      </c>
      <c r="AB103" s="67"/>
      <c r="AC103" s="40"/>
      <c r="AD103" s="42"/>
      <c r="AE103" s="41">
        <v>0</v>
      </c>
      <c r="AF103" s="43">
        <v>0</v>
      </c>
      <c r="AG103" s="40">
        <v>0</v>
      </c>
      <c r="AH103" s="40"/>
      <c r="AI103" s="44"/>
      <c r="AJ103" s="44"/>
      <c r="AK103" s="40">
        <v>0</v>
      </c>
      <c r="AL103" s="40"/>
      <c r="AM103" s="242">
        <f t="shared" si="13"/>
        <v>44895</v>
      </c>
      <c r="AN103" s="242" t="str">
        <f>IF(AQ103="x","",IF(AQ103="x",AM103,IF(EOMONTH(I103,0)=31,"",EOMONTH(I103,0))))</f>
        <v/>
      </c>
      <c r="AO103" s="79">
        <f>IFERROR(IF(VLOOKUP(C103,C104:C707,1,0)=0,1,0),1)</f>
        <v>1</v>
      </c>
      <c r="AP103" s="79"/>
      <c r="AQ103" s="243" t="str">
        <f t="shared" si="15"/>
        <v>x</v>
      </c>
      <c r="AR103" s="242">
        <f>IF(AQ103="x",EOMONTH(I103,0))</f>
        <v>44895</v>
      </c>
      <c r="AS103" s="79">
        <f t="shared" si="16"/>
        <v>1</v>
      </c>
      <c r="AT103" s="79">
        <f t="shared" si="17"/>
        <v>1</v>
      </c>
      <c r="AU103" s="79" t="str">
        <f t="shared" si="18"/>
        <v>A</v>
      </c>
      <c r="AV103" s="79">
        <f t="shared" si="19"/>
        <v>1</v>
      </c>
      <c r="AW103" s="79" t="str">
        <f>J103&amp;AU103</f>
        <v>13A</v>
      </c>
      <c r="AX103" s="79">
        <f>IF(COUNTIFS(J:J,"Integral",E:E,E103,H:H,"Ativo")=4,1/4,1/10)</f>
        <v>0.1</v>
      </c>
      <c r="AY103" s="79"/>
      <c r="AZ103" s="79"/>
    </row>
    <row r="104" spans="1:52" ht="15.75" customHeight="1">
      <c r="A104" s="31">
        <v>107</v>
      </c>
      <c r="B104" s="399">
        <v>44868</v>
      </c>
      <c r="C104" s="32" t="s">
        <v>522</v>
      </c>
      <c r="D104" s="32" t="s">
        <v>523</v>
      </c>
      <c r="E104" s="32" t="s">
        <v>524</v>
      </c>
      <c r="F104" s="32" t="s">
        <v>525</v>
      </c>
      <c r="G104" s="33" t="s">
        <v>243</v>
      </c>
      <c r="H104" s="33" t="s">
        <v>244</v>
      </c>
      <c r="I104" s="34">
        <v>44879</v>
      </c>
      <c r="J104" s="33" t="s">
        <v>6</v>
      </c>
      <c r="K104" s="35" t="s">
        <v>425</v>
      </c>
      <c r="L104" s="35" t="s">
        <v>238</v>
      </c>
      <c r="M104" s="67" t="s">
        <v>222</v>
      </c>
      <c r="N104" s="33" t="s">
        <v>68</v>
      </c>
      <c r="O104" s="33" t="s">
        <v>13</v>
      </c>
      <c r="P104" s="33" t="s">
        <v>1</v>
      </c>
      <c r="Q104" s="47"/>
      <c r="R104" s="47"/>
      <c r="S104" s="45" t="s">
        <v>222</v>
      </c>
      <c r="T104" s="45"/>
      <c r="U104" s="51">
        <v>44868</v>
      </c>
      <c r="V104" s="48">
        <f t="shared" si="12"/>
        <v>44868</v>
      </c>
      <c r="W104" s="50">
        <f>V104-U104</f>
        <v>0</v>
      </c>
      <c r="X104" s="265">
        <v>0</v>
      </c>
      <c r="Y104" s="67">
        <v>0</v>
      </c>
      <c r="Z104" s="67">
        <v>975000</v>
      </c>
      <c r="AA104" s="35">
        <v>0</v>
      </c>
      <c r="AB104" s="67"/>
      <c r="AC104" s="40"/>
      <c r="AD104" s="42"/>
      <c r="AE104" s="41">
        <v>0</v>
      </c>
      <c r="AF104" s="43">
        <v>0</v>
      </c>
      <c r="AG104" s="40">
        <v>0</v>
      </c>
      <c r="AH104" s="40"/>
      <c r="AI104" s="44"/>
      <c r="AJ104" s="44"/>
      <c r="AK104" s="40">
        <v>0</v>
      </c>
      <c r="AL104" s="40"/>
      <c r="AM104" s="242">
        <f t="shared" si="13"/>
        <v>44895</v>
      </c>
      <c r="AN104" s="242" t="str">
        <f>IF(AQ104="x","",IF(AQ104="x",AM104,IF(EOMONTH(I104,0)=31,"",EOMONTH(I104,0))))</f>
        <v/>
      </c>
      <c r="AO104" s="79">
        <f>IFERROR(IF(VLOOKUP(C104,C105:C708,1,0)=0,1,0),1)</f>
        <v>0</v>
      </c>
      <c r="AP104" s="79"/>
      <c r="AQ104" s="243" t="str">
        <f t="shared" si="15"/>
        <v>x</v>
      </c>
      <c r="AR104" s="242">
        <f>IF(AQ104="x",EOMONTH(I104,0))</f>
        <v>44895</v>
      </c>
      <c r="AS104" s="79">
        <f t="shared" si="16"/>
        <v>1</v>
      </c>
      <c r="AT104" s="79">
        <f t="shared" si="17"/>
        <v>1</v>
      </c>
      <c r="AU104" s="79" t="str">
        <f t="shared" si="18"/>
        <v>A</v>
      </c>
      <c r="AV104" s="79">
        <f t="shared" si="19"/>
        <v>1</v>
      </c>
      <c r="AW104" s="79" t="str">
        <f>J104&amp;AU104</f>
        <v>IntegralA</v>
      </c>
      <c r="AX104" s="79">
        <f>IF(COUNTIFS(J:J,"Integral",E:E,E104,H:H,"Ativo")=4,1/4,1/10)</f>
        <v>0.25</v>
      </c>
      <c r="AY104" s="79"/>
      <c r="AZ104" s="79"/>
    </row>
    <row r="105" spans="1:52" ht="15.75" customHeight="1">
      <c r="A105" s="31">
        <v>108</v>
      </c>
      <c r="B105" s="399">
        <v>44868</v>
      </c>
      <c r="C105" s="32" t="s">
        <v>522</v>
      </c>
      <c r="D105" s="32" t="s">
        <v>526</v>
      </c>
      <c r="E105" s="32" t="s">
        <v>524</v>
      </c>
      <c r="F105" s="32" t="s">
        <v>527</v>
      </c>
      <c r="G105" s="33" t="s">
        <v>243</v>
      </c>
      <c r="H105" s="33" t="s">
        <v>244</v>
      </c>
      <c r="I105" s="34">
        <v>44879</v>
      </c>
      <c r="J105" s="33" t="s">
        <v>6</v>
      </c>
      <c r="K105" s="35" t="s">
        <v>425</v>
      </c>
      <c r="L105" s="35" t="s">
        <v>238</v>
      </c>
      <c r="M105" s="67" t="s">
        <v>222</v>
      </c>
      <c r="N105" s="33" t="s">
        <v>68</v>
      </c>
      <c r="O105" s="33" t="s">
        <v>13</v>
      </c>
      <c r="P105" s="33" t="s">
        <v>1</v>
      </c>
      <c r="Q105" s="47"/>
      <c r="R105" s="47"/>
      <c r="S105" s="45" t="s">
        <v>222</v>
      </c>
      <c r="T105" s="45"/>
      <c r="U105" s="51">
        <v>44868</v>
      </c>
      <c r="V105" s="48">
        <f t="shared" si="12"/>
        <v>44868</v>
      </c>
      <c r="W105" s="50">
        <f>V105-U105</f>
        <v>0</v>
      </c>
      <c r="X105" s="265">
        <v>0</v>
      </c>
      <c r="Y105" s="67">
        <v>0</v>
      </c>
      <c r="Z105" s="67">
        <v>975000</v>
      </c>
      <c r="AA105" s="35">
        <v>0</v>
      </c>
      <c r="AB105" s="67"/>
      <c r="AC105" s="40"/>
      <c r="AD105" s="42"/>
      <c r="AE105" s="41">
        <v>0</v>
      </c>
      <c r="AF105" s="43">
        <v>0</v>
      </c>
      <c r="AG105" s="40">
        <v>0</v>
      </c>
      <c r="AH105" s="40"/>
      <c r="AI105" s="44"/>
      <c r="AJ105" s="44"/>
      <c r="AK105" s="40">
        <v>0</v>
      </c>
      <c r="AL105" s="40"/>
      <c r="AM105" s="242">
        <f t="shared" si="13"/>
        <v>44895</v>
      </c>
      <c r="AN105" s="242" t="str">
        <f>IF(AQ105="x","",IF(AQ105="x",AM105,IF(EOMONTH(I105,0)=31,"",EOMONTH(I105,0))))</f>
        <v/>
      </c>
      <c r="AO105" s="79">
        <f>IFERROR(IF(VLOOKUP(C105,C106:C709,1,0)=0,1,0),1)</f>
        <v>0</v>
      </c>
      <c r="AP105" s="79"/>
      <c r="AQ105" s="243" t="str">
        <f t="shared" si="15"/>
        <v>x</v>
      </c>
      <c r="AR105" s="242">
        <f>IF(AQ105="x",EOMONTH(I105,0))</f>
        <v>44895</v>
      </c>
      <c r="AS105" s="79">
        <f t="shared" si="16"/>
        <v>1</v>
      </c>
      <c r="AT105" s="79">
        <f t="shared" si="17"/>
        <v>1</v>
      </c>
      <c r="AU105" s="79" t="str">
        <f t="shared" si="18"/>
        <v>A</v>
      </c>
      <c r="AV105" s="79">
        <f t="shared" si="19"/>
        <v>1</v>
      </c>
      <c r="AW105" s="79" t="str">
        <f>J105&amp;AU105</f>
        <v>IntegralA</v>
      </c>
      <c r="AX105" s="79">
        <f>IF(COUNTIFS(J:J,"Integral",E:E,E105,H:H,"Ativo")=4,1/4,1/10)</f>
        <v>0.25</v>
      </c>
      <c r="AY105" s="79"/>
      <c r="AZ105" s="79"/>
    </row>
    <row r="106" spans="1:52" ht="15.75" customHeight="1">
      <c r="A106" s="31">
        <v>109</v>
      </c>
      <c r="B106" s="399">
        <v>44868</v>
      </c>
      <c r="C106" s="32" t="s">
        <v>522</v>
      </c>
      <c r="D106" s="32" t="s">
        <v>528</v>
      </c>
      <c r="E106" s="32" t="s">
        <v>524</v>
      </c>
      <c r="F106" s="32" t="s">
        <v>529</v>
      </c>
      <c r="G106" s="33" t="s">
        <v>243</v>
      </c>
      <c r="H106" s="33" t="s">
        <v>244</v>
      </c>
      <c r="I106" s="34">
        <v>44879</v>
      </c>
      <c r="J106" s="33" t="s">
        <v>6</v>
      </c>
      <c r="K106" s="35" t="s">
        <v>425</v>
      </c>
      <c r="L106" s="35" t="s">
        <v>238</v>
      </c>
      <c r="M106" s="67" t="s">
        <v>222</v>
      </c>
      <c r="N106" s="33" t="s">
        <v>68</v>
      </c>
      <c r="O106" s="33" t="s">
        <v>13</v>
      </c>
      <c r="P106" s="33" t="s">
        <v>1</v>
      </c>
      <c r="Q106" s="47"/>
      <c r="R106" s="47"/>
      <c r="S106" s="45" t="s">
        <v>222</v>
      </c>
      <c r="T106" s="45"/>
      <c r="U106" s="51">
        <v>44868</v>
      </c>
      <c r="V106" s="48">
        <f t="shared" si="12"/>
        <v>44868</v>
      </c>
      <c r="W106" s="50">
        <f>V106-U106</f>
        <v>0</v>
      </c>
      <c r="X106" s="265">
        <v>0</v>
      </c>
      <c r="Y106" s="67">
        <v>0</v>
      </c>
      <c r="Z106" s="67">
        <v>975000</v>
      </c>
      <c r="AA106" s="35">
        <v>0</v>
      </c>
      <c r="AB106" s="67"/>
      <c r="AC106" s="40"/>
      <c r="AD106" s="42"/>
      <c r="AE106" s="41">
        <v>0</v>
      </c>
      <c r="AF106" s="43">
        <v>0</v>
      </c>
      <c r="AG106" s="40">
        <v>0</v>
      </c>
      <c r="AH106" s="40"/>
      <c r="AI106" s="44"/>
      <c r="AJ106" s="44"/>
      <c r="AK106" s="40">
        <v>0</v>
      </c>
      <c r="AL106" s="40"/>
      <c r="AM106" s="242">
        <f t="shared" si="13"/>
        <v>44895</v>
      </c>
      <c r="AN106" s="242" t="str">
        <f>IF(AQ106="x","",IF(AQ106="x",AM106,IF(EOMONTH(I106,0)=31,"",EOMONTH(I106,0))))</f>
        <v/>
      </c>
      <c r="AO106" s="79">
        <f>IFERROR(IF(VLOOKUP(C106,C107:C710,1,0)=0,1,0),1)</f>
        <v>0</v>
      </c>
      <c r="AP106" s="79"/>
      <c r="AQ106" s="243" t="str">
        <f t="shared" si="15"/>
        <v>x</v>
      </c>
      <c r="AR106" s="242">
        <f>IF(AQ106="x",EOMONTH(I106,0))</f>
        <v>44895</v>
      </c>
      <c r="AS106" s="79">
        <f t="shared" si="16"/>
        <v>1</v>
      </c>
      <c r="AT106" s="79">
        <f t="shared" si="17"/>
        <v>1</v>
      </c>
      <c r="AU106" s="79" t="str">
        <f t="shared" si="18"/>
        <v>A</v>
      </c>
      <c r="AV106" s="79">
        <f t="shared" si="19"/>
        <v>1</v>
      </c>
      <c r="AW106" s="79" t="str">
        <f>J106&amp;AU106</f>
        <v>IntegralA</v>
      </c>
      <c r="AX106" s="79">
        <f>IF(COUNTIFS(J:J,"Integral",E:E,E106,H:H,"Ativo")=4,1/4,1/10)</f>
        <v>0.25</v>
      </c>
      <c r="AY106" s="79"/>
      <c r="AZ106" s="79"/>
    </row>
    <row r="107" spans="1:52" ht="15.75" customHeight="1">
      <c r="A107" s="31">
        <v>110</v>
      </c>
      <c r="B107" s="399">
        <v>44868</v>
      </c>
      <c r="C107" s="32" t="s">
        <v>522</v>
      </c>
      <c r="D107" s="32" t="s">
        <v>530</v>
      </c>
      <c r="E107" s="32" t="s">
        <v>524</v>
      </c>
      <c r="F107" s="32" t="s">
        <v>531</v>
      </c>
      <c r="G107" s="33" t="s">
        <v>243</v>
      </c>
      <c r="H107" s="33" t="s">
        <v>244</v>
      </c>
      <c r="I107" s="34">
        <v>44879</v>
      </c>
      <c r="J107" s="33" t="s">
        <v>6</v>
      </c>
      <c r="K107" s="35" t="s">
        <v>425</v>
      </c>
      <c r="L107" s="35" t="s">
        <v>238</v>
      </c>
      <c r="M107" s="67" t="s">
        <v>222</v>
      </c>
      <c r="N107" s="33" t="s">
        <v>68</v>
      </c>
      <c r="O107" s="33" t="s">
        <v>13</v>
      </c>
      <c r="P107" s="33" t="s">
        <v>1</v>
      </c>
      <c r="Q107" s="47"/>
      <c r="R107" s="47"/>
      <c r="S107" s="45" t="s">
        <v>222</v>
      </c>
      <c r="T107" s="45"/>
      <c r="U107" s="51">
        <v>44868</v>
      </c>
      <c r="V107" s="48">
        <f t="shared" si="12"/>
        <v>44868</v>
      </c>
      <c r="W107" s="50">
        <f>V107-U107</f>
        <v>0</v>
      </c>
      <c r="X107" s="265">
        <v>0</v>
      </c>
      <c r="Y107" s="67">
        <v>0</v>
      </c>
      <c r="Z107" s="67">
        <v>975000</v>
      </c>
      <c r="AA107" s="35">
        <v>0</v>
      </c>
      <c r="AB107" s="67"/>
      <c r="AC107" s="40"/>
      <c r="AD107" s="42"/>
      <c r="AE107" s="41">
        <v>0</v>
      </c>
      <c r="AF107" s="43">
        <v>0</v>
      </c>
      <c r="AG107" s="40">
        <v>0</v>
      </c>
      <c r="AH107" s="40"/>
      <c r="AI107" s="44"/>
      <c r="AJ107" s="44"/>
      <c r="AK107" s="40">
        <v>0</v>
      </c>
      <c r="AL107" s="40"/>
      <c r="AM107" s="242">
        <f t="shared" si="13"/>
        <v>44895</v>
      </c>
      <c r="AN107" s="242" t="str">
        <f>IF(AQ107="x","",IF(AQ107="x",AM107,IF(EOMONTH(I107,0)=31,"",EOMONTH(I107,0))))</f>
        <v/>
      </c>
      <c r="AO107" s="79">
        <f>IFERROR(IF(VLOOKUP(C107,C108:C711,1,0)=0,1,0),1)</f>
        <v>1</v>
      </c>
      <c r="AP107" s="79"/>
      <c r="AQ107" s="243" t="str">
        <f t="shared" si="15"/>
        <v>x</v>
      </c>
      <c r="AR107" s="242">
        <f>IF(AQ107="x",EOMONTH(I107,0))</f>
        <v>44895</v>
      </c>
      <c r="AS107" s="79">
        <f t="shared" si="16"/>
        <v>1</v>
      </c>
      <c r="AT107" s="79">
        <f t="shared" si="17"/>
        <v>1</v>
      </c>
      <c r="AU107" s="79" t="str">
        <f t="shared" si="18"/>
        <v>A</v>
      </c>
      <c r="AV107" s="79">
        <f t="shared" si="19"/>
        <v>1</v>
      </c>
      <c r="AW107" s="79" t="str">
        <f>J107&amp;AU107</f>
        <v>IntegralA</v>
      </c>
      <c r="AX107" s="79">
        <f>IF(COUNTIFS(J:J,"Integral",E:E,E107,H:H,"Ativo")=4,1/4,1/10)</f>
        <v>0.25</v>
      </c>
      <c r="AY107" s="79"/>
      <c r="AZ107" s="79"/>
    </row>
    <row r="108" spans="1:52" ht="15.75" customHeight="1">
      <c r="A108" s="31">
        <v>111</v>
      </c>
      <c r="B108" s="399">
        <v>44870</v>
      </c>
      <c r="C108" s="32" t="s">
        <v>532</v>
      </c>
      <c r="D108" s="32" t="s">
        <v>533</v>
      </c>
      <c r="E108" s="32" t="s">
        <v>406</v>
      </c>
      <c r="F108" s="32" t="s">
        <v>534</v>
      </c>
      <c r="G108" s="33" t="s">
        <v>220</v>
      </c>
      <c r="H108" s="33" t="s">
        <v>90</v>
      </c>
      <c r="I108" s="34">
        <v>0</v>
      </c>
      <c r="J108" s="33">
        <v>13</v>
      </c>
      <c r="K108" s="35" t="s">
        <v>318</v>
      </c>
      <c r="L108" s="35" t="s">
        <v>238</v>
      </c>
      <c r="M108" s="67" t="s">
        <v>222</v>
      </c>
      <c r="N108" s="33" t="s">
        <v>68</v>
      </c>
      <c r="O108" s="33" t="s">
        <v>13</v>
      </c>
      <c r="P108" s="33" t="s">
        <v>1</v>
      </c>
      <c r="Q108" s="47"/>
      <c r="R108" s="47"/>
      <c r="S108" s="45" t="s">
        <v>143</v>
      </c>
      <c r="T108" s="45"/>
      <c r="U108" s="51">
        <v>44870</v>
      </c>
      <c r="V108" s="48">
        <f t="shared" si="12"/>
        <v>44870</v>
      </c>
      <c r="W108" s="50">
        <f>V108-U108</f>
        <v>0</v>
      </c>
      <c r="X108" s="261">
        <v>683000</v>
      </c>
      <c r="Y108" s="260">
        <v>683000</v>
      </c>
      <c r="Z108" s="260">
        <v>697000</v>
      </c>
      <c r="AA108" s="35">
        <v>0</v>
      </c>
      <c r="AB108" s="260"/>
      <c r="AC108" s="41"/>
      <c r="AD108" s="42"/>
      <c r="AE108" s="41"/>
      <c r="AF108" s="43"/>
      <c r="AG108" s="40">
        <v>14000</v>
      </c>
      <c r="AH108" s="40"/>
      <c r="AI108" s="44"/>
      <c r="AJ108" s="44"/>
      <c r="AK108" s="40">
        <v>0</v>
      </c>
      <c r="AL108" s="40">
        <v>0</v>
      </c>
      <c r="AM108" s="242">
        <f t="shared" si="13"/>
        <v>44895</v>
      </c>
      <c r="AN108" s="242" t="str">
        <f>IF(AQ108="x","",IF(AQ108="x",AM108,IF(EOMONTH(I108,0)=31,"",EOMONTH(I108,0))))</f>
        <v/>
      </c>
      <c r="AO108" s="79">
        <f>IFERROR(IF(VLOOKUP(C108,C109:C712,1,0)=0,1,0),1)</f>
        <v>1</v>
      </c>
      <c r="AP108" s="79"/>
      <c r="AQ108" s="243" t="str">
        <f t="shared" si="15"/>
        <v/>
      </c>
      <c r="AR108" s="242" t="b">
        <f>IF(AQ108="x",EOMONTH(I108,0))</f>
        <v>0</v>
      </c>
      <c r="AS108" s="79">
        <f t="shared" si="16"/>
        <v>1</v>
      </c>
      <c r="AT108" s="79">
        <f t="shared" si="17"/>
        <v>1</v>
      </c>
      <c r="AU108" s="79" t="str">
        <f t="shared" si="18"/>
        <v>B</v>
      </c>
      <c r="AV108" s="79">
        <f t="shared" si="19"/>
        <v>1</v>
      </c>
      <c r="AW108" s="79" t="str">
        <f>J108&amp;AU108</f>
        <v>13B</v>
      </c>
      <c r="AX108" s="79">
        <f>IF(COUNTIFS(J:J,"Integral",E:E,E108,H:H,"Ativo")=4,1/4,1/10)</f>
        <v>0.1</v>
      </c>
      <c r="AY108" s="79"/>
      <c r="AZ108" s="79"/>
    </row>
    <row r="109" spans="1:52" ht="15.75" customHeight="1">
      <c r="A109" s="31">
        <v>112</v>
      </c>
      <c r="B109" s="399">
        <v>44870</v>
      </c>
      <c r="C109" s="32" t="s">
        <v>535</v>
      </c>
      <c r="D109" s="32" t="s">
        <v>536</v>
      </c>
      <c r="E109" s="32" t="s">
        <v>537</v>
      </c>
      <c r="F109" s="32" t="s">
        <v>538</v>
      </c>
      <c r="G109" s="33" t="s">
        <v>220</v>
      </c>
      <c r="H109" s="33" t="s">
        <v>244</v>
      </c>
      <c r="I109" s="34">
        <v>44886</v>
      </c>
      <c r="J109" s="33" t="s">
        <v>6</v>
      </c>
      <c r="K109" s="35" t="s">
        <v>273</v>
      </c>
      <c r="L109" s="35" t="s">
        <v>238</v>
      </c>
      <c r="M109" s="67" t="s">
        <v>222</v>
      </c>
      <c r="N109" s="33" t="s">
        <v>68</v>
      </c>
      <c r="O109" s="33" t="s">
        <v>13</v>
      </c>
      <c r="P109" s="33" t="s">
        <v>1</v>
      </c>
      <c r="Q109" s="47"/>
      <c r="R109" s="47"/>
      <c r="S109" s="45" t="s">
        <v>222</v>
      </c>
      <c r="T109" s="45"/>
      <c r="U109" s="51">
        <v>44870</v>
      </c>
      <c r="V109" s="48">
        <f t="shared" si="12"/>
        <v>44870</v>
      </c>
      <c r="W109" s="50">
        <f>V109-U109</f>
        <v>0</v>
      </c>
      <c r="X109" s="265">
        <v>0</v>
      </c>
      <c r="Y109" s="67">
        <v>0</v>
      </c>
      <c r="Z109" s="67">
        <v>1682500</v>
      </c>
      <c r="AA109" s="35">
        <v>0</v>
      </c>
      <c r="AB109" s="67"/>
      <c r="AC109" s="40"/>
      <c r="AD109" s="42"/>
      <c r="AE109" s="41">
        <v>0</v>
      </c>
      <c r="AF109" s="43">
        <v>0</v>
      </c>
      <c r="AG109" s="40">
        <v>0</v>
      </c>
      <c r="AH109" s="40"/>
      <c r="AI109" s="44"/>
      <c r="AJ109" s="44"/>
      <c r="AK109" s="40">
        <v>0</v>
      </c>
      <c r="AL109" s="40"/>
      <c r="AM109" s="242">
        <f t="shared" si="13"/>
        <v>44895</v>
      </c>
      <c r="AN109" s="242">
        <f>IF(AQ109="x","",IF(AQ109="x",AM109,IF(EOMONTH(I109,0)=31,"",EOMONTH(I109,0))))</f>
        <v>44895</v>
      </c>
      <c r="AO109" s="79">
        <f>IFERROR(IF(VLOOKUP(C109,C110:C713,1,0)=0,1,0),1)</f>
        <v>0</v>
      </c>
      <c r="AP109" s="79"/>
      <c r="AQ109" s="243" t="str">
        <f t="shared" si="15"/>
        <v/>
      </c>
      <c r="AR109" s="242" t="b">
        <f>IF(AQ109="x",EOMONTH(I109,0))</f>
        <v>0</v>
      </c>
      <c r="AS109" s="79">
        <f t="shared" si="16"/>
        <v>1</v>
      </c>
      <c r="AT109" s="79">
        <f t="shared" si="17"/>
        <v>1</v>
      </c>
      <c r="AU109" s="79" t="str">
        <f t="shared" si="18"/>
        <v>A</v>
      </c>
      <c r="AV109" s="79">
        <f t="shared" si="19"/>
        <v>1</v>
      </c>
      <c r="AW109" s="79" t="str">
        <f>J109&amp;AU109</f>
        <v>IntegralA</v>
      </c>
      <c r="AX109" s="79">
        <f>IF(COUNTIFS(J:J,"Integral",E:E,E109,H:H,"Ativo")=4,1/4,1/10)</f>
        <v>0.25</v>
      </c>
      <c r="AY109" s="79"/>
      <c r="AZ109" s="79"/>
    </row>
    <row r="110" spans="1:52" ht="15.75" customHeight="1">
      <c r="A110" s="31">
        <v>113</v>
      </c>
      <c r="B110" s="399">
        <v>44870</v>
      </c>
      <c r="C110" s="32" t="s">
        <v>535</v>
      </c>
      <c r="D110" s="32" t="s">
        <v>539</v>
      </c>
      <c r="E110" s="32" t="s">
        <v>537</v>
      </c>
      <c r="F110" s="32" t="s">
        <v>540</v>
      </c>
      <c r="G110" s="33" t="s">
        <v>220</v>
      </c>
      <c r="H110" s="33" t="s">
        <v>244</v>
      </c>
      <c r="I110" s="34">
        <v>44886</v>
      </c>
      <c r="J110" s="33" t="s">
        <v>6</v>
      </c>
      <c r="K110" s="35" t="s">
        <v>273</v>
      </c>
      <c r="L110" s="35" t="s">
        <v>238</v>
      </c>
      <c r="M110" s="67" t="s">
        <v>222</v>
      </c>
      <c r="N110" s="33" t="s">
        <v>68</v>
      </c>
      <c r="O110" s="33" t="s">
        <v>13</v>
      </c>
      <c r="P110" s="33" t="s">
        <v>1</v>
      </c>
      <c r="Q110" s="47"/>
      <c r="R110" s="47"/>
      <c r="S110" s="45" t="s">
        <v>222</v>
      </c>
      <c r="T110" s="45"/>
      <c r="U110" s="51">
        <v>44870</v>
      </c>
      <c r="V110" s="48">
        <f t="shared" si="12"/>
        <v>44870</v>
      </c>
      <c r="W110" s="50">
        <f>V110-U110</f>
        <v>0</v>
      </c>
      <c r="X110" s="265">
        <v>0</v>
      </c>
      <c r="Y110" s="67">
        <v>0</v>
      </c>
      <c r="Z110" s="67">
        <v>1682500</v>
      </c>
      <c r="AA110" s="35">
        <v>0</v>
      </c>
      <c r="AB110" s="67"/>
      <c r="AC110" s="40"/>
      <c r="AD110" s="42"/>
      <c r="AE110" s="41">
        <v>0</v>
      </c>
      <c r="AF110" s="43">
        <v>0</v>
      </c>
      <c r="AG110" s="40">
        <v>0</v>
      </c>
      <c r="AH110" s="40"/>
      <c r="AI110" s="44"/>
      <c r="AJ110" s="44"/>
      <c r="AK110" s="40">
        <v>0</v>
      </c>
      <c r="AL110" s="40"/>
      <c r="AM110" s="242">
        <f t="shared" si="13"/>
        <v>44895</v>
      </c>
      <c r="AN110" s="242">
        <f>IF(AQ110="x","",IF(AQ110="x",AM110,IF(EOMONTH(I110,0)=31,"",EOMONTH(I110,0))))</f>
        <v>44895</v>
      </c>
      <c r="AO110" s="79">
        <f>IFERROR(IF(VLOOKUP(C110,C111:C714,1,0)=0,1,0),1)</f>
        <v>0</v>
      </c>
      <c r="AP110" s="79"/>
      <c r="AQ110" s="243" t="str">
        <f t="shared" si="15"/>
        <v/>
      </c>
      <c r="AR110" s="242" t="b">
        <f>IF(AQ110="x",EOMONTH(I110,0))</f>
        <v>0</v>
      </c>
      <c r="AS110" s="79">
        <f t="shared" si="16"/>
        <v>1</v>
      </c>
      <c r="AT110" s="79">
        <f t="shared" si="17"/>
        <v>1</v>
      </c>
      <c r="AU110" s="79" t="str">
        <f t="shared" si="18"/>
        <v>A</v>
      </c>
      <c r="AV110" s="79">
        <f t="shared" si="19"/>
        <v>1</v>
      </c>
      <c r="AW110" s="79" t="str">
        <f>J110&amp;AU110</f>
        <v>IntegralA</v>
      </c>
      <c r="AX110" s="79">
        <f>IF(COUNTIFS(J:J,"Integral",E:E,E110,H:H,"Ativo")=4,1/4,1/10)</f>
        <v>0.25</v>
      </c>
      <c r="AY110" s="79"/>
      <c r="AZ110" s="79"/>
    </row>
    <row r="111" spans="1:52" ht="15.75" customHeight="1">
      <c r="A111" s="31">
        <v>114</v>
      </c>
      <c r="B111" s="399">
        <v>44870</v>
      </c>
      <c r="C111" s="32" t="s">
        <v>535</v>
      </c>
      <c r="D111" s="32" t="s">
        <v>541</v>
      </c>
      <c r="E111" s="32" t="s">
        <v>537</v>
      </c>
      <c r="F111" s="32" t="s">
        <v>542</v>
      </c>
      <c r="G111" s="33" t="s">
        <v>220</v>
      </c>
      <c r="H111" s="33" t="s">
        <v>244</v>
      </c>
      <c r="I111" s="34">
        <v>44886</v>
      </c>
      <c r="J111" s="33" t="s">
        <v>6</v>
      </c>
      <c r="K111" s="35" t="s">
        <v>273</v>
      </c>
      <c r="L111" s="35" t="s">
        <v>238</v>
      </c>
      <c r="M111" s="67" t="s">
        <v>222</v>
      </c>
      <c r="N111" s="33" t="s">
        <v>68</v>
      </c>
      <c r="O111" s="33" t="s">
        <v>13</v>
      </c>
      <c r="P111" s="33" t="s">
        <v>1</v>
      </c>
      <c r="Q111" s="47"/>
      <c r="R111" s="47"/>
      <c r="S111" s="45" t="s">
        <v>222</v>
      </c>
      <c r="T111" s="45"/>
      <c r="U111" s="51">
        <v>44870</v>
      </c>
      <c r="V111" s="48">
        <f t="shared" si="12"/>
        <v>44870</v>
      </c>
      <c r="W111" s="50">
        <f>V111-U111</f>
        <v>0</v>
      </c>
      <c r="X111" s="265">
        <v>0</v>
      </c>
      <c r="Y111" s="67">
        <v>0</v>
      </c>
      <c r="Z111" s="67">
        <v>1682500</v>
      </c>
      <c r="AA111" s="35">
        <v>0</v>
      </c>
      <c r="AB111" s="67"/>
      <c r="AC111" s="40"/>
      <c r="AD111" s="42"/>
      <c r="AE111" s="41">
        <v>0</v>
      </c>
      <c r="AF111" s="43">
        <v>0</v>
      </c>
      <c r="AG111" s="40">
        <v>0</v>
      </c>
      <c r="AH111" s="40"/>
      <c r="AI111" s="44"/>
      <c r="AJ111" s="44"/>
      <c r="AK111" s="40">
        <v>0</v>
      </c>
      <c r="AL111" s="40"/>
      <c r="AM111" s="242">
        <f t="shared" si="13"/>
        <v>44895</v>
      </c>
      <c r="AN111" s="242">
        <f>IF(AQ111="x","",IF(AQ111="x",AM111,IF(EOMONTH(I111,0)=31,"",EOMONTH(I111,0))))</f>
        <v>44895</v>
      </c>
      <c r="AO111" s="79">
        <f>IFERROR(IF(VLOOKUP(C111,C112:C715,1,0)=0,1,0),1)</f>
        <v>0</v>
      </c>
      <c r="AP111" s="79"/>
      <c r="AQ111" s="243" t="str">
        <f t="shared" si="15"/>
        <v/>
      </c>
      <c r="AR111" s="242" t="b">
        <f>IF(AQ111="x",EOMONTH(I111,0))</f>
        <v>0</v>
      </c>
      <c r="AS111" s="79">
        <f t="shared" si="16"/>
        <v>1</v>
      </c>
      <c r="AT111" s="79">
        <f t="shared" si="17"/>
        <v>1</v>
      </c>
      <c r="AU111" s="79" t="str">
        <f t="shared" si="18"/>
        <v>A</v>
      </c>
      <c r="AV111" s="79">
        <f t="shared" si="19"/>
        <v>1</v>
      </c>
      <c r="AW111" s="79" t="str">
        <f>J111&amp;AU111</f>
        <v>IntegralA</v>
      </c>
      <c r="AX111" s="79">
        <f>IF(COUNTIFS(J:J,"Integral",E:E,E111,H:H,"Ativo")=4,1/4,1/10)</f>
        <v>0.25</v>
      </c>
      <c r="AY111" s="79"/>
      <c r="AZ111" s="79"/>
    </row>
    <row r="112" spans="1:52" ht="15.75" customHeight="1">
      <c r="A112" s="31">
        <v>115</v>
      </c>
      <c r="B112" s="399">
        <v>44870</v>
      </c>
      <c r="C112" s="32" t="s">
        <v>535</v>
      </c>
      <c r="D112" s="32" t="s">
        <v>543</v>
      </c>
      <c r="E112" s="32" t="s">
        <v>537</v>
      </c>
      <c r="F112" s="32" t="s">
        <v>544</v>
      </c>
      <c r="G112" s="33" t="s">
        <v>220</v>
      </c>
      <c r="H112" s="33" t="s">
        <v>244</v>
      </c>
      <c r="I112" s="34">
        <v>44886</v>
      </c>
      <c r="J112" s="33" t="s">
        <v>6</v>
      </c>
      <c r="K112" s="35" t="s">
        <v>273</v>
      </c>
      <c r="L112" s="35" t="s">
        <v>238</v>
      </c>
      <c r="M112" s="67" t="s">
        <v>222</v>
      </c>
      <c r="N112" s="33" t="s">
        <v>68</v>
      </c>
      <c r="O112" s="33" t="s">
        <v>13</v>
      </c>
      <c r="P112" s="33" t="s">
        <v>1</v>
      </c>
      <c r="Q112" s="47"/>
      <c r="R112" s="47"/>
      <c r="S112" s="45" t="s">
        <v>222</v>
      </c>
      <c r="T112" s="45"/>
      <c r="U112" s="51">
        <v>44870</v>
      </c>
      <c r="V112" s="48">
        <f t="shared" si="12"/>
        <v>44870</v>
      </c>
      <c r="W112" s="50">
        <f>V112-U112</f>
        <v>0</v>
      </c>
      <c r="X112" s="265">
        <v>0</v>
      </c>
      <c r="Y112" s="67">
        <v>0</v>
      </c>
      <c r="Z112" s="67">
        <v>1682500</v>
      </c>
      <c r="AA112" s="35">
        <v>0</v>
      </c>
      <c r="AB112" s="67"/>
      <c r="AC112" s="40"/>
      <c r="AD112" s="42"/>
      <c r="AE112" s="41">
        <v>0</v>
      </c>
      <c r="AF112" s="43">
        <v>0</v>
      </c>
      <c r="AG112" s="40">
        <v>0</v>
      </c>
      <c r="AH112" s="40"/>
      <c r="AI112" s="44"/>
      <c r="AJ112" s="44"/>
      <c r="AK112" s="40">
        <v>0</v>
      </c>
      <c r="AL112" s="40"/>
      <c r="AM112" s="242">
        <f t="shared" si="13"/>
        <v>44895</v>
      </c>
      <c r="AN112" s="242">
        <f>IF(AQ112="x","",IF(AQ112="x",AM112,IF(EOMONTH(I112,0)=31,"",EOMONTH(I112,0))))</f>
        <v>44895</v>
      </c>
      <c r="AO112" s="79">
        <f>IFERROR(IF(VLOOKUP(C112,C113:C716,1,0)=0,1,0),1)</f>
        <v>1</v>
      </c>
      <c r="AP112" s="79"/>
      <c r="AQ112" s="243" t="str">
        <f t="shared" si="15"/>
        <v/>
      </c>
      <c r="AR112" s="242" t="b">
        <f>IF(AQ112="x",EOMONTH(I112,0))</f>
        <v>0</v>
      </c>
      <c r="AS112" s="79">
        <f t="shared" si="16"/>
        <v>1</v>
      </c>
      <c r="AT112" s="79">
        <f t="shared" si="17"/>
        <v>1</v>
      </c>
      <c r="AU112" s="79" t="str">
        <f t="shared" si="18"/>
        <v>A</v>
      </c>
      <c r="AV112" s="79">
        <f t="shared" si="19"/>
        <v>1</v>
      </c>
      <c r="AW112" s="79" t="str">
        <f>J112&amp;AU112</f>
        <v>IntegralA</v>
      </c>
      <c r="AX112" s="79">
        <f>IF(COUNTIFS(J:J,"Integral",E:E,E112,H:H,"Ativo")=4,1/4,1/10)</f>
        <v>0.25</v>
      </c>
      <c r="AY112" s="79"/>
      <c r="AZ112" s="79"/>
    </row>
    <row r="113" spans="1:52" ht="15.75" customHeight="1">
      <c r="A113" s="31">
        <v>116</v>
      </c>
      <c r="B113" s="399">
        <v>44871</v>
      </c>
      <c r="C113" s="32" t="s">
        <v>545</v>
      </c>
      <c r="D113" s="32" t="s">
        <v>546</v>
      </c>
      <c r="E113" s="32" t="s">
        <v>547</v>
      </c>
      <c r="F113" s="32" t="s">
        <v>548</v>
      </c>
      <c r="G113" s="33" t="s">
        <v>220</v>
      </c>
      <c r="H113" s="33" t="s">
        <v>244</v>
      </c>
      <c r="I113" s="34">
        <v>44887</v>
      </c>
      <c r="J113" s="33">
        <v>6</v>
      </c>
      <c r="K113" s="35" t="s">
        <v>273</v>
      </c>
      <c r="L113" s="35" t="s">
        <v>246</v>
      </c>
      <c r="M113" s="67" t="s">
        <v>222</v>
      </c>
      <c r="N113" s="33" t="s">
        <v>68</v>
      </c>
      <c r="O113" s="33" t="s">
        <v>13</v>
      </c>
      <c r="P113" s="33" t="s">
        <v>1</v>
      </c>
      <c r="Q113" s="47"/>
      <c r="R113" s="47"/>
      <c r="S113" s="45" t="s">
        <v>222</v>
      </c>
      <c r="T113" s="45"/>
      <c r="U113" s="51">
        <v>44871</v>
      </c>
      <c r="V113" s="48">
        <f t="shared" si="12"/>
        <v>44871</v>
      </c>
      <c r="W113" s="50">
        <f>V113-U113</f>
        <v>0</v>
      </c>
      <c r="X113" s="265">
        <v>0</v>
      </c>
      <c r="Y113" s="67">
        <v>0</v>
      </c>
      <c r="Z113" s="67">
        <v>344566.77</v>
      </c>
      <c r="AA113" s="35">
        <v>0</v>
      </c>
      <c r="AB113" s="67"/>
      <c r="AC113" s="40"/>
      <c r="AD113" s="42"/>
      <c r="AE113" s="41">
        <v>0</v>
      </c>
      <c r="AF113" s="43">
        <v>0</v>
      </c>
      <c r="AG113" s="40">
        <v>0</v>
      </c>
      <c r="AH113" s="40"/>
      <c r="AI113" s="44"/>
      <c r="AJ113" s="44"/>
      <c r="AK113" s="40">
        <v>0</v>
      </c>
      <c r="AL113" s="40"/>
      <c r="AM113" s="242">
        <f t="shared" si="13"/>
        <v>44895</v>
      </c>
      <c r="AN113" s="242">
        <f>IF(AQ113="x","",IF(AQ113="x",AM113,IF(EOMONTH(I113,0)=31,"",EOMONTH(I113,0))))</f>
        <v>44895</v>
      </c>
      <c r="AO113" s="79">
        <f>IFERROR(IF(VLOOKUP(C113,C114:C717,1,0)=0,1,0),1)</f>
        <v>1</v>
      </c>
      <c r="AP113" s="79"/>
      <c r="AQ113" s="243" t="str">
        <f t="shared" si="15"/>
        <v/>
      </c>
      <c r="AR113" s="242" t="b">
        <f>IF(AQ113="x",EOMONTH(I113,0))</f>
        <v>0</v>
      </c>
      <c r="AS113" s="79">
        <f t="shared" si="16"/>
        <v>1</v>
      </c>
      <c r="AT113" s="79">
        <f t="shared" si="17"/>
        <v>1</v>
      </c>
      <c r="AU113" s="79" t="str">
        <f t="shared" si="18"/>
        <v>B</v>
      </c>
      <c r="AV113" s="79">
        <f t="shared" si="19"/>
        <v>1</v>
      </c>
      <c r="AW113" s="79" t="str">
        <f>J113&amp;AU113</f>
        <v>6B</v>
      </c>
      <c r="AX113" s="79">
        <f>IF(COUNTIFS(J:J,"Integral",E:E,E113,H:H,"Ativo")=4,1/4,1/10)</f>
        <v>0.1</v>
      </c>
      <c r="AY113" s="79"/>
      <c r="AZ113" s="79"/>
    </row>
    <row r="114" spans="1:52" ht="15.75" customHeight="1">
      <c r="A114" s="31">
        <v>117</v>
      </c>
      <c r="B114" s="399">
        <v>44871</v>
      </c>
      <c r="C114" s="32" t="s">
        <v>549</v>
      </c>
      <c r="D114" s="32" t="s">
        <v>550</v>
      </c>
      <c r="E114" s="32" t="s">
        <v>402</v>
      </c>
      <c r="F114" s="32" t="s">
        <v>551</v>
      </c>
      <c r="G114" s="33" t="s">
        <v>220</v>
      </c>
      <c r="H114" s="33" t="s">
        <v>244</v>
      </c>
      <c r="I114" s="34">
        <v>44876</v>
      </c>
      <c r="J114" s="33">
        <v>6</v>
      </c>
      <c r="K114" s="35" t="s">
        <v>237</v>
      </c>
      <c r="L114" s="35" t="s">
        <v>274</v>
      </c>
      <c r="M114" s="67" t="s">
        <v>222</v>
      </c>
      <c r="N114" s="33" t="s">
        <v>68</v>
      </c>
      <c r="O114" s="33" t="s">
        <v>12</v>
      </c>
      <c r="P114" s="33" t="s">
        <v>1</v>
      </c>
      <c r="Q114" s="47"/>
      <c r="R114" s="47"/>
      <c r="S114" s="45" t="s">
        <v>222</v>
      </c>
      <c r="T114" s="45"/>
      <c r="U114" s="51">
        <v>44871</v>
      </c>
      <c r="V114" s="48">
        <f t="shared" si="12"/>
        <v>44871</v>
      </c>
      <c r="W114" s="50">
        <f>V114-U114</f>
        <v>0</v>
      </c>
      <c r="X114" s="265">
        <v>0</v>
      </c>
      <c r="Y114" s="67">
        <v>0</v>
      </c>
      <c r="Z114" s="67">
        <v>330000</v>
      </c>
      <c r="AA114" s="35">
        <v>0</v>
      </c>
      <c r="AB114" s="67"/>
      <c r="AC114" s="40"/>
      <c r="AD114" s="42"/>
      <c r="AE114" s="41">
        <v>0</v>
      </c>
      <c r="AF114" s="43">
        <v>0</v>
      </c>
      <c r="AG114" s="40">
        <v>0</v>
      </c>
      <c r="AH114" s="40"/>
      <c r="AI114" s="44"/>
      <c r="AJ114" s="44"/>
      <c r="AK114" s="40">
        <v>0</v>
      </c>
      <c r="AL114" s="40"/>
      <c r="AM114" s="242">
        <f t="shared" si="13"/>
        <v>44895</v>
      </c>
      <c r="AN114" s="242">
        <f>IF(AQ114="x","",IF(AQ114="x",AM114,IF(EOMONTH(I114,0)=31,"",EOMONTH(I114,0))))</f>
        <v>44895</v>
      </c>
      <c r="AO114" s="79">
        <f>IFERROR(IF(VLOOKUP(C114,C115:C718,1,0)=0,1,0),1)</f>
        <v>1</v>
      </c>
      <c r="AP114" s="79"/>
      <c r="AQ114" s="243" t="str">
        <f t="shared" si="15"/>
        <v/>
      </c>
      <c r="AR114" s="242" t="b">
        <f>IF(AQ114="x",EOMONTH(I114,0))</f>
        <v>0</v>
      </c>
      <c r="AS114" s="79">
        <f t="shared" si="16"/>
        <v>1</v>
      </c>
      <c r="AT114" s="79">
        <f t="shared" si="17"/>
        <v>1</v>
      </c>
      <c r="AU114" s="79" t="str">
        <f t="shared" si="18"/>
        <v>B</v>
      </c>
      <c r="AV114" s="79">
        <f t="shared" si="19"/>
        <v>1</v>
      </c>
      <c r="AW114" s="79" t="str">
        <f>J114&amp;AU114</f>
        <v>6B</v>
      </c>
      <c r="AX114" s="79">
        <f>IF(COUNTIFS(J:J,"Integral",E:E,E114,H:H,"Ativo")=4,1/4,1/10)</f>
        <v>0.1</v>
      </c>
      <c r="AY114" s="79"/>
      <c r="AZ114" s="79"/>
    </row>
    <row r="115" spans="1:52" ht="15.75" customHeight="1">
      <c r="A115" s="31">
        <v>118</v>
      </c>
      <c r="B115" s="399">
        <v>44873</v>
      </c>
      <c r="C115" s="32" t="s">
        <v>552</v>
      </c>
      <c r="D115" s="32" t="s">
        <v>553</v>
      </c>
      <c r="E115" s="32" t="s">
        <v>402</v>
      </c>
      <c r="F115" s="32" t="s">
        <v>554</v>
      </c>
      <c r="G115" s="33" t="s">
        <v>220</v>
      </c>
      <c r="H115" s="33" t="s">
        <v>90</v>
      </c>
      <c r="I115" s="34">
        <v>0</v>
      </c>
      <c r="J115" s="33">
        <v>6</v>
      </c>
      <c r="K115" s="35" t="s">
        <v>289</v>
      </c>
      <c r="L115" s="35" t="s">
        <v>238</v>
      </c>
      <c r="M115" s="67" t="s">
        <v>222</v>
      </c>
      <c r="N115" s="33" t="s">
        <v>68</v>
      </c>
      <c r="O115" s="33" t="s">
        <v>13</v>
      </c>
      <c r="P115" s="33" t="s">
        <v>1</v>
      </c>
      <c r="Q115" s="47"/>
      <c r="R115" s="47"/>
      <c r="S115" s="45" t="s">
        <v>147</v>
      </c>
      <c r="T115" s="45"/>
      <c r="U115" s="51">
        <v>44873</v>
      </c>
      <c r="V115" s="48">
        <f t="shared" si="12"/>
        <v>44873</v>
      </c>
      <c r="W115" s="50">
        <f>V115-U115</f>
        <v>0</v>
      </c>
      <c r="X115" s="261">
        <v>327000</v>
      </c>
      <c r="Y115" s="260">
        <v>327000</v>
      </c>
      <c r="Z115" s="260">
        <v>340000</v>
      </c>
      <c r="AA115" s="35">
        <v>0</v>
      </c>
      <c r="AB115" s="260"/>
      <c r="AC115" s="41"/>
      <c r="AD115" s="42"/>
      <c r="AE115" s="41"/>
      <c r="AF115" s="43"/>
      <c r="AG115" s="40">
        <v>13000</v>
      </c>
      <c r="AH115" s="40"/>
      <c r="AI115" s="44"/>
      <c r="AJ115" s="44"/>
      <c r="AK115" s="40">
        <v>0</v>
      </c>
      <c r="AL115" s="40">
        <v>0</v>
      </c>
      <c r="AM115" s="242">
        <f t="shared" si="13"/>
        <v>44895</v>
      </c>
      <c r="AN115" s="242" t="str">
        <f>IF(AQ115="x","",IF(AQ115="x",AM115,IF(EOMONTH(I115,0)=31,"",EOMONTH(I115,0))))</f>
        <v/>
      </c>
      <c r="AO115" s="79">
        <f>IFERROR(IF(VLOOKUP(C115,C116:C720,1,0)=0,1,0),1)</f>
        <v>1</v>
      </c>
      <c r="AP115" s="79"/>
      <c r="AQ115" s="243" t="str">
        <f t="shared" si="15"/>
        <v/>
      </c>
      <c r="AR115" s="242" t="b">
        <f>IF(AQ115="x",EOMONTH(I115,0))</f>
        <v>0</v>
      </c>
      <c r="AS115" s="79">
        <f t="shared" si="16"/>
        <v>1</v>
      </c>
      <c r="AT115" s="79">
        <f t="shared" si="17"/>
        <v>1</v>
      </c>
      <c r="AU115" s="79" t="str">
        <f t="shared" si="18"/>
        <v>B</v>
      </c>
      <c r="AV115" s="79">
        <f t="shared" si="19"/>
        <v>1</v>
      </c>
      <c r="AW115" s="79" t="str">
        <f>J115&amp;AU115</f>
        <v>6B</v>
      </c>
      <c r="AX115" s="79">
        <f>IF(COUNTIFS(J:J,"Integral",E:E,E115,H:H,"Ativo")=4,1/4,1/10)</f>
        <v>0.1</v>
      </c>
      <c r="AY115" s="79"/>
      <c r="AZ115" s="79"/>
    </row>
    <row r="116" spans="1:52" ht="15.75" customHeight="1">
      <c r="A116" s="31">
        <v>119</v>
      </c>
      <c r="B116" s="399">
        <v>44876</v>
      </c>
      <c r="C116" s="32" t="s">
        <v>555</v>
      </c>
      <c r="D116" s="32" t="s">
        <v>458</v>
      </c>
      <c r="E116" s="32" t="s">
        <v>402</v>
      </c>
      <c r="F116" s="32" t="s">
        <v>556</v>
      </c>
      <c r="G116" s="33" t="s">
        <v>220</v>
      </c>
      <c r="H116" s="33" t="s">
        <v>90</v>
      </c>
      <c r="I116" s="34">
        <v>0</v>
      </c>
      <c r="J116" s="33">
        <v>6</v>
      </c>
      <c r="K116" s="35" t="s">
        <v>289</v>
      </c>
      <c r="L116" s="35" t="s">
        <v>246</v>
      </c>
      <c r="M116" s="67" t="s">
        <v>222</v>
      </c>
      <c r="N116" s="33" t="s">
        <v>68</v>
      </c>
      <c r="O116" s="33" t="s">
        <v>13</v>
      </c>
      <c r="P116" s="33" t="s">
        <v>1</v>
      </c>
      <c r="Q116" s="47"/>
      <c r="R116" s="47"/>
      <c r="S116" s="45" t="s">
        <v>143</v>
      </c>
      <c r="T116" s="45"/>
      <c r="U116" s="51">
        <v>44629</v>
      </c>
      <c r="V116" s="48">
        <f t="shared" si="12"/>
        <v>44876</v>
      </c>
      <c r="W116" s="50">
        <f>V116-U116</f>
        <v>247</v>
      </c>
      <c r="X116" s="261">
        <v>327000</v>
      </c>
      <c r="Y116" s="260">
        <v>327000</v>
      </c>
      <c r="Z116" s="260">
        <v>330000</v>
      </c>
      <c r="AA116" s="35">
        <v>0</v>
      </c>
      <c r="AB116" s="260"/>
      <c r="AC116" s="41"/>
      <c r="AD116" s="42"/>
      <c r="AE116" s="41"/>
      <c r="AF116" s="43"/>
      <c r="AG116" s="40">
        <v>3000</v>
      </c>
      <c r="AH116" s="40"/>
      <c r="AI116" s="44"/>
      <c r="AJ116" s="44"/>
      <c r="AK116" s="40">
        <v>0</v>
      </c>
      <c r="AL116" s="40">
        <v>0</v>
      </c>
      <c r="AM116" s="242">
        <f t="shared" si="13"/>
        <v>44895</v>
      </c>
      <c r="AN116" s="242" t="str">
        <f>IF(AQ116="x","",IF(AQ116="x",AM116,IF(EOMONTH(I116,0)=31,"",EOMONTH(I116,0))))</f>
        <v/>
      </c>
      <c r="AO116" s="79">
        <f>IFERROR(IF(VLOOKUP(C116,C117:C720,1,0)=0,1,0),1)</f>
        <v>1</v>
      </c>
      <c r="AP116" s="79"/>
      <c r="AQ116" s="243" t="str">
        <f t="shared" si="15"/>
        <v/>
      </c>
      <c r="AR116" s="242" t="b">
        <f>IF(AQ116="x",EOMONTH(I116,0))</f>
        <v>0</v>
      </c>
      <c r="AS116" s="79">
        <f t="shared" si="16"/>
        <v>1</v>
      </c>
      <c r="AT116" s="79">
        <f t="shared" si="17"/>
        <v>1</v>
      </c>
      <c r="AU116" s="79" t="str">
        <f t="shared" si="18"/>
        <v>B</v>
      </c>
      <c r="AV116" s="79">
        <f t="shared" si="19"/>
        <v>1</v>
      </c>
      <c r="AW116" s="79" t="str">
        <f>J116&amp;AU116</f>
        <v>6B</v>
      </c>
      <c r="AX116" s="79">
        <f>IF(COUNTIFS(J:J,"Integral",E:E,E116,H:H,"Ativo")=4,1/4,1/10)</f>
        <v>0.1</v>
      </c>
      <c r="AY116" s="79"/>
      <c r="AZ116" s="79"/>
    </row>
    <row r="117" spans="1:52" ht="15.75" customHeight="1">
      <c r="A117" s="31">
        <v>120</v>
      </c>
      <c r="B117" s="399">
        <v>44876</v>
      </c>
      <c r="C117" s="32" t="s">
        <v>557</v>
      </c>
      <c r="D117" s="32" t="s">
        <v>478</v>
      </c>
      <c r="E117" s="32" t="s">
        <v>402</v>
      </c>
      <c r="F117" s="32" t="s">
        <v>558</v>
      </c>
      <c r="G117" s="33" t="s">
        <v>220</v>
      </c>
      <c r="H117" s="33" t="s">
        <v>90</v>
      </c>
      <c r="I117" s="34">
        <v>0</v>
      </c>
      <c r="J117" s="33">
        <v>4</v>
      </c>
      <c r="K117" s="35" t="s">
        <v>289</v>
      </c>
      <c r="L117" s="35" t="s">
        <v>394</v>
      </c>
      <c r="M117" s="67" t="s">
        <v>222</v>
      </c>
      <c r="N117" s="33" t="s">
        <v>68</v>
      </c>
      <c r="O117" s="33" t="s">
        <v>12</v>
      </c>
      <c r="P117" s="33" t="s">
        <v>2</v>
      </c>
      <c r="Q117" s="47"/>
      <c r="R117" s="47"/>
      <c r="S117" s="45" t="s">
        <v>143</v>
      </c>
      <c r="T117" s="45"/>
      <c r="U117" s="51">
        <v>44867</v>
      </c>
      <c r="V117" s="48">
        <f t="shared" si="12"/>
        <v>44876</v>
      </c>
      <c r="W117" s="50">
        <f>V117-U117</f>
        <v>9</v>
      </c>
      <c r="X117" s="261">
        <v>216000</v>
      </c>
      <c r="Y117" s="260">
        <v>216000</v>
      </c>
      <c r="Z117" s="260">
        <v>225500</v>
      </c>
      <c r="AA117" s="35">
        <v>0</v>
      </c>
      <c r="AB117" s="260"/>
      <c r="AC117" s="41"/>
      <c r="AD117" s="42"/>
      <c r="AE117" s="41"/>
      <c r="AF117" s="43"/>
      <c r="AG117" s="40">
        <v>9500</v>
      </c>
      <c r="AH117" s="40"/>
      <c r="AI117" s="44"/>
      <c r="AJ117" s="44"/>
      <c r="AK117" s="40">
        <v>0</v>
      </c>
      <c r="AL117" s="40">
        <v>0</v>
      </c>
      <c r="AM117" s="242">
        <f t="shared" si="13"/>
        <v>44895</v>
      </c>
      <c r="AN117" s="242" t="str">
        <f>IF(AQ117="x","",IF(AQ117="x",AM117,IF(EOMONTH(I117,0)=31,"",EOMONTH(I117,0))))</f>
        <v/>
      </c>
      <c r="AO117" s="79">
        <f>IFERROR(IF(VLOOKUP(C117,C118:C722,1,0)=0,1,0),1)</f>
        <v>0</v>
      </c>
      <c r="AP117" s="79"/>
      <c r="AQ117" s="243" t="str">
        <f t="shared" si="15"/>
        <v/>
      </c>
      <c r="AR117" s="242" t="b">
        <f>IF(AQ117="x",EOMONTH(I117,0))</f>
        <v>0</v>
      </c>
      <c r="AS117" s="79">
        <f t="shared" si="16"/>
        <v>1</v>
      </c>
      <c r="AT117" s="79">
        <f t="shared" si="17"/>
        <v>1</v>
      </c>
      <c r="AU117" s="79" t="str">
        <f t="shared" si="18"/>
        <v>B</v>
      </c>
      <c r="AV117" s="79">
        <f t="shared" si="19"/>
        <v>1</v>
      </c>
      <c r="AW117" s="79" t="str">
        <f>J117&amp;AU117</f>
        <v>4B</v>
      </c>
      <c r="AX117" s="79">
        <f>IF(COUNTIFS(J:J,"Integral",E:E,E117,H:H,"Ativo")=4,1/4,1/10)</f>
        <v>0.1</v>
      </c>
      <c r="AY117" s="79"/>
      <c r="AZ117" s="79"/>
    </row>
    <row r="118" spans="1:52" ht="15.75" customHeight="1">
      <c r="A118" s="31">
        <v>121</v>
      </c>
      <c r="B118" s="399">
        <v>44876</v>
      </c>
      <c r="C118" s="32" t="s">
        <v>557</v>
      </c>
      <c r="D118" s="32" t="s">
        <v>481</v>
      </c>
      <c r="E118" s="32" t="s">
        <v>402</v>
      </c>
      <c r="F118" s="32" t="s">
        <v>559</v>
      </c>
      <c r="G118" s="33" t="s">
        <v>220</v>
      </c>
      <c r="H118" s="33" t="s">
        <v>90</v>
      </c>
      <c r="I118" s="34">
        <v>0</v>
      </c>
      <c r="J118" s="33">
        <v>4</v>
      </c>
      <c r="K118" s="35" t="s">
        <v>289</v>
      </c>
      <c r="L118" s="35" t="s">
        <v>394</v>
      </c>
      <c r="M118" s="67" t="s">
        <v>222</v>
      </c>
      <c r="N118" s="33" t="s">
        <v>68</v>
      </c>
      <c r="O118" s="33" t="s">
        <v>12</v>
      </c>
      <c r="P118" s="33" t="s">
        <v>2</v>
      </c>
      <c r="Q118" s="47"/>
      <c r="R118" s="47"/>
      <c r="S118" s="45" t="s">
        <v>143</v>
      </c>
      <c r="T118" s="45"/>
      <c r="U118" s="51">
        <v>44867</v>
      </c>
      <c r="V118" s="48">
        <f t="shared" si="12"/>
        <v>44876</v>
      </c>
      <c r="W118" s="50">
        <f>V118-U118</f>
        <v>9</v>
      </c>
      <c r="X118" s="261">
        <v>216000</v>
      </c>
      <c r="Y118" s="260">
        <v>216000</v>
      </c>
      <c r="Z118" s="260">
        <v>225500</v>
      </c>
      <c r="AA118" s="35">
        <v>0</v>
      </c>
      <c r="AB118" s="260"/>
      <c r="AC118" s="41"/>
      <c r="AD118" s="42"/>
      <c r="AE118" s="41"/>
      <c r="AF118" s="43"/>
      <c r="AG118" s="40">
        <v>9500</v>
      </c>
      <c r="AH118" s="40"/>
      <c r="AI118" s="44"/>
      <c r="AJ118" s="44"/>
      <c r="AK118" s="40">
        <v>0</v>
      </c>
      <c r="AL118" s="40">
        <v>0</v>
      </c>
      <c r="AM118" s="242">
        <f t="shared" si="13"/>
        <v>44895</v>
      </c>
      <c r="AN118" s="242" t="str">
        <f>IF(AQ118="x","",IF(AQ118="x",AM118,IF(EOMONTH(I118,0)=31,"",EOMONTH(I118,0))))</f>
        <v/>
      </c>
      <c r="AO118" s="79">
        <f>IFERROR(IF(VLOOKUP(C118,C119:C723,1,0)=0,1,0),1)</f>
        <v>1</v>
      </c>
      <c r="AP118" s="79"/>
      <c r="AQ118" s="243" t="str">
        <f t="shared" si="15"/>
        <v/>
      </c>
      <c r="AR118" s="242" t="b">
        <f>IF(AQ118="x",EOMONTH(I118,0))</f>
        <v>0</v>
      </c>
      <c r="AS118" s="79">
        <f t="shared" si="16"/>
        <v>1</v>
      </c>
      <c r="AT118" s="79">
        <f t="shared" si="17"/>
        <v>1</v>
      </c>
      <c r="AU118" s="79" t="str">
        <f t="shared" si="18"/>
        <v>B</v>
      </c>
      <c r="AV118" s="79">
        <f t="shared" si="19"/>
        <v>1</v>
      </c>
      <c r="AW118" s="79" t="str">
        <f>J118&amp;AU118</f>
        <v>4B</v>
      </c>
      <c r="AX118" s="79">
        <f>IF(COUNTIFS(J:J,"Integral",E:E,E118,H:H,"Ativo")=4,1/4,1/10)</f>
        <v>0.1</v>
      </c>
      <c r="AY118" s="79"/>
      <c r="AZ118" s="79"/>
    </row>
    <row r="119" spans="1:52" ht="15.75" customHeight="1">
      <c r="A119" s="31">
        <v>123</v>
      </c>
      <c r="B119" s="399">
        <v>44878</v>
      </c>
      <c r="C119" s="32" t="s">
        <v>560</v>
      </c>
      <c r="D119" s="32" t="s">
        <v>550</v>
      </c>
      <c r="E119" s="32" t="s">
        <v>402</v>
      </c>
      <c r="F119" s="32" t="s">
        <v>561</v>
      </c>
      <c r="G119" s="33" t="s">
        <v>243</v>
      </c>
      <c r="H119" s="33" t="s">
        <v>244</v>
      </c>
      <c r="I119" s="34">
        <v>44882</v>
      </c>
      <c r="J119" s="33">
        <v>6</v>
      </c>
      <c r="K119" s="35" t="s">
        <v>369</v>
      </c>
      <c r="L119" s="35" t="s">
        <v>369</v>
      </c>
      <c r="M119" s="67" t="s">
        <v>222</v>
      </c>
      <c r="N119" s="33" t="s">
        <v>68</v>
      </c>
      <c r="O119" s="33" t="s">
        <v>13</v>
      </c>
      <c r="P119" s="33" t="s">
        <v>1</v>
      </c>
      <c r="Q119" s="47"/>
      <c r="R119" s="47"/>
      <c r="S119" s="45" t="s">
        <v>222</v>
      </c>
      <c r="T119" s="45"/>
      <c r="U119" s="51">
        <v>44878</v>
      </c>
      <c r="V119" s="48">
        <f t="shared" si="12"/>
        <v>44878</v>
      </c>
      <c r="W119" s="50">
        <f>V119-U119</f>
        <v>0</v>
      </c>
      <c r="X119" s="265">
        <v>0</v>
      </c>
      <c r="Y119" s="67">
        <v>0</v>
      </c>
      <c r="Z119" s="67">
        <v>330000</v>
      </c>
      <c r="AA119" s="35">
        <v>0</v>
      </c>
      <c r="AB119" s="67"/>
      <c r="AC119" s="40"/>
      <c r="AD119" s="42"/>
      <c r="AE119" s="41">
        <v>0</v>
      </c>
      <c r="AF119" s="43">
        <v>0</v>
      </c>
      <c r="AG119" s="40">
        <v>0</v>
      </c>
      <c r="AH119" s="40"/>
      <c r="AI119" s="44"/>
      <c r="AJ119" s="44"/>
      <c r="AK119" s="40">
        <v>0</v>
      </c>
      <c r="AL119" s="40"/>
      <c r="AM119" s="242">
        <f t="shared" si="13"/>
        <v>44895</v>
      </c>
      <c r="AN119" s="242" t="str">
        <f>IF(AQ119="x","",IF(AQ119="x",AM119,IF(EOMONTH(I119,0)=31,"",EOMONTH(I119,0))))</f>
        <v/>
      </c>
      <c r="AO119" s="79">
        <f>IFERROR(IF(VLOOKUP(C119,C120:C723,1,0)=0,1,0),1)</f>
        <v>1</v>
      </c>
      <c r="AP119" s="79"/>
      <c r="AQ119" s="243" t="str">
        <f t="shared" si="15"/>
        <v>x</v>
      </c>
      <c r="AR119" s="242">
        <f>IF(AQ119="x",EOMONTH(I119,0))</f>
        <v>44895</v>
      </c>
      <c r="AS119" s="79">
        <f t="shared" si="16"/>
        <v>1</v>
      </c>
      <c r="AT119" s="79">
        <f t="shared" si="17"/>
        <v>1</v>
      </c>
      <c r="AU119" s="79" t="str">
        <f t="shared" si="18"/>
        <v>B</v>
      </c>
      <c r="AV119" s="79">
        <f t="shared" si="19"/>
        <v>1</v>
      </c>
      <c r="AW119" s="79" t="str">
        <f>J119&amp;AU119</f>
        <v>6B</v>
      </c>
      <c r="AX119" s="79">
        <f>IF(COUNTIFS(J:J,"Integral",E:E,E119,H:H,"Ativo")=4,1/4,1/10)</f>
        <v>0.1</v>
      </c>
      <c r="AY119" s="79"/>
      <c r="AZ119" s="79"/>
    </row>
    <row r="120" spans="1:52" ht="15.75" customHeight="1">
      <c r="A120" s="31">
        <v>124</v>
      </c>
      <c r="B120" s="399">
        <v>44878</v>
      </c>
      <c r="C120" s="32" t="s">
        <v>562</v>
      </c>
      <c r="D120" s="32" t="s">
        <v>563</v>
      </c>
      <c r="E120" s="32" t="s">
        <v>564</v>
      </c>
      <c r="F120" s="32" t="s">
        <v>565</v>
      </c>
      <c r="G120" s="33" t="s">
        <v>220</v>
      </c>
      <c r="H120" s="33" t="s">
        <v>90</v>
      </c>
      <c r="I120" s="34">
        <v>0</v>
      </c>
      <c r="J120" s="33">
        <v>13</v>
      </c>
      <c r="K120" s="35" t="s">
        <v>566</v>
      </c>
      <c r="L120" s="35" t="s">
        <v>238</v>
      </c>
      <c r="M120" s="67" t="s">
        <v>222</v>
      </c>
      <c r="N120" s="33" t="s">
        <v>68</v>
      </c>
      <c r="O120" s="33" t="s">
        <v>13</v>
      </c>
      <c r="P120" s="33" t="s">
        <v>1</v>
      </c>
      <c r="Q120" s="47"/>
      <c r="R120" s="47"/>
      <c r="S120" s="45" t="s">
        <v>143</v>
      </c>
      <c r="T120" s="45"/>
      <c r="U120" s="51">
        <v>44878</v>
      </c>
      <c r="V120" s="48">
        <f t="shared" si="12"/>
        <v>44878</v>
      </c>
      <c r="W120" s="50">
        <f>V120-U120</f>
        <v>0</v>
      </c>
      <c r="X120" s="261">
        <v>768000</v>
      </c>
      <c r="Y120" s="260">
        <v>768000</v>
      </c>
      <c r="Z120" s="260">
        <v>782000</v>
      </c>
      <c r="AA120" s="35">
        <v>0</v>
      </c>
      <c r="AB120" s="260"/>
      <c r="AC120" s="41"/>
      <c r="AD120" s="42"/>
      <c r="AE120" s="41"/>
      <c r="AF120" s="43"/>
      <c r="AG120" s="40">
        <v>14000</v>
      </c>
      <c r="AH120" s="40"/>
      <c r="AI120" s="44"/>
      <c r="AJ120" s="44"/>
      <c r="AK120" s="40">
        <v>0</v>
      </c>
      <c r="AL120" s="40">
        <v>0</v>
      </c>
      <c r="AM120" s="242">
        <f t="shared" si="13"/>
        <v>44895</v>
      </c>
      <c r="AN120" s="242" t="str">
        <f>IF(AQ120="x","",IF(AQ120="x",AM120,IF(EOMONTH(I120,0)=31,"",EOMONTH(I120,0))))</f>
        <v/>
      </c>
      <c r="AO120" s="79">
        <f>IFERROR(IF(VLOOKUP(C120,C121:C724,1,0)=0,1,0),1)</f>
        <v>1</v>
      </c>
      <c r="AP120" s="79"/>
      <c r="AQ120" s="243" t="str">
        <f t="shared" si="15"/>
        <v/>
      </c>
      <c r="AR120" s="242" t="b">
        <f>IF(AQ120="x",EOMONTH(I120,0))</f>
        <v>0</v>
      </c>
      <c r="AS120" s="79">
        <f t="shared" si="16"/>
        <v>1</v>
      </c>
      <c r="AT120" s="79">
        <f t="shared" si="17"/>
        <v>1</v>
      </c>
      <c r="AU120" s="79" t="str">
        <f t="shared" si="18"/>
        <v>B</v>
      </c>
      <c r="AV120" s="79">
        <f t="shared" si="19"/>
        <v>1</v>
      </c>
      <c r="AW120" s="79" t="str">
        <f>J120&amp;AU120</f>
        <v>13B</v>
      </c>
      <c r="AX120" s="79">
        <f>IF(COUNTIFS(J:J,"Integral",E:E,E120,H:H,"Ativo")=4,1/4,1/10)</f>
        <v>0.1</v>
      </c>
      <c r="AY120" s="79"/>
      <c r="AZ120" s="79"/>
    </row>
    <row r="121" spans="1:52" ht="15.75" customHeight="1">
      <c r="A121" s="31">
        <v>125</v>
      </c>
      <c r="B121" s="399">
        <v>44880</v>
      </c>
      <c r="C121" s="32" t="s">
        <v>567</v>
      </c>
      <c r="D121" s="32" t="s">
        <v>568</v>
      </c>
      <c r="E121" s="32" t="s">
        <v>547</v>
      </c>
      <c r="F121" s="32" t="s">
        <v>569</v>
      </c>
      <c r="G121" s="33" t="s">
        <v>220</v>
      </c>
      <c r="H121" s="33" t="s">
        <v>90</v>
      </c>
      <c r="I121" s="34">
        <v>0</v>
      </c>
      <c r="J121" s="33">
        <v>6</v>
      </c>
      <c r="K121" s="35" t="s">
        <v>318</v>
      </c>
      <c r="L121" s="35" t="s">
        <v>246</v>
      </c>
      <c r="M121" s="67" t="s">
        <v>222</v>
      </c>
      <c r="N121" s="33" t="s">
        <v>68</v>
      </c>
      <c r="O121" s="33" t="s">
        <v>13</v>
      </c>
      <c r="P121" s="33" t="s">
        <v>1</v>
      </c>
      <c r="Q121" s="47"/>
      <c r="R121" s="47"/>
      <c r="S121" s="45" t="s">
        <v>143</v>
      </c>
      <c r="T121" s="45"/>
      <c r="U121" s="51">
        <v>44880</v>
      </c>
      <c r="V121" s="48">
        <f t="shared" si="12"/>
        <v>44880</v>
      </c>
      <c r="W121" s="50">
        <f>V121-U121</f>
        <v>0</v>
      </c>
      <c r="X121" s="261">
        <v>333000</v>
      </c>
      <c r="Y121" s="260">
        <v>333000</v>
      </c>
      <c r="Z121" s="260">
        <v>334566</v>
      </c>
      <c r="AA121" s="35">
        <v>0</v>
      </c>
      <c r="AB121" s="260"/>
      <c r="AC121" s="41"/>
      <c r="AD121" s="42"/>
      <c r="AE121" s="41"/>
      <c r="AF121" s="43"/>
      <c r="AG121" s="40">
        <v>1566</v>
      </c>
      <c r="AH121" s="40">
        <v>0</v>
      </c>
      <c r="AI121" s="44"/>
      <c r="AJ121" s="44"/>
      <c r="AK121" s="40">
        <v>0</v>
      </c>
      <c r="AL121" s="40">
        <v>0</v>
      </c>
      <c r="AM121" s="242">
        <f t="shared" si="13"/>
        <v>44895</v>
      </c>
      <c r="AN121" s="242" t="str">
        <f>IF(AQ121="x","",IF(AQ121="x",AM121,IF(EOMONTH(I121,0)=31,"",EOMONTH(I121,0))))</f>
        <v/>
      </c>
      <c r="AO121" s="79">
        <f>IFERROR(IF(VLOOKUP(C121,C122:C725,1,0)=0,1,0),1)</f>
        <v>1</v>
      </c>
      <c r="AP121" s="79"/>
      <c r="AQ121" s="243" t="str">
        <f t="shared" si="15"/>
        <v/>
      </c>
      <c r="AR121" s="242" t="b">
        <f>IF(AQ121="x",EOMONTH(I121,0))</f>
        <v>0</v>
      </c>
      <c r="AS121" s="79">
        <f t="shared" si="16"/>
        <v>1</v>
      </c>
      <c r="AT121" s="79">
        <f t="shared" si="17"/>
        <v>1</v>
      </c>
      <c r="AU121" s="79" t="str">
        <f t="shared" si="18"/>
        <v>B</v>
      </c>
      <c r="AV121" s="79">
        <f t="shared" si="19"/>
        <v>1</v>
      </c>
      <c r="AW121" s="79" t="str">
        <f>J121&amp;AU121</f>
        <v>6B</v>
      </c>
      <c r="AX121" s="79">
        <f>IF(COUNTIFS(J:J,"Integral",E:E,E121,H:H,"Ativo")=4,1/4,1/10)</f>
        <v>0.1</v>
      </c>
      <c r="AY121" s="79"/>
      <c r="AZ121" s="79"/>
    </row>
    <row r="122" spans="1:52" ht="15.75" customHeight="1">
      <c r="A122" s="31">
        <v>126</v>
      </c>
      <c r="B122" s="399">
        <v>44896</v>
      </c>
      <c r="C122" s="32" t="s">
        <v>570</v>
      </c>
      <c r="D122" s="32" t="s">
        <v>571</v>
      </c>
      <c r="E122" s="32" t="s">
        <v>572</v>
      </c>
      <c r="F122" s="32" t="s">
        <v>573</v>
      </c>
      <c r="G122" s="33" t="s">
        <v>220</v>
      </c>
      <c r="H122" s="33" t="s">
        <v>90</v>
      </c>
      <c r="I122" s="34">
        <v>0</v>
      </c>
      <c r="J122" s="33">
        <v>6</v>
      </c>
      <c r="K122" s="35" t="s">
        <v>245</v>
      </c>
      <c r="L122" s="35" t="s">
        <v>421</v>
      </c>
      <c r="M122" s="67" t="s">
        <v>222</v>
      </c>
      <c r="N122" s="33" t="s">
        <v>68</v>
      </c>
      <c r="O122" s="33" t="s">
        <v>11</v>
      </c>
      <c r="P122" s="33" t="s">
        <v>1</v>
      </c>
      <c r="Q122" s="47"/>
      <c r="R122" s="47"/>
      <c r="S122" s="45" t="s">
        <v>149</v>
      </c>
      <c r="T122" s="45"/>
      <c r="U122" s="51">
        <v>44879</v>
      </c>
      <c r="V122" s="48">
        <f t="shared" si="12"/>
        <v>44896</v>
      </c>
      <c r="W122" s="50">
        <f>V122-U122</f>
        <v>17</v>
      </c>
      <c r="X122" s="261">
        <v>327000</v>
      </c>
      <c r="Y122" s="260">
        <v>327000</v>
      </c>
      <c r="Z122" s="260">
        <v>392000</v>
      </c>
      <c r="AA122" s="35">
        <v>0</v>
      </c>
      <c r="AB122" s="260"/>
      <c r="AC122" s="41"/>
      <c r="AD122" s="42"/>
      <c r="AE122" s="41"/>
      <c r="AF122" s="43"/>
      <c r="AG122" s="40">
        <v>65000</v>
      </c>
      <c r="AH122" s="40"/>
      <c r="AI122" s="44"/>
      <c r="AJ122" s="44"/>
      <c r="AK122" s="40">
        <v>0</v>
      </c>
      <c r="AL122" s="40">
        <v>0</v>
      </c>
      <c r="AM122" s="242">
        <f t="shared" si="13"/>
        <v>44926</v>
      </c>
      <c r="AN122" s="242" t="str">
        <f>IF(AQ122="x","",IF(AQ122="x",AM122,IF(EOMONTH(I122,0)=31,"",EOMONTH(I122,0))))</f>
        <v/>
      </c>
      <c r="AO122" s="79">
        <f>IFERROR(IF(VLOOKUP(C122,C123:C726,1,0)=0,1,0),1)</f>
        <v>0</v>
      </c>
      <c r="AP122" s="79"/>
      <c r="AQ122" s="243" t="str">
        <f t="shared" si="15"/>
        <v/>
      </c>
      <c r="AR122" s="242" t="b">
        <f>IF(AQ122="x",EOMONTH(I122,0))</f>
        <v>0</v>
      </c>
      <c r="AS122" s="79">
        <f t="shared" si="16"/>
        <v>1</v>
      </c>
      <c r="AT122" s="79">
        <f t="shared" si="17"/>
        <v>1</v>
      </c>
      <c r="AU122" s="79" t="str">
        <f t="shared" si="18"/>
        <v>B</v>
      </c>
      <c r="AV122" s="79">
        <f t="shared" si="19"/>
        <v>1</v>
      </c>
      <c r="AW122" s="79" t="str">
        <f>J122&amp;AU122</f>
        <v>6B</v>
      </c>
      <c r="AX122" s="79">
        <f>IF(COUNTIFS(J:J,"Integral",E:E,E122,H:H,"Ativo")=4,1/4,1/10)</f>
        <v>0.1</v>
      </c>
      <c r="AY122" s="79"/>
      <c r="AZ122" s="79"/>
    </row>
    <row r="123" spans="1:52" ht="15.75" customHeight="1">
      <c r="A123" s="31">
        <v>127</v>
      </c>
      <c r="B123" s="399">
        <v>44896</v>
      </c>
      <c r="C123" s="32" t="s">
        <v>570</v>
      </c>
      <c r="D123" s="32" t="s">
        <v>574</v>
      </c>
      <c r="E123" s="32" t="s">
        <v>575</v>
      </c>
      <c r="F123" s="32" t="s">
        <v>576</v>
      </c>
      <c r="G123" s="33" t="s">
        <v>220</v>
      </c>
      <c r="H123" s="33" t="s">
        <v>90</v>
      </c>
      <c r="I123" s="34">
        <v>0</v>
      </c>
      <c r="J123" s="33">
        <v>6</v>
      </c>
      <c r="K123" s="35" t="s">
        <v>245</v>
      </c>
      <c r="L123" s="35" t="s">
        <v>421</v>
      </c>
      <c r="M123" s="67" t="s">
        <v>222</v>
      </c>
      <c r="N123" s="33" t="s">
        <v>68</v>
      </c>
      <c r="O123" s="33" t="s">
        <v>11</v>
      </c>
      <c r="P123" s="33" t="s">
        <v>1</v>
      </c>
      <c r="Q123" s="47"/>
      <c r="R123" s="47"/>
      <c r="S123" s="45" t="s">
        <v>149</v>
      </c>
      <c r="T123" s="45"/>
      <c r="U123" s="51">
        <v>44879</v>
      </c>
      <c r="V123" s="48">
        <f t="shared" si="12"/>
        <v>44896</v>
      </c>
      <c r="W123" s="50">
        <f>V123-U123</f>
        <v>17</v>
      </c>
      <c r="X123" s="261">
        <v>333000</v>
      </c>
      <c r="Y123" s="260">
        <v>333000</v>
      </c>
      <c r="Z123" s="260">
        <v>348000</v>
      </c>
      <c r="AA123" s="35">
        <v>0</v>
      </c>
      <c r="AB123" s="260"/>
      <c r="AC123" s="41"/>
      <c r="AD123" s="42"/>
      <c r="AE123" s="41"/>
      <c r="AF123" s="43"/>
      <c r="AG123" s="40">
        <v>15000</v>
      </c>
      <c r="AH123" s="40"/>
      <c r="AI123" s="44"/>
      <c r="AJ123" s="44"/>
      <c r="AK123" s="40">
        <v>0</v>
      </c>
      <c r="AL123" s="40">
        <v>0</v>
      </c>
      <c r="AM123" s="242">
        <f t="shared" si="13"/>
        <v>44926</v>
      </c>
      <c r="AN123" s="242" t="str">
        <f>IF(AQ123="x","",IF(AQ123="x",AM123,IF(EOMONTH(I123,0)=31,"",EOMONTH(I123,0))))</f>
        <v/>
      </c>
      <c r="AO123" s="79">
        <f>IFERROR(IF(VLOOKUP(C123,C124:C727,1,0)=0,1,0),1)</f>
        <v>1</v>
      </c>
      <c r="AP123" s="79"/>
      <c r="AQ123" s="243" t="str">
        <f t="shared" si="15"/>
        <v/>
      </c>
      <c r="AR123" s="242" t="b">
        <f>IF(AQ123="x",EOMONTH(I123,0))</f>
        <v>0</v>
      </c>
      <c r="AS123" s="79">
        <f t="shared" si="16"/>
        <v>1</v>
      </c>
      <c r="AT123" s="79">
        <f t="shared" si="17"/>
        <v>1</v>
      </c>
      <c r="AU123" s="79" t="str">
        <f t="shared" si="18"/>
        <v>B</v>
      </c>
      <c r="AV123" s="79">
        <f t="shared" si="19"/>
        <v>1</v>
      </c>
      <c r="AW123" s="79" t="str">
        <f>J123&amp;AU123</f>
        <v>6B</v>
      </c>
      <c r="AX123" s="79">
        <f>IF(COUNTIFS(J:J,"Integral",E:E,E123,H:H,"Ativo")=4,1/4,1/10)</f>
        <v>0.1</v>
      </c>
      <c r="AY123" s="79"/>
      <c r="AZ123" s="79"/>
    </row>
    <row r="124" spans="1:52" ht="15.75" customHeight="1">
      <c r="A124" s="31">
        <v>128</v>
      </c>
      <c r="B124" s="399">
        <v>44882</v>
      </c>
      <c r="C124" s="32" t="s">
        <v>443</v>
      </c>
      <c r="D124" s="32" t="s">
        <v>577</v>
      </c>
      <c r="E124" s="32" t="s">
        <v>445</v>
      </c>
      <c r="F124" s="32" t="s">
        <v>578</v>
      </c>
      <c r="G124" s="33" t="s">
        <v>220</v>
      </c>
      <c r="H124" s="33" t="s">
        <v>244</v>
      </c>
      <c r="I124" s="34">
        <v>44946</v>
      </c>
      <c r="J124" s="33">
        <v>13</v>
      </c>
      <c r="K124" s="35" t="s">
        <v>425</v>
      </c>
      <c r="L124" s="35" t="s">
        <v>238</v>
      </c>
      <c r="M124" s="67" t="s">
        <v>222</v>
      </c>
      <c r="N124" s="33" t="s">
        <v>68</v>
      </c>
      <c r="O124" s="33" t="s">
        <v>13</v>
      </c>
      <c r="P124" s="33" t="s">
        <v>1</v>
      </c>
      <c r="Q124" s="47"/>
      <c r="R124" s="47"/>
      <c r="S124" s="45" t="s">
        <v>222</v>
      </c>
      <c r="T124" s="45"/>
      <c r="U124" s="51">
        <v>44842</v>
      </c>
      <c r="V124" s="48">
        <f t="shared" si="12"/>
        <v>44882</v>
      </c>
      <c r="W124" s="50">
        <f>V124-U124</f>
        <v>40</v>
      </c>
      <c r="X124" s="265">
        <v>0</v>
      </c>
      <c r="Y124" s="67">
        <v>0</v>
      </c>
      <c r="Z124" s="67">
        <v>710000</v>
      </c>
      <c r="AA124" s="35">
        <v>0</v>
      </c>
      <c r="AB124" s="67"/>
      <c r="AC124" s="40"/>
      <c r="AD124" s="42"/>
      <c r="AE124" s="41">
        <v>0</v>
      </c>
      <c r="AF124" s="43">
        <v>0</v>
      </c>
      <c r="AG124" s="40">
        <v>0</v>
      </c>
      <c r="AH124" s="40"/>
      <c r="AI124" s="44"/>
      <c r="AJ124" s="44"/>
      <c r="AK124" s="40">
        <v>0</v>
      </c>
      <c r="AL124" s="40"/>
      <c r="AM124" s="242">
        <f t="shared" si="13"/>
        <v>44895</v>
      </c>
      <c r="AN124" s="242">
        <f>IF(AQ124="x","",IF(AQ124="x",AM124,IF(EOMONTH(I124,0)=31,"",EOMONTH(I124,0))))</f>
        <v>44957</v>
      </c>
      <c r="AO124" s="79">
        <f>IFERROR(IF(VLOOKUP(C124,C125:C728,1,0)=0,1,0),1)</f>
        <v>1</v>
      </c>
      <c r="AP124" s="79"/>
      <c r="AQ124" s="243" t="str">
        <f t="shared" si="15"/>
        <v/>
      </c>
      <c r="AR124" s="242" t="b">
        <f>IF(AQ124="x",EOMONTH(I124,0))</f>
        <v>0</v>
      </c>
      <c r="AS124" s="79">
        <f t="shared" si="16"/>
        <v>1</v>
      </c>
      <c r="AT124" s="79">
        <f t="shared" si="17"/>
        <v>1</v>
      </c>
      <c r="AU124" s="79" t="str">
        <f t="shared" si="18"/>
        <v>B</v>
      </c>
      <c r="AV124" s="79">
        <f t="shared" si="19"/>
        <v>1</v>
      </c>
      <c r="AW124" s="79" t="str">
        <f>J124&amp;AU124</f>
        <v>13B</v>
      </c>
      <c r="AX124" s="79">
        <f>IF(COUNTIFS(J:J,"Integral",E:E,E124,H:H,"Ativo")=4,1/4,1/10)</f>
        <v>0.1</v>
      </c>
      <c r="AY124" s="79"/>
      <c r="AZ124" s="79"/>
    </row>
    <row r="125" spans="1:52" ht="15.75" customHeight="1">
      <c r="A125" s="31">
        <v>129</v>
      </c>
      <c r="B125" s="399">
        <v>44883</v>
      </c>
      <c r="C125" s="32" t="s">
        <v>579</v>
      </c>
      <c r="D125" s="32" t="s">
        <v>444</v>
      </c>
      <c r="E125" s="32" t="s">
        <v>445</v>
      </c>
      <c r="F125" s="32" t="s">
        <v>580</v>
      </c>
      <c r="G125" s="33" t="s">
        <v>220</v>
      </c>
      <c r="H125" s="33" t="s">
        <v>90</v>
      </c>
      <c r="I125" s="34">
        <v>0</v>
      </c>
      <c r="J125" s="33">
        <v>13</v>
      </c>
      <c r="K125" s="35" t="s">
        <v>238</v>
      </c>
      <c r="L125" s="35" t="s">
        <v>238</v>
      </c>
      <c r="M125" s="67" t="s">
        <v>222</v>
      </c>
      <c r="N125" s="33" t="s">
        <v>68</v>
      </c>
      <c r="O125" s="33" t="s">
        <v>13</v>
      </c>
      <c r="P125" s="33" t="s">
        <v>1</v>
      </c>
      <c r="Q125" s="47"/>
      <c r="R125" s="47"/>
      <c r="S125" s="45" t="s">
        <v>143</v>
      </c>
      <c r="T125" s="45"/>
      <c r="U125" s="51">
        <v>44883</v>
      </c>
      <c r="V125" s="48">
        <f t="shared" si="12"/>
        <v>44883</v>
      </c>
      <c r="W125" s="50">
        <f>V125-U125</f>
        <v>0</v>
      </c>
      <c r="X125" s="261">
        <v>696000</v>
      </c>
      <c r="Y125" s="260">
        <v>696000</v>
      </c>
      <c r="Z125" s="260">
        <v>709000</v>
      </c>
      <c r="AA125" s="35">
        <v>0</v>
      </c>
      <c r="AB125" s="260"/>
      <c r="AC125" s="41"/>
      <c r="AD125" s="42"/>
      <c r="AE125" s="41"/>
      <c r="AF125" s="43"/>
      <c r="AG125" s="40">
        <v>13000</v>
      </c>
      <c r="AH125" s="40"/>
      <c r="AI125" s="44"/>
      <c r="AJ125" s="44"/>
      <c r="AK125" s="40">
        <v>0</v>
      </c>
      <c r="AL125" s="40">
        <v>0</v>
      </c>
      <c r="AM125" s="242">
        <f t="shared" si="13"/>
        <v>44895</v>
      </c>
      <c r="AN125" s="242" t="str">
        <f>IF(AQ125="x","",IF(AQ125="x",AM125,IF(EOMONTH(I125,0)=31,"",EOMONTH(I125,0))))</f>
        <v/>
      </c>
      <c r="AO125" s="79">
        <f>IFERROR(IF(VLOOKUP(C125,C126:C729,1,0)=0,1,0),1)</f>
        <v>1</v>
      </c>
      <c r="AP125" s="79"/>
      <c r="AQ125" s="243" t="str">
        <f t="shared" si="15"/>
        <v/>
      </c>
      <c r="AR125" s="242" t="b">
        <f>IF(AQ125="x",EOMONTH(I125,0))</f>
        <v>0</v>
      </c>
      <c r="AS125" s="79">
        <f t="shared" si="16"/>
        <v>1</v>
      </c>
      <c r="AT125" s="79">
        <f t="shared" si="17"/>
        <v>1</v>
      </c>
      <c r="AU125" s="79" t="str">
        <f t="shared" si="18"/>
        <v>B</v>
      </c>
      <c r="AV125" s="79">
        <f t="shared" si="19"/>
        <v>1</v>
      </c>
      <c r="AW125" s="79" t="str">
        <f>J125&amp;AU125</f>
        <v>13B</v>
      </c>
      <c r="AX125" s="79">
        <f>IF(COUNTIFS(J:J,"Integral",E:E,E125,H:H,"Ativo")=4,1/4,1/10)</f>
        <v>0.1</v>
      </c>
      <c r="AY125" s="79"/>
      <c r="AZ125" s="79"/>
    </row>
    <row r="126" spans="1:52" ht="15.75" customHeight="1">
      <c r="A126" s="31">
        <v>130</v>
      </c>
      <c r="B126" s="399">
        <v>44883</v>
      </c>
      <c r="C126" s="32" t="s">
        <v>581</v>
      </c>
      <c r="D126" s="32" t="s">
        <v>550</v>
      </c>
      <c r="E126" s="32" t="s">
        <v>402</v>
      </c>
      <c r="F126" s="32" t="s">
        <v>582</v>
      </c>
      <c r="G126" s="33" t="s">
        <v>220</v>
      </c>
      <c r="H126" s="33" t="s">
        <v>90</v>
      </c>
      <c r="I126" s="34">
        <v>0</v>
      </c>
      <c r="J126" s="33">
        <v>6</v>
      </c>
      <c r="K126" s="35" t="s">
        <v>318</v>
      </c>
      <c r="L126" s="35" t="s">
        <v>246</v>
      </c>
      <c r="M126" s="67" t="s">
        <v>222</v>
      </c>
      <c r="N126" s="33" t="s">
        <v>68</v>
      </c>
      <c r="O126" s="33" t="s">
        <v>13</v>
      </c>
      <c r="P126" s="33" t="s">
        <v>1</v>
      </c>
      <c r="Q126" s="47"/>
      <c r="R126" s="47"/>
      <c r="S126" s="45" t="s">
        <v>143</v>
      </c>
      <c r="T126" s="45"/>
      <c r="U126" s="51">
        <v>44880</v>
      </c>
      <c r="V126" s="48">
        <f t="shared" si="12"/>
        <v>44883</v>
      </c>
      <c r="W126" s="50">
        <f>V126-U126</f>
        <v>3</v>
      </c>
      <c r="X126" s="261">
        <v>327000</v>
      </c>
      <c r="Y126" s="260">
        <v>327000</v>
      </c>
      <c r="Z126" s="260">
        <v>330000</v>
      </c>
      <c r="AA126" s="35">
        <v>0</v>
      </c>
      <c r="AB126" s="260"/>
      <c r="AC126" s="41"/>
      <c r="AD126" s="42"/>
      <c r="AE126" s="41"/>
      <c r="AF126" s="43"/>
      <c r="AG126" s="40">
        <v>3000</v>
      </c>
      <c r="AH126" s="40"/>
      <c r="AI126" s="44"/>
      <c r="AJ126" s="44"/>
      <c r="AK126" s="40">
        <v>0</v>
      </c>
      <c r="AL126" s="40">
        <v>0</v>
      </c>
      <c r="AM126" s="242">
        <f t="shared" si="13"/>
        <v>44895</v>
      </c>
      <c r="AN126" s="242" t="str">
        <f>IF(AQ126="x","",IF(AQ126="x",AM126,IF(EOMONTH(I126,0)=31,"",EOMONTH(I126,0))))</f>
        <v/>
      </c>
      <c r="AO126" s="79">
        <f>IFERROR(IF(VLOOKUP(C126,C127:C730,1,0)=0,1,0),1)</f>
        <v>1</v>
      </c>
      <c r="AP126" s="79"/>
      <c r="AQ126" s="243" t="str">
        <f t="shared" si="15"/>
        <v/>
      </c>
      <c r="AR126" s="242" t="b">
        <f>IF(AQ126="x",EOMONTH(I126,0))</f>
        <v>0</v>
      </c>
      <c r="AS126" s="79">
        <f t="shared" si="16"/>
        <v>1</v>
      </c>
      <c r="AT126" s="79">
        <f t="shared" si="17"/>
        <v>1</v>
      </c>
      <c r="AU126" s="79" t="str">
        <f t="shared" si="18"/>
        <v>B</v>
      </c>
      <c r="AV126" s="79">
        <f t="shared" si="19"/>
        <v>1</v>
      </c>
      <c r="AW126" s="79" t="str">
        <f>J126&amp;AU126</f>
        <v>6B</v>
      </c>
      <c r="AX126" s="79">
        <f>IF(COUNTIFS(J:J,"Integral",E:E,E126,H:H,"Ativo")=4,1/4,1/10)</f>
        <v>0.1</v>
      </c>
      <c r="AY126" s="79"/>
      <c r="AZ126" s="79"/>
    </row>
    <row r="127" spans="1:52" ht="15.75" customHeight="1">
      <c r="A127" s="31">
        <v>131</v>
      </c>
      <c r="B127" s="399">
        <v>44883</v>
      </c>
      <c r="C127" s="32" t="s">
        <v>583</v>
      </c>
      <c r="D127" s="32" t="s">
        <v>584</v>
      </c>
      <c r="E127" s="32" t="s">
        <v>406</v>
      </c>
      <c r="F127" s="32" t="s">
        <v>585</v>
      </c>
      <c r="G127" s="33" t="s">
        <v>220</v>
      </c>
      <c r="H127" s="33" t="s">
        <v>337</v>
      </c>
      <c r="I127" s="53">
        <v>45225</v>
      </c>
      <c r="J127" s="33">
        <v>13</v>
      </c>
      <c r="K127" s="35" t="s">
        <v>369</v>
      </c>
      <c r="L127" s="35" t="s">
        <v>238</v>
      </c>
      <c r="M127" s="67" t="s">
        <v>222</v>
      </c>
      <c r="N127" s="33" t="s">
        <v>68</v>
      </c>
      <c r="O127" s="33" t="s">
        <v>13</v>
      </c>
      <c r="P127" s="33" t="s">
        <v>1</v>
      </c>
      <c r="Q127" s="47"/>
      <c r="R127" s="47"/>
      <c r="S127" s="45" t="s">
        <v>143</v>
      </c>
      <c r="T127" s="45"/>
      <c r="U127" s="51">
        <v>44883</v>
      </c>
      <c r="V127" s="48">
        <f t="shared" si="12"/>
        <v>44883</v>
      </c>
      <c r="W127" s="50">
        <f>V127-U127</f>
        <v>0</v>
      </c>
      <c r="X127" s="265">
        <v>683000</v>
      </c>
      <c r="Y127" s="67">
        <v>683000</v>
      </c>
      <c r="Z127" s="67">
        <v>696000</v>
      </c>
      <c r="AA127" s="35">
        <v>0</v>
      </c>
      <c r="AB127" s="67"/>
      <c r="AC127" s="41"/>
      <c r="AD127" s="42"/>
      <c r="AE127" s="41"/>
      <c r="AF127" s="43"/>
      <c r="AG127" s="40">
        <v>13000</v>
      </c>
      <c r="AH127" s="40"/>
      <c r="AI127" s="44"/>
      <c r="AJ127" s="44"/>
      <c r="AK127" s="40">
        <v>0</v>
      </c>
      <c r="AL127" s="40">
        <v>0</v>
      </c>
      <c r="AM127" s="242">
        <f t="shared" si="13"/>
        <v>44895</v>
      </c>
      <c r="AN127" s="242">
        <f>IF(AQ127="x","",IF(AQ127="x",AM127,IF(EOMONTH(I127,0)=31,"",EOMONTH(I127,0))))</f>
        <v>45230</v>
      </c>
      <c r="AO127" s="350">
        <v>1</v>
      </c>
      <c r="AP127" s="350"/>
      <c r="AQ127" s="243" t="str">
        <f t="shared" si="15"/>
        <v/>
      </c>
      <c r="AR127" s="242" t="b">
        <f>IF(AQ127="x",EOMONTH(I127,0))</f>
        <v>0</v>
      </c>
      <c r="AS127" s="79">
        <f t="shared" si="16"/>
        <v>1</v>
      </c>
      <c r="AT127" s="79">
        <f t="shared" si="17"/>
        <v>1</v>
      </c>
      <c r="AU127" s="79" t="str">
        <f t="shared" si="18"/>
        <v>B</v>
      </c>
      <c r="AV127" s="79">
        <f t="shared" si="19"/>
        <v>1</v>
      </c>
      <c r="AW127" s="79" t="str">
        <f>J127&amp;AU127</f>
        <v>13B</v>
      </c>
      <c r="AX127" s="79">
        <f>IF(COUNTIFS(J:J,"Integral",E:E,E127,H:H,"Ativo")=4,1/4,1/10)</f>
        <v>0.1</v>
      </c>
      <c r="AY127" s="79"/>
      <c r="AZ127" s="79"/>
    </row>
    <row r="128" spans="1:52" ht="15.75" customHeight="1">
      <c r="A128" s="31">
        <v>132</v>
      </c>
      <c r="B128" s="399">
        <v>44884</v>
      </c>
      <c r="C128" s="32" t="s">
        <v>586</v>
      </c>
      <c r="D128" s="32" t="s">
        <v>510</v>
      </c>
      <c r="E128" s="32" t="s">
        <v>385</v>
      </c>
      <c r="F128" s="32" t="s">
        <v>587</v>
      </c>
      <c r="G128" s="33" t="s">
        <v>220</v>
      </c>
      <c r="H128" s="33" t="s">
        <v>244</v>
      </c>
      <c r="I128" s="34">
        <v>44888</v>
      </c>
      <c r="J128" s="33">
        <v>4</v>
      </c>
      <c r="K128" s="35" t="s">
        <v>318</v>
      </c>
      <c r="L128" s="35" t="s">
        <v>238</v>
      </c>
      <c r="M128" s="67" t="s">
        <v>222</v>
      </c>
      <c r="N128" s="33" t="s">
        <v>68</v>
      </c>
      <c r="O128" s="33" t="s">
        <v>13</v>
      </c>
      <c r="P128" s="33" t="s">
        <v>1</v>
      </c>
      <c r="Q128" s="47"/>
      <c r="R128" s="47"/>
      <c r="S128" s="45" t="s">
        <v>222</v>
      </c>
      <c r="T128" s="45"/>
      <c r="U128" s="51">
        <v>44884</v>
      </c>
      <c r="V128" s="48">
        <f t="shared" si="12"/>
        <v>44884</v>
      </c>
      <c r="W128" s="50">
        <f>V128-U128</f>
        <v>0</v>
      </c>
      <c r="X128" s="265">
        <v>0</v>
      </c>
      <c r="Y128" s="67">
        <v>0</v>
      </c>
      <c r="Z128" s="67">
        <v>222000</v>
      </c>
      <c r="AA128" s="35">
        <v>0</v>
      </c>
      <c r="AB128" s="67"/>
      <c r="AC128" s="40"/>
      <c r="AD128" s="42"/>
      <c r="AE128" s="41">
        <v>0</v>
      </c>
      <c r="AF128" s="43">
        <v>0</v>
      </c>
      <c r="AG128" s="40">
        <v>0</v>
      </c>
      <c r="AH128" s="40"/>
      <c r="AI128" s="44"/>
      <c r="AJ128" s="44"/>
      <c r="AK128" s="40">
        <v>0</v>
      </c>
      <c r="AL128" s="40"/>
      <c r="AM128" s="242">
        <f t="shared" si="13"/>
        <v>44895</v>
      </c>
      <c r="AN128" s="242">
        <f>IF(AQ128="x","",IF(AQ128="x",AM128,IF(EOMONTH(I128,0)=31,"",EOMONTH(I128,0))))</f>
        <v>44895</v>
      </c>
      <c r="AO128" s="79">
        <f>IFERROR(IF(VLOOKUP(C128,C129:C732,1,0)=0,1,0),1)</f>
        <v>0</v>
      </c>
      <c r="AP128" s="79"/>
      <c r="AQ128" s="243" t="str">
        <f t="shared" si="15"/>
        <v/>
      </c>
      <c r="AR128" s="242" t="b">
        <f>IF(AQ128="x",EOMONTH(I128,0))</f>
        <v>0</v>
      </c>
      <c r="AS128" s="79">
        <f t="shared" si="16"/>
        <v>1</v>
      </c>
      <c r="AT128" s="79">
        <f t="shared" si="17"/>
        <v>1</v>
      </c>
      <c r="AU128" s="79" t="str">
        <f t="shared" si="18"/>
        <v>B</v>
      </c>
      <c r="AV128" s="79">
        <f t="shared" si="19"/>
        <v>1</v>
      </c>
      <c r="AW128" s="79" t="str">
        <f>J128&amp;AU128</f>
        <v>4B</v>
      </c>
      <c r="AX128" s="79">
        <f>IF(COUNTIFS(J:J,"Integral",E:E,E128,H:H,"Ativo")=4,1/4,1/10)</f>
        <v>0.1</v>
      </c>
      <c r="AY128" s="79"/>
      <c r="AZ128" s="79"/>
    </row>
    <row r="129" spans="1:52" ht="15.75" customHeight="1">
      <c r="A129" s="31">
        <v>133</v>
      </c>
      <c r="B129" s="399">
        <v>44884</v>
      </c>
      <c r="C129" s="32" t="s">
        <v>586</v>
      </c>
      <c r="D129" s="32" t="s">
        <v>517</v>
      </c>
      <c r="E129" s="32" t="s">
        <v>385</v>
      </c>
      <c r="F129" s="32" t="s">
        <v>588</v>
      </c>
      <c r="G129" s="33" t="s">
        <v>220</v>
      </c>
      <c r="H129" s="33" t="s">
        <v>244</v>
      </c>
      <c r="I129" s="34">
        <v>44888</v>
      </c>
      <c r="J129" s="33">
        <v>4</v>
      </c>
      <c r="K129" s="35" t="s">
        <v>318</v>
      </c>
      <c r="L129" s="35" t="s">
        <v>238</v>
      </c>
      <c r="M129" s="67" t="s">
        <v>222</v>
      </c>
      <c r="N129" s="33" t="s">
        <v>68</v>
      </c>
      <c r="O129" s="33" t="s">
        <v>13</v>
      </c>
      <c r="P129" s="33" t="s">
        <v>1</v>
      </c>
      <c r="Q129" s="47"/>
      <c r="R129" s="47"/>
      <c r="S129" s="45" t="s">
        <v>222</v>
      </c>
      <c r="T129" s="45"/>
      <c r="U129" s="51">
        <v>44884</v>
      </c>
      <c r="V129" s="48">
        <f t="shared" si="12"/>
        <v>44884</v>
      </c>
      <c r="W129" s="50">
        <f>V129-U129</f>
        <v>0</v>
      </c>
      <c r="X129" s="265">
        <v>0</v>
      </c>
      <c r="Y129" s="67">
        <v>0</v>
      </c>
      <c r="Z129" s="67">
        <v>222000</v>
      </c>
      <c r="AA129" s="35">
        <v>0</v>
      </c>
      <c r="AB129" s="67"/>
      <c r="AC129" s="40"/>
      <c r="AD129" s="42"/>
      <c r="AE129" s="41">
        <v>0</v>
      </c>
      <c r="AF129" s="43">
        <v>0</v>
      </c>
      <c r="AG129" s="40">
        <v>0</v>
      </c>
      <c r="AH129" s="40"/>
      <c r="AI129" s="44"/>
      <c r="AJ129" s="44"/>
      <c r="AK129" s="40">
        <v>0</v>
      </c>
      <c r="AL129" s="40"/>
      <c r="AM129" s="242">
        <f t="shared" si="13"/>
        <v>44895</v>
      </c>
      <c r="AN129" s="242">
        <f>IF(AQ129="x","",IF(AQ129="x",AM129,IF(EOMONTH(I129,0)=31,"",EOMONTH(I129,0))))</f>
        <v>44895</v>
      </c>
      <c r="AO129" s="79">
        <f>IFERROR(IF(VLOOKUP(C129,C130:C733,1,0)=0,1,0),1)</f>
        <v>1</v>
      </c>
      <c r="AP129" s="79"/>
      <c r="AQ129" s="243" t="str">
        <f t="shared" si="15"/>
        <v/>
      </c>
      <c r="AR129" s="242" t="b">
        <f>IF(AQ129="x",EOMONTH(I129,0))</f>
        <v>0</v>
      </c>
      <c r="AS129" s="79">
        <f t="shared" si="16"/>
        <v>1</v>
      </c>
      <c r="AT129" s="79">
        <f t="shared" si="17"/>
        <v>1</v>
      </c>
      <c r="AU129" s="79" t="str">
        <f t="shared" si="18"/>
        <v>B</v>
      </c>
      <c r="AV129" s="79">
        <f t="shared" si="19"/>
        <v>1</v>
      </c>
      <c r="AW129" s="79" t="str">
        <f>J129&amp;AU129</f>
        <v>4B</v>
      </c>
      <c r="AX129" s="79">
        <f>IF(COUNTIFS(J:J,"Integral",E:E,E129,H:H,"Ativo")=4,1/4,1/10)</f>
        <v>0.1</v>
      </c>
      <c r="AY129" s="79"/>
      <c r="AZ129" s="79"/>
    </row>
    <row r="130" spans="1:52" ht="15.75" customHeight="1">
      <c r="A130" s="31">
        <v>134</v>
      </c>
      <c r="B130" s="399">
        <v>44884</v>
      </c>
      <c r="C130" s="32" t="s">
        <v>589</v>
      </c>
      <c r="D130" s="32" t="s">
        <v>513</v>
      </c>
      <c r="E130" s="32" t="s">
        <v>385</v>
      </c>
      <c r="F130" s="32" t="s">
        <v>590</v>
      </c>
      <c r="G130" s="33" t="s">
        <v>220</v>
      </c>
      <c r="H130" s="33" t="s">
        <v>90</v>
      </c>
      <c r="I130" s="34">
        <v>0</v>
      </c>
      <c r="J130" s="33">
        <v>4</v>
      </c>
      <c r="K130" s="35" t="s">
        <v>273</v>
      </c>
      <c r="L130" s="35" t="s">
        <v>238</v>
      </c>
      <c r="M130" s="67" t="s">
        <v>222</v>
      </c>
      <c r="N130" s="33" t="s">
        <v>68</v>
      </c>
      <c r="O130" s="33" t="s">
        <v>13</v>
      </c>
      <c r="P130" s="33" t="s">
        <v>1</v>
      </c>
      <c r="Q130" s="47"/>
      <c r="R130" s="47"/>
      <c r="S130" s="45" t="s">
        <v>143</v>
      </c>
      <c r="T130" s="45"/>
      <c r="U130" s="51">
        <v>44884</v>
      </c>
      <c r="V130" s="48">
        <f t="shared" ref="V130:V193" si="20">B130</f>
        <v>44884</v>
      </c>
      <c r="W130" s="50">
        <f>V130-U130</f>
        <v>0</v>
      </c>
      <c r="X130" s="261">
        <v>216000</v>
      </c>
      <c r="Y130" s="260">
        <v>216000</v>
      </c>
      <c r="Z130" s="260">
        <v>222000</v>
      </c>
      <c r="AA130" s="35">
        <v>0</v>
      </c>
      <c r="AB130" s="260"/>
      <c r="AC130" s="41"/>
      <c r="AD130" s="42"/>
      <c r="AE130" s="41"/>
      <c r="AF130" s="43"/>
      <c r="AG130" s="40">
        <v>6000</v>
      </c>
      <c r="AH130" s="40"/>
      <c r="AI130" s="44"/>
      <c r="AJ130" s="44"/>
      <c r="AK130" s="40">
        <v>0</v>
      </c>
      <c r="AL130" s="40">
        <v>0</v>
      </c>
      <c r="AM130" s="242">
        <f t="shared" ref="AM130:AM193" si="21">IFERROR(EOMONTH(B130,0),"Pendente")</f>
        <v>44895</v>
      </c>
      <c r="AN130" s="242" t="str">
        <f>IF(AQ130="x","",IF(AQ130="x",AM130,IF(EOMONTH(I130,0)=31,"",EOMONTH(I130,0))))</f>
        <v/>
      </c>
      <c r="AO130" s="79">
        <f>IFERROR(IF(VLOOKUP(C130,C131:C734,1,0)=0,1,0),1)</f>
        <v>0</v>
      </c>
      <c r="AP130" s="79"/>
      <c r="AQ130" s="243" t="str">
        <f t="shared" si="15"/>
        <v/>
      </c>
      <c r="AR130" s="242" t="b">
        <f>IF(AQ130="x",EOMONTH(I130,0))</f>
        <v>0</v>
      </c>
      <c r="AS130" s="79">
        <f t="shared" si="16"/>
        <v>1</v>
      </c>
      <c r="AT130" s="79">
        <f t="shared" si="17"/>
        <v>1</v>
      </c>
      <c r="AU130" s="79" t="str">
        <f t="shared" si="18"/>
        <v>B</v>
      </c>
      <c r="AV130" s="79">
        <f t="shared" si="19"/>
        <v>1</v>
      </c>
      <c r="AW130" s="79" t="str">
        <f>J130&amp;AU130</f>
        <v>4B</v>
      </c>
      <c r="AX130" s="79">
        <f>IF(COUNTIFS(J:J,"Integral",E:E,E130,H:H,"Ativo")=4,1/4,1/10)</f>
        <v>0.1</v>
      </c>
      <c r="AY130" s="79"/>
      <c r="AZ130" s="79"/>
    </row>
    <row r="131" spans="1:52" ht="15.75" customHeight="1">
      <c r="A131" s="31">
        <v>135</v>
      </c>
      <c r="B131" s="399">
        <v>44884</v>
      </c>
      <c r="C131" s="32" t="s">
        <v>589</v>
      </c>
      <c r="D131" s="32" t="s">
        <v>515</v>
      </c>
      <c r="E131" s="32" t="s">
        <v>385</v>
      </c>
      <c r="F131" s="32" t="s">
        <v>591</v>
      </c>
      <c r="G131" s="33" t="s">
        <v>220</v>
      </c>
      <c r="H131" s="33" t="s">
        <v>90</v>
      </c>
      <c r="I131" s="34">
        <v>0</v>
      </c>
      <c r="J131" s="33">
        <v>4</v>
      </c>
      <c r="K131" s="35" t="s">
        <v>273</v>
      </c>
      <c r="L131" s="35" t="s">
        <v>238</v>
      </c>
      <c r="M131" s="67" t="s">
        <v>222</v>
      </c>
      <c r="N131" s="33" t="s">
        <v>68</v>
      </c>
      <c r="O131" s="33" t="s">
        <v>13</v>
      </c>
      <c r="P131" s="33" t="s">
        <v>1</v>
      </c>
      <c r="Q131" s="47"/>
      <c r="R131" s="47"/>
      <c r="S131" s="45" t="s">
        <v>143</v>
      </c>
      <c r="T131" s="45"/>
      <c r="U131" s="51">
        <v>44884</v>
      </c>
      <c r="V131" s="48">
        <f t="shared" si="20"/>
        <v>44884</v>
      </c>
      <c r="W131" s="50">
        <f>V131-U131</f>
        <v>0</v>
      </c>
      <c r="X131" s="261">
        <v>216000</v>
      </c>
      <c r="Y131" s="260">
        <v>216000</v>
      </c>
      <c r="Z131" s="260">
        <v>222000</v>
      </c>
      <c r="AA131" s="35">
        <v>0</v>
      </c>
      <c r="AB131" s="260"/>
      <c r="AC131" s="41"/>
      <c r="AD131" s="42"/>
      <c r="AE131" s="41"/>
      <c r="AF131" s="43"/>
      <c r="AG131" s="40">
        <v>6000</v>
      </c>
      <c r="AH131" s="40"/>
      <c r="AI131" s="44"/>
      <c r="AJ131" s="44"/>
      <c r="AK131" s="40">
        <v>0</v>
      </c>
      <c r="AL131" s="40">
        <v>0</v>
      </c>
      <c r="AM131" s="242">
        <f t="shared" si="21"/>
        <v>44895</v>
      </c>
      <c r="AN131" s="242" t="str">
        <f>IF(AQ131="x","",IF(AQ131="x",AM131,IF(EOMONTH(I131,0)=31,"",EOMONTH(I131,0))))</f>
        <v/>
      </c>
      <c r="AO131" s="79">
        <f>IFERROR(IF(VLOOKUP(C131,C132:C735,1,0)=0,1,0),1)</f>
        <v>1</v>
      </c>
      <c r="AP131" s="79"/>
      <c r="AQ131" s="243" t="str">
        <f t="shared" si="15"/>
        <v/>
      </c>
      <c r="AR131" s="242" t="b">
        <f>IF(AQ131="x",EOMONTH(I131,0))</f>
        <v>0</v>
      </c>
      <c r="AS131" s="79">
        <f t="shared" si="16"/>
        <v>1</v>
      </c>
      <c r="AT131" s="79">
        <f t="shared" si="17"/>
        <v>1</v>
      </c>
      <c r="AU131" s="79" t="str">
        <f t="shared" si="18"/>
        <v>B</v>
      </c>
      <c r="AV131" s="79">
        <f t="shared" si="19"/>
        <v>1</v>
      </c>
      <c r="AW131" s="79" t="str">
        <f>J131&amp;AU131</f>
        <v>4B</v>
      </c>
      <c r="AX131" s="79">
        <f>IF(COUNTIFS(J:J,"Integral",E:E,E131,H:H,"Ativo")=4,1/4,1/10)</f>
        <v>0.1</v>
      </c>
      <c r="AY131" s="79"/>
      <c r="AZ131" s="79"/>
    </row>
    <row r="132" spans="1:52" ht="15.75" customHeight="1">
      <c r="A132" s="31">
        <v>136</v>
      </c>
      <c r="B132" s="399">
        <v>44889</v>
      </c>
      <c r="C132" s="32" t="s">
        <v>592</v>
      </c>
      <c r="D132" s="32" t="s">
        <v>299</v>
      </c>
      <c r="E132" s="32" t="s">
        <v>300</v>
      </c>
      <c r="F132" s="32" t="s">
        <v>593</v>
      </c>
      <c r="G132" s="33" t="s">
        <v>220</v>
      </c>
      <c r="H132" s="33" t="s">
        <v>244</v>
      </c>
      <c r="I132" s="34">
        <v>45162</v>
      </c>
      <c r="J132" s="33">
        <v>6</v>
      </c>
      <c r="K132" s="35" t="s">
        <v>289</v>
      </c>
      <c r="L132" s="35" t="s">
        <v>246</v>
      </c>
      <c r="M132" s="67" t="s">
        <v>222</v>
      </c>
      <c r="N132" s="33" t="s">
        <v>68</v>
      </c>
      <c r="O132" s="33" t="s">
        <v>13</v>
      </c>
      <c r="P132" s="33" t="s">
        <v>85</v>
      </c>
      <c r="Q132" s="47"/>
      <c r="R132" s="47"/>
      <c r="S132" s="45" t="s">
        <v>143</v>
      </c>
      <c r="T132" s="45"/>
      <c r="U132" s="51">
        <v>44889</v>
      </c>
      <c r="V132" s="48">
        <f t="shared" si="20"/>
        <v>44889</v>
      </c>
      <c r="W132" s="50">
        <f>V132-U132</f>
        <v>0</v>
      </c>
      <c r="X132" s="265">
        <v>333000</v>
      </c>
      <c r="Y132" s="67">
        <v>333000</v>
      </c>
      <c r="Z132" s="67">
        <v>361800</v>
      </c>
      <c r="AA132" s="35">
        <v>0</v>
      </c>
      <c r="AB132" s="67"/>
      <c r="AC132" s="41"/>
      <c r="AD132" s="42"/>
      <c r="AE132" s="41"/>
      <c r="AF132" s="43"/>
      <c r="AG132" s="40">
        <v>28800</v>
      </c>
      <c r="AH132" s="40"/>
      <c r="AI132" s="44"/>
      <c r="AJ132" s="44"/>
      <c r="AK132" s="40">
        <v>0</v>
      </c>
      <c r="AL132" s="40">
        <v>0</v>
      </c>
      <c r="AM132" s="242">
        <f t="shared" si="21"/>
        <v>44895</v>
      </c>
      <c r="AN132" s="242">
        <f>IF(AQ132="x","",IF(AQ132="x",AM132,IF(EOMONTH(I132,0)=31,"",EOMONTH(I132,0))))</f>
        <v>45169</v>
      </c>
      <c r="AO132" s="79">
        <f>IFERROR(IF(VLOOKUP(C132,C133:C736,1,0)=0,1,0),1)</f>
        <v>1</v>
      </c>
      <c r="AP132" s="79"/>
      <c r="AQ132" s="243" t="str">
        <f t="shared" si="15"/>
        <v/>
      </c>
      <c r="AR132" s="242" t="b">
        <f>IF(AQ132="x",EOMONTH(I132,0))</f>
        <v>0</v>
      </c>
      <c r="AS132" s="79">
        <f t="shared" si="16"/>
        <v>1</v>
      </c>
      <c r="AT132" s="79">
        <f t="shared" si="17"/>
        <v>1</v>
      </c>
      <c r="AU132" s="79" t="str">
        <f t="shared" si="18"/>
        <v>B</v>
      </c>
      <c r="AV132" s="79">
        <f t="shared" ref="AV132:AV163" si="22">IF(AG132&lt;0,0,1)</f>
        <v>1</v>
      </c>
      <c r="AW132" s="79" t="str">
        <f>J132&amp;AU132</f>
        <v>6B</v>
      </c>
      <c r="AX132" s="79">
        <f>IF(COUNTIFS(J:J,"Integral",E:E,E132,H:H,"Ativo")=4,1/4,1/10)</f>
        <v>0.1</v>
      </c>
      <c r="AY132" s="79"/>
      <c r="AZ132" s="79"/>
    </row>
    <row r="133" spans="1:52" ht="15.75" customHeight="1">
      <c r="A133" s="31">
        <v>137</v>
      </c>
      <c r="B133" s="399">
        <v>44891</v>
      </c>
      <c r="C133" s="32" t="s">
        <v>594</v>
      </c>
      <c r="D133" s="32" t="s">
        <v>595</v>
      </c>
      <c r="E133" s="32" t="s">
        <v>300</v>
      </c>
      <c r="F133" s="32" t="s">
        <v>596</v>
      </c>
      <c r="G133" s="33" t="s">
        <v>220</v>
      </c>
      <c r="H133" s="33" t="s">
        <v>244</v>
      </c>
      <c r="I133" s="34">
        <v>44895</v>
      </c>
      <c r="J133" s="33">
        <v>6</v>
      </c>
      <c r="K133" s="35" t="s">
        <v>425</v>
      </c>
      <c r="L133" s="35" t="s">
        <v>425</v>
      </c>
      <c r="M133" s="67" t="s">
        <v>222</v>
      </c>
      <c r="N133" s="33" t="s">
        <v>68</v>
      </c>
      <c r="O133" s="33" t="s">
        <v>13</v>
      </c>
      <c r="P133" s="33" t="s">
        <v>1</v>
      </c>
      <c r="Q133" s="47"/>
      <c r="R133" s="47"/>
      <c r="S133" s="45" t="s">
        <v>222</v>
      </c>
      <c r="T133" s="45"/>
      <c r="U133" s="51">
        <v>44891</v>
      </c>
      <c r="V133" s="48">
        <f t="shared" si="20"/>
        <v>44891</v>
      </c>
      <c r="W133" s="50">
        <f>V133-U133</f>
        <v>0</v>
      </c>
      <c r="X133" s="265">
        <v>0</v>
      </c>
      <c r="Y133" s="67">
        <v>0</v>
      </c>
      <c r="Z133" s="67">
        <v>335000</v>
      </c>
      <c r="AA133" s="35">
        <v>0</v>
      </c>
      <c r="AB133" s="67"/>
      <c r="AC133" s="40"/>
      <c r="AD133" s="42"/>
      <c r="AE133" s="41">
        <v>0</v>
      </c>
      <c r="AF133" s="43">
        <v>0</v>
      </c>
      <c r="AG133" s="40">
        <v>0</v>
      </c>
      <c r="AH133" s="40"/>
      <c r="AI133" s="44"/>
      <c r="AJ133" s="44"/>
      <c r="AK133" s="40">
        <v>0</v>
      </c>
      <c r="AL133" s="40"/>
      <c r="AM133" s="242">
        <f t="shared" si="21"/>
        <v>44895</v>
      </c>
      <c r="AN133" s="242">
        <f>IF(AQ133="x","",IF(AQ133="x",AM133,IF(EOMONTH(I133,0)=31,"",EOMONTH(I133,0))))</f>
        <v>44895</v>
      </c>
      <c r="AO133" s="79">
        <f>IFERROR(IF(VLOOKUP(C133,C134:C737,1,0)=0,1,0),1)</f>
        <v>1</v>
      </c>
      <c r="AP133" s="79"/>
      <c r="AQ133" s="243" t="str">
        <f t="shared" si="15"/>
        <v/>
      </c>
      <c r="AR133" s="242" t="b">
        <f>IF(AQ133="x",EOMONTH(I133,0))</f>
        <v>0</v>
      </c>
      <c r="AS133" s="79">
        <f t="shared" si="16"/>
        <v>1</v>
      </c>
      <c r="AT133" s="79">
        <f t="shared" si="17"/>
        <v>1</v>
      </c>
      <c r="AU133" s="79" t="str">
        <f t="shared" si="18"/>
        <v>B</v>
      </c>
      <c r="AV133" s="79">
        <f t="shared" si="22"/>
        <v>1</v>
      </c>
      <c r="AW133" s="79" t="str">
        <f>J133&amp;AU133</f>
        <v>6B</v>
      </c>
      <c r="AX133" s="79">
        <f>IF(COUNTIFS(J:J,"Integral",E:E,E133,H:H,"Ativo")=4,1/4,1/10)</f>
        <v>0.1</v>
      </c>
      <c r="AY133" s="79"/>
      <c r="AZ133" s="79"/>
    </row>
    <row r="134" spans="1:52" ht="15.75" customHeight="1">
      <c r="A134" s="31">
        <v>138</v>
      </c>
      <c r="B134" s="399">
        <v>44891</v>
      </c>
      <c r="C134" s="32" t="s">
        <v>597</v>
      </c>
      <c r="D134" s="32" t="s">
        <v>598</v>
      </c>
      <c r="E134" s="32" t="s">
        <v>564</v>
      </c>
      <c r="F134" s="32" t="s">
        <v>599</v>
      </c>
      <c r="G134" s="33" t="s">
        <v>220</v>
      </c>
      <c r="H134" s="33" t="s">
        <v>244</v>
      </c>
      <c r="I134" s="34">
        <v>44896</v>
      </c>
      <c r="J134" s="33">
        <v>13</v>
      </c>
      <c r="K134" s="35" t="s">
        <v>566</v>
      </c>
      <c r="L134" s="35" t="s">
        <v>600</v>
      </c>
      <c r="M134" s="67" t="s">
        <v>222</v>
      </c>
      <c r="N134" s="33" t="s">
        <v>68</v>
      </c>
      <c r="O134" s="33" t="s">
        <v>13</v>
      </c>
      <c r="P134" s="33" t="s">
        <v>1</v>
      </c>
      <c r="Q134" s="47"/>
      <c r="R134" s="47"/>
      <c r="S134" s="45" t="s">
        <v>222</v>
      </c>
      <c r="T134" s="45"/>
      <c r="U134" s="51">
        <v>44891</v>
      </c>
      <c r="V134" s="48">
        <f t="shared" si="20"/>
        <v>44891</v>
      </c>
      <c r="W134" s="50">
        <f>V134-U134</f>
        <v>0</v>
      </c>
      <c r="X134" s="265">
        <v>0</v>
      </c>
      <c r="Y134" s="67">
        <v>0</v>
      </c>
      <c r="Z134" s="67">
        <v>772000</v>
      </c>
      <c r="AA134" s="35">
        <v>0</v>
      </c>
      <c r="AB134" s="67"/>
      <c r="AC134" s="40"/>
      <c r="AD134" s="42"/>
      <c r="AE134" s="41">
        <v>0</v>
      </c>
      <c r="AF134" s="43">
        <v>0</v>
      </c>
      <c r="AG134" s="40">
        <v>0</v>
      </c>
      <c r="AH134" s="40"/>
      <c r="AI134" s="44"/>
      <c r="AJ134" s="44"/>
      <c r="AK134" s="40">
        <v>0</v>
      </c>
      <c r="AL134" s="40"/>
      <c r="AM134" s="242">
        <f t="shared" si="21"/>
        <v>44895</v>
      </c>
      <c r="AN134" s="242">
        <f>IF(AQ134="x","",IF(AQ134="x",AM134,IF(EOMONTH(I134,0)=31,"",EOMONTH(I134,0))))</f>
        <v>44926</v>
      </c>
      <c r="AO134" s="79">
        <f>IFERROR(IF(VLOOKUP(C134,C135:C738,1,0)=0,1,0),1)</f>
        <v>1</v>
      </c>
      <c r="AP134" s="79"/>
      <c r="AQ134" s="243" t="str">
        <f t="shared" si="15"/>
        <v/>
      </c>
      <c r="AR134" s="242" t="b">
        <f>IF(AQ134="x",EOMONTH(I134,0))</f>
        <v>0</v>
      </c>
      <c r="AS134" s="79">
        <f t="shared" si="16"/>
        <v>1</v>
      </c>
      <c r="AT134" s="79">
        <f t="shared" si="17"/>
        <v>1</v>
      </c>
      <c r="AU134" s="79" t="str">
        <f t="shared" si="18"/>
        <v>B</v>
      </c>
      <c r="AV134" s="79">
        <f t="shared" si="22"/>
        <v>1</v>
      </c>
      <c r="AW134" s="79" t="str">
        <f>J134&amp;AU134</f>
        <v>13B</v>
      </c>
      <c r="AX134" s="79">
        <f>IF(COUNTIFS(J:J,"Integral",E:E,E134,H:H,"Ativo")=4,1/4,1/10)</f>
        <v>0.1</v>
      </c>
      <c r="AY134" s="79"/>
      <c r="AZ134" s="79"/>
    </row>
    <row r="135" spans="1:52" ht="15.75" customHeight="1">
      <c r="A135" s="31">
        <v>139</v>
      </c>
      <c r="B135" s="399">
        <v>44892</v>
      </c>
      <c r="C135" s="32" t="s">
        <v>601</v>
      </c>
      <c r="D135" s="32" t="s">
        <v>546</v>
      </c>
      <c r="E135" s="32" t="s">
        <v>547</v>
      </c>
      <c r="F135" s="32" t="s">
        <v>602</v>
      </c>
      <c r="G135" s="33" t="s">
        <v>243</v>
      </c>
      <c r="H135" s="33" t="s">
        <v>244</v>
      </c>
      <c r="I135" s="34">
        <v>44894</v>
      </c>
      <c r="J135" s="33">
        <v>6</v>
      </c>
      <c r="K135" s="35" t="s">
        <v>318</v>
      </c>
      <c r="L135" s="35" t="s">
        <v>238</v>
      </c>
      <c r="M135" s="67" t="s">
        <v>222</v>
      </c>
      <c r="N135" s="33" t="s">
        <v>68</v>
      </c>
      <c r="O135" s="33" t="s">
        <v>13</v>
      </c>
      <c r="P135" s="33" t="s">
        <v>1</v>
      </c>
      <c r="Q135" s="47"/>
      <c r="R135" s="47"/>
      <c r="S135" s="45" t="s">
        <v>222</v>
      </c>
      <c r="T135" s="45"/>
      <c r="U135" s="51">
        <v>44892</v>
      </c>
      <c r="V135" s="48">
        <f t="shared" si="20"/>
        <v>44892</v>
      </c>
      <c r="W135" s="50">
        <f>V135-U135</f>
        <v>0</v>
      </c>
      <c r="X135" s="265">
        <v>0</v>
      </c>
      <c r="Y135" s="67">
        <v>0</v>
      </c>
      <c r="Z135" s="67">
        <v>338480</v>
      </c>
      <c r="AA135" s="35">
        <v>0</v>
      </c>
      <c r="AB135" s="67"/>
      <c r="AC135" s="40"/>
      <c r="AD135" s="42"/>
      <c r="AE135" s="41">
        <v>0</v>
      </c>
      <c r="AF135" s="43">
        <v>0</v>
      </c>
      <c r="AG135" s="40">
        <v>0</v>
      </c>
      <c r="AH135" s="40"/>
      <c r="AI135" s="44"/>
      <c r="AJ135" s="44"/>
      <c r="AK135" s="40">
        <v>0</v>
      </c>
      <c r="AL135" s="40"/>
      <c r="AM135" s="242">
        <f t="shared" si="21"/>
        <v>44895</v>
      </c>
      <c r="AN135" s="242" t="str">
        <f>IF(AQ135="x","",IF(AQ135="x",AM135,IF(EOMONTH(I135,0)=31,"",EOMONTH(I135,0))))</f>
        <v/>
      </c>
      <c r="AO135" s="79">
        <f>IFERROR(IF(VLOOKUP(C135,C136:C739,1,0)=0,1,0),1)</f>
        <v>1</v>
      </c>
      <c r="AP135" s="79"/>
      <c r="AQ135" s="243" t="str">
        <f t="shared" si="15"/>
        <v>x</v>
      </c>
      <c r="AR135" s="242">
        <f>IF(AQ135="x",EOMONTH(I135,0))</f>
        <v>44895</v>
      </c>
      <c r="AS135" s="79">
        <f t="shared" si="16"/>
        <v>1</v>
      </c>
      <c r="AT135" s="79">
        <f t="shared" si="17"/>
        <v>1</v>
      </c>
      <c r="AU135" s="79" t="str">
        <f t="shared" si="18"/>
        <v>B</v>
      </c>
      <c r="AV135" s="79">
        <f t="shared" si="22"/>
        <v>1</v>
      </c>
      <c r="AW135" s="79" t="str">
        <f>J135&amp;AU135</f>
        <v>6B</v>
      </c>
      <c r="AX135" s="79">
        <f>IF(COUNTIFS(J:J,"Integral",E:E,E135,H:H,"Ativo")=4,1/4,1/10)</f>
        <v>0.1</v>
      </c>
      <c r="AY135" s="79"/>
      <c r="AZ135" s="79"/>
    </row>
    <row r="136" spans="1:52" ht="15.75" customHeight="1">
      <c r="A136" s="31">
        <v>140</v>
      </c>
      <c r="B136" s="399">
        <v>44892</v>
      </c>
      <c r="C136" s="32" t="s">
        <v>603</v>
      </c>
      <c r="D136" s="32" t="s">
        <v>604</v>
      </c>
      <c r="E136" s="32" t="s">
        <v>300</v>
      </c>
      <c r="F136" s="32" t="s">
        <v>605</v>
      </c>
      <c r="G136" s="33" t="s">
        <v>220</v>
      </c>
      <c r="H136" s="33" t="s">
        <v>244</v>
      </c>
      <c r="I136" s="34">
        <v>45555</v>
      </c>
      <c r="J136" s="33">
        <v>4</v>
      </c>
      <c r="K136" s="35" t="s">
        <v>246</v>
      </c>
      <c r="L136" s="35" t="s">
        <v>289</v>
      </c>
      <c r="M136" s="67" t="s">
        <v>222</v>
      </c>
      <c r="N136" s="33" t="s">
        <v>68</v>
      </c>
      <c r="O136" s="33" t="s">
        <v>12</v>
      </c>
      <c r="P136" s="33" t="s">
        <v>1</v>
      </c>
      <c r="Q136" s="47"/>
      <c r="R136" s="47"/>
      <c r="S136" s="45" t="s">
        <v>144</v>
      </c>
      <c r="T136" s="45"/>
      <c r="U136" s="47" t="s">
        <v>222</v>
      </c>
      <c r="V136" s="48">
        <f t="shared" si="20"/>
        <v>44892</v>
      </c>
      <c r="W136" s="50"/>
      <c r="X136" s="261">
        <v>220000</v>
      </c>
      <c r="Y136" s="260">
        <v>220000</v>
      </c>
      <c r="Z136" s="260">
        <v>225000</v>
      </c>
      <c r="AA136" s="35">
        <v>0</v>
      </c>
      <c r="AB136" s="260"/>
      <c r="AC136" s="41"/>
      <c r="AD136" s="42"/>
      <c r="AE136" s="41"/>
      <c r="AF136" s="43"/>
      <c r="AG136" s="40">
        <v>5000</v>
      </c>
      <c r="AH136" s="40"/>
      <c r="AI136" s="44"/>
      <c r="AJ136" s="44"/>
      <c r="AK136" s="40">
        <v>0</v>
      </c>
      <c r="AL136" s="40">
        <v>0</v>
      </c>
      <c r="AM136" s="242">
        <f t="shared" si="21"/>
        <v>44895</v>
      </c>
      <c r="AN136" s="242">
        <f>IF(AQ136="x","",IF(AQ136="x",AM136,IF(EOMONTH(I136,0)=31,"",EOMONTH(I136,0))))</f>
        <v>45565</v>
      </c>
      <c r="AO136" s="79">
        <f>IFERROR(IF(VLOOKUP(C136,C137:C740,1,0)=0,1,0),1)</f>
        <v>0</v>
      </c>
      <c r="AP136" s="79"/>
      <c r="AQ136" s="243" t="str">
        <f t="shared" si="15"/>
        <v/>
      </c>
      <c r="AR136" s="242" t="b">
        <f>IF(AQ136="x",EOMONTH(I136,0))</f>
        <v>0</v>
      </c>
      <c r="AS136" s="79">
        <f t="shared" si="16"/>
        <v>1</v>
      </c>
      <c r="AT136" s="79">
        <f t="shared" si="17"/>
        <v>1</v>
      </c>
      <c r="AU136" s="79" t="str">
        <f t="shared" si="18"/>
        <v>B</v>
      </c>
      <c r="AV136" s="79">
        <f t="shared" si="22"/>
        <v>1</v>
      </c>
      <c r="AW136" s="79" t="str">
        <f>J136&amp;AU136</f>
        <v>4B</v>
      </c>
      <c r="AX136" s="79">
        <f>IF(COUNTIFS(J:J,"Integral",E:E,E136,H:H,"Ativo")=4,1/4,1/10)</f>
        <v>0.1</v>
      </c>
      <c r="AY136" s="79"/>
      <c r="AZ136" s="79"/>
    </row>
    <row r="137" spans="1:52" ht="15.75" customHeight="1">
      <c r="A137" s="31">
        <v>141</v>
      </c>
      <c r="B137" s="399">
        <v>44892</v>
      </c>
      <c r="C137" s="32" t="s">
        <v>603</v>
      </c>
      <c r="D137" s="32" t="s">
        <v>606</v>
      </c>
      <c r="E137" s="32" t="s">
        <v>300</v>
      </c>
      <c r="F137" s="32" t="s">
        <v>607</v>
      </c>
      <c r="G137" s="33" t="s">
        <v>220</v>
      </c>
      <c r="H137" s="33" t="s">
        <v>244</v>
      </c>
      <c r="I137" s="34">
        <v>45555</v>
      </c>
      <c r="J137" s="33">
        <v>4</v>
      </c>
      <c r="K137" s="35" t="s">
        <v>246</v>
      </c>
      <c r="L137" s="35" t="s">
        <v>289</v>
      </c>
      <c r="M137" s="67" t="s">
        <v>222</v>
      </c>
      <c r="N137" s="33" t="s">
        <v>68</v>
      </c>
      <c r="O137" s="33" t="s">
        <v>12</v>
      </c>
      <c r="P137" s="33" t="s">
        <v>1</v>
      </c>
      <c r="Q137" s="47"/>
      <c r="R137" s="47"/>
      <c r="S137" s="45" t="s">
        <v>144</v>
      </c>
      <c r="T137" s="45"/>
      <c r="U137" s="47" t="s">
        <v>222</v>
      </c>
      <c r="V137" s="48">
        <f t="shared" si="20"/>
        <v>44892</v>
      </c>
      <c r="W137" s="50"/>
      <c r="X137" s="261">
        <v>220000</v>
      </c>
      <c r="Y137" s="260">
        <v>220000</v>
      </c>
      <c r="Z137" s="260">
        <v>225000</v>
      </c>
      <c r="AA137" s="35">
        <v>0</v>
      </c>
      <c r="AB137" s="260"/>
      <c r="AC137" s="41"/>
      <c r="AD137" s="42"/>
      <c r="AE137" s="41"/>
      <c r="AF137" s="43"/>
      <c r="AG137" s="40">
        <v>5000</v>
      </c>
      <c r="AH137" s="40"/>
      <c r="AI137" s="44"/>
      <c r="AJ137" s="44"/>
      <c r="AK137" s="40">
        <v>0</v>
      </c>
      <c r="AL137" s="40">
        <v>0</v>
      </c>
      <c r="AM137" s="242">
        <f t="shared" si="21"/>
        <v>44895</v>
      </c>
      <c r="AN137" s="242">
        <f>IF(AQ137="x","",IF(AQ137="x",AM137,IF(EOMONTH(I137,0)=31,"",EOMONTH(I137,0))))</f>
        <v>45565</v>
      </c>
      <c r="AO137" s="79">
        <f>IFERROR(IF(VLOOKUP(C137,C138:C741,1,0)=0,1,0),1)</f>
        <v>1</v>
      </c>
      <c r="AP137" s="79"/>
      <c r="AQ137" s="243" t="str">
        <f t="shared" si="15"/>
        <v/>
      </c>
      <c r="AR137" s="242" t="b">
        <f>IF(AQ137="x",EOMONTH(I137,0))</f>
        <v>0</v>
      </c>
      <c r="AS137" s="79">
        <f t="shared" si="16"/>
        <v>1</v>
      </c>
      <c r="AT137" s="79">
        <f t="shared" si="17"/>
        <v>1</v>
      </c>
      <c r="AU137" s="79" t="str">
        <f t="shared" si="18"/>
        <v>B</v>
      </c>
      <c r="AV137" s="79">
        <f t="shared" si="22"/>
        <v>1</v>
      </c>
      <c r="AW137" s="79" t="str">
        <f>J137&amp;AU137</f>
        <v>4B</v>
      </c>
      <c r="AX137" s="79">
        <f>IF(COUNTIFS(J:J,"Integral",E:E,E137,H:H,"Ativo")=4,1/4,1/10)</f>
        <v>0.1</v>
      </c>
      <c r="AY137" s="79"/>
      <c r="AZ137" s="79"/>
    </row>
    <row r="138" spans="1:52" ht="15.75" customHeight="1">
      <c r="A138" s="31">
        <v>142</v>
      </c>
      <c r="B138" s="399">
        <v>44892</v>
      </c>
      <c r="C138" s="32" t="s">
        <v>608</v>
      </c>
      <c r="D138" s="32" t="s">
        <v>609</v>
      </c>
      <c r="E138" s="32" t="s">
        <v>610</v>
      </c>
      <c r="F138" s="32" t="s">
        <v>611</v>
      </c>
      <c r="G138" s="33" t="s">
        <v>220</v>
      </c>
      <c r="H138" s="33" t="s">
        <v>244</v>
      </c>
      <c r="I138" s="34">
        <v>44896</v>
      </c>
      <c r="J138" s="33">
        <v>6</v>
      </c>
      <c r="K138" s="35" t="s">
        <v>612</v>
      </c>
      <c r="L138" s="35" t="s">
        <v>612</v>
      </c>
      <c r="M138" s="67" t="s">
        <v>222</v>
      </c>
      <c r="N138" s="33" t="s">
        <v>68</v>
      </c>
      <c r="O138" s="33" t="s">
        <v>13</v>
      </c>
      <c r="P138" s="33" t="s">
        <v>1</v>
      </c>
      <c r="Q138" s="47"/>
      <c r="R138" s="47"/>
      <c r="S138" s="45" t="s">
        <v>222</v>
      </c>
      <c r="T138" s="45"/>
      <c r="U138" s="51">
        <v>44892</v>
      </c>
      <c r="V138" s="48">
        <f t="shared" si="20"/>
        <v>44892</v>
      </c>
      <c r="W138" s="50">
        <f>V138-U138</f>
        <v>0</v>
      </c>
      <c r="X138" s="265">
        <v>0</v>
      </c>
      <c r="Y138" s="67">
        <v>0</v>
      </c>
      <c r="Z138" s="67">
        <v>347000</v>
      </c>
      <c r="AA138" s="35">
        <v>0</v>
      </c>
      <c r="AB138" s="67"/>
      <c r="AC138" s="40"/>
      <c r="AD138" s="42"/>
      <c r="AE138" s="41">
        <v>0</v>
      </c>
      <c r="AF138" s="43">
        <v>0</v>
      </c>
      <c r="AG138" s="40">
        <v>0</v>
      </c>
      <c r="AH138" s="40"/>
      <c r="AI138" s="44"/>
      <c r="AJ138" s="44"/>
      <c r="AK138" s="40">
        <v>0</v>
      </c>
      <c r="AL138" s="40"/>
      <c r="AM138" s="242">
        <f t="shared" si="21"/>
        <v>44895</v>
      </c>
      <c r="AN138" s="242">
        <f>IF(AQ138="x","",IF(AQ138="x",AM138,IF(EOMONTH(I138,0)=31,"",EOMONTH(I138,0))))</f>
        <v>44926</v>
      </c>
      <c r="AO138" s="79">
        <f>IFERROR(IF(VLOOKUP(C138,C139:C742,1,0)=0,1,0),1)</f>
        <v>1</v>
      </c>
      <c r="AP138" s="79"/>
      <c r="AQ138" s="243" t="str">
        <f t="shared" si="15"/>
        <v/>
      </c>
      <c r="AR138" s="242" t="b">
        <f>IF(AQ138="x",EOMONTH(I138,0))</f>
        <v>0</v>
      </c>
      <c r="AS138" s="79">
        <f t="shared" si="16"/>
        <v>1</v>
      </c>
      <c r="AT138" s="79">
        <f t="shared" si="17"/>
        <v>1</v>
      </c>
      <c r="AU138" s="79" t="str">
        <f t="shared" si="18"/>
        <v>B</v>
      </c>
      <c r="AV138" s="79">
        <f t="shared" si="22"/>
        <v>1</v>
      </c>
      <c r="AW138" s="79" t="str">
        <f>J138&amp;AU138</f>
        <v>6B</v>
      </c>
      <c r="AX138" s="79">
        <f>IF(COUNTIFS(J:J,"Integral",E:E,E138,H:H,"Ativo")=4,1/4,1/10)</f>
        <v>0.1</v>
      </c>
      <c r="AY138" s="79"/>
      <c r="AZ138" s="79"/>
    </row>
    <row r="139" spans="1:52" ht="15.75" customHeight="1">
      <c r="A139" s="31">
        <v>143</v>
      </c>
      <c r="B139" s="399">
        <v>44902</v>
      </c>
      <c r="C139" s="32" t="s">
        <v>613</v>
      </c>
      <c r="D139" s="32" t="s">
        <v>614</v>
      </c>
      <c r="E139" s="32" t="s">
        <v>615</v>
      </c>
      <c r="F139" s="32" t="s">
        <v>616</v>
      </c>
      <c r="G139" s="33" t="s">
        <v>220</v>
      </c>
      <c r="H139" s="33" t="s">
        <v>90</v>
      </c>
      <c r="I139" s="34">
        <v>0</v>
      </c>
      <c r="J139" s="33" t="s">
        <v>6</v>
      </c>
      <c r="K139" s="35" t="s">
        <v>394</v>
      </c>
      <c r="L139" s="35" t="s">
        <v>394</v>
      </c>
      <c r="M139" s="67" t="s">
        <v>222</v>
      </c>
      <c r="N139" s="33" t="s">
        <v>68</v>
      </c>
      <c r="O139" s="33" t="s">
        <v>10</v>
      </c>
      <c r="P139" s="33" t="s">
        <v>2</v>
      </c>
      <c r="Q139" s="47"/>
      <c r="R139" s="47"/>
      <c r="S139" s="45" t="s">
        <v>143</v>
      </c>
      <c r="T139" s="45"/>
      <c r="U139" s="46">
        <v>44893</v>
      </c>
      <c r="V139" s="38">
        <f t="shared" si="20"/>
        <v>44902</v>
      </c>
      <c r="W139" s="50">
        <f>V139-U139</f>
        <v>9</v>
      </c>
      <c r="X139" s="261">
        <v>1550250</v>
      </c>
      <c r="Y139" s="260">
        <v>1550250</v>
      </c>
      <c r="Z139" s="260">
        <v>1237500</v>
      </c>
      <c r="AA139" s="35">
        <v>0</v>
      </c>
      <c r="AB139" s="260"/>
      <c r="AC139" s="41"/>
      <c r="AD139" s="42"/>
      <c r="AE139" s="41"/>
      <c r="AF139" s="43"/>
      <c r="AG139" s="40">
        <v>0</v>
      </c>
      <c r="AH139" s="40">
        <v>312750</v>
      </c>
      <c r="AI139" s="44">
        <v>0.20174165457184326</v>
      </c>
      <c r="AJ139" s="44">
        <v>0.20174165457184326</v>
      </c>
      <c r="AK139" s="40">
        <v>0</v>
      </c>
      <c r="AL139" s="40">
        <v>312750</v>
      </c>
      <c r="AM139" s="242">
        <f t="shared" si="21"/>
        <v>44926</v>
      </c>
      <c r="AN139" s="242" t="str">
        <f>IF(AQ139="x","",IF(AQ139="x",AM139,IF(EOMONTH(I139,0)=31,"",EOMONTH(I139,0))))</f>
        <v/>
      </c>
      <c r="AO139" s="79">
        <f>IFERROR(IF(VLOOKUP(C139,C140:C743,1,0)=0,1,0),1)</f>
        <v>0</v>
      </c>
      <c r="AP139" s="79"/>
      <c r="AQ139" s="243" t="str">
        <f t="shared" si="15"/>
        <v/>
      </c>
      <c r="AR139" s="242" t="b">
        <f>IF(AQ139="x",EOMONTH(I139,0))</f>
        <v>0</v>
      </c>
      <c r="AS139" s="79">
        <f t="shared" si="16"/>
        <v>1</v>
      </c>
      <c r="AT139" s="79">
        <f t="shared" si="17"/>
        <v>1</v>
      </c>
      <c r="AU139" s="79" t="str">
        <f t="shared" si="18"/>
        <v>C</v>
      </c>
      <c r="AV139" s="79">
        <f t="shared" si="22"/>
        <v>1</v>
      </c>
      <c r="AW139" s="79" t="str">
        <f>J139&amp;AU139</f>
        <v>IntegralC</v>
      </c>
      <c r="AX139" s="79">
        <f>IF(COUNTIFS(J:J,"Integral",E:E,E139,H:H,"Ativo")=4,1/4,1/10)</f>
        <v>0.25</v>
      </c>
      <c r="AY139" s="79"/>
      <c r="AZ139" s="79"/>
    </row>
    <row r="140" spans="1:52" ht="15.75" customHeight="1">
      <c r="A140" s="31">
        <v>144</v>
      </c>
      <c r="B140" s="399">
        <v>44893</v>
      </c>
      <c r="C140" s="32" t="s">
        <v>617</v>
      </c>
      <c r="D140" s="32" t="s">
        <v>618</v>
      </c>
      <c r="E140" s="32" t="s">
        <v>547</v>
      </c>
      <c r="F140" s="32" t="s">
        <v>619</v>
      </c>
      <c r="G140" s="33" t="s">
        <v>220</v>
      </c>
      <c r="H140" s="33" t="s">
        <v>90</v>
      </c>
      <c r="I140" s="34">
        <v>0</v>
      </c>
      <c r="J140" s="33">
        <v>6</v>
      </c>
      <c r="K140" s="35" t="s">
        <v>273</v>
      </c>
      <c r="L140" s="35" t="s">
        <v>600</v>
      </c>
      <c r="M140" s="67" t="s">
        <v>222</v>
      </c>
      <c r="N140" s="33" t="s">
        <v>68</v>
      </c>
      <c r="O140" s="33" t="s">
        <v>13</v>
      </c>
      <c r="P140" s="33" t="s">
        <v>1</v>
      </c>
      <c r="Q140" s="47"/>
      <c r="R140" s="47"/>
      <c r="S140" s="45" t="s">
        <v>144</v>
      </c>
      <c r="T140" s="45"/>
      <c r="U140" s="51">
        <v>44890</v>
      </c>
      <c r="V140" s="48">
        <f t="shared" si="20"/>
        <v>44893</v>
      </c>
      <c r="W140" s="50">
        <f>V140-U140</f>
        <v>3</v>
      </c>
      <c r="X140" s="261">
        <v>333000</v>
      </c>
      <c r="Y140" s="260">
        <v>333000</v>
      </c>
      <c r="Z140" s="260">
        <v>335000</v>
      </c>
      <c r="AA140" s="35">
        <v>0</v>
      </c>
      <c r="AB140" s="260"/>
      <c r="AC140" s="41"/>
      <c r="AD140" s="42"/>
      <c r="AE140" s="41"/>
      <c r="AF140" s="43"/>
      <c r="AG140" s="40">
        <v>2000</v>
      </c>
      <c r="AH140" s="40"/>
      <c r="AI140" s="44"/>
      <c r="AJ140" s="44"/>
      <c r="AK140" s="40">
        <v>0</v>
      </c>
      <c r="AL140" s="40">
        <v>0</v>
      </c>
      <c r="AM140" s="242">
        <f t="shared" si="21"/>
        <v>44895</v>
      </c>
      <c r="AN140" s="242" t="str">
        <f>IF(AQ140="x","",IF(AQ140="x",AM140,IF(EOMONTH(I140,0)=31,"",EOMONTH(I140,0))))</f>
        <v/>
      </c>
      <c r="AO140" s="79">
        <f>IFERROR(IF(VLOOKUP(C140,C141:C744,1,0)=0,1,0),1)</f>
        <v>1</v>
      </c>
      <c r="AP140" s="79"/>
      <c r="AQ140" s="243" t="str">
        <f t="shared" si="15"/>
        <v/>
      </c>
      <c r="AR140" s="242" t="b">
        <f>IF(AQ140="x",EOMONTH(I140,0))</f>
        <v>0</v>
      </c>
      <c r="AS140" s="79">
        <f t="shared" si="16"/>
        <v>1</v>
      </c>
      <c r="AT140" s="79">
        <f t="shared" si="17"/>
        <v>1</v>
      </c>
      <c r="AU140" s="79" t="str">
        <f t="shared" si="18"/>
        <v>B</v>
      </c>
      <c r="AV140" s="79">
        <f t="shared" si="22"/>
        <v>1</v>
      </c>
      <c r="AW140" s="79" t="str">
        <f>J140&amp;AU140</f>
        <v>6B</v>
      </c>
      <c r="AX140" s="79">
        <f>IF(COUNTIFS(J:J,"Integral",E:E,E140,H:H,"Ativo")=4,1/4,1/10)</f>
        <v>0.1</v>
      </c>
      <c r="AY140" s="79"/>
      <c r="AZ140" s="79"/>
    </row>
    <row r="141" spans="1:52" ht="15.75" customHeight="1">
      <c r="A141" s="31">
        <v>145</v>
      </c>
      <c r="B141" s="399">
        <v>44894</v>
      </c>
      <c r="C141" s="32" t="s">
        <v>253</v>
      </c>
      <c r="D141" s="32" t="s">
        <v>620</v>
      </c>
      <c r="E141" s="32" t="s">
        <v>621</v>
      </c>
      <c r="F141" s="32" t="s">
        <v>622</v>
      </c>
      <c r="G141" s="33" t="s">
        <v>220</v>
      </c>
      <c r="H141" s="33" t="s">
        <v>90</v>
      </c>
      <c r="I141" s="34">
        <v>0</v>
      </c>
      <c r="J141" s="33" t="s">
        <v>6</v>
      </c>
      <c r="K141" s="35" t="s">
        <v>258</v>
      </c>
      <c r="L141" s="35" t="s">
        <v>258</v>
      </c>
      <c r="M141" s="67" t="s">
        <v>222</v>
      </c>
      <c r="N141" s="33" t="s">
        <v>73</v>
      </c>
      <c r="O141" s="33" t="s">
        <v>11</v>
      </c>
      <c r="P141" s="33" t="s">
        <v>1</v>
      </c>
      <c r="Q141" s="47" t="s">
        <v>96</v>
      </c>
      <c r="R141" s="47"/>
      <c r="S141" s="45" t="s">
        <v>143</v>
      </c>
      <c r="T141" s="45"/>
      <c r="U141" s="47" t="s">
        <v>222</v>
      </c>
      <c r="V141" s="48">
        <f t="shared" si="20"/>
        <v>44894</v>
      </c>
      <c r="W141" s="50"/>
      <c r="X141" s="261">
        <v>915000</v>
      </c>
      <c r="Y141" s="260">
        <v>915000</v>
      </c>
      <c r="Z141" s="260">
        <v>915000</v>
      </c>
      <c r="AA141" s="35">
        <v>0</v>
      </c>
      <c r="AB141" s="260"/>
      <c r="AC141" s="41"/>
      <c r="AD141" s="42"/>
      <c r="AE141" s="41"/>
      <c r="AF141" s="43"/>
      <c r="AG141" s="40">
        <v>0</v>
      </c>
      <c r="AH141" s="40">
        <v>0</v>
      </c>
      <c r="AI141" s="44"/>
      <c r="AJ141" s="44"/>
      <c r="AK141" s="40">
        <v>0</v>
      </c>
      <c r="AL141" s="40">
        <v>0</v>
      </c>
      <c r="AM141" s="242">
        <f t="shared" si="21"/>
        <v>44895</v>
      </c>
      <c r="AN141" s="242" t="str">
        <f>IF(AQ141="x","",IF(AQ141="x",AM141,IF(EOMONTH(I141,0)=31,"",EOMONTH(I141,0))))</f>
        <v/>
      </c>
      <c r="AO141" s="79">
        <f>IFERROR(IF(VLOOKUP(C141,C142:C745,1,0)=0,1,0),1)</f>
        <v>0</v>
      </c>
      <c r="AP141" s="79"/>
      <c r="AQ141" s="243" t="str">
        <f t="shared" si="15"/>
        <v/>
      </c>
      <c r="AR141" s="242" t="b">
        <f>IF(AQ141="x",EOMONTH(I141,0))</f>
        <v>0</v>
      </c>
      <c r="AS141" s="79">
        <f t="shared" si="16"/>
        <v>1</v>
      </c>
      <c r="AT141" s="79">
        <f t="shared" si="17"/>
        <v>1</v>
      </c>
      <c r="AU141" s="79" t="str">
        <f t="shared" si="18"/>
        <v>B</v>
      </c>
      <c r="AV141" s="79">
        <f t="shared" si="22"/>
        <v>1</v>
      </c>
      <c r="AW141" s="79" t="str">
        <f>J141&amp;AU141</f>
        <v>IntegralB</v>
      </c>
      <c r="AX141" s="79">
        <f>IF(COUNTIFS(J:J,"Integral",E:E,E141,H:H,"Ativo")=4,1/4,1/10)</f>
        <v>0.25</v>
      </c>
      <c r="AY141" s="79"/>
      <c r="AZ141" s="79"/>
    </row>
    <row r="142" spans="1:52" ht="15.75" customHeight="1">
      <c r="A142" s="31">
        <v>146</v>
      </c>
      <c r="B142" s="399">
        <v>44894</v>
      </c>
      <c r="C142" s="32" t="s">
        <v>253</v>
      </c>
      <c r="D142" s="32" t="s">
        <v>623</v>
      </c>
      <c r="E142" s="32" t="s">
        <v>624</v>
      </c>
      <c r="F142" s="32" t="s">
        <v>625</v>
      </c>
      <c r="G142" s="33" t="s">
        <v>220</v>
      </c>
      <c r="H142" s="33" t="s">
        <v>90</v>
      </c>
      <c r="I142" s="34">
        <v>0</v>
      </c>
      <c r="J142" s="33" t="s">
        <v>6</v>
      </c>
      <c r="K142" s="35" t="s">
        <v>258</v>
      </c>
      <c r="L142" s="35" t="s">
        <v>258</v>
      </c>
      <c r="M142" s="67" t="s">
        <v>222</v>
      </c>
      <c r="N142" s="33" t="s">
        <v>73</v>
      </c>
      <c r="O142" s="33" t="s">
        <v>11</v>
      </c>
      <c r="P142" s="33" t="s">
        <v>1</v>
      </c>
      <c r="Q142" s="47" t="s">
        <v>96</v>
      </c>
      <c r="R142" s="47"/>
      <c r="S142" s="45" t="s">
        <v>143</v>
      </c>
      <c r="T142" s="45"/>
      <c r="U142" s="46" t="s">
        <v>222</v>
      </c>
      <c r="V142" s="38">
        <f t="shared" si="20"/>
        <v>44894</v>
      </c>
      <c r="W142" s="50"/>
      <c r="X142" s="261">
        <v>258100</v>
      </c>
      <c r="Y142" s="260">
        <v>258100</v>
      </c>
      <c r="Z142" s="260">
        <v>258000</v>
      </c>
      <c r="AA142" s="35">
        <v>0</v>
      </c>
      <c r="AB142" s="260"/>
      <c r="AC142" s="41"/>
      <c r="AD142" s="42"/>
      <c r="AE142" s="41"/>
      <c r="AF142" s="43"/>
      <c r="AG142" s="40">
        <v>0</v>
      </c>
      <c r="AH142" s="40">
        <v>100</v>
      </c>
      <c r="AI142" s="44"/>
      <c r="AJ142" s="44"/>
      <c r="AK142" s="40">
        <v>0</v>
      </c>
      <c r="AL142" s="40">
        <v>100</v>
      </c>
      <c r="AM142" s="242">
        <f t="shared" si="21"/>
        <v>44895</v>
      </c>
      <c r="AN142" s="242" t="str">
        <f>IF(AQ142="x","",IF(AQ142="x",AM142,IF(EOMONTH(I142,0)=31,"",EOMONTH(I142,0))))</f>
        <v/>
      </c>
      <c r="AO142" s="79">
        <f>IFERROR(IF(VLOOKUP(C142,C143:C746,1,0)=0,1,0),1)</f>
        <v>0</v>
      </c>
      <c r="AP142" s="79"/>
      <c r="AQ142" s="243" t="str">
        <f t="shared" si="15"/>
        <v/>
      </c>
      <c r="AR142" s="242" t="b">
        <f>IF(AQ142="x",EOMONTH(I142,0))</f>
        <v>0</v>
      </c>
      <c r="AS142" s="79">
        <f t="shared" si="16"/>
        <v>1</v>
      </c>
      <c r="AT142" s="79">
        <f t="shared" si="17"/>
        <v>1</v>
      </c>
      <c r="AU142" s="79" t="str">
        <f t="shared" si="18"/>
        <v>B</v>
      </c>
      <c r="AV142" s="79">
        <f t="shared" si="22"/>
        <v>1</v>
      </c>
      <c r="AW142" s="79" t="str">
        <f>J142&amp;AU142</f>
        <v>IntegralB</v>
      </c>
      <c r="AX142" s="79">
        <f>IF(COUNTIFS(J:J,"Integral",E:E,E142,H:H,"Ativo")=4,1/4,1/10)</f>
        <v>0.1</v>
      </c>
      <c r="AY142" s="79"/>
      <c r="AZ142" s="79"/>
    </row>
    <row r="143" spans="1:52" ht="15.75" customHeight="1">
      <c r="A143" s="31">
        <v>147</v>
      </c>
      <c r="B143" s="399">
        <v>44894</v>
      </c>
      <c r="C143" s="32" t="s">
        <v>253</v>
      </c>
      <c r="D143" s="32" t="s">
        <v>626</v>
      </c>
      <c r="E143" s="32" t="s">
        <v>624</v>
      </c>
      <c r="F143" s="32" t="s">
        <v>627</v>
      </c>
      <c r="G143" s="33" t="s">
        <v>220</v>
      </c>
      <c r="H143" s="33" t="s">
        <v>90</v>
      </c>
      <c r="I143" s="34">
        <v>0</v>
      </c>
      <c r="J143" s="33" t="s">
        <v>6</v>
      </c>
      <c r="K143" s="35" t="s">
        <v>258</v>
      </c>
      <c r="L143" s="35" t="s">
        <v>258</v>
      </c>
      <c r="M143" s="67" t="s">
        <v>222</v>
      </c>
      <c r="N143" s="33" t="s">
        <v>73</v>
      </c>
      <c r="O143" s="33" t="s">
        <v>11</v>
      </c>
      <c r="P143" s="33" t="s">
        <v>1</v>
      </c>
      <c r="Q143" s="47" t="s">
        <v>96</v>
      </c>
      <c r="R143" s="47"/>
      <c r="S143" s="45" t="s">
        <v>143</v>
      </c>
      <c r="T143" s="45"/>
      <c r="U143" s="46" t="s">
        <v>222</v>
      </c>
      <c r="V143" s="38">
        <f t="shared" si="20"/>
        <v>44894</v>
      </c>
      <c r="W143" s="50"/>
      <c r="X143" s="261">
        <v>258100</v>
      </c>
      <c r="Y143" s="260">
        <v>258100</v>
      </c>
      <c r="Z143" s="260">
        <v>258000</v>
      </c>
      <c r="AA143" s="35">
        <v>0</v>
      </c>
      <c r="AB143" s="260"/>
      <c r="AC143" s="41"/>
      <c r="AD143" s="42"/>
      <c r="AE143" s="41"/>
      <c r="AF143" s="43"/>
      <c r="AG143" s="40">
        <v>0</v>
      </c>
      <c r="AH143" s="40">
        <v>100</v>
      </c>
      <c r="AI143" s="44"/>
      <c r="AJ143" s="44"/>
      <c r="AK143" s="40">
        <v>0</v>
      </c>
      <c r="AL143" s="40">
        <v>100</v>
      </c>
      <c r="AM143" s="242">
        <f t="shared" si="21"/>
        <v>44895</v>
      </c>
      <c r="AN143" s="242" t="str">
        <f>IF(AQ143="x","",IF(AQ143="x",AM143,IF(EOMONTH(I143,0)=31,"",EOMONTH(I143,0))))</f>
        <v/>
      </c>
      <c r="AO143" s="79">
        <f>IFERROR(IF(VLOOKUP(C143,C144:C747,1,0)=0,1,0),1)</f>
        <v>0</v>
      </c>
      <c r="AP143" s="79"/>
      <c r="AQ143" s="243" t="str">
        <f t="shared" si="15"/>
        <v/>
      </c>
      <c r="AR143" s="242" t="b">
        <f>IF(AQ143="x",EOMONTH(I143,0))</f>
        <v>0</v>
      </c>
      <c r="AS143" s="79">
        <f t="shared" si="16"/>
        <v>1</v>
      </c>
      <c r="AT143" s="79">
        <f t="shared" si="17"/>
        <v>1</v>
      </c>
      <c r="AU143" s="79" t="str">
        <f t="shared" si="18"/>
        <v>B</v>
      </c>
      <c r="AV143" s="79">
        <f t="shared" si="22"/>
        <v>1</v>
      </c>
      <c r="AW143" s="79" t="str">
        <f>J143&amp;AU143</f>
        <v>IntegralB</v>
      </c>
      <c r="AX143" s="79">
        <f>IF(COUNTIFS(J:J,"Integral",E:E,E143,H:H,"Ativo")=4,1/4,1/10)</f>
        <v>0.1</v>
      </c>
      <c r="AY143" s="79"/>
      <c r="AZ143" s="79"/>
    </row>
    <row r="144" spans="1:52" ht="15.75" customHeight="1">
      <c r="A144" s="31">
        <v>148</v>
      </c>
      <c r="B144" s="399">
        <v>44894</v>
      </c>
      <c r="C144" s="32" t="s">
        <v>253</v>
      </c>
      <c r="D144" s="32" t="s">
        <v>628</v>
      </c>
      <c r="E144" s="32" t="s">
        <v>621</v>
      </c>
      <c r="F144" s="32" t="s">
        <v>629</v>
      </c>
      <c r="G144" s="33" t="s">
        <v>220</v>
      </c>
      <c r="H144" s="33" t="s">
        <v>90</v>
      </c>
      <c r="I144" s="34">
        <v>0</v>
      </c>
      <c r="J144" s="33" t="s">
        <v>6</v>
      </c>
      <c r="K144" s="35" t="s">
        <v>258</v>
      </c>
      <c r="L144" s="35" t="s">
        <v>258</v>
      </c>
      <c r="M144" s="67" t="s">
        <v>222</v>
      </c>
      <c r="N144" s="33" t="s">
        <v>73</v>
      </c>
      <c r="O144" s="33" t="s">
        <v>11</v>
      </c>
      <c r="P144" s="33" t="s">
        <v>1</v>
      </c>
      <c r="Q144" s="47" t="s">
        <v>96</v>
      </c>
      <c r="R144" s="47"/>
      <c r="S144" s="45" t="s">
        <v>143</v>
      </c>
      <c r="T144" s="45"/>
      <c r="U144" s="47" t="s">
        <v>222</v>
      </c>
      <c r="V144" s="48">
        <f t="shared" si="20"/>
        <v>44894</v>
      </c>
      <c r="W144" s="50"/>
      <c r="X144" s="261">
        <v>915000</v>
      </c>
      <c r="Y144" s="260">
        <v>915000</v>
      </c>
      <c r="Z144" s="260">
        <v>915000</v>
      </c>
      <c r="AA144" s="35">
        <v>0</v>
      </c>
      <c r="AB144" s="260"/>
      <c r="AC144" s="41"/>
      <c r="AD144" s="42"/>
      <c r="AE144" s="41"/>
      <c r="AF144" s="43"/>
      <c r="AG144" s="40">
        <v>0</v>
      </c>
      <c r="AH144" s="40">
        <v>0</v>
      </c>
      <c r="AI144" s="44"/>
      <c r="AJ144" s="44"/>
      <c r="AK144" s="40">
        <v>0</v>
      </c>
      <c r="AL144" s="40">
        <v>0</v>
      </c>
      <c r="AM144" s="242">
        <f t="shared" si="21"/>
        <v>44895</v>
      </c>
      <c r="AN144" s="242" t="str">
        <f>IF(AQ144="x","",IF(AQ144="x",AM144,IF(EOMONTH(I144,0)=31,"",EOMONTH(I144,0))))</f>
        <v/>
      </c>
      <c r="AO144" s="79">
        <f>IFERROR(IF(VLOOKUP(C144,C145:C748,1,0)=0,1,0),1)</f>
        <v>0</v>
      </c>
      <c r="AP144" s="79"/>
      <c r="AQ144" s="243" t="str">
        <f t="shared" si="15"/>
        <v/>
      </c>
      <c r="AR144" s="242" t="b">
        <f>IF(AQ144="x",EOMONTH(I144,0))</f>
        <v>0</v>
      </c>
      <c r="AS144" s="79">
        <f t="shared" si="16"/>
        <v>1</v>
      </c>
      <c r="AT144" s="79">
        <f t="shared" si="17"/>
        <v>1</v>
      </c>
      <c r="AU144" s="79" t="str">
        <f t="shared" si="18"/>
        <v>B</v>
      </c>
      <c r="AV144" s="79">
        <f t="shared" si="22"/>
        <v>1</v>
      </c>
      <c r="AW144" s="79" t="str">
        <f>J144&amp;AU144</f>
        <v>IntegralB</v>
      </c>
      <c r="AX144" s="79">
        <f>IF(COUNTIFS(J:J,"Integral",E:E,E144,H:H,"Ativo")=4,1/4,1/10)</f>
        <v>0.25</v>
      </c>
      <c r="AY144" s="79"/>
      <c r="AZ144" s="79"/>
    </row>
    <row r="145" spans="1:52" ht="15.75" customHeight="1">
      <c r="A145" s="31">
        <v>149</v>
      </c>
      <c r="B145" s="399">
        <v>44894</v>
      </c>
      <c r="C145" s="32" t="s">
        <v>253</v>
      </c>
      <c r="D145" s="32" t="s">
        <v>630</v>
      </c>
      <c r="E145" s="32" t="s">
        <v>624</v>
      </c>
      <c r="F145" s="32" t="s">
        <v>631</v>
      </c>
      <c r="G145" s="33" t="s">
        <v>220</v>
      </c>
      <c r="H145" s="33" t="s">
        <v>90</v>
      </c>
      <c r="I145" s="34">
        <v>0</v>
      </c>
      <c r="J145" s="33" t="s">
        <v>6</v>
      </c>
      <c r="K145" s="35" t="s">
        <v>258</v>
      </c>
      <c r="L145" s="35" t="s">
        <v>258</v>
      </c>
      <c r="M145" s="67" t="s">
        <v>222</v>
      </c>
      <c r="N145" s="33" t="s">
        <v>73</v>
      </c>
      <c r="O145" s="33" t="s">
        <v>11</v>
      </c>
      <c r="P145" s="33" t="s">
        <v>1</v>
      </c>
      <c r="Q145" s="47" t="s">
        <v>96</v>
      </c>
      <c r="R145" s="47"/>
      <c r="S145" s="45" t="s">
        <v>143</v>
      </c>
      <c r="T145" s="45"/>
      <c r="U145" s="46" t="s">
        <v>222</v>
      </c>
      <c r="V145" s="38">
        <f t="shared" si="20"/>
        <v>44894</v>
      </c>
      <c r="W145" s="50"/>
      <c r="X145" s="261">
        <v>258100</v>
      </c>
      <c r="Y145" s="260">
        <v>258100</v>
      </c>
      <c r="Z145" s="260">
        <v>258000</v>
      </c>
      <c r="AA145" s="35">
        <v>0</v>
      </c>
      <c r="AB145" s="260"/>
      <c r="AC145" s="41"/>
      <c r="AD145" s="42"/>
      <c r="AE145" s="41"/>
      <c r="AF145" s="43"/>
      <c r="AG145" s="40">
        <v>0</v>
      </c>
      <c r="AH145" s="40">
        <v>100</v>
      </c>
      <c r="AI145" s="44"/>
      <c r="AJ145" s="44"/>
      <c r="AK145" s="40">
        <v>0</v>
      </c>
      <c r="AL145" s="40">
        <v>100</v>
      </c>
      <c r="AM145" s="242">
        <f t="shared" si="21"/>
        <v>44895</v>
      </c>
      <c r="AN145" s="242" t="str">
        <f>IF(AQ145="x","",IF(AQ145="x",AM145,IF(EOMONTH(I145,0)=31,"",EOMONTH(I145,0))))</f>
        <v/>
      </c>
      <c r="AO145" s="79">
        <f>IFERROR(IF(VLOOKUP(C145,C146:C749,1,0)=0,1,0),1)</f>
        <v>0</v>
      </c>
      <c r="AP145" s="79"/>
      <c r="AQ145" s="243" t="str">
        <f t="shared" si="15"/>
        <v/>
      </c>
      <c r="AR145" s="242" t="b">
        <f>IF(AQ145="x",EOMONTH(I145,0))</f>
        <v>0</v>
      </c>
      <c r="AS145" s="79">
        <f t="shared" si="16"/>
        <v>1</v>
      </c>
      <c r="AT145" s="79">
        <f t="shared" si="17"/>
        <v>1</v>
      </c>
      <c r="AU145" s="79" t="str">
        <f t="shared" si="18"/>
        <v>B</v>
      </c>
      <c r="AV145" s="79">
        <f t="shared" si="22"/>
        <v>1</v>
      </c>
      <c r="AW145" s="79" t="str">
        <f>J145&amp;AU145</f>
        <v>IntegralB</v>
      </c>
      <c r="AX145" s="79">
        <f>IF(COUNTIFS(J:J,"Integral",E:E,E145,H:H,"Ativo")=4,1/4,1/10)</f>
        <v>0.1</v>
      </c>
      <c r="AY145" s="79"/>
      <c r="AZ145" s="79"/>
    </row>
    <row r="146" spans="1:52" ht="15.75" customHeight="1">
      <c r="A146" s="31">
        <v>150</v>
      </c>
      <c r="B146" s="399">
        <v>44894</v>
      </c>
      <c r="C146" s="32" t="s">
        <v>253</v>
      </c>
      <c r="D146" s="32" t="s">
        <v>632</v>
      </c>
      <c r="E146" s="32" t="s">
        <v>621</v>
      </c>
      <c r="F146" s="32" t="s">
        <v>633</v>
      </c>
      <c r="G146" s="33" t="s">
        <v>220</v>
      </c>
      <c r="H146" s="33" t="s">
        <v>90</v>
      </c>
      <c r="I146" s="34">
        <v>0</v>
      </c>
      <c r="J146" s="33" t="s">
        <v>6</v>
      </c>
      <c r="K146" s="35" t="s">
        <v>258</v>
      </c>
      <c r="L146" s="35" t="s">
        <v>258</v>
      </c>
      <c r="M146" s="67" t="s">
        <v>222</v>
      </c>
      <c r="N146" s="33" t="s">
        <v>73</v>
      </c>
      <c r="O146" s="33" t="s">
        <v>11</v>
      </c>
      <c r="P146" s="33" t="s">
        <v>1</v>
      </c>
      <c r="Q146" s="47" t="s">
        <v>96</v>
      </c>
      <c r="R146" s="47"/>
      <c r="S146" s="45" t="s">
        <v>143</v>
      </c>
      <c r="T146" s="45"/>
      <c r="U146" s="47" t="s">
        <v>222</v>
      </c>
      <c r="V146" s="48">
        <f t="shared" si="20"/>
        <v>44894</v>
      </c>
      <c r="W146" s="50"/>
      <c r="X146" s="261">
        <v>915000</v>
      </c>
      <c r="Y146" s="260">
        <v>915000</v>
      </c>
      <c r="Z146" s="260">
        <v>915000</v>
      </c>
      <c r="AA146" s="35">
        <v>0</v>
      </c>
      <c r="AB146" s="260"/>
      <c r="AC146" s="41"/>
      <c r="AD146" s="42"/>
      <c r="AE146" s="41"/>
      <c r="AF146" s="43"/>
      <c r="AG146" s="40">
        <v>0</v>
      </c>
      <c r="AH146" s="40">
        <v>0</v>
      </c>
      <c r="AI146" s="44"/>
      <c r="AJ146" s="44"/>
      <c r="AK146" s="40">
        <v>0</v>
      </c>
      <c r="AL146" s="40">
        <v>0</v>
      </c>
      <c r="AM146" s="242">
        <f t="shared" si="21"/>
        <v>44895</v>
      </c>
      <c r="AN146" s="242" t="str">
        <f>IF(AQ146="x","",IF(AQ146="x",AM146,IF(EOMONTH(I146,0)=31,"",EOMONTH(I146,0))))</f>
        <v/>
      </c>
      <c r="AO146" s="79">
        <f>IFERROR(IF(VLOOKUP(C146,C147:C750,1,0)=0,1,0),1)</f>
        <v>0</v>
      </c>
      <c r="AP146" s="79"/>
      <c r="AQ146" s="243" t="str">
        <f t="shared" si="15"/>
        <v/>
      </c>
      <c r="AR146" s="242" t="b">
        <f>IF(AQ146="x",EOMONTH(I146,0))</f>
        <v>0</v>
      </c>
      <c r="AS146" s="79">
        <f t="shared" si="16"/>
        <v>1</v>
      </c>
      <c r="AT146" s="79">
        <f t="shared" si="17"/>
        <v>1</v>
      </c>
      <c r="AU146" s="79" t="str">
        <f t="shared" si="18"/>
        <v>B</v>
      </c>
      <c r="AV146" s="79">
        <f t="shared" si="22"/>
        <v>1</v>
      </c>
      <c r="AW146" s="79" t="str">
        <f>J146&amp;AU146</f>
        <v>IntegralB</v>
      </c>
      <c r="AX146" s="79">
        <f>IF(COUNTIFS(J:J,"Integral",E:E,E146,H:H,"Ativo")=4,1/4,1/10)</f>
        <v>0.25</v>
      </c>
      <c r="AY146" s="79"/>
      <c r="AZ146" s="79"/>
    </row>
    <row r="147" spans="1:52" ht="15.75" customHeight="1">
      <c r="A147" s="31">
        <v>151</v>
      </c>
      <c r="B147" s="399">
        <v>44894</v>
      </c>
      <c r="C147" s="32" t="s">
        <v>253</v>
      </c>
      <c r="D147" s="32" t="s">
        <v>634</v>
      </c>
      <c r="E147" s="32" t="s">
        <v>624</v>
      </c>
      <c r="F147" s="32" t="s">
        <v>635</v>
      </c>
      <c r="G147" s="33" t="s">
        <v>220</v>
      </c>
      <c r="H147" s="33" t="s">
        <v>90</v>
      </c>
      <c r="I147" s="34">
        <v>0</v>
      </c>
      <c r="J147" s="33" t="s">
        <v>6</v>
      </c>
      <c r="K147" s="35" t="s">
        <v>258</v>
      </c>
      <c r="L147" s="35" t="s">
        <v>258</v>
      </c>
      <c r="M147" s="67" t="s">
        <v>222</v>
      </c>
      <c r="N147" s="33" t="s">
        <v>73</v>
      </c>
      <c r="O147" s="33" t="s">
        <v>11</v>
      </c>
      <c r="P147" s="33" t="s">
        <v>1</v>
      </c>
      <c r="Q147" s="47" t="s">
        <v>96</v>
      </c>
      <c r="R147" s="47"/>
      <c r="S147" s="45" t="s">
        <v>143</v>
      </c>
      <c r="T147" s="45"/>
      <c r="U147" s="46" t="s">
        <v>222</v>
      </c>
      <c r="V147" s="38">
        <f t="shared" si="20"/>
        <v>44894</v>
      </c>
      <c r="W147" s="50"/>
      <c r="X147" s="261">
        <v>258100</v>
      </c>
      <c r="Y147" s="260">
        <v>258100</v>
      </c>
      <c r="Z147" s="260">
        <v>258000</v>
      </c>
      <c r="AA147" s="35">
        <v>0</v>
      </c>
      <c r="AB147" s="260"/>
      <c r="AC147" s="41"/>
      <c r="AD147" s="42"/>
      <c r="AE147" s="41"/>
      <c r="AF147" s="43"/>
      <c r="AG147" s="40">
        <v>0</v>
      </c>
      <c r="AH147" s="40">
        <v>100</v>
      </c>
      <c r="AI147" s="44"/>
      <c r="AJ147" s="44"/>
      <c r="AK147" s="40">
        <v>0</v>
      </c>
      <c r="AL147" s="40">
        <v>100</v>
      </c>
      <c r="AM147" s="242">
        <f t="shared" si="21"/>
        <v>44895</v>
      </c>
      <c r="AN147" s="242" t="str">
        <f>IF(AQ147="x","",IF(AQ147="x",AM147,IF(EOMONTH(I147,0)=31,"",EOMONTH(I147,0))))</f>
        <v/>
      </c>
      <c r="AO147" s="79">
        <f>IFERROR(IF(VLOOKUP(C147,C148:C751,1,0)=0,1,0),1)</f>
        <v>0</v>
      </c>
      <c r="AP147" s="79"/>
      <c r="AQ147" s="243" t="str">
        <f t="shared" si="15"/>
        <v/>
      </c>
      <c r="AR147" s="242" t="b">
        <f>IF(AQ147="x",EOMONTH(I147,0))</f>
        <v>0</v>
      </c>
      <c r="AS147" s="79">
        <f t="shared" si="16"/>
        <v>1</v>
      </c>
      <c r="AT147" s="79">
        <f t="shared" si="17"/>
        <v>1</v>
      </c>
      <c r="AU147" s="79" t="str">
        <f t="shared" si="18"/>
        <v>B</v>
      </c>
      <c r="AV147" s="79">
        <f t="shared" si="22"/>
        <v>1</v>
      </c>
      <c r="AW147" s="79" t="str">
        <f>J147&amp;AU147</f>
        <v>IntegralB</v>
      </c>
      <c r="AX147" s="79">
        <f>IF(COUNTIFS(J:J,"Integral",E:E,E147,H:H,"Ativo")=4,1/4,1/10)</f>
        <v>0.1</v>
      </c>
      <c r="AY147" s="79"/>
      <c r="AZ147" s="79"/>
    </row>
    <row r="148" spans="1:52" ht="15.75" customHeight="1">
      <c r="A148" s="31">
        <v>152</v>
      </c>
      <c r="B148" s="399">
        <v>44894</v>
      </c>
      <c r="C148" s="32" t="s">
        <v>253</v>
      </c>
      <c r="D148" s="32" t="s">
        <v>636</v>
      </c>
      <c r="E148" s="32" t="s">
        <v>621</v>
      </c>
      <c r="F148" s="32" t="s">
        <v>637</v>
      </c>
      <c r="G148" s="33" t="s">
        <v>220</v>
      </c>
      <c r="H148" s="33" t="s">
        <v>90</v>
      </c>
      <c r="I148" s="34">
        <v>0</v>
      </c>
      <c r="J148" s="33" t="s">
        <v>6</v>
      </c>
      <c r="K148" s="35" t="s">
        <v>258</v>
      </c>
      <c r="L148" s="35" t="s">
        <v>258</v>
      </c>
      <c r="M148" s="67" t="s">
        <v>222</v>
      </c>
      <c r="N148" s="33" t="s">
        <v>73</v>
      </c>
      <c r="O148" s="33" t="s">
        <v>11</v>
      </c>
      <c r="P148" s="33" t="s">
        <v>1</v>
      </c>
      <c r="Q148" s="47" t="s">
        <v>96</v>
      </c>
      <c r="R148" s="47"/>
      <c r="S148" s="45" t="s">
        <v>143</v>
      </c>
      <c r="T148" s="45"/>
      <c r="U148" s="47" t="s">
        <v>222</v>
      </c>
      <c r="V148" s="48">
        <f t="shared" si="20"/>
        <v>44894</v>
      </c>
      <c r="W148" s="50"/>
      <c r="X148" s="261">
        <v>915000</v>
      </c>
      <c r="Y148" s="260">
        <v>915000</v>
      </c>
      <c r="Z148" s="260">
        <v>915000</v>
      </c>
      <c r="AA148" s="35">
        <v>0</v>
      </c>
      <c r="AB148" s="260"/>
      <c r="AC148" s="41"/>
      <c r="AD148" s="42"/>
      <c r="AE148" s="41"/>
      <c r="AF148" s="43"/>
      <c r="AG148" s="40">
        <v>0</v>
      </c>
      <c r="AH148" s="40">
        <v>0</v>
      </c>
      <c r="AI148" s="44"/>
      <c r="AJ148" s="44"/>
      <c r="AK148" s="40">
        <v>0</v>
      </c>
      <c r="AL148" s="40">
        <v>0</v>
      </c>
      <c r="AM148" s="242">
        <f t="shared" si="21"/>
        <v>44895</v>
      </c>
      <c r="AN148" s="242" t="str">
        <f>IF(AQ148="x","",IF(AQ148="x",AM148,IF(EOMONTH(I148,0)=31,"",EOMONTH(I148,0))))</f>
        <v/>
      </c>
      <c r="AO148" s="79">
        <f>IFERROR(IF(VLOOKUP(C148,C149:C752,1,0)=0,1,0),1)</f>
        <v>0</v>
      </c>
      <c r="AP148" s="79"/>
      <c r="AQ148" s="243" t="str">
        <f t="shared" si="15"/>
        <v/>
      </c>
      <c r="AR148" s="242" t="b">
        <f>IF(AQ148="x",EOMONTH(I148,0))</f>
        <v>0</v>
      </c>
      <c r="AS148" s="79">
        <f t="shared" si="16"/>
        <v>1</v>
      </c>
      <c r="AT148" s="79">
        <f t="shared" si="17"/>
        <v>1</v>
      </c>
      <c r="AU148" s="79" t="str">
        <f t="shared" si="18"/>
        <v>B</v>
      </c>
      <c r="AV148" s="79">
        <f t="shared" si="22"/>
        <v>1</v>
      </c>
      <c r="AW148" s="79" t="str">
        <f>J148&amp;AU148</f>
        <v>IntegralB</v>
      </c>
      <c r="AX148" s="79">
        <f>IF(COUNTIFS(J:J,"Integral",E:E,E148,H:H,"Ativo")=4,1/4,1/10)</f>
        <v>0.25</v>
      </c>
      <c r="AY148" s="79"/>
      <c r="AZ148" s="79"/>
    </row>
    <row r="149" spans="1:52" ht="15.75" customHeight="1">
      <c r="A149" s="31">
        <v>153</v>
      </c>
      <c r="B149" s="399">
        <v>44894</v>
      </c>
      <c r="C149" s="32" t="s">
        <v>253</v>
      </c>
      <c r="D149" s="32" t="s">
        <v>638</v>
      </c>
      <c r="E149" s="32" t="s">
        <v>624</v>
      </c>
      <c r="F149" s="32" t="s">
        <v>639</v>
      </c>
      <c r="G149" s="33" t="s">
        <v>220</v>
      </c>
      <c r="H149" s="33" t="s">
        <v>90</v>
      </c>
      <c r="I149" s="34">
        <v>0</v>
      </c>
      <c r="J149" s="33" t="s">
        <v>6</v>
      </c>
      <c r="K149" s="35" t="s">
        <v>258</v>
      </c>
      <c r="L149" s="35" t="s">
        <v>258</v>
      </c>
      <c r="M149" s="67" t="s">
        <v>222</v>
      </c>
      <c r="N149" s="33" t="s">
        <v>73</v>
      </c>
      <c r="O149" s="33" t="s">
        <v>11</v>
      </c>
      <c r="P149" s="33" t="s">
        <v>1</v>
      </c>
      <c r="Q149" s="47" t="s">
        <v>96</v>
      </c>
      <c r="R149" s="47"/>
      <c r="S149" s="45" t="s">
        <v>143</v>
      </c>
      <c r="T149" s="45"/>
      <c r="U149" s="46" t="s">
        <v>222</v>
      </c>
      <c r="V149" s="38">
        <f t="shared" si="20"/>
        <v>44894</v>
      </c>
      <c r="W149" s="50"/>
      <c r="X149" s="261">
        <v>258100</v>
      </c>
      <c r="Y149" s="260">
        <v>258100</v>
      </c>
      <c r="Z149" s="260">
        <v>258000</v>
      </c>
      <c r="AA149" s="35">
        <v>0</v>
      </c>
      <c r="AB149" s="260"/>
      <c r="AC149" s="41"/>
      <c r="AD149" s="42"/>
      <c r="AE149" s="41"/>
      <c r="AF149" s="43"/>
      <c r="AG149" s="40">
        <v>0</v>
      </c>
      <c r="AH149" s="40">
        <v>100</v>
      </c>
      <c r="AI149" s="44"/>
      <c r="AJ149" s="44"/>
      <c r="AK149" s="40">
        <v>0</v>
      </c>
      <c r="AL149" s="40">
        <v>100</v>
      </c>
      <c r="AM149" s="242">
        <f t="shared" si="21"/>
        <v>44895</v>
      </c>
      <c r="AN149" s="242" t="str">
        <f>IF(AQ149="x","",IF(AQ149="x",AM149,IF(EOMONTH(I149,0)=31,"",EOMONTH(I149,0))))</f>
        <v/>
      </c>
      <c r="AO149" s="79">
        <f>IFERROR(IF(VLOOKUP(C149,C150:C753,1,0)=0,1,0),1)</f>
        <v>0</v>
      </c>
      <c r="AP149" s="79"/>
      <c r="AQ149" s="243" t="str">
        <f t="shared" si="15"/>
        <v/>
      </c>
      <c r="AR149" s="242" t="b">
        <f>IF(AQ149="x",EOMONTH(I149,0))</f>
        <v>0</v>
      </c>
      <c r="AS149" s="79">
        <f t="shared" si="16"/>
        <v>1</v>
      </c>
      <c r="AT149" s="79">
        <f t="shared" si="17"/>
        <v>1</v>
      </c>
      <c r="AU149" s="79" t="str">
        <f t="shared" si="18"/>
        <v>B</v>
      </c>
      <c r="AV149" s="79">
        <f t="shared" si="22"/>
        <v>1</v>
      </c>
      <c r="AW149" s="79" t="str">
        <f>J149&amp;AU149</f>
        <v>IntegralB</v>
      </c>
      <c r="AX149" s="79">
        <f>IF(COUNTIFS(J:J,"Integral",E:E,E149,H:H,"Ativo")=4,1/4,1/10)</f>
        <v>0.1</v>
      </c>
      <c r="AY149" s="79"/>
      <c r="AZ149" s="79"/>
    </row>
    <row r="150" spans="1:52" ht="15.75" customHeight="1">
      <c r="A150" s="31">
        <v>154</v>
      </c>
      <c r="B150" s="399">
        <v>44894</v>
      </c>
      <c r="C150" s="32" t="s">
        <v>253</v>
      </c>
      <c r="D150" s="32" t="s">
        <v>640</v>
      </c>
      <c r="E150" s="32" t="s">
        <v>624</v>
      </c>
      <c r="F150" s="32" t="s">
        <v>641</v>
      </c>
      <c r="G150" s="33" t="s">
        <v>220</v>
      </c>
      <c r="H150" s="33" t="s">
        <v>90</v>
      </c>
      <c r="I150" s="34">
        <v>0</v>
      </c>
      <c r="J150" s="33" t="s">
        <v>6</v>
      </c>
      <c r="K150" s="35" t="s">
        <v>258</v>
      </c>
      <c r="L150" s="35" t="s">
        <v>258</v>
      </c>
      <c r="M150" s="67" t="s">
        <v>222</v>
      </c>
      <c r="N150" s="33" t="s">
        <v>73</v>
      </c>
      <c r="O150" s="33" t="s">
        <v>11</v>
      </c>
      <c r="P150" s="33" t="s">
        <v>1</v>
      </c>
      <c r="Q150" s="47" t="s">
        <v>96</v>
      </c>
      <c r="R150" s="47"/>
      <c r="S150" s="45" t="s">
        <v>143</v>
      </c>
      <c r="T150" s="45"/>
      <c r="U150" s="46" t="s">
        <v>222</v>
      </c>
      <c r="V150" s="38">
        <f t="shared" si="20"/>
        <v>44894</v>
      </c>
      <c r="W150" s="50"/>
      <c r="X150" s="261">
        <v>258100</v>
      </c>
      <c r="Y150" s="260">
        <v>258100</v>
      </c>
      <c r="Z150" s="260">
        <v>258000</v>
      </c>
      <c r="AA150" s="35">
        <v>0</v>
      </c>
      <c r="AB150" s="260"/>
      <c r="AC150" s="41"/>
      <c r="AD150" s="42"/>
      <c r="AE150" s="41"/>
      <c r="AF150" s="43"/>
      <c r="AG150" s="40">
        <v>0</v>
      </c>
      <c r="AH150" s="40">
        <v>100</v>
      </c>
      <c r="AI150" s="44"/>
      <c r="AJ150" s="44"/>
      <c r="AK150" s="40">
        <v>0</v>
      </c>
      <c r="AL150" s="40">
        <v>100</v>
      </c>
      <c r="AM150" s="242">
        <f t="shared" si="21"/>
        <v>44895</v>
      </c>
      <c r="AN150" s="242" t="str">
        <f>IF(AQ150="x","",IF(AQ150="x",AM150,IF(EOMONTH(I150,0)=31,"",EOMONTH(I150,0))))</f>
        <v/>
      </c>
      <c r="AO150" s="79">
        <f>IFERROR(IF(VLOOKUP(C150,C151:C754,1,0)=0,1,0),1)</f>
        <v>0</v>
      </c>
      <c r="AP150" s="79"/>
      <c r="AQ150" s="243" t="str">
        <f t="shared" si="15"/>
        <v/>
      </c>
      <c r="AR150" s="242" t="b">
        <f>IF(AQ150="x",EOMONTH(I150,0))</f>
        <v>0</v>
      </c>
      <c r="AS150" s="79">
        <f t="shared" si="16"/>
        <v>1</v>
      </c>
      <c r="AT150" s="79">
        <f t="shared" si="17"/>
        <v>1</v>
      </c>
      <c r="AU150" s="79" t="str">
        <f t="shared" si="18"/>
        <v>B</v>
      </c>
      <c r="AV150" s="79">
        <f t="shared" si="22"/>
        <v>1</v>
      </c>
      <c r="AW150" s="79" t="str">
        <f>J150&amp;AU150</f>
        <v>IntegralB</v>
      </c>
      <c r="AX150" s="79">
        <f>IF(COUNTIFS(J:J,"Integral",E:E,E150,H:H,"Ativo")=4,1/4,1/10)</f>
        <v>0.1</v>
      </c>
      <c r="AY150" s="79"/>
      <c r="AZ150" s="79"/>
    </row>
    <row r="151" spans="1:52" ht="15.75" customHeight="1">
      <c r="A151" s="31">
        <v>155</v>
      </c>
      <c r="B151" s="399">
        <v>44894</v>
      </c>
      <c r="C151" s="32" t="s">
        <v>253</v>
      </c>
      <c r="D151" s="32" t="s">
        <v>642</v>
      </c>
      <c r="E151" s="32" t="s">
        <v>624</v>
      </c>
      <c r="F151" s="32" t="s">
        <v>643</v>
      </c>
      <c r="G151" s="33" t="s">
        <v>220</v>
      </c>
      <c r="H151" s="33" t="s">
        <v>90</v>
      </c>
      <c r="I151" s="34">
        <v>0</v>
      </c>
      <c r="J151" s="33" t="s">
        <v>6</v>
      </c>
      <c r="K151" s="35" t="s">
        <v>258</v>
      </c>
      <c r="L151" s="35" t="s">
        <v>258</v>
      </c>
      <c r="M151" s="67" t="s">
        <v>222</v>
      </c>
      <c r="N151" s="33" t="s">
        <v>73</v>
      </c>
      <c r="O151" s="33" t="s">
        <v>11</v>
      </c>
      <c r="P151" s="33" t="s">
        <v>1</v>
      </c>
      <c r="Q151" s="47" t="s">
        <v>96</v>
      </c>
      <c r="R151" s="47"/>
      <c r="S151" s="45" t="s">
        <v>143</v>
      </c>
      <c r="T151" s="45"/>
      <c r="U151" s="46" t="s">
        <v>222</v>
      </c>
      <c r="V151" s="38">
        <f t="shared" si="20"/>
        <v>44894</v>
      </c>
      <c r="W151" s="50"/>
      <c r="X151" s="261">
        <v>258100</v>
      </c>
      <c r="Y151" s="260">
        <v>258100</v>
      </c>
      <c r="Z151" s="260">
        <v>258000</v>
      </c>
      <c r="AA151" s="35">
        <v>0</v>
      </c>
      <c r="AB151" s="260"/>
      <c r="AC151" s="41"/>
      <c r="AD151" s="42"/>
      <c r="AE151" s="41"/>
      <c r="AF151" s="43"/>
      <c r="AG151" s="40">
        <v>0</v>
      </c>
      <c r="AH151" s="40">
        <v>100</v>
      </c>
      <c r="AI151" s="44"/>
      <c r="AJ151" s="44"/>
      <c r="AK151" s="40">
        <v>0</v>
      </c>
      <c r="AL151" s="40">
        <v>100</v>
      </c>
      <c r="AM151" s="242">
        <f t="shared" si="21"/>
        <v>44895</v>
      </c>
      <c r="AN151" s="242" t="str">
        <f>IF(AQ151="x","",IF(AQ151="x",AM151,IF(EOMONTH(I151,0)=31,"",EOMONTH(I151,0))))</f>
        <v/>
      </c>
      <c r="AO151" s="79">
        <f>IFERROR(IF(VLOOKUP(C151,C152:C755,1,0)=0,1,0),1)</f>
        <v>0</v>
      </c>
      <c r="AP151" s="79"/>
      <c r="AQ151" s="243" t="str">
        <f t="shared" si="15"/>
        <v/>
      </c>
      <c r="AR151" s="242" t="b">
        <f>IF(AQ151="x",EOMONTH(I151,0))</f>
        <v>0</v>
      </c>
      <c r="AS151" s="79">
        <f t="shared" si="16"/>
        <v>1</v>
      </c>
      <c r="AT151" s="79">
        <f t="shared" si="17"/>
        <v>1</v>
      </c>
      <c r="AU151" s="79" t="str">
        <f t="shared" si="18"/>
        <v>B</v>
      </c>
      <c r="AV151" s="79">
        <f t="shared" si="22"/>
        <v>1</v>
      </c>
      <c r="AW151" s="79" t="str">
        <f>J151&amp;AU151</f>
        <v>IntegralB</v>
      </c>
      <c r="AX151" s="79">
        <f>IF(COUNTIFS(J:J,"Integral",E:E,E151,H:H,"Ativo")=4,1/4,1/10)</f>
        <v>0.1</v>
      </c>
      <c r="AY151" s="79"/>
      <c r="AZ151" s="79"/>
    </row>
    <row r="152" spans="1:52" ht="15.75" customHeight="1">
      <c r="A152" s="31">
        <v>156</v>
      </c>
      <c r="B152" s="399">
        <v>44894</v>
      </c>
      <c r="C152" s="32" t="s">
        <v>253</v>
      </c>
      <c r="D152" s="32" t="s">
        <v>644</v>
      </c>
      <c r="E152" s="32" t="s">
        <v>624</v>
      </c>
      <c r="F152" s="32" t="s">
        <v>645</v>
      </c>
      <c r="G152" s="33" t="s">
        <v>220</v>
      </c>
      <c r="H152" s="33" t="s">
        <v>90</v>
      </c>
      <c r="I152" s="34">
        <v>0</v>
      </c>
      <c r="J152" s="33" t="s">
        <v>6</v>
      </c>
      <c r="K152" s="35" t="s">
        <v>258</v>
      </c>
      <c r="L152" s="35" t="s">
        <v>258</v>
      </c>
      <c r="M152" s="67" t="s">
        <v>222</v>
      </c>
      <c r="N152" s="33" t="s">
        <v>73</v>
      </c>
      <c r="O152" s="33" t="s">
        <v>11</v>
      </c>
      <c r="P152" s="33" t="s">
        <v>1</v>
      </c>
      <c r="Q152" s="47" t="s">
        <v>96</v>
      </c>
      <c r="R152" s="47"/>
      <c r="S152" s="45" t="s">
        <v>143</v>
      </c>
      <c r="T152" s="45"/>
      <c r="U152" s="46" t="s">
        <v>222</v>
      </c>
      <c r="V152" s="38">
        <f t="shared" si="20"/>
        <v>44894</v>
      </c>
      <c r="W152" s="50"/>
      <c r="X152" s="261">
        <v>258100</v>
      </c>
      <c r="Y152" s="260">
        <v>258100</v>
      </c>
      <c r="Z152" s="260">
        <v>258000</v>
      </c>
      <c r="AA152" s="35">
        <v>0</v>
      </c>
      <c r="AB152" s="260"/>
      <c r="AC152" s="41"/>
      <c r="AD152" s="42"/>
      <c r="AE152" s="41"/>
      <c r="AF152" s="43"/>
      <c r="AG152" s="40">
        <v>0</v>
      </c>
      <c r="AH152" s="40">
        <v>100</v>
      </c>
      <c r="AI152" s="44"/>
      <c r="AJ152" s="44"/>
      <c r="AK152" s="40">
        <v>0</v>
      </c>
      <c r="AL152" s="40">
        <v>100</v>
      </c>
      <c r="AM152" s="242">
        <f t="shared" si="21"/>
        <v>44895</v>
      </c>
      <c r="AN152" s="242" t="str">
        <f>IF(AQ152="x","",IF(AQ152="x",AM152,IF(EOMONTH(I152,0)=31,"",EOMONTH(I152,0))))</f>
        <v/>
      </c>
      <c r="AO152" s="79">
        <f>IFERROR(IF(VLOOKUP(C152,C153:C756,1,0)=0,1,0),1)</f>
        <v>0</v>
      </c>
      <c r="AP152" s="79"/>
      <c r="AQ152" s="243" t="str">
        <f t="shared" si="15"/>
        <v/>
      </c>
      <c r="AR152" s="242" t="b">
        <f>IF(AQ152="x",EOMONTH(I152,0))</f>
        <v>0</v>
      </c>
      <c r="AS152" s="79">
        <f t="shared" si="16"/>
        <v>1</v>
      </c>
      <c r="AT152" s="79">
        <f t="shared" si="17"/>
        <v>1</v>
      </c>
      <c r="AU152" s="79" t="str">
        <f t="shared" si="18"/>
        <v>B</v>
      </c>
      <c r="AV152" s="79">
        <f t="shared" si="22"/>
        <v>1</v>
      </c>
      <c r="AW152" s="79" t="str">
        <f>J152&amp;AU152</f>
        <v>IntegralB</v>
      </c>
      <c r="AX152" s="79">
        <f>IF(COUNTIFS(J:J,"Integral",E:E,E152,H:H,"Ativo")=4,1/4,1/10)</f>
        <v>0.1</v>
      </c>
      <c r="AY152" s="79"/>
      <c r="AZ152" s="79"/>
    </row>
    <row r="153" spans="1:52" ht="15.75" customHeight="1">
      <c r="A153" s="31">
        <v>157</v>
      </c>
      <c r="B153" s="399">
        <v>44894</v>
      </c>
      <c r="C153" s="32" t="s">
        <v>253</v>
      </c>
      <c r="D153" s="32" t="s">
        <v>646</v>
      </c>
      <c r="E153" s="32" t="s">
        <v>624</v>
      </c>
      <c r="F153" s="32" t="s">
        <v>647</v>
      </c>
      <c r="G153" s="33" t="s">
        <v>220</v>
      </c>
      <c r="H153" s="33" t="s">
        <v>90</v>
      </c>
      <c r="I153" s="34">
        <v>0</v>
      </c>
      <c r="J153" s="33" t="s">
        <v>6</v>
      </c>
      <c r="K153" s="35" t="s">
        <v>258</v>
      </c>
      <c r="L153" s="35" t="s">
        <v>258</v>
      </c>
      <c r="M153" s="67" t="s">
        <v>222</v>
      </c>
      <c r="N153" s="33" t="s">
        <v>73</v>
      </c>
      <c r="O153" s="33" t="s">
        <v>11</v>
      </c>
      <c r="P153" s="33" t="s">
        <v>1</v>
      </c>
      <c r="Q153" s="47" t="s">
        <v>96</v>
      </c>
      <c r="R153" s="47"/>
      <c r="S153" s="45" t="s">
        <v>143</v>
      </c>
      <c r="T153" s="45"/>
      <c r="U153" s="46" t="s">
        <v>222</v>
      </c>
      <c r="V153" s="38">
        <f t="shared" si="20"/>
        <v>44894</v>
      </c>
      <c r="W153" s="50"/>
      <c r="X153" s="261">
        <v>258100</v>
      </c>
      <c r="Y153" s="260">
        <v>258100</v>
      </c>
      <c r="Z153" s="260">
        <v>258000</v>
      </c>
      <c r="AA153" s="35">
        <v>0</v>
      </c>
      <c r="AB153" s="260"/>
      <c r="AC153" s="41"/>
      <c r="AD153" s="42"/>
      <c r="AE153" s="41"/>
      <c r="AF153" s="43"/>
      <c r="AG153" s="40">
        <v>0</v>
      </c>
      <c r="AH153" s="40">
        <v>100</v>
      </c>
      <c r="AI153" s="44"/>
      <c r="AJ153" s="44"/>
      <c r="AK153" s="40">
        <v>0</v>
      </c>
      <c r="AL153" s="40">
        <v>100</v>
      </c>
      <c r="AM153" s="242">
        <f t="shared" si="21"/>
        <v>44895</v>
      </c>
      <c r="AN153" s="242" t="str">
        <f>IF(AQ153="x","",IF(AQ153="x",AM153,IF(EOMONTH(I153,0)=31,"",EOMONTH(I153,0))))</f>
        <v/>
      </c>
      <c r="AO153" s="79">
        <f>IFERROR(IF(VLOOKUP(C153,C154:C757,1,0)=0,1,0),1)</f>
        <v>0</v>
      </c>
      <c r="AP153" s="79"/>
      <c r="AQ153" s="243" t="str">
        <f t="shared" si="15"/>
        <v/>
      </c>
      <c r="AR153" s="242" t="b">
        <f>IF(AQ153="x",EOMONTH(I153,0))</f>
        <v>0</v>
      </c>
      <c r="AS153" s="79">
        <f t="shared" si="16"/>
        <v>1</v>
      </c>
      <c r="AT153" s="79">
        <f t="shared" si="17"/>
        <v>1</v>
      </c>
      <c r="AU153" s="79" t="str">
        <f t="shared" si="18"/>
        <v>B</v>
      </c>
      <c r="AV153" s="79">
        <f t="shared" si="22"/>
        <v>1</v>
      </c>
      <c r="AW153" s="79" t="str">
        <f>J153&amp;AU153</f>
        <v>IntegralB</v>
      </c>
      <c r="AX153" s="79">
        <f>IF(COUNTIFS(J:J,"Integral",E:E,E153,H:H,"Ativo")=4,1/4,1/10)</f>
        <v>0.1</v>
      </c>
      <c r="AY153" s="79"/>
      <c r="AZ153" s="79"/>
    </row>
    <row r="154" spans="1:52" ht="15.75" customHeight="1">
      <c r="A154" s="31">
        <v>158</v>
      </c>
      <c r="B154" s="399">
        <v>44894</v>
      </c>
      <c r="C154" s="32" t="s">
        <v>253</v>
      </c>
      <c r="D154" s="32" t="s">
        <v>648</v>
      </c>
      <c r="E154" s="32" t="s">
        <v>624</v>
      </c>
      <c r="F154" s="32" t="s">
        <v>649</v>
      </c>
      <c r="G154" s="33" t="s">
        <v>220</v>
      </c>
      <c r="H154" s="33" t="s">
        <v>90</v>
      </c>
      <c r="I154" s="34">
        <v>0</v>
      </c>
      <c r="J154" s="33" t="s">
        <v>6</v>
      </c>
      <c r="K154" s="35" t="s">
        <v>258</v>
      </c>
      <c r="L154" s="35" t="s">
        <v>258</v>
      </c>
      <c r="M154" s="67" t="s">
        <v>222</v>
      </c>
      <c r="N154" s="33" t="s">
        <v>73</v>
      </c>
      <c r="O154" s="33" t="s">
        <v>11</v>
      </c>
      <c r="P154" s="33" t="s">
        <v>1</v>
      </c>
      <c r="Q154" s="47" t="s">
        <v>96</v>
      </c>
      <c r="R154" s="47"/>
      <c r="S154" s="45" t="s">
        <v>143</v>
      </c>
      <c r="T154" s="45"/>
      <c r="U154" s="46" t="s">
        <v>222</v>
      </c>
      <c r="V154" s="38">
        <f t="shared" si="20"/>
        <v>44894</v>
      </c>
      <c r="W154" s="50"/>
      <c r="X154" s="261">
        <v>258100</v>
      </c>
      <c r="Y154" s="260">
        <v>258100</v>
      </c>
      <c r="Z154" s="260">
        <v>258000</v>
      </c>
      <c r="AA154" s="35">
        <v>0</v>
      </c>
      <c r="AB154" s="260"/>
      <c r="AC154" s="41"/>
      <c r="AD154" s="42"/>
      <c r="AE154" s="41"/>
      <c r="AF154" s="43"/>
      <c r="AG154" s="40">
        <v>0</v>
      </c>
      <c r="AH154" s="40">
        <v>100</v>
      </c>
      <c r="AI154" s="44"/>
      <c r="AJ154" s="44"/>
      <c r="AK154" s="40">
        <v>0</v>
      </c>
      <c r="AL154" s="40">
        <v>100</v>
      </c>
      <c r="AM154" s="242">
        <f t="shared" si="21"/>
        <v>44895</v>
      </c>
      <c r="AN154" s="242" t="str">
        <f>IF(AQ154="x","",IF(AQ154="x",AM154,IF(EOMONTH(I154,0)=31,"",EOMONTH(I154,0))))</f>
        <v/>
      </c>
      <c r="AO154" s="79">
        <f>IFERROR(IF(VLOOKUP(C154,C155:C758,1,0)=0,1,0),1)</f>
        <v>1</v>
      </c>
      <c r="AP154" s="79"/>
      <c r="AQ154" s="243" t="str">
        <f t="shared" si="15"/>
        <v/>
      </c>
      <c r="AR154" s="242" t="b">
        <f>IF(AQ154="x",EOMONTH(I154,0))</f>
        <v>0</v>
      </c>
      <c r="AS154" s="79">
        <f t="shared" si="16"/>
        <v>1</v>
      </c>
      <c r="AT154" s="79">
        <f t="shared" si="17"/>
        <v>1</v>
      </c>
      <c r="AU154" s="79" t="str">
        <f t="shared" si="18"/>
        <v>B</v>
      </c>
      <c r="AV154" s="79">
        <f t="shared" si="22"/>
        <v>1</v>
      </c>
      <c r="AW154" s="79" t="str">
        <f>J154&amp;AU154</f>
        <v>IntegralB</v>
      </c>
      <c r="AX154" s="79">
        <f>IF(COUNTIFS(J:J,"Integral",E:E,E154,H:H,"Ativo")=4,1/4,1/10)</f>
        <v>0.1</v>
      </c>
      <c r="AY154" s="79"/>
      <c r="AZ154" s="79"/>
    </row>
    <row r="155" spans="1:52" ht="15.75" customHeight="1">
      <c r="A155" s="31">
        <v>159</v>
      </c>
      <c r="B155" s="399">
        <v>44897</v>
      </c>
      <c r="C155" s="32" t="s">
        <v>650</v>
      </c>
      <c r="D155" s="32" t="s">
        <v>546</v>
      </c>
      <c r="E155" s="32" t="s">
        <v>547</v>
      </c>
      <c r="F155" s="32" t="s">
        <v>651</v>
      </c>
      <c r="G155" s="33" t="s">
        <v>220</v>
      </c>
      <c r="H155" s="33" t="s">
        <v>90</v>
      </c>
      <c r="I155" s="34">
        <v>0</v>
      </c>
      <c r="J155" s="33">
        <v>6</v>
      </c>
      <c r="K155" s="35" t="s">
        <v>274</v>
      </c>
      <c r="L155" s="35" t="s">
        <v>274</v>
      </c>
      <c r="M155" s="67" t="s">
        <v>222</v>
      </c>
      <c r="N155" s="33" t="s">
        <v>68</v>
      </c>
      <c r="O155" s="33" t="s">
        <v>13</v>
      </c>
      <c r="P155" s="33" t="s">
        <v>1</v>
      </c>
      <c r="Q155" s="47"/>
      <c r="R155" s="47"/>
      <c r="S155" s="45" t="s">
        <v>147</v>
      </c>
      <c r="T155" s="45"/>
      <c r="U155" s="51">
        <v>44877</v>
      </c>
      <c r="V155" s="48">
        <f t="shared" si="20"/>
        <v>44897</v>
      </c>
      <c r="W155" s="50">
        <f>V155-U155</f>
        <v>20</v>
      </c>
      <c r="X155" s="261">
        <v>333000</v>
      </c>
      <c r="Y155" s="260">
        <v>333000</v>
      </c>
      <c r="Z155" s="260">
        <v>335000</v>
      </c>
      <c r="AA155" s="35">
        <v>0</v>
      </c>
      <c r="AB155" s="260"/>
      <c r="AC155" s="41"/>
      <c r="AD155" s="42"/>
      <c r="AE155" s="41"/>
      <c r="AF155" s="43"/>
      <c r="AG155" s="40">
        <v>2000</v>
      </c>
      <c r="AH155" s="40"/>
      <c r="AI155" s="44"/>
      <c r="AJ155" s="44"/>
      <c r="AK155" s="40">
        <v>0</v>
      </c>
      <c r="AL155" s="40">
        <v>0</v>
      </c>
      <c r="AM155" s="242">
        <f t="shared" si="21"/>
        <v>44926</v>
      </c>
      <c r="AN155" s="242" t="str">
        <f>IF(AQ155="x","",IF(AQ155="x",AM155,IF(EOMONTH(I155,0)=31,"",EOMONTH(I155,0))))</f>
        <v/>
      </c>
      <c r="AO155" s="79">
        <f>IFERROR(IF(VLOOKUP(C155,C156:C760,1,0)=0,1,0),1)</f>
        <v>1</v>
      </c>
      <c r="AP155" s="79"/>
      <c r="AQ155" s="243" t="str">
        <f t="shared" si="15"/>
        <v/>
      </c>
      <c r="AR155" s="242" t="b">
        <f>IF(AQ155="x",EOMONTH(I155,0))</f>
        <v>0</v>
      </c>
      <c r="AS155" s="79">
        <f t="shared" si="16"/>
        <v>1</v>
      </c>
      <c r="AT155" s="79">
        <f t="shared" si="17"/>
        <v>1</v>
      </c>
      <c r="AU155" s="79" t="str">
        <f t="shared" si="18"/>
        <v>B</v>
      </c>
      <c r="AV155" s="79">
        <f t="shared" si="22"/>
        <v>1</v>
      </c>
      <c r="AW155" s="79" t="str">
        <f>J155&amp;AU155</f>
        <v>6B</v>
      </c>
      <c r="AX155" s="79">
        <f>IF(COUNTIFS(J:J,"Integral",E:E,E155,H:H,"Ativo")=4,1/4,1/10)</f>
        <v>0.1</v>
      </c>
      <c r="AY155" s="79"/>
      <c r="AZ155" s="79"/>
    </row>
    <row r="156" spans="1:52" ht="15.75" customHeight="1">
      <c r="A156" s="31">
        <v>160</v>
      </c>
      <c r="B156" s="399">
        <v>44898</v>
      </c>
      <c r="C156" s="32" t="s">
        <v>652</v>
      </c>
      <c r="D156" s="32" t="s">
        <v>653</v>
      </c>
      <c r="E156" s="32" t="s">
        <v>448</v>
      </c>
      <c r="F156" s="32" t="s">
        <v>654</v>
      </c>
      <c r="G156" s="33" t="s">
        <v>220</v>
      </c>
      <c r="H156" s="33" t="s">
        <v>90</v>
      </c>
      <c r="I156" s="34">
        <v>0</v>
      </c>
      <c r="J156" s="33">
        <v>13</v>
      </c>
      <c r="K156" s="35" t="s">
        <v>289</v>
      </c>
      <c r="L156" s="35" t="s">
        <v>238</v>
      </c>
      <c r="M156" s="67" t="s">
        <v>222</v>
      </c>
      <c r="N156" s="33" t="s">
        <v>68</v>
      </c>
      <c r="O156" s="33" t="s">
        <v>13</v>
      </c>
      <c r="P156" s="33" t="s">
        <v>1</v>
      </c>
      <c r="Q156" s="47"/>
      <c r="R156" s="47"/>
      <c r="S156" s="45" t="s">
        <v>143</v>
      </c>
      <c r="T156" s="45"/>
      <c r="U156" s="51">
        <v>44898</v>
      </c>
      <c r="V156" s="48">
        <f t="shared" si="20"/>
        <v>44898</v>
      </c>
      <c r="W156" s="50">
        <f>V156-U156</f>
        <v>0</v>
      </c>
      <c r="X156" s="261">
        <v>683000</v>
      </c>
      <c r="Y156" s="260">
        <v>683000</v>
      </c>
      <c r="Z156" s="260">
        <v>770000</v>
      </c>
      <c r="AA156" s="35">
        <v>0</v>
      </c>
      <c r="AB156" s="260"/>
      <c r="AC156" s="41"/>
      <c r="AD156" s="42"/>
      <c r="AE156" s="41"/>
      <c r="AF156" s="43"/>
      <c r="AG156" s="40">
        <v>87000</v>
      </c>
      <c r="AH156" s="40"/>
      <c r="AI156" s="44"/>
      <c r="AJ156" s="44"/>
      <c r="AK156" s="40">
        <v>0</v>
      </c>
      <c r="AL156" s="40">
        <v>0</v>
      </c>
      <c r="AM156" s="242">
        <f t="shared" si="21"/>
        <v>44926</v>
      </c>
      <c r="AN156" s="242" t="str">
        <f>IF(AQ156="x","",IF(AQ156="x",AM156,IF(EOMONTH(I156,0)=31,"",EOMONTH(I156,0))))</f>
        <v/>
      </c>
      <c r="AO156" s="79">
        <f>IFERROR(IF(VLOOKUP(C156,C157:C760,1,0)=0,1,0),1)</f>
        <v>1</v>
      </c>
      <c r="AP156" s="79"/>
      <c r="AQ156" s="243" t="str">
        <f t="shared" si="15"/>
        <v/>
      </c>
      <c r="AR156" s="242" t="b">
        <f>IF(AQ156="x",EOMONTH(I156,0))</f>
        <v>0</v>
      </c>
      <c r="AS156" s="79">
        <f t="shared" si="16"/>
        <v>1</v>
      </c>
      <c r="AT156" s="79">
        <f t="shared" si="17"/>
        <v>1</v>
      </c>
      <c r="AU156" s="79" t="str">
        <f t="shared" si="18"/>
        <v>B</v>
      </c>
      <c r="AV156" s="79">
        <f t="shared" si="22"/>
        <v>1</v>
      </c>
      <c r="AW156" s="79" t="str">
        <f>J156&amp;AU156</f>
        <v>13B</v>
      </c>
      <c r="AX156" s="79">
        <f>IF(COUNTIFS(J:J,"Integral",E:E,E156,H:H,"Ativo")=4,1/4,1/10)</f>
        <v>0.1</v>
      </c>
      <c r="AY156" s="79"/>
      <c r="AZ156" s="79"/>
    </row>
    <row r="157" spans="1:52" ht="15.75" customHeight="1">
      <c r="A157" s="31">
        <v>161</v>
      </c>
      <c r="B157" s="399">
        <v>44898</v>
      </c>
      <c r="C157" s="32" t="s">
        <v>655</v>
      </c>
      <c r="D157" s="32" t="s">
        <v>656</v>
      </c>
      <c r="E157" s="32" t="s">
        <v>406</v>
      </c>
      <c r="F157" s="32" t="s">
        <v>657</v>
      </c>
      <c r="G157" s="33" t="s">
        <v>220</v>
      </c>
      <c r="H157" s="33" t="s">
        <v>90</v>
      </c>
      <c r="I157" s="34">
        <v>0</v>
      </c>
      <c r="J157" s="33">
        <v>13</v>
      </c>
      <c r="K157" s="35" t="s">
        <v>289</v>
      </c>
      <c r="L157" s="35" t="s">
        <v>600</v>
      </c>
      <c r="M157" s="67" t="s">
        <v>222</v>
      </c>
      <c r="N157" s="33" t="s">
        <v>68</v>
      </c>
      <c r="O157" s="33" t="s">
        <v>13</v>
      </c>
      <c r="P157" s="33" t="s">
        <v>1</v>
      </c>
      <c r="Q157" s="47"/>
      <c r="R157" s="47"/>
      <c r="S157" s="45" t="s">
        <v>147</v>
      </c>
      <c r="T157" s="45"/>
      <c r="U157" s="51">
        <v>44898</v>
      </c>
      <c r="V157" s="48">
        <f t="shared" si="20"/>
        <v>44898</v>
      </c>
      <c r="W157" s="50">
        <f>V157-U157</f>
        <v>0</v>
      </c>
      <c r="X157" s="261">
        <v>683000</v>
      </c>
      <c r="Y157" s="260">
        <v>683000</v>
      </c>
      <c r="Z157" s="260">
        <v>700000</v>
      </c>
      <c r="AA157" s="35">
        <v>0</v>
      </c>
      <c r="AB157" s="260"/>
      <c r="AC157" s="41"/>
      <c r="AD157" s="42"/>
      <c r="AE157" s="41"/>
      <c r="AF157" s="43"/>
      <c r="AG157" s="40">
        <v>17000</v>
      </c>
      <c r="AH157" s="40"/>
      <c r="AI157" s="44"/>
      <c r="AJ157" s="44"/>
      <c r="AK157" s="40">
        <v>0</v>
      </c>
      <c r="AL157" s="40">
        <v>0</v>
      </c>
      <c r="AM157" s="242">
        <f t="shared" si="21"/>
        <v>44926</v>
      </c>
      <c r="AN157" s="242" t="str">
        <f>IF(AQ157="x","",IF(AQ157="x",AM157,IF(EOMONTH(I157,0)=31,"",EOMONTH(I157,0))))</f>
        <v/>
      </c>
      <c r="AO157" s="79">
        <f>IFERROR(IF(VLOOKUP(C157,C158:C761,1,0)=0,1,0),1)</f>
        <v>0</v>
      </c>
      <c r="AP157" s="79"/>
      <c r="AQ157" s="243" t="str">
        <f t="shared" si="15"/>
        <v/>
      </c>
      <c r="AR157" s="242" t="b">
        <f>IF(AQ157="x",EOMONTH(I157,0))</f>
        <v>0</v>
      </c>
      <c r="AS157" s="79">
        <f t="shared" si="16"/>
        <v>1</v>
      </c>
      <c r="AT157" s="79">
        <f t="shared" si="17"/>
        <v>1</v>
      </c>
      <c r="AU157" s="79" t="str">
        <f t="shared" si="18"/>
        <v>B</v>
      </c>
      <c r="AV157" s="79">
        <f t="shared" si="22"/>
        <v>1</v>
      </c>
      <c r="AW157" s="79" t="str">
        <f>J157&amp;AU157</f>
        <v>13B</v>
      </c>
      <c r="AX157" s="79">
        <f>IF(COUNTIFS(J:J,"Integral",E:E,E157,H:H,"Ativo")=4,1/4,1/10)</f>
        <v>0.1</v>
      </c>
      <c r="AY157" s="79"/>
      <c r="AZ157" s="79"/>
    </row>
    <row r="158" spans="1:52" ht="15.75" customHeight="1">
      <c r="A158" s="31">
        <v>162</v>
      </c>
      <c r="B158" s="399">
        <v>44898</v>
      </c>
      <c r="C158" s="32" t="s">
        <v>658</v>
      </c>
      <c r="D158" s="32" t="s">
        <v>659</v>
      </c>
      <c r="E158" s="32" t="s">
        <v>547</v>
      </c>
      <c r="F158" s="32" t="s">
        <v>660</v>
      </c>
      <c r="G158" s="33" t="s">
        <v>243</v>
      </c>
      <c r="H158" s="33" t="s">
        <v>244</v>
      </c>
      <c r="I158" s="34">
        <v>44903</v>
      </c>
      <c r="J158" s="33">
        <v>4</v>
      </c>
      <c r="K158" s="35" t="s">
        <v>413</v>
      </c>
      <c r="L158" s="35" t="s">
        <v>413</v>
      </c>
      <c r="M158" s="67" t="s">
        <v>222</v>
      </c>
      <c r="N158" s="33" t="s">
        <v>68</v>
      </c>
      <c r="O158" s="33" t="s">
        <v>12</v>
      </c>
      <c r="P158" s="33" t="s">
        <v>1</v>
      </c>
      <c r="Q158" s="47"/>
      <c r="R158" s="47"/>
      <c r="S158" s="45" t="s">
        <v>222</v>
      </c>
      <c r="T158" s="45"/>
      <c r="U158" s="51">
        <v>44898</v>
      </c>
      <c r="V158" s="48">
        <f t="shared" si="20"/>
        <v>44898</v>
      </c>
      <c r="W158" s="50">
        <f>V158-U158</f>
        <v>0</v>
      </c>
      <c r="X158" s="265">
        <v>0</v>
      </c>
      <c r="Y158" s="67">
        <v>0</v>
      </c>
      <c r="Z158" s="67">
        <v>231000</v>
      </c>
      <c r="AA158" s="35">
        <v>0</v>
      </c>
      <c r="AB158" s="67"/>
      <c r="AC158" s="40"/>
      <c r="AD158" s="42"/>
      <c r="AE158" s="41">
        <v>0</v>
      </c>
      <c r="AF158" s="43">
        <v>0</v>
      </c>
      <c r="AG158" s="40">
        <v>0</v>
      </c>
      <c r="AH158" s="40"/>
      <c r="AI158" s="44"/>
      <c r="AJ158" s="44"/>
      <c r="AK158" s="40">
        <v>0</v>
      </c>
      <c r="AL158" s="40"/>
      <c r="AM158" s="242">
        <f t="shared" si="21"/>
        <v>44926</v>
      </c>
      <c r="AN158" s="242" t="str">
        <f>IF(AQ158="x","",IF(AQ158="x",AM158,IF(EOMONTH(I158,0)=31,"",EOMONTH(I158,0))))</f>
        <v/>
      </c>
      <c r="AO158" s="79">
        <f>IFERROR(IF(VLOOKUP(C158,C159:C762,1,0)=0,1,0),1)</f>
        <v>0</v>
      </c>
      <c r="AP158" s="79"/>
      <c r="AQ158" s="243" t="str">
        <f t="shared" si="15"/>
        <v>x</v>
      </c>
      <c r="AR158" s="242">
        <f>IF(AQ158="x",EOMONTH(I158,0))</f>
        <v>44926</v>
      </c>
      <c r="AS158" s="79">
        <f t="shared" si="16"/>
        <v>1</v>
      </c>
      <c r="AT158" s="79">
        <f t="shared" si="17"/>
        <v>1</v>
      </c>
      <c r="AU158" s="79" t="str">
        <f t="shared" si="18"/>
        <v>B</v>
      </c>
      <c r="AV158" s="79">
        <f t="shared" si="22"/>
        <v>1</v>
      </c>
      <c r="AW158" s="79" t="str">
        <f>J158&amp;AU158</f>
        <v>4B</v>
      </c>
      <c r="AX158" s="79">
        <f>IF(COUNTIFS(J:J,"Integral",E:E,E158,H:H,"Ativo")=4,1/4,1/10)</f>
        <v>0.1</v>
      </c>
      <c r="AY158" s="79"/>
      <c r="AZ158" s="79"/>
    </row>
    <row r="159" spans="1:52" ht="15.75" customHeight="1">
      <c r="A159" s="31">
        <v>163</v>
      </c>
      <c r="B159" s="399">
        <v>44898</v>
      </c>
      <c r="C159" s="32" t="s">
        <v>658</v>
      </c>
      <c r="D159" s="32" t="s">
        <v>661</v>
      </c>
      <c r="E159" s="32" t="s">
        <v>547</v>
      </c>
      <c r="F159" s="32" t="s">
        <v>662</v>
      </c>
      <c r="G159" s="33" t="s">
        <v>243</v>
      </c>
      <c r="H159" s="33" t="s">
        <v>244</v>
      </c>
      <c r="I159" s="34">
        <v>44903</v>
      </c>
      <c r="J159" s="33">
        <v>4</v>
      </c>
      <c r="K159" s="35" t="s">
        <v>413</v>
      </c>
      <c r="L159" s="35" t="s">
        <v>413</v>
      </c>
      <c r="M159" s="67" t="s">
        <v>222</v>
      </c>
      <c r="N159" s="33" t="s">
        <v>68</v>
      </c>
      <c r="O159" s="33" t="s">
        <v>12</v>
      </c>
      <c r="P159" s="33" t="s">
        <v>1</v>
      </c>
      <c r="Q159" s="47"/>
      <c r="R159" s="47"/>
      <c r="S159" s="45" t="s">
        <v>222</v>
      </c>
      <c r="T159" s="45"/>
      <c r="U159" s="51">
        <v>44898</v>
      </c>
      <c r="V159" s="48">
        <f t="shared" si="20"/>
        <v>44898</v>
      </c>
      <c r="W159" s="50">
        <f>V159-U159</f>
        <v>0</v>
      </c>
      <c r="X159" s="265">
        <v>0</v>
      </c>
      <c r="Y159" s="67">
        <v>0</v>
      </c>
      <c r="Z159" s="67">
        <v>231000</v>
      </c>
      <c r="AA159" s="35">
        <v>0</v>
      </c>
      <c r="AB159" s="67"/>
      <c r="AC159" s="40"/>
      <c r="AD159" s="42"/>
      <c r="AE159" s="41">
        <v>0</v>
      </c>
      <c r="AF159" s="43">
        <v>0</v>
      </c>
      <c r="AG159" s="40">
        <v>0</v>
      </c>
      <c r="AH159" s="40"/>
      <c r="AI159" s="44"/>
      <c r="AJ159" s="44"/>
      <c r="AK159" s="40">
        <v>0</v>
      </c>
      <c r="AL159" s="40"/>
      <c r="AM159" s="242">
        <f t="shared" si="21"/>
        <v>44926</v>
      </c>
      <c r="AN159" s="242" t="str">
        <f>IF(AQ159="x","",IF(AQ159="x",AM159,IF(EOMONTH(I159,0)=31,"",EOMONTH(I159,0))))</f>
        <v/>
      </c>
      <c r="AO159" s="79">
        <f>IFERROR(IF(VLOOKUP(C159,C160:C763,1,0)=0,1,0),1)</f>
        <v>1</v>
      </c>
      <c r="AP159" s="79"/>
      <c r="AQ159" s="243" t="str">
        <f t="shared" si="15"/>
        <v>x</v>
      </c>
      <c r="AR159" s="242">
        <f>IF(AQ159="x",EOMONTH(I159,0))</f>
        <v>44926</v>
      </c>
      <c r="AS159" s="79">
        <f t="shared" si="16"/>
        <v>1</v>
      </c>
      <c r="AT159" s="79">
        <f t="shared" si="17"/>
        <v>1</v>
      </c>
      <c r="AU159" s="79" t="str">
        <f t="shared" si="18"/>
        <v>B</v>
      </c>
      <c r="AV159" s="79">
        <f t="shared" si="22"/>
        <v>1</v>
      </c>
      <c r="AW159" s="79" t="str">
        <f>J159&amp;AU159</f>
        <v>4B</v>
      </c>
      <c r="AX159" s="79">
        <f>IF(COUNTIFS(J:J,"Integral",E:E,E159,H:H,"Ativo")=4,1/4,1/10)</f>
        <v>0.1</v>
      </c>
      <c r="AY159" s="79"/>
      <c r="AZ159" s="79"/>
    </row>
    <row r="160" spans="1:52" ht="15.75" customHeight="1">
      <c r="A160" s="31">
        <v>164</v>
      </c>
      <c r="B160" s="399">
        <v>44899</v>
      </c>
      <c r="C160" s="32" t="s">
        <v>663</v>
      </c>
      <c r="D160" s="32" t="s">
        <v>664</v>
      </c>
      <c r="E160" s="32" t="s">
        <v>547</v>
      </c>
      <c r="F160" s="32" t="s">
        <v>665</v>
      </c>
      <c r="G160" s="33" t="s">
        <v>220</v>
      </c>
      <c r="H160" s="33" t="s">
        <v>244</v>
      </c>
      <c r="I160" s="34">
        <v>44992</v>
      </c>
      <c r="J160" s="33">
        <v>6</v>
      </c>
      <c r="K160" s="35" t="s">
        <v>378</v>
      </c>
      <c r="L160" s="35" t="s">
        <v>246</v>
      </c>
      <c r="M160" s="67" t="s">
        <v>222</v>
      </c>
      <c r="N160" s="33" t="s">
        <v>68</v>
      </c>
      <c r="O160" s="33" t="s">
        <v>11</v>
      </c>
      <c r="P160" s="33" t="s">
        <v>1</v>
      </c>
      <c r="Q160" s="47"/>
      <c r="R160" s="47"/>
      <c r="S160" s="45" t="s">
        <v>222</v>
      </c>
      <c r="T160" s="45"/>
      <c r="U160" s="51">
        <v>44899</v>
      </c>
      <c r="V160" s="48">
        <f t="shared" si="20"/>
        <v>44899</v>
      </c>
      <c r="W160" s="50">
        <f>V160-U160</f>
        <v>0</v>
      </c>
      <c r="X160" s="265">
        <v>0</v>
      </c>
      <c r="Y160" s="67">
        <v>0</v>
      </c>
      <c r="Z160" s="67">
        <v>334000</v>
      </c>
      <c r="AA160" s="35">
        <v>0</v>
      </c>
      <c r="AB160" s="67"/>
      <c r="AC160" s="40"/>
      <c r="AD160" s="42"/>
      <c r="AE160" s="41">
        <v>0</v>
      </c>
      <c r="AF160" s="43">
        <v>0</v>
      </c>
      <c r="AG160" s="40">
        <v>0</v>
      </c>
      <c r="AH160" s="40"/>
      <c r="AI160" s="44"/>
      <c r="AJ160" s="44"/>
      <c r="AK160" s="40">
        <v>0</v>
      </c>
      <c r="AL160" s="40"/>
      <c r="AM160" s="242">
        <f t="shared" si="21"/>
        <v>44926</v>
      </c>
      <c r="AN160" s="242">
        <f>IF(AQ160="x","",IF(AQ160="x",AM160,IF(EOMONTH(I160,0)=31,"",EOMONTH(I160,0))))</f>
        <v>45016</v>
      </c>
      <c r="AO160" s="79">
        <f>IFERROR(IF(VLOOKUP(C160,C161:C764,1,0)=0,1,0),1)</f>
        <v>1</v>
      </c>
      <c r="AP160" s="79"/>
      <c r="AQ160" s="243" t="str">
        <f t="shared" si="15"/>
        <v/>
      </c>
      <c r="AR160" s="242" t="b">
        <f>IF(AQ160="x",EOMONTH(I160,0))</f>
        <v>0</v>
      </c>
      <c r="AS160" s="79">
        <f t="shared" si="16"/>
        <v>1</v>
      </c>
      <c r="AT160" s="79">
        <f t="shared" si="17"/>
        <v>1</v>
      </c>
      <c r="AU160" s="79" t="str">
        <f t="shared" si="18"/>
        <v>B</v>
      </c>
      <c r="AV160" s="79">
        <f t="shared" si="22"/>
        <v>1</v>
      </c>
      <c r="AW160" s="79" t="str">
        <f>J160&amp;AU160</f>
        <v>6B</v>
      </c>
      <c r="AX160" s="79">
        <f>IF(COUNTIFS(J:J,"Integral",E:E,E160,H:H,"Ativo")=4,1/4,1/10)</f>
        <v>0.1</v>
      </c>
      <c r="AY160" s="79"/>
      <c r="AZ160" s="79"/>
    </row>
    <row r="161" spans="1:52" ht="15.75" customHeight="1">
      <c r="A161" s="31">
        <v>165</v>
      </c>
      <c r="B161" s="399">
        <v>44902</v>
      </c>
      <c r="C161" s="32" t="s">
        <v>666</v>
      </c>
      <c r="D161" s="32" t="s">
        <v>667</v>
      </c>
      <c r="E161" s="32" t="s">
        <v>300</v>
      </c>
      <c r="F161" s="32" t="s">
        <v>668</v>
      </c>
      <c r="G161" s="33" t="s">
        <v>220</v>
      </c>
      <c r="H161" s="33" t="s">
        <v>90</v>
      </c>
      <c r="I161" s="34">
        <v>0</v>
      </c>
      <c r="J161" s="33">
        <v>4</v>
      </c>
      <c r="K161" s="35" t="s">
        <v>369</v>
      </c>
      <c r="L161" s="35" t="s">
        <v>238</v>
      </c>
      <c r="M161" s="67" t="s">
        <v>222</v>
      </c>
      <c r="N161" s="33" t="s">
        <v>68</v>
      </c>
      <c r="O161" s="33" t="s">
        <v>11</v>
      </c>
      <c r="P161" s="33" t="s">
        <v>1</v>
      </c>
      <c r="Q161" s="47"/>
      <c r="R161" s="47"/>
      <c r="S161" s="45" t="s">
        <v>143</v>
      </c>
      <c r="T161" s="45"/>
      <c r="U161" s="46" t="s">
        <v>222</v>
      </c>
      <c r="V161" s="38">
        <f t="shared" si="20"/>
        <v>44902</v>
      </c>
      <c r="W161" s="50"/>
      <c r="X161" s="261">
        <v>220000</v>
      </c>
      <c r="Y161" s="260">
        <v>220000</v>
      </c>
      <c r="Z161" s="260">
        <v>226620</v>
      </c>
      <c r="AA161" s="35">
        <v>0</v>
      </c>
      <c r="AB161" s="260"/>
      <c r="AC161" s="41"/>
      <c r="AD161" s="42"/>
      <c r="AE161" s="41"/>
      <c r="AF161" s="43"/>
      <c r="AG161" s="40">
        <v>0</v>
      </c>
      <c r="AH161" s="40">
        <v>19090</v>
      </c>
      <c r="AI161" s="44">
        <v>8.6772727272727279E-2</v>
      </c>
      <c r="AJ161" s="44">
        <v>8.6772727272727279E-2</v>
      </c>
      <c r="AK161" s="40">
        <v>0</v>
      </c>
      <c r="AL161" s="40">
        <v>19090</v>
      </c>
      <c r="AM161" s="242">
        <f t="shared" si="21"/>
        <v>44926</v>
      </c>
      <c r="AN161" s="242" t="str">
        <f>IF(AQ161="x","",IF(AQ161="x",AM161,IF(EOMONTH(I161,0)=31,"",EOMONTH(I161,0))))</f>
        <v/>
      </c>
      <c r="AO161" s="79">
        <f>IFERROR(IF(VLOOKUP(C161,C162:C765,1,0)=0,1,0),1)</f>
        <v>0</v>
      </c>
      <c r="AP161" s="79"/>
      <c r="AQ161" s="243" t="str">
        <f t="shared" si="15"/>
        <v/>
      </c>
      <c r="AR161" s="242" t="b">
        <f>IF(AQ161="x",EOMONTH(I161,0))</f>
        <v>0</v>
      </c>
      <c r="AS161" s="79">
        <f t="shared" si="16"/>
        <v>1</v>
      </c>
      <c r="AT161" s="79">
        <f t="shared" si="17"/>
        <v>1</v>
      </c>
      <c r="AU161" s="79" t="str">
        <f t="shared" si="18"/>
        <v>B</v>
      </c>
      <c r="AV161" s="79">
        <f t="shared" si="22"/>
        <v>1</v>
      </c>
      <c r="AW161" s="79" t="str">
        <f>J161&amp;AU161</f>
        <v>4B</v>
      </c>
      <c r="AX161" s="79">
        <f>IF(COUNTIFS(J:J,"Integral",E:E,E161,H:H,"Ativo")=4,1/4,1/10)</f>
        <v>0.1</v>
      </c>
      <c r="AY161" s="79"/>
      <c r="AZ161" s="79"/>
    </row>
    <row r="162" spans="1:52" ht="15.75" customHeight="1">
      <c r="A162" s="31">
        <v>166</v>
      </c>
      <c r="B162" s="399">
        <v>44902</v>
      </c>
      <c r="C162" s="32" t="s">
        <v>669</v>
      </c>
      <c r="D162" s="32" t="s">
        <v>670</v>
      </c>
      <c r="E162" s="32" t="s">
        <v>547</v>
      </c>
      <c r="F162" s="32" t="s">
        <v>671</v>
      </c>
      <c r="G162" s="33" t="s">
        <v>220</v>
      </c>
      <c r="H162" s="33" t="s">
        <v>90</v>
      </c>
      <c r="I162" s="34">
        <v>0</v>
      </c>
      <c r="J162" s="33">
        <v>4</v>
      </c>
      <c r="K162" s="35" t="s">
        <v>378</v>
      </c>
      <c r="L162" s="35" t="s">
        <v>394</v>
      </c>
      <c r="M162" s="67" t="s">
        <v>222</v>
      </c>
      <c r="N162" s="33" t="s">
        <v>68</v>
      </c>
      <c r="O162" s="33" t="s">
        <v>12</v>
      </c>
      <c r="P162" s="33" t="s">
        <v>2</v>
      </c>
      <c r="Q162" s="47"/>
      <c r="R162" s="47"/>
      <c r="S162" s="45" t="s">
        <v>161</v>
      </c>
      <c r="T162" s="45"/>
      <c r="U162" s="46">
        <v>44896</v>
      </c>
      <c r="V162" s="38">
        <f t="shared" si="20"/>
        <v>44902</v>
      </c>
      <c r="W162" s="50">
        <f>V162-U162</f>
        <v>6</v>
      </c>
      <c r="X162" s="261">
        <v>220000</v>
      </c>
      <c r="Y162" s="260">
        <v>220000</v>
      </c>
      <c r="Z162" s="260">
        <v>215000</v>
      </c>
      <c r="AA162" s="35">
        <v>0</v>
      </c>
      <c r="AB162" s="260"/>
      <c r="AC162" s="41"/>
      <c r="AD162" s="42"/>
      <c r="AE162" s="41"/>
      <c r="AF162" s="43"/>
      <c r="AG162" s="40">
        <v>0</v>
      </c>
      <c r="AH162" s="40">
        <v>5000</v>
      </c>
      <c r="AI162" s="44">
        <v>2.2727272727272728E-2</v>
      </c>
      <c r="AJ162" s="44">
        <v>2.2727272727272728E-2</v>
      </c>
      <c r="AK162" s="40">
        <v>0</v>
      </c>
      <c r="AL162" s="40">
        <v>5000</v>
      </c>
      <c r="AM162" s="242">
        <f t="shared" si="21"/>
        <v>44926</v>
      </c>
      <c r="AN162" s="242" t="str">
        <f>IF(AQ162="x","",IF(AQ162="x",AM162,IF(EOMONTH(I162,0)=31,"",EOMONTH(I162,0))))</f>
        <v/>
      </c>
      <c r="AO162" s="79">
        <f>IFERROR(IF(VLOOKUP(C162,C163:C767,1,0)=0,1,0),1)</f>
        <v>0</v>
      </c>
      <c r="AP162" s="79"/>
      <c r="AQ162" s="243" t="str">
        <f t="shared" si="15"/>
        <v/>
      </c>
      <c r="AR162" s="242" t="b">
        <f>IF(AQ162="x",EOMONTH(I162,0))</f>
        <v>0</v>
      </c>
      <c r="AS162" s="79">
        <f t="shared" si="16"/>
        <v>1</v>
      </c>
      <c r="AT162" s="79">
        <f t="shared" si="17"/>
        <v>1</v>
      </c>
      <c r="AU162" s="79" t="str">
        <f t="shared" si="18"/>
        <v>B</v>
      </c>
      <c r="AV162" s="79">
        <f t="shared" si="22"/>
        <v>1</v>
      </c>
      <c r="AW162" s="79" t="str">
        <f>J162&amp;AU162</f>
        <v>4B</v>
      </c>
      <c r="AX162" s="79">
        <f>IF(COUNTIFS(J:J,"Integral",E:E,E162,H:H,"Ativo")=4,1/4,1/10)</f>
        <v>0.1</v>
      </c>
      <c r="AY162" s="79"/>
      <c r="AZ162" s="79"/>
    </row>
    <row r="163" spans="1:52" ht="15.75" customHeight="1">
      <c r="A163" s="31">
        <v>167</v>
      </c>
      <c r="B163" s="399">
        <v>44902</v>
      </c>
      <c r="C163" s="32" t="s">
        <v>613</v>
      </c>
      <c r="D163" s="32" t="s">
        <v>672</v>
      </c>
      <c r="E163" s="32" t="s">
        <v>615</v>
      </c>
      <c r="F163" s="32" t="s">
        <v>673</v>
      </c>
      <c r="G163" s="33" t="s">
        <v>220</v>
      </c>
      <c r="H163" s="33" t="s">
        <v>90</v>
      </c>
      <c r="I163" s="34">
        <v>0</v>
      </c>
      <c r="J163" s="33" t="s">
        <v>6</v>
      </c>
      <c r="K163" s="35" t="s">
        <v>394</v>
      </c>
      <c r="L163" s="35" t="s">
        <v>394</v>
      </c>
      <c r="M163" s="67" t="s">
        <v>222</v>
      </c>
      <c r="N163" s="33" t="s">
        <v>68</v>
      </c>
      <c r="O163" s="33" t="s">
        <v>10</v>
      </c>
      <c r="P163" s="33" t="s">
        <v>2</v>
      </c>
      <c r="Q163" s="47"/>
      <c r="R163" s="47"/>
      <c r="S163" s="45" t="s">
        <v>143</v>
      </c>
      <c r="T163" s="45"/>
      <c r="U163" s="46">
        <v>44893</v>
      </c>
      <c r="V163" s="38">
        <f t="shared" si="20"/>
        <v>44902</v>
      </c>
      <c r="W163" s="50">
        <f>V163-U163</f>
        <v>9</v>
      </c>
      <c r="X163" s="261">
        <v>1550250</v>
      </c>
      <c r="Y163" s="260">
        <v>1550250</v>
      </c>
      <c r="Z163" s="260">
        <v>1237500</v>
      </c>
      <c r="AA163" s="35">
        <v>0</v>
      </c>
      <c r="AB163" s="260"/>
      <c r="AC163" s="41"/>
      <c r="AD163" s="42"/>
      <c r="AE163" s="41"/>
      <c r="AF163" s="43"/>
      <c r="AG163" s="40">
        <v>0</v>
      </c>
      <c r="AH163" s="40">
        <v>312750</v>
      </c>
      <c r="AI163" s="44">
        <v>0.20174165457184326</v>
      </c>
      <c r="AJ163" s="44">
        <v>0.20174165457184326</v>
      </c>
      <c r="AK163" s="40">
        <v>0</v>
      </c>
      <c r="AL163" s="40">
        <v>312750</v>
      </c>
      <c r="AM163" s="242">
        <f t="shared" si="21"/>
        <v>44926</v>
      </c>
      <c r="AN163" s="242" t="str">
        <f>IF(AQ163="x","",IF(AQ163="x",AM163,IF(EOMONTH(I163,0)=31,"",EOMONTH(I163,0))))</f>
        <v/>
      </c>
      <c r="AO163" s="79">
        <f>IFERROR(IF(VLOOKUP(C163,C164:C767,1,0)=0,1,0),1)</f>
        <v>0</v>
      </c>
      <c r="AP163" s="79"/>
      <c r="AQ163" s="243" t="str">
        <f t="shared" si="15"/>
        <v/>
      </c>
      <c r="AR163" s="242" t="b">
        <f>IF(AQ163="x",EOMONTH(I163,0))</f>
        <v>0</v>
      </c>
      <c r="AS163" s="79">
        <f t="shared" si="16"/>
        <v>1</v>
      </c>
      <c r="AT163" s="79">
        <f t="shared" si="17"/>
        <v>1</v>
      </c>
      <c r="AU163" s="79" t="str">
        <f t="shared" si="18"/>
        <v>C</v>
      </c>
      <c r="AV163" s="79">
        <f t="shared" si="22"/>
        <v>1</v>
      </c>
      <c r="AW163" s="79" t="str">
        <f>J163&amp;AU163</f>
        <v>IntegralC</v>
      </c>
      <c r="AX163" s="79">
        <f>IF(COUNTIFS(J:J,"Integral",E:E,E163,H:H,"Ativo")=4,1/4,1/10)</f>
        <v>0.25</v>
      </c>
      <c r="AY163" s="79"/>
      <c r="AZ163" s="79"/>
    </row>
    <row r="164" spans="1:52" ht="15.75" customHeight="1">
      <c r="A164" s="31">
        <v>168</v>
      </c>
      <c r="B164" s="399">
        <v>44902</v>
      </c>
      <c r="C164" s="32" t="s">
        <v>613</v>
      </c>
      <c r="D164" s="32" t="s">
        <v>674</v>
      </c>
      <c r="E164" s="32" t="s">
        <v>615</v>
      </c>
      <c r="F164" s="32" t="s">
        <v>675</v>
      </c>
      <c r="G164" s="33" t="s">
        <v>220</v>
      </c>
      <c r="H164" s="33" t="s">
        <v>90</v>
      </c>
      <c r="I164" s="34">
        <v>0</v>
      </c>
      <c r="J164" s="33" t="s">
        <v>6</v>
      </c>
      <c r="K164" s="35" t="s">
        <v>394</v>
      </c>
      <c r="L164" s="35" t="s">
        <v>394</v>
      </c>
      <c r="M164" s="67" t="s">
        <v>222</v>
      </c>
      <c r="N164" s="33" t="s">
        <v>68</v>
      </c>
      <c r="O164" s="33" t="s">
        <v>10</v>
      </c>
      <c r="P164" s="33" t="s">
        <v>2</v>
      </c>
      <c r="Q164" s="47"/>
      <c r="R164" s="47"/>
      <c r="S164" s="45" t="s">
        <v>143</v>
      </c>
      <c r="T164" s="45"/>
      <c r="U164" s="46">
        <v>44893</v>
      </c>
      <c r="V164" s="38">
        <f t="shared" si="20"/>
        <v>44902</v>
      </c>
      <c r="W164" s="50">
        <f>V164-U164</f>
        <v>9</v>
      </c>
      <c r="X164" s="261">
        <v>1550250</v>
      </c>
      <c r="Y164" s="260">
        <v>1550250</v>
      </c>
      <c r="Z164" s="260">
        <v>1237500</v>
      </c>
      <c r="AA164" s="35">
        <v>0</v>
      </c>
      <c r="AB164" s="260"/>
      <c r="AC164" s="41"/>
      <c r="AD164" s="42"/>
      <c r="AE164" s="41"/>
      <c r="AF164" s="43"/>
      <c r="AG164" s="40">
        <v>0</v>
      </c>
      <c r="AH164" s="40">
        <v>312750</v>
      </c>
      <c r="AI164" s="44">
        <v>0.20174165457184326</v>
      </c>
      <c r="AJ164" s="44">
        <v>0.20174165457184326</v>
      </c>
      <c r="AK164" s="40">
        <v>0</v>
      </c>
      <c r="AL164" s="40">
        <v>312750</v>
      </c>
      <c r="AM164" s="242">
        <f t="shared" si="21"/>
        <v>44926</v>
      </c>
      <c r="AN164" s="242" t="str">
        <f>IF(AQ164="x","",IF(AQ164="x",AM164,IF(EOMONTH(I164,0)=31,"",EOMONTH(I164,0))))</f>
        <v/>
      </c>
      <c r="AO164" s="79">
        <f>IFERROR(IF(VLOOKUP(C164,C165:C768,1,0)=0,1,0),1)</f>
        <v>0</v>
      </c>
      <c r="AP164" s="79"/>
      <c r="AQ164" s="243" t="str">
        <f t="shared" ref="AQ164:AQ227" si="23">IF(MID(G164,1,15)="NAO ASSINADO","x","")</f>
        <v/>
      </c>
      <c r="AR164" s="242" t="b">
        <f>IF(AQ164="x",EOMONTH(I164,0))</f>
        <v>0</v>
      </c>
      <c r="AS164" s="79">
        <f t="shared" ref="AS164:AS227" si="24">IF(AH164&lt;0,0,1)</f>
        <v>1</v>
      </c>
      <c r="AT164" s="79">
        <f t="shared" ref="AT164:AT227" si="25">IF(AL164&lt;0,0,1)</f>
        <v>1</v>
      </c>
      <c r="AU164" s="79" t="str">
        <f t="shared" ref="AU164:AU227" si="26">MID(E164,1,1)</f>
        <v>C</v>
      </c>
      <c r="AV164" s="79">
        <f t="shared" ref="AV164:AV175" si="27">IF(AG164&lt;0,0,1)</f>
        <v>1</v>
      </c>
      <c r="AW164" s="79" t="str">
        <f>J164&amp;AU164</f>
        <v>IntegralC</v>
      </c>
      <c r="AX164" s="79">
        <f>IF(COUNTIFS(J:J,"Integral",E:E,E164,H:H,"Ativo")=4,1/4,1/10)</f>
        <v>0.25</v>
      </c>
      <c r="AY164" s="79"/>
      <c r="AZ164" s="79"/>
    </row>
    <row r="165" spans="1:52" ht="15.75" customHeight="1">
      <c r="A165" s="31">
        <v>169</v>
      </c>
      <c r="B165" s="399">
        <v>44902</v>
      </c>
      <c r="C165" s="32" t="s">
        <v>613</v>
      </c>
      <c r="D165" s="32" t="s">
        <v>676</v>
      </c>
      <c r="E165" s="32" t="s">
        <v>615</v>
      </c>
      <c r="F165" s="32" t="s">
        <v>677</v>
      </c>
      <c r="G165" s="33" t="s">
        <v>220</v>
      </c>
      <c r="H165" s="33" t="s">
        <v>90</v>
      </c>
      <c r="I165" s="34">
        <v>0</v>
      </c>
      <c r="J165" s="33" t="s">
        <v>6</v>
      </c>
      <c r="K165" s="35" t="s">
        <v>394</v>
      </c>
      <c r="L165" s="35" t="s">
        <v>394</v>
      </c>
      <c r="M165" s="67" t="s">
        <v>222</v>
      </c>
      <c r="N165" s="33" t="s">
        <v>68</v>
      </c>
      <c r="O165" s="33" t="s">
        <v>10</v>
      </c>
      <c r="P165" s="33" t="s">
        <v>2</v>
      </c>
      <c r="Q165" s="47"/>
      <c r="R165" s="47"/>
      <c r="S165" s="45" t="s">
        <v>143</v>
      </c>
      <c r="T165" s="45"/>
      <c r="U165" s="46">
        <v>44893</v>
      </c>
      <c r="V165" s="38">
        <f t="shared" si="20"/>
        <v>44902</v>
      </c>
      <c r="W165" s="50">
        <f>V165-U165</f>
        <v>9</v>
      </c>
      <c r="X165" s="261">
        <v>1550250</v>
      </c>
      <c r="Y165" s="260">
        <v>1550250</v>
      </c>
      <c r="Z165" s="260">
        <v>1237500</v>
      </c>
      <c r="AA165" s="35">
        <v>0</v>
      </c>
      <c r="AB165" s="260"/>
      <c r="AC165" s="41"/>
      <c r="AD165" s="42"/>
      <c r="AE165" s="41"/>
      <c r="AF165" s="43"/>
      <c r="AG165" s="40">
        <v>0</v>
      </c>
      <c r="AH165" s="40">
        <v>312750</v>
      </c>
      <c r="AI165" s="44">
        <v>0.20174165457184326</v>
      </c>
      <c r="AJ165" s="44">
        <v>0.20174165457184326</v>
      </c>
      <c r="AK165" s="40">
        <v>0</v>
      </c>
      <c r="AL165" s="40">
        <v>312750</v>
      </c>
      <c r="AM165" s="242">
        <f t="shared" si="21"/>
        <v>44926</v>
      </c>
      <c r="AN165" s="242" t="str">
        <f>IF(AQ165="x","",IF(AQ165="x",AM165,IF(EOMONTH(I165,0)=31,"",EOMONTH(I165,0))))</f>
        <v/>
      </c>
      <c r="AO165" s="79">
        <f>IFERROR(IF(VLOOKUP(C165,C166:C769,1,0)=0,1,0),1)</f>
        <v>0</v>
      </c>
      <c r="AP165" s="79"/>
      <c r="AQ165" s="243" t="str">
        <f t="shared" si="23"/>
        <v/>
      </c>
      <c r="AR165" s="242" t="b">
        <f>IF(AQ165="x",EOMONTH(I165,0))</f>
        <v>0</v>
      </c>
      <c r="AS165" s="79">
        <f t="shared" si="24"/>
        <v>1</v>
      </c>
      <c r="AT165" s="79">
        <f t="shared" si="25"/>
        <v>1</v>
      </c>
      <c r="AU165" s="79" t="str">
        <f t="shared" si="26"/>
        <v>C</v>
      </c>
      <c r="AV165" s="79">
        <f t="shared" si="27"/>
        <v>1</v>
      </c>
      <c r="AW165" s="79" t="str">
        <f>J165&amp;AU165</f>
        <v>IntegralC</v>
      </c>
      <c r="AX165" s="79">
        <f>IF(COUNTIFS(J:J,"Integral",E:E,E165,H:H,"Ativo")=4,1/4,1/10)</f>
        <v>0.25</v>
      </c>
      <c r="AY165" s="79"/>
      <c r="AZ165" s="79"/>
    </row>
    <row r="166" spans="1:52" ht="15.75" customHeight="1">
      <c r="A166" s="31">
        <v>170</v>
      </c>
      <c r="B166" s="399">
        <v>44902</v>
      </c>
      <c r="C166" s="32" t="s">
        <v>666</v>
      </c>
      <c r="D166" s="32" t="s">
        <v>678</v>
      </c>
      <c r="E166" s="32" t="s">
        <v>300</v>
      </c>
      <c r="F166" s="32" t="s">
        <v>679</v>
      </c>
      <c r="G166" s="33" t="s">
        <v>220</v>
      </c>
      <c r="H166" s="33" t="s">
        <v>90</v>
      </c>
      <c r="I166" s="34">
        <v>0</v>
      </c>
      <c r="J166" s="33">
        <v>4</v>
      </c>
      <c r="K166" s="35" t="s">
        <v>369</v>
      </c>
      <c r="L166" s="35" t="s">
        <v>238</v>
      </c>
      <c r="M166" s="67" t="s">
        <v>222</v>
      </c>
      <c r="N166" s="33" t="s">
        <v>68</v>
      </c>
      <c r="O166" s="33" t="s">
        <v>11</v>
      </c>
      <c r="P166" s="33" t="s">
        <v>1</v>
      </c>
      <c r="Q166" s="47"/>
      <c r="R166" s="47"/>
      <c r="S166" s="45" t="s">
        <v>143</v>
      </c>
      <c r="T166" s="45"/>
      <c r="U166" s="46" t="s">
        <v>222</v>
      </c>
      <c r="V166" s="38">
        <f t="shared" si="20"/>
        <v>44902</v>
      </c>
      <c r="W166" s="50"/>
      <c r="X166" s="261">
        <v>220000</v>
      </c>
      <c r="Y166" s="260">
        <v>220000</v>
      </c>
      <c r="Z166" s="260">
        <v>226620</v>
      </c>
      <c r="AA166" s="35">
        <v>0</v>
      </c>
      <c r="AB166" s="260"/>
      <c r="AC166" s="41"/>
      <c r="AD166" s="42"/>
      <c r="AE166" s="41"/>
      <c r="AF166" s="43"/>
      <c r="AG166" s="40">
        <v>0</v>
      </c>
      <c r="AH166" s="40">
        <v>19090</v>
      </c>
      <c r="AI166" s="44">
        <v>8.6772727272727279E-2</v>
      </c>
      <c r="AJ166" s="44">
        <v>8.6772727272727279E-2</v>
      </c>
      <c r="AK166" s="40">
        <v>0</v>
      </c>
      <c r="AL166" s="40">
        <v>19090</v>
      </c>
      <c r="AM166" s="242">
        <f t="shared" si="21"/>
        <v>44926</v>
      </c>
      <c r="AN166" s="242" t="str">
        <f>IF(AQ166="x","",IF(AQ166="x",AM166,IF(EOMONTH(I166,0)=31,"",EOMONTH(I166,0))))</f>
        <v/>
      </c>
      <c r="AO166" s="79">
        <f>IFERROR(IF(VLOOKUP(C166,C167:C770,1,0)=0,1,0),1)</f>
        <v>1</v>
      </c>
      <c r="AP166" s="79"/>
      <c r="AQ166" s="243" t="str">
        <f t="shared" si="23"/>
        <v/>
      </c>
      <c r="AR166" s="242" t="b">
        <f>IF(AQ166="x",EOMONTH(I166,0))</f>
        <v>0</v>
      </c>
      <c r="AS166" s="79">
        <f t="shared" si="24"/>
        <v>1</v>
      </c>
      <c r="AT166" s="79">
        <f t="shared" si="25"/>
        <v>1</v>
      </c>
      <c r="AU166" s="79" t="str">
        <f t="shared" si="26"/>
        <v>B</v>
      </c>
      <c r="AV166" s="79">
        <f t="shared" si="27"/>
        <v>1</v>
      </c>
      <c r="AW166" s="79" t="str">
        <f>J166&amp;AU166</f>
        <v>4B</v>
      </c>
      <c r="AX166" s="79">
        <f>IF(COUNTIFS(J:J,"Integral",E:E,E166,H:H,"Ativo")=4,1/4,1/10)</f>
        <v>0.1</v>
      </c>
      <c r="AY166" s="79"/>
      <c r="AZ166" s="79"/>
    </row>
    <row r="167" spans="1:52" ht="15.75" customHeight="1">
      <c r="A167" s="31">
        <v>171</v>
      </c>
      <c r="B167" s="399">
        <v>44902</v>
      </c>
      <c r="C167" s="32" t="s">
        <v>669</v>
      </c>
      <c r="D167" s="32" t="s">
        <v>680</v>
      </c>
      <c r="E167" s="32" t="s">
        <v>547</v>
      </c>
      <c r="F167" s="32" t="s">
        <v>681</v>
      </c>
      <c r="G167" s="33" t="s">
        <v>220</v>
      </c>
      <c r="H167" s="33" t="s">
        <v>90</v>
      </c>
      <c r="I167" s="34">
        <v>0</v>
      </c>
      <c r="J167" s="33">
        <v>4</v>
      </c>
      <c r="K167" s="35" t="s">
        <v>378</v>
      </c>
      <c r="L167" s="35" t="s">
        <v>394</v>
      </c>
      <c r="M167" s="67" t="s">
        <v>222</v>
      </c>
      <c r="N167" s="33" t="s">
        <v>68</v>
      </c>
      <c r="O167" s="33" t="s">
        <v>12</v>
      </c>
      <c r="P167" s="33" t="s">
        <v>2</v>
      </c>
      <c r="Q167" s="47"/>
      <c r="R167" s="47"/>
      <c r="S167" s="45" t="s">
        <v>161</v>
      </c>
      <c r="T167" s="45"/>
      <c r="U167" s="46">
        <v>44896</v>
      </c>
      <c r="V167" s="38">
        <f t="shared" si="20"/>
        <v>44902</v>
      </c>
      <c r="W167" s="50">
        <f>V167-U167</f>
        <v>6</v>
      </c>
      <c r="X167" s="261">
        <v>220000</v>
      </c>
      <c r="Y167" s="260">
        <v>220000</v>
      </c>
      <c r="Z167" s="260">
        <v>215000</v>
      </c>
      <c r="AA167" s="35">
        <v>0</v>
      </c>
      <c r="AB167" s="260"/>
      <c r="AC167" s="41"/>
      <c r="AD167" s="42"/>
      <c r="AE167" s="41"/>
      <c r="AF167" s="43"/>
      <c r="AG167" s="40">
        <v>0</v>
      </c>
      <c r="AH167" s="40">
        <v>5000</v>
      </c>
      <c r="AI167" s="44">
        <v>2.2727272727272728E-2</v>
      </c>
      <c r="AJ167" s="44">
        <v>2.2727272727272728E-2</v>
      </c>
      <c r="AK167" s="40">
        <v>0</v>
      </c>
      <c r="AL167" s="40">
        <v>5000</v>
      </c>
      <c r="AM167" s="242">
        <f t="shared" si="21"/>
        <v>44926</v>
      </c>
      <c r="AN167" s="242" t="str">
        <f>IF(AQ167="x","",IF(AQ167="x",AM167,IF(EOMONTH(I167,0)=31,"",EOMONTH(I167,0))))</f>
        <v/>
      </c>
      <c r="AO167" s="79">
        <f>IFERROR(IF(VLOOKUP(C167,C168:C772,1,0)=0,1,0),1)</f>
        <v>1</v>
      </c>
      <c r="AP167" s="79"/>
      <c r="AQ167" s="243" t="str">
        <f t="shared" si="23"/>
        <v/>
      </c>
      <c r="AR167" s="242" t="b">
        <f>IF(AQ167="x",EOMONTH(I167,0))</f>
        <v>0</v>
      </c>
      <c r="AS167" s="79">
        <f t="shared" si="24"/>
        <v>1</v>
      </c>
      <c r="AT167" s="79">
        <f t="shared" si="25"/>
        <v>1</v>
      </c>
      <c r="AU167" s="79" t="str">
        <f t="shared" si="26"/>
        <v>B</v>
      </c>
      <c r="AV167" s="79">
        <f t="shared" si="27"/>
        <v>1</v>
      </c>
      <c r="AW167" s="79" t="str">
        <f>J167&amp;AU167</f>
        <v>4B</v>
      </c>
      <c r="AX167" s="79">
        <f>IF(COUNTIFS(J:J,"Integral",E:E,E167,H:H,"Ativo")=4,1/4,1/10)</f>
        <v>0.1</v>
      </c>
      <c r="AY167" s="79"/>
      <c r="AZ167" s="79"/>
    </row>
    <row r="168" spans="1:52" ht="15.75" customHeight="1">
      <c r="A168" s="31">
        <v>172</v>
      </c>
      <c r="B168" s="399">
        <v>44903</v>
      </c>
      <c r="C168" s="32" t="s">
        <v>682</v>
      </c>
      <c r="D168" s="32" t="s">
        <v>683</v>
      </c>
      <c r="E168" s="32" t="s">
        <v>684</v>
      </c>
      <c r="F168" s="32" t="s">
        <v>685</v>
      </c>
      <c r="G168" s="33" t="s">
        <v>243</v>
      </c>
      <c r="H168" s="33" t="s">
        <v>244</v>
      </c>
      <c r="I168" s="34">
        <v>44914</v>
      </c>
      <c r="J168" s="33" t="s">
        <v>6</v>
      </c>
      <c r="K168" s="35" t="s">
        <v>394</v>
      </c>
      <c r="L168" s="35" t="s">
        <v>327</v>
      </c>
      <c r="M168" s="67" t="s">
        <v>222</v>
      </c>
      <c r="N168" s="33" t="s">
        <v>68</v>
      </c>
      <c r="O168" s="33" t="s">
        <v>10</v>
      </c>
      <c r="P168" s="33">
        <v>0</v>
      </c>
      <c r="Q168" s="47"/>
      <c r="R168" s="47"/>
      <c r="S168" s="45" t="s">
        <v>222</v>
      </c>
      <c r="T168" s="45"/>
      <c r="U168" s="51">
        <v>44903</v>
      </c>
      <c r="V168" s="48">
        <f t="shared" si="20"/>
        <v>44903</v>
      </c>
      <c r="W168" s="50">
        <f>V168-U168</f>
        <v>0</v>
      </c>
      <c r="X168" s="265">
        <v>0</v>
      </c>
      <c r="Y168" s="67">
        <v>0</v>
      </c>
      <c r="Z168" s="67">
        <v>400000</v>
      </c>
      <c r="AA168" s="35">
        <v>0</v>
      </c>
      <c r="AB168" s="67"/>
      <c r="AC168" s="40"/>
      <c r="AD168" s="42"/>
      <c r="AE168" s="41">
        <v>0</v>
      </c>
      <c r="AF168" s="43">
        <v>0</v>
      </c>
      <c r="AG168" s="40">
        <v>0</v>
      </c>
      <c r="AH168" s="40"/>
      <c r="AI168" s="44"/>
      <c r="AJ168" s="44"/>
      <c r="AK168" s="40">
        <v>0</v>
      </c>
      <c r="AL168" s="40"/>
      <c r="AM168" s="242">
        <f t="shared" si="21"/>
        <v>44926</v>
      </c>
      <c r="AN168" s="242" t="str">
        <f>IF(AQ168="x","",IF(AQ168="x",AM168,IF(EOMONTH(I168,0)=31,"",EOMONTH(I168,0))))</f>
        <v/>
      </c>
      <c r="AO168" s="79">
        <f>IFERROR(IF(VLOOKUP(C168,C169:C772,1,0)=0,1,0),1)</f>
        <v>0</v>
      </c>
      <c r="AP168" s="79"/>
      <c r="AQ168" s="243" t="str">
        <f t="shared" si="23"/>
        <v>x</v>
      </c>
      <c r="AR168" s="242">
        <f>IF(AQ168="x",EOMONTH(I168,0))</f>
        <v>44926</v>
      </c>
      <c r="AS168" s="79">
        <f t="shared" si="24"/>
        <v>1</v>
      </c>
      <c r="AT168" s="79">
        <f t="shared" si="25"/>
        <v>1</v>
      </c>
      <c r="AU168" s="79" t="str">
        <f t="shared" si="26"/>
        <v>B</v>
      </c>
      <c r="AV168" s="79">
        <f t="shared" si="27"/>
        <v>1</v>
      </c>
      <c r="AW168" s="79" t="str">
        <f>J168&amp;AU168</f>
        <v>IntegralB</v>
      </c>
      <c r="AX168" s="79">
        <f>IF(COUNTIFS(J:J,"Integral",E:E,E168,H:H,"Ativo")=4,1/4,1/10)</f>
        <v>0.1</v>
      </c>
      <c r="AY168" s="79"/>
      <c r="AZ168" s="79"/>
    </row>
    <row r="169" spans="1:52" ht="15.75" customHeight="1">
      <c r="A169" s="31">
        <v>173</v>
      </c>
      <c r="B169" s="399">
        <v>44903</v>
      </c>
      <c r="C169" s="32" t="s">
        <v>682</v>
      </c>
      <c r="D169" s="32" t="s">
        <v>686</v>
      </c>
      <c r="E169" s="32" t="s">
        <v>684</v>
      </c>
      <c r="F169" s="32" t="s">
        <v>687</v>
      </c>
      <c r="G169" s="33" t="s">
        <v>243</v>
      </c>
      <c r="H169" s="33" t="s">
        <v>244</v>
      </c>
      <c r="I169" s="34">
        <v>44914</v>
      </c>
      <c r="J169" s="33" t="s">
        <v>6</v>
      </c>
      <c r="K169" s="35" t="s">
        <v>394</v>
      </c>
      <c r="L169" s="35" t="s">
        <v>327</v>
      </c>
      <c r="M169" s="67" t="s">
        <v>222</v>
      </c>
      <c r="N169" s="33" t="s">
        <v>68</v>
      </c>
      <c r="O169" s="33" t="s">
        <v>10</v>
      </c>
      <c r="P169" s="33">
        <v>0</v>
      </c>
      <c r="Q169" s="47"/>
      <c r="R169" s="47"/>
      <c r="S169" s="45" t="s">
        <v>222</v>
      </c>
      <c r="T169" s="45"/>
      <c r="U169" s="51">
        <v>44903</v>
      </c>
      <c r="V169" s="48">
        <f t="shared" si="20"/>
        <v>44903</v>
      </c>
      <c r="W169" s="50">
        <f>V169-U169</f>
        <v>0</v>
      </c>
      <c r="X169" s="265">
        <v>0</v>
      </c>
      <c r="Y169" s="67">
        <v>0</v>
      </c>
      <c r="Z169" s="67">
        <v>400000</v>
      </c>
      <c r="AA169" s="35">
        <v>0</v>
      </c>
      <c r="AB169" s="67"/>
      <c r="AC169" s="40"/>
      <c r="AD169" s="42"/>
      <c r="AE169" s="41">
        <v>0</v>
      </c>
      <c r="AF169" s="43">
        <v>0</v>
      </c>
      <c r="AG169" s="40">
        <v>0</v>
      </c>
      <c r="AH169" s="40"/>
      <c r="AI169" s="44"/>
      <c r="AJ169" s="44"/>
      <c r="AK169" s="40">
        <v>0</v>
      </c>
      <c r="AL169" s="40"/>
      <c r="AM169" s="242">
        <f t="shared" si="21"/>
        <v>44926</v>
      </c>
      <c r="AN169" s="242" t="str">
        <f>IF(AQ169="x","",IF(AQ169="x",AM169,IF(EOMONTH(I169,0)=31,"",EOMONTH(I169,0))))</f>
        <v/>
      </c>
      <c r="AO169" s="79">
        <f>IFERROR(IF(VLOOKUP(C169,C170:C773,1,0)=0,1,0),1)</f>
        <v>0</v>
      </c>
      <c r="AP169" s="79"/>
      <c r="AQ169" s="243" t="str">
        <f t="shared" si="23"/>
        <v>x</v>
      </c>
      <c r="AR169" s="242">
        <f>IF(AQ169="x",EOMONTH(I169,0))</f>
        <v>44926</v>
      </c>
      <c r="AS169" s="79">
        <f t="shared" si="24"/>
        <v>1</v>
      </c>
      <c r="AT169" s="79">
        <f t="shared" si="25"/>
        <v>1</v>
      </c>
      <c r="AU169" s="79" t="str">
        <f t="shared" si="26"/>
        <v>B</v>
      </c>
      <c r="AV169" s="79">
        <f t="shared" si="27"/>
        <v>1</v>
      </c>
      <c r="AW169" s="79" t="str">
        <f>J169&amp;AU169</f>
        <v>IntegralB</v>
      </c>
      <c r="AX169" s="79">
        <f>IF(COUNTIFS(J:J,"Integral",E:E,E169,H:H,"Ativo")=4,1/4,1/10)</f>
        <v>0.1</v>
      </c>
      <c r="AY169" s="79"/>
      <c r="AZ169" s="79"/>
    </row>
    <row r="170" spans="1:52" ht="15.75" customHeight="1">
      <c r="A170" s="31">
        <v>174</v>
      </c>
      <c r="B170" s="399">
        <v>44903</v>
      </c>
      <c r="C170" s="32" t="s">
        <v>682</v>
      </c>
      <c r="D170" s="32" t="s">
        <v>688</v>
      </c>
      <c r="E170" s="32" t="s">
        <v>684</v>
      </c>
      <c r="F170" s="32" t="s">
        <v>689</v>
      </c>
      <c r="G170" s="33" t="s">
        <v>243</v>
      </c>
      <c r="H170" s="33" t="s">
        <v>244</v>
      </c>
      <c r="I170" s="34">
        <v>44914</v>
      </c>
      <c r="J170" s="33" t="s">
        <v>6</v>
      </c>
      <c r="K170" s="35" t="s">
        <v>394</v>
      </c>
      <c r="L170" s="35" t="s">
        <v>327</v>
      </c>
      <c r="M170" s="67" t="s">
        <v>222</v>
      </c>
      <c r="N170" s="33" t="s">
        <v>68</v>
      </c>
      <c r="O170" s="33" t="s">
        <v>10</v>
      </c>
      <c r="P170" s="33">
        <v>0</v>
      </c>
      <c r="Q170" s="47"/>
      <c r="R170" s="47"/>
      <c r="S170" s="45" t="s">
        <v>222</v>
      </c>
      <c r="T170" s="45"/>
      <c r="U170" s="51">
        <v>44903</v>
      </c>
      <c r="V170" s="48">
        <f t="shared" si="20"/>
        <v>44903</v>
      </c>
      <c r="W170" s="50">
        <f>V170-U170</f>
        <v>0</v>
      </c>
      <c r="X170" s="265">
        <v>0</v>
      </c>
      <c r="Y170" s="67">
        <v>0</v>
      </c>
      <c r="Z170" s="67">
        <v>400000</v>
      </c>
      <c r="AA170" s="35">
        <v>0</v>
      </c>
      <c r="AB170" s="67"/>
      <c r="AC170" s="40"/>
      <c r="AD170" s="42"/>
      <c r="AE170" s="41">
        <v>0</v>
      </c>
      <c r="AF170" s="43">
        <v>0</v>
      </c>
      <c r="AG170" s="40">
        <v>0</v>
      </c>
      <c r="AH170" s="40"/>
      <c r="AI170" s="44"/>
      <c r="AJ170" s="44"/>
      <c r="AK170" s="40">
        <v>0</v>
      </c>
      <c r="AL170" s="40"/>
      <c r="AM170" s="242">
        <f t="shared" si="21"/>
        <v>44926</v>
      </c>
      <c r="AN170" s="242" t="str">
        <f>IF(AQ170="x","",IF(AQ170="x",AM170,IF(EOMONTH(I170,0)=31,"",EOMONTH(I170,0))))</f>
        <v/>
      </c>
      <c r="AO170" s="79">
        <f>IFERROR(IF(VLOOKUP(C170,C171:C774,1,0)=0,1,0),1)</f>
        <v>0</v>
      </c>
      <c r="AP170" s="79"/>
      <c r="AQ170" s="243" t="str">
        <f t="shared" si="23"/>
        <v>x</v>
      </c>
      <c r="AR170" s="242">
        <f>IF(AQ170="x",EOMONTH(I170,0))</f>
        <v>44926</v>
      </c>
      <c r="AS170" s="79">
        <f t="shared" si="24"/>
        <v>1</v>
      </c>
      <c r="AT170" s="79">
        <f t="shared" si="25"/>
        <v>1</v>
      </c>
      <c r="AU170" s="79" t="str">
        <f t="shared" si="26"/>
        <v>B</v>
      </c>
      <c r="AV170" s="79">
        <f t="shared" si="27"/>
        <v>1</v>
      </c>
      <c r="AW170" s="79" t="str">
        <f>J170&amp;AU170</f>
        <v>IntegralB</v>
      </c>
      <c r="AX170" s="79">
        <f>IF(COUNTIFS(J:J,"Integral",E:E,E170,H:H,"Ativo")=4,1/4,1/10)</f>
        <v>0.1</v>
      </c>
      <c r="AY170" s="79"/>
      <c r="AZ170" s="79"/>
    </row>
    <row r="171" spans="1:52" ht="15.75" customHeight="1">
      <c r="A171" s="31">
        <v>175</v>
      </c>
      <c r="B171" s="399">
        <v>44903</v>
      </c>
      <c r="C171" s="32" t="s">
        <v>682</v>
      </c>
      <c r="D171" s="32" t="s">
        <v>690</v>
      </c>
      <c r="E171" s="32" t="s">
        <v>684</v>
      </c>
      <c r="F171" s="32" t="s">
        <v>691</v>
      </c>
      <c r="G171" s="33" t="s">
        <v>243</v>
      </c>
      <c r="H171" s="33" t="s">
        <v>244</v>
      </c>
      <c r="I171" s="34">
        <v>44914</v>
      </c>
      <c r="J171" s="33" t="s">
        <v>6</v>
      </c>
      <c r="K171" s="35" t="s">
        <v>394</v>
      </c>
      <c r="L171" s="35" t="s">
        <v>327</v>
      </c>
      <c r="M171" s="67" t="s">
        <v>222</v>
      </c>
      <c r="N171" s="33" t="s">
        <v>68</v>
      </c>
      <c r="O171" s="33" t="s">
        <v>10</v>
      </c>
      <c r="P171" s="33">
        <v>0</v>
      </c>
      <c r="Q171" s="47"/>
      <c r="R171" s="47"/>
      <c r="S171" s="45" t="s">
        <v>222</v>
      </c>
      <c r="T171" s="45"/>
      <c r="U171" s="51">
        <v>44903</v>
      </c>
      <c r="V171" s="48">
        <f t="shared" si="20"/>
        <v>44903</v>
      </c>
      <c r="W171" s="50">
        <f>V171-U171</f>
        <v>0</v>
      </c>
      <c r="X171" s="265">
        <v>0</v>
      </c>
      <c r="Y171" s="67">
        <v>0</v>
      </c>
      <c r="Z171" s="67">
        <v>400000</v>
      </c>
      <c r="AA171" s="35">
        <v>0</v>
      </c>
      <c r="AB171" s="67"/>
      <c r="AC171" s="40"/>
      <c r="AD171" s="42"/>
      <c r="AE171" s="41">
        <v>0</v>
      </c>
      <c r="AF171" s="43">
        <v>0</v>
      </c>
      <c r="AG171" s="40">
        <v>0</v>
      </c>
      <c r="AH171" s="40"/>
      <c r="AI171" s="44"/>
      <c r="AJ171" s="44"/>
      <c r="AK171" s="40">
        <v>0</v>
      </c>
      <c r="AL171" s="40"/>
      <c r="AM171" s="242">
        <f t="shared" si="21"/>
        <v>44926</v>
      </c>
      <c r="AN171" s="242" t="str">
        <f>IF(AQ171="x","",IF(AQ171="x",AM171,IF(EOMONTH(I171,0)=31,"",EOMONTH(I171,0))))</f>
        <v/>
      </c>
      <c r="AO171" s="79">
        <f>IFERROR(IF(VLOOKUP(C171,C172:C775,1,0)=0,1,0),1)</f>
        <v>1</v>
      </c>
      <c r="AP171" s="79"/>
      <c r="AQ171" s="243" t="str">
        <f t="shared" si="23"/>
        <v>x</v>
      </c>
      <c r="AR171" s="242">
        <f>IF(AQ171="x",EOMONTH(I171,0))</f>
        <v>44926</v>
      </c>
      <c r="AS171" s="79">
        <f t="shared" si="24"/>
        <v>1</v>
      </c>
      <c r="AT171" s="79">
        <f t="shared" si="25"/>
        <v>1</v>
      </c>
      <c r="AU171" s="79" t="str">
        <f t="shared" si="26"/>
        <v>B</v>
      </c>
      <c r="AV171" s="79">
        <f t="shared" si="27"/>
        <v>1</v>
      </c>
      <c r="AW171" s="79" t="str">
        <f>J171&amp;AU171</f>
        <v>IntegralB</v>
      </c>
      <c r="AX171" s="79">
        <f>IF(COUNTIFS(J:J,"Integral",E:E,E171,H:H,"Ativo")=4,1/4,1/10)</f>
        <v>0.1</v>
      </c>
      <c r="AY171" s="79"/>
      <c r="AZ171" s="79"/>
    </row>
    <row r="172" spans="1:52" ht="15.75" customHeight="1">
      <c r="A172" s="31">
        <v>176</v>
      </c>
      <c r="B172" s="399">
        <v>44905</v>
      </c>
      <c r="C172" s="32" t="s">
        <v>692</v>
      </c>
      <c r="D172" s="32" t="s">
        <v>693</v>
      </c>
      <c r="E172" s="32" t="s">
        <v>300</v>
      </c>
      <c r="F172" s="32" t="s">
        <v>694</v>
      </c>
      <c r="G172" s="33" t="s">
        <v>220</v>
      </c>
      <c r="H172" s="33" t="s">
        <v>244</v>
      </c>
      <c r="I172" s="34">
        <v>45504</v>
      </c>
      <c r="J172" s="33">
        <v>6</v>
      </c>
      <c r="K172" s="35" t="s">
        <v>425</v>
      </c>
      <c r="L172" s="35" t="s">
        <v>425</v>
      </c>
      <c r="M172" s="67" t="s">
        <v>222</v>
      </c>
      <c r="N172" s="33" t="s">
        <v>68</v>
      </c>
      <c r="O172" s="33" t="s">
        <v>13</v>
      </c>
      <c r="P172" s="33" t="s">
        <v>1</v>
      </c>
      <c r="Q172" s="47"/>
      <c r="R172" s="47"/>
      <c r="S172" s="45" t="s">
        <v>143</v>
      </c>
      <c r="T172" s="45"/>
      <c r="U172" s="51">
        <v>44905</v>
      </c>
      <c r="V172" s="48">
        <f t="shared" si="20"/>
        <v>44905</v>
      </c>
      <c r="W172" s="50">
        <f>V172-U172</f>
        <v>0</v>
      </c>
      <c r="X172" s="261">
        <v>333000</v>
      </c>
      <c r="Y172" s="260">
        <v>333000</v>
      </c>
      <c r="Z172" s="260">
        <v>358000</v>
      </c>
      <c r="AA172" s="35">
        <v>0</v>
      </c>
      <c r="AB172" s="260"/>
      <c r="AC172" s="41"/>
      <c r="AD172" s="42"/>
      <c r="AE172" s="41"/>
      <c r="AF172" s="43"/>
      <c r="AG172" s="40">
        <v>25000</v>
      </c>
      <c r="AH172" s="40"/>
      <c r="AI172" s="44"/>
      <c r="AJ172" s="44"/>
      <c r="AK172" s="40">
        <v>0</v>
      </c>
      <c r="AL172" s="40">
        <v>0</v>
      </c>
      <c r="AM172" s="242">
        <f t="shared" si="21"/>
        <v>44926</v>
      </c>
      <c r="AN172" s="242">
        <f>IF(AQ172="x","",IF(AQ172="x",AM172,IF(EOMONTH(I172,0)=31,"",EOMONTH(I172,0))))</f>
        <v>45504</v>
      </c>
      <c r="AO172" s="79">
        <f>IFERROR(IF(VLOOKUP(C172,C173:C776,1,0)=0,1,0),1)</f>
        <v>1</v>
      </c>
      <c r="AP172" s="79"/>
      <c r="AQ172" s="243" t="str">
        <f t="shared" si="23"/>
        <v/>
      </c>
      <c r="AR172" s="242" t="b">
        <f>IF(AQ172="x",EOMONTH(I172,0))</f>
        <v>0</v>
      </c>
      <c r="AS172" s="79">
        <f t="shared" si="24"/>
        <v>1</v>
      </c>
      <c r="AT172" s="79">
        <f t="shared" si="25"/>
        <v>1</v>
      </c>
      <c r="AU172" s="79" t="str">
        <f t="shared" si="26"/>
        <v>B</v>
      </c>
      <c r="AV172" s="79">
        <f t="shared" si="27"/>
        <v>1</v>
      </c>
      <c r="AW172" s="79" t="str">
        <f>J172&amp;AU172</f>
        <v>6B</v>
      </c>
      <c r="AX172" s="79">
        <f>IF(COUNTIFS(J:J,"Integral",E:E,E172,H:H,"Ativo")=4,1/4,1/10)</f>
        <v>0.1</v>
      </c>
      <c r="AY172" s="79"/>
      <c r="AZ172" s="79"/>
    </row>
    <row r="173" spans="1:52" ht="15.75" customHeight="1">
      <c r="A173" s="31">
        <v>177</v>
      </c>
      <c r="B173" s="399">
        <v>44905</v>
      </c>
      <c r="C173" s="32" t="s">
        <v>695</v>
      </c>
      <c r="D173" s="32" t="s">
        <v>696</v>
      </c>
      <c r="E173" s="32" t="s">
        <v>547</v>
      </c>
      <c r="F173" s="32" t="s">
        <v>697</v>
      </c>
      <c r="G173" s="33" t="s">
        <v>220</v>
      </c>
      <c r="H173" s="33" t="s">
        <v>244</v>
      </c>
      <c r="I173" s="34">
        <v>44909</v>
      </c>
      <c r="J173" s="33">
        <v>6</v>
      </c>
      <c r="K173" s="35" t="s">
        <v>237</v>
      </c>
      <c r="L173" s="35" t="s">
        <v>274</v>
      </c>
      <c r="M173" s="67" t="s">
        <v>222</v>
      </c>
      <c r="N173" s="33" t="s">
        <v>68</v>
      </c>
      <c r="O173" s="33" t="s">
        <v>12</v>
      </c>
      <c r="P173" s="33" t="s">
        <v>1</v>
      </c>
      <c r="Q173" s="47"/>
      <c r="R173" s="47"/>
      <c r="S173" s="45" t="s">
        <v>222</v>
      </c>
      <c r="T173" s="45"/>
      <c r="U173" s="51">
        <v>44905</v>
      </c>
      <c r="V173" s="48">
        <f t="shared" si="20"/>
        <v>44905</v>
      </c>
      <c r="W173" s="50">
        <f>V173-U173</f>
        <v>0</v>
      </c>
      <c r="X173" s="265">
        <v>0</v>
      </c>
      <c r="Y173" s="67">
        <v>0</v>
      </c>
      <c r="Z173" s="67">
        <v>355000</v>
      </c>
      <c r="AA173" s="35">
        <v>0</v>
      </c>
      <c r="AB173" s="67"/>
      <c r="AC173" s="40"/>
      <c r="AD173" s="42"/>
      <c r="AE173" s="41">
        <v>0</v>
      </c>
      <c r="AF173" s="43">
        <v>0</v>
      </c>
      <c r="AG173" s="40">
        <v>0</v>
      </c>
      <c r="AH173" s="40"/>
      <c r="AI173" s="44"/>
      <c r="AJ173" s="44"/>
      <c r="AK173" s="40">
        <v>0</v>
      </c>
      <c r="AL173" s="40"/>
      <c r="AM173" s="242">
        <f t="shared" si="21"/>
        <v>44926</v>
      </c>
      <c r="AN173" s="242">
        <f>IF(AQ173="x","",IF(AQ173="x",AM173,IF(EOMONTH(I173,0)=31,"",EOMONTH(I173,0))))</f>
        <v>44926</v>
      </c>
      <c r="AO173" s="79">
        <f>IFERROR(IF(VLOOKUP(C173,C174:C777,1,0)=0,1,0),1)</f>
        <v>1</v>
      </c>
      <c r="AP173" s="79"/>
      <c r="AQ173" s="243" t="str">
        <f t="shared" si="23"/>
        <v/>
      </c>
      <c r="AR173" s="242" t="b">
        <f>IF(AQ173="x",EOMONTH(I173,0))</f>
        <v>0</v>
      </c>
      <c r="AS173" s="79">
        <f t="shared" si="24"/>
        <v>1</v>
      </c>
      <c r="AT173" s="79">
        <f t="shared" si="25"/>
        <v>1</v>
      </c>
      <c r="AU173" s="79" t="str">
        <f t="shared" si="26"/>
        <v>B</v>
      </c>
      <c r="AV173" s="79">
        <f t="shared" si="27"/>
        <v>1</v>
      </c>
      <c r="AW173" s="79" t="str">
        <f>J173&amp;AU173</f>
        <v>6B</v>
      </c>
      <c r="AX173" s="79">
        <f>IF(COUNTIFS(J:J,"Integral",E:E,E173,H:H,"Ativo")=4,1/4,1/10)</f>
        <v>0.1</v>
      </c>
      <c r="AY173" s="79"/>
      <c r="AZ173" s="79"/>
    </row>
    <row r="174" spans="1:52" ht="15.75" customHeight="1">
      <c r="A174" s="31">
        <v>178</v>
      </c>
      <c r="B174" s="399">
        <v>44905</v>
      </c>
      <c r="C174" s="32" t="s">
        <v>698</v>
      </c>
      <c r="D174" s="32" t="s">
        <v>699</v>
      </c>
      <c r="E174" s="32" t="s">
        <v>700</v>
      </c>
      <c r="F174" s="32" t="s">
        <v>701</v>
      </c>
      <c r="G174" s="33" t="s">
        <v>220</v>
      </c>
      <c r="H174" s="33" t="s">
        <v>90</v>
      </c>
      <c r="I174" s="34">
        <v>0</v>
      </c>
      <c r="J174" s="33">
        <v>4</v>
      </c>
      <c r="K174" s="35" t="s">
        <v>318</v>
      </c>
      <c r="L174" s="35" t="s">
        <v>413</v>
      </c>
      <c r="M174" s="67" t="s">
        <v>222</v>
      </c>
      <c r="N174" s="33" t="s">
        <v>68</v>
      </c>
      <c r="O174" s="33" t="s">
        <v>11</v>
      </c>
      <c r="P174" s="33" t="s">
        <v>1</v>
      </c>
      <c r="Q174" s="47"/>
      <c r="R174" s="47"/>
      <c r="S174" s="45" t="s">
        <v>161</v>
      </c>
      <c r="T174" s="45"/>
      <c r="U174" s="51">
        <v>44905</v>
      </c>
      <c r="V174" s="48">
        <f t="shared" si="20"/>
        <v>44905</v>
      </c>
      <c r="W174" s="50">
        <f>V174-U174</f>
        <v>0</v>
      </c>
      <c r="X174" s="261">
        <v>234000</v>
      </c>
      <c r="Y174" s="260">
        <v>234000</v>
      </c>
      <c r="Z174" s="260">
        <v>239350</v>
      </c>
      <c r="AA174" s="35">
        <v>0</v>
      </c>
      <c r="AB174" s="260"/>
      <c r="AC174" s="41"/>
      <c r="AD174" s="42"/>
      <c r="AE174" s="41"/>
      <c r="AF174" s="43"/>
      <c r="AG174" s="40">
        <v>5350</v>
      </c>
      <c r="AH174" s="40"/>
      <c r="AI174" s="44"/>
      <c r="AJ174" s="44"/>
      <c r="AK174" s="40">
        <v>0</v>
      </c>
      <c r="AL174" s="40">
        <v>0</v>
      </c>
      <c r="AM174" s="242">
        <f t="shared" si="21"/>
        <v>44926</v>
      </c>
      <c r="AN174" s="242" t="str">
        <f>IF(AQ174="x","",IF(AQ174="x",AM174,IF(EOMONTH(I174,0)=31,"",EOMONTH(I174,0))))</f>
        <v/>
      </c>
      <c r="AO174" s="79">
        <f>IFERROR(IF(VLOOKUP(C174,C175:C778,1,0)=0,1,0),1)</f>
        <v>0</v>
      </c>
      <c r="AP174" s="79"/>
      <c r="AQ174" s="243" t="str">
        <f t="shared" si="23"/>
        <v/>
      </c>
      <c r="AR174" s="242" t="b">
        <f>IF(AQ174="x",EOMONTH(I174,0))</f>
        <v>0</v>
      </c>
      <c r="AS174" s="79">
        <f t="shared" si="24"/>
        <v>1</v>
      </c>
      <c r="AT174" s="79">
        <f t="shared" si="25"/>
        <v>1</v>
      </c>
      <c r="AU174" s="79" t="str">
        <f t="shared" si="26"/>
        <v>B</v>
      </c>
      <c r="AV174" s="79">
        <f t="shared" si="27"/>
        <v>1</v>
      </c>
      <c r="AW174" s="79" t="str">
        <f>J174&amp;AU174</f>
        <v>4B</v>
      </c>
      <c r="AX174" s="79">
        <f>IF(COUNTIFS(J:J,"Integral",E:E,E174,H:H,"Ativo")=4,1/4,1/10)</f>
        <v>0.1</v>
      </c>
      <c r="AY174" s="79"/>
      <c r="AZ174" s="79"/>
    </row>
    <row r="175" spans="1:52" ht="15.75" customHeight="1">
      <c r="A175" s="31">
        <v>179</v>
      </c>
      <c r="B175" s="399">
        <v>44905</v>
      </c>
      <c r="C175" s="32" t="s">
        <v>698</v>
      </c>
      <c r="D175" s="32" t="s">
        <v>702</v>
      </c>
      <c r="E175" s="32" t="s">
        <v>700</v>
      </c>
      <c r="F175" s="32" t="s">
        <v>703</v>
      </c>
      <c r="G175" s="33" t="s">
        <v>220</v>
      </c>
      <c r="H175" s="33" t="s">
        <v>90</v>
      </c>
      <c r="I175" s="34">
        <v>0</v>
      </c>
      <c r="J175" s="33">
        <v>4</v>
      </c>
      <c r="K175" s="35" t="s">
        <v>318</v>
      </c>
      <c r="L175" s="35" t="s">
        <v>413</v>
      </c>
      <c r="M175" s="67" t="s">
        <v>222</v>
      </c>
      <c r="N175" s="33" t="s">
        <v>68</v>
      </c>
      <c r="O175" s="33" t="s">
        <v>11</v>
      </c>
      <c r="P175" s="33" t="s">
        <v>1</v>
      </c>
      <c r="Q175" s="47"/>
      <c r="R175" s="47"/>
      <c r="S175" s="45" t="s">
        <v>161</v>
      </c>
      <c r="T175" s="45"/>
      <c r="U175" s="51">
        <v>44905</v>
      </c>
      <c r="V175" s="48">
        <f t="shared" si="20"/>
        <v>44905</v>
      </c>
      <c r="W175" s="50">
        <f>V175-U175</f>
        <v>0</v>
      </c>
      <c r="X175" s="261">
        <v>234000</v>
      </c>
      <c r="Y175" s="260">
        <v>234000</v>
      </c>
      <c r="Z175" s="260">
        <v>239350</v>
      </c>
      <c r="AA175" s="35">
        <v>0</v>
      </c>
      <c r="AB175" s="260"/>
      <c r="AC175" s="41"/>
      <c r="AD175" s="42"/>
      <c r="AE175" s="41"/>
      <c r="AF175" s="43"/>
      <c r="AG175" s="40">
        <v>5350</v>
      </c>
      <c r="AH175" s="40"/>
      <c r="AI175" s="44"/>
      <c r="AJ175" s="44"/>
      <c r="AK175" s="40">
        <v>0</v>
      </c>
      <c r="AL175" s="40">
        <v>0</v>
      </c>
      <c r="AM175" s="242">
        <f t="shared" si="21"/>
        <v>44926</v>
      </c>
      <c r="AN175" s="242" t="str">
        <f>IF(AQ175="x","",IF(AQ175="x",AM175,IF(EOMONTH(I175,0)=31,"",EOMONTH(I175,0))))</f>
        <v/>
      </c>
      <c r="AO175" s="79">
        <f>IFERROR(IF(VLOOKUP(C175,C176:C779,1,0)=0,1,0),1)</f>
        <v>1</v>
      </c>
      <c r="AP175" s="79"/>
      <c r="AQ175" s="243" t="str">
        <f t="shared" si="23"/>
        <v/>
      </c>
      <c r="AR175" s="242" t="b">
        <f>IF(AQ175="x",EOMONTH(I175,0))</f>
        <v>0</v>
      </c>
      <c r="AS175" s="79">
        <f t="shared" si="24"/>
        <v>1</v>
      </c>
      <c r="AT175" s="79">
        <f t="shared" si="25"/>
        <v>1</v>
      </c>
      <c r="AU175" s="79" t="str">
        <f t="shared" si="26"/>
        <v>B</v>
      </c>
      <c r="AV175" s="79">
        <f t="shared" si="27"/>
        <v>1</v>
      </c>
      <c r="AW175" s="79" t="str">
        <f>J175&amp;AU175</f>
        <v>4B</v>
      </c>
      <c r="AX175" s="79">
        <f>IF(COUNTIFS(J:J,"Integral",E:E,E175,H:H,"Ativo")=4,1/4,1/10)</f>
        <v>0.1</v>
      </c>
      <c r="AY175" s="79"/>
      <c r="AZ175" s="79"/>
    </row>
    <row r="176" spans="1:52" ht="15.75" customHeight="1">
      <c r="A176" s="31">
        <v>180</v>
      </c>
      <c r="B176" s="399">
        <v>44906</v>
      </c>
      <c r="C176" s="32" t="s">
        <v>704</v>
      </c>
      <c r="D176" s="32" t="s">
        <v>659</v>
      </c>
      <c r="E176" s="32" t="s">
        <v>547</v>
      </c>
      <c r="F176" s="32" t="s">
        <v>705</v>
      </c>
      <c r="G176" s="33" t="s">
        <v>220</v>
      </c>
      <c r="H176" s="33" t="s">
        <v>90</v>
      </c>
      <c r="I176" s="34">
        <v>0</v>
      </c>
      <c r="J176" s="33">
        <v>4</v>
      </c>
      <c r="K176" s="35" t="s">
        <v>566</v>
      </c>
      <c r="L176" s="35" t="s">
        <v>274</v>
      </c>
      <c r="M176" s="67" t="s">
        <v>222</v>
      </c>
      <c r="N176" s="33" t="s">
        <v>68</v>
      </c>
      <c r="O176" s="33" t="s">
        <v>12</v>
      </c>
      <c r="P176" s="33" t="s">
        <v>1</v>
      </c>
      <c r="Q176" s="47"/>
      <c r="R176" s="47"/>
      <c r="S176" s="45" t="s">
        <v>145</v>
      </c>
      <c r="T176" s="45"/>
      <c r="U176" s="51">
        <v>44906</v>
      </c>
      <c r="V176" s="48">
        <f t="shared" si="20"/>
        <v>44906</v>
      </c>
      <c r="W176" s="50">
        <f>V176-U176</f>
        <v>0</v>
      </c>
      <c r="X176" s="261">
        <v>220000</v>
      </c>
      <c r="Y176" s="260">
        <v>220000</v>
      </c>
      <c r="Z176" s="260">
        <v>239200</v>
      </c>
      <c r="AA176" s="35">
        <v>0</v>
      </c>
      <c r="AB176" s="260"/>
      <c r="AC176" s="41"/>
      <c r="AD176" s="42"/>
      <c r="AE176" s="41"/>
      <c r="AF176" s="43"/>
      <c r="AG176" s="40">
        <v>19200</v>
      </c>
      <c r="AH176" s="40"/>
      <c r="AI176" s="44"/>
      <c r="AJ176" s="44"/>
      <c r="AK176" s="40">
        <v>0</v>
      </c>
      <c r="AL176" s="40">
        <v>0</v>
      </c>
      <c r="AM176" s="242">
        <f t="shared" si="21"/>
        <v>44926</v>
      </c>
      <c r="AN176" s="242" t="str">
        <f>IF(AQ176="x","",IF(AQ176="x",AM176,IF(EOMONTH(I176,0)=31,"",EOMONTH(I176,0))))</f>
        <v/>
      </c>
      <c r="AO176" s="79">
        <f>IFERROR(IF(VLOOKUP(C176,C177:C780,1,0)=0,1,0),1)</f>
        <v>0</v>
      </c>
      <c r="AP176" s="79"/>
      <c r="AQ176" s="243" t="str">
        <f t="shared" si="23"/>
        <v/>
      </c>
      <c r="AR176" s="242" t="b">
        <f>IF(AQ176="x",EOMONTH(I176,0))</f>
        <v>0</v>
      </c>
      <c r="AS176" s="79">
        <f t="shared" si="24"/>
        <v>1</v>
      </c>
      <c r="AT176" s="79">
        <f t="shared" si="25"/>
        <v>1</v>
      </c>
      <c r="AU176" s="79" t="str">
        <f t="shared" si="26"/>
        <v>B</v>
      </c>
      <c r="AV176" s="79">
        <f>IF(AG176&gt;0,0,1)</f>
        <v>0</v>
      </c>
      <c r="AW176" s="79" t="str">
        <f>J176&amp;AU176</f>
        <v>4B</v>
      </c>
      <c r="AX176" s="79">
        <f>IF(COUNTIFS(J:J,"Integral",E:E,E176,H:H,"Ativo")=4,1/4,1/10)</f>
        <v>0.1</v>
      </c>
      <c r="AY176" s="79"/>
      <c r="AZ176" s="79"/>
    </row>
    <row r="177" spans="1:52" ht="15.75" customHeight="1">
      <c r="A177" s="31">
        <v>181</v>
      </c>
      <c r="B177" s="399">
        <v>44906</v>
      </c>
      <c r="C177" s="32" t="s">
        <v>704</v>
      </c>
      <c r="D177" s="32" t="s">
        <v>661</v>
      </c>
      <c r="E177" s="32" t="s">
        <v>547</v>
      </c>
      <c r="F177" s="32" t="s">
        <v>706</v>
      </c>
      <c r="G177" s="33" t="s">
        <v>220</v>
      </c>
      <c r="H177" s="33" t="s">
        <v>90</v>
      </c>
      <c r="I177" s="34">
        <v>0</v>
      </c>
      <c r="J177" s="33">
        <v>4</v>
      </c>
      <c r="K177" s="35" t="s">
        <v>566</v>
      </c>
      <c r="L177" s="35" t="s">
        <v>274</v>
      </c>
      <c r="M177" s="67" t="s">
        <v>222</v>
      </c>
      <c r="N177" s="33" t="s">
        <v>68</v>
      </c>
      <c r="O177" s="33" t="s">
        <v>12</v>
      </c>
      <c r="P177" s="33" t="s">
        <v>1</v>
      </c>
      <c r="Q177" s="47"/>
      <c r="R177" s="47"/>
      <c r="S177" s="45" t="s">
        <v>145</v>
      </c>
      <c r="T177" s="45"/>
      <c r="U177" s="51">
        <v>44906</v>
      </c>
      <c r="V177" s="48">
        <f t="shared" si="20"/>
        <v>44906</v>
      </c>
      <c r="W177" s="50">
        <f>V177-U177</f>
        <v>0</v>
      </c>
      <c r="X177" s="261">
        <v>220000</v>
      </c>
      <c r="Y177" s="260">
        <v>220000</v>
      </c>
      <c r="Z177" s="260">
        <v>239200</v>
      </c>
      <c r="AA177" s="35">
        <v>0</v>
      </c>
      <c r="AB177" s="260"/>
      <c r="AC177" s="41"/>
      <c r="AD177" s="42"/>
      <c r="AE177" s="41"/>
      <c r="AF177" s="43"/>
      <c r="AG177" s="40">
        <v>19200</v>
      </c>
      <c r="AH177" s="40"/>
      <c r="AI177" s="44"/>
      <c r="AJ177" s="44"/>
      <c r="AK177" s="40">
        <v>0</v>
      </c>
      <c r="AL177" s="40">
        <v>0</v>
      </c>
      <c r="AM177" s="242">
        <f t="shared" si="21"/>
        <v>44926</v>
      </c>
      <c r="AN177" s="242" t="str">
        <f>IF(AQ177="x","",IF(AQ177="x",AM177,IF(EOMONTH(I177,0)=31,"",EOMONTH(I177,0))))</f>
        <v/>
      </c>
      <c r="AO177" s="79">
        <f>IFERROR(IF(VLOOKUP(C177,C178:C781,1,0)=0,1,0),1)</f>
        <v>1</v>
      </c>
      <c r="AP177" s="79"/>
      <c r="AQ177" s="243" t="str">
        <f t="shared" si="23"/>
        <v/>
      </c>
      <c r="AR177" s="242" t="b">
        <f>IF(AQ177="x",EOMONTH(I177,0))</f>
        <v>0</v>
      </c>
      <c r="AS177" s="79">
        <f t="shared" si="24"/>
        <v>1</v>
      </c>
      <c r="AT177" s="79">
        <f t="shared" si="25"/>
        <v>1</v>
      </c>
      <c r="AU177" s="79" t="str">
        <f t="shared" si="26"/>
        <v>B</v>
      </c>
      <c r="AV177" s="79">
        <f t="shared" ref="AV177:AV240" si="28">IF(AG177&lt;0,0,1)</f>
        <v>1</v>
      </c>
      <c r="AW177" s="79" t="str">
        <f>J177&amp;AU177</f>
        <v>4B</v>
      </c>
      <c r="AX177" s="79">
        <f>IF(COUNTIFS(J:J,"Integral",E:E,E177,H:H,"Ativo")=4,1/4,1/10)</f>
        <v>0.1</v>
      </c>
      <c r="AY177" s="79"/>
      <c r="AZ177" s="79"/>
    </row>
    <row r="178" spans="1:52" ht="15.75" customHeight="1">
      <c r="A178" s="31">
        <v>182</v>
      </c>
      <c r="B178" s="399">
        <v>44906</v>
      </c>
      <c r="C178" s="32" t="s">
        <v>707</v>
      </c>
      <c r="D178" s="32" t="s">
        <v>493</v>
      </c>
      <c r="E178" s="32" t="s">
        <v>402</v>
      </c>
      <c r="F178" s="32" t="s">
        <v>708</v>
      </c>
      <c r="G178" s="33" t="s">
        <v>220</v>
      </c>
      <c r="H178" s="33" t="s">
        <v>90</v>
      </c>
      <c r="I178" s="34">
        <v>0</v>
      </c>
      <c r="J178" s="33">
        <v>4</v>
      </c>
      <c r="K178" s="35" t="s">
        <v>237</v>
      </c>
      <c r="L178" s="35" t="s">
        <v>246</v>
      </c>
      <c r="M178" s="67" t="s">
        <v>222</v>
      </c>
      <c r="N178" s="33" t="s">
        <v>68</v>
      </c>
      <c r="O178" s="33" t="s">
        <v>13</v>
      </c>
      <c r="P178" s="33" t="s">
        <v>1</v>
      </c>
      <c r="Q178" s="47"/>
      <c r="R178" s="47"/>
      <c r="S178" s="45" t="s">
        <v>162</v>
      </c>
      <c r="T178" s="45"/>
      <c r="U178" s="51">
        <v>44906</v>
      </c>
      <c r="V178" s="48">
        <f t="shared" si="20"/>
        <v>44906</v>
      </c>
      <c r="W178" s="50">
        <f>V178-U178</f>
        <v>0</v>
      </c>
      <c r="X178" s="261">
        <v>216000</v>
      </c>
      <c r="Y178" s="260">
        <v>216000</v>
      </c>
      <c r="Z178" s="260">
        <v>225000</v>
      </c>
      <c r="AA178" s="35">
        <v>0</v>
      </c>
      <c r="AB178" s="260"/>
      <c r="AC178" s="41"/>
      <c r="AD178" s="42"/>
      <c r="AE178" s="41"/>
      <c r="AF178" s="43"/>
      <c r="AG178" s="40">
        <v>9000</v>
      </c>
      <c r="AH178" s="40"/>
      <c r="AI178" s="44"/>
      <c r="AJ178" s="44"/>
      <c r="AK178" s="40">
        <v>0</v>
      </c>
      <c r="AL178" s="40">
        <v>0</v>
      </c>
      <c r="AM178" s="242">
        <f t="shared" si="21"/>
        <v>44926</v>
      </c>
      <c r="AN178" s="242" t="str">
        <f>IF(AQ178="x","",IF(AQ178="x",AM178,IF(EOMONTH(I178,0)=31,"",EOMONTH(I178,0))))</f>
        <v/>
      </c>
      <c r="AO178" s="79">
        <f>IFERROR(IF(VLOOKUP(C178,C179:C782,1,0)=0,1,0),1)</f>
        <v>1</v>
      </c>
      <c r="AP178" s="79"/>
      <c r="AQ178" s="243" t="str">
        <f t="shared" si="23"/>
        <v/>
      </c>
      <c r="AR178" s="242" t="b">
        <f>IF(AQ178="x",EOMONTH(I178,0))</f>
        <v>0</v>
      </c>
      <c r="AS178" s="79">
        <f t="shared" si="24"/>
        <v>1</v>
      </c>
      <c r="AT178" s="79">
        <f t="shared" si="25"/>
        <v>1</v>
      </c>
      <c r="AU178" s="79" t="str">
        <f t="shared" si="26"/>
        <v>B</v>
      </c>
      <c r="AV178" s="79">
        <f t="shared" si="28"/>
        <v>1</v>
      </c>
      <c r="AW178" s="79" t="str">
        <f>J178&amp;AU178</f>
        <v>4B</v>
      </c>
      <c r="AX178" s="79">
        <f>IF(COUNTIFS(J:J,"Integral",E:E,E178,H:H,"Ativo")=4,1/4,1/10)</f>
        <v>0.1</v>
      </c>
      <c r="AY178" s="79"/>
      <c r="AZ178" s="79"/>
    </row>
    <row r="179" spans="1:52" ht="15.75" customHeight="1">
      <c r="A179" s="31">
        <v>183</v>
      </c>
      <c r="B179" s="399">
        <v>44906</v>
      </c>
      <c r="C179" s="32" t="s">
        <v>709</v>
      </c>
      <c r="D179" s="32" t="s">
        <v>491</v>
      </c>
      <c r="E179" s="32" t="s">
        <v>402</v>
      </c>
      <c r="F179" s="32" t="s">
        <v>710</v>
      </c>
      <c r="G179" s="33" t="s">
        <v>220</v>
      </c>
      <c r="H179" s="33" t="s">
        <v>90</v>
      </c>
      <c r="I179" s="34">
        <v>0</v>
      </c>
      <c r="J179" s="33">
        <v>4</v>
      </c>
      <c r="K179" s="35" t="s">
        <v>237</v>
      </c>
      <c r="L179" s="35" t="s">
        <v>246</v>
      </c>
      <c r="M179" s="67" t="s">
        <v>222</v>
      </c>
      <c r="N179" s="33" t="s">
        <v>68</v>
      </c>
      <c r="O179" s="33" t="s">
        <v>13</v>
      </c>
      <c r="P179" s="33" t="s">
        <v>1</v>
      </c>
      <c r="Q179" s="47"/>
      <c r="R179" s="47"/>
      <c r="S179" s="45" t="s">
        <v>162</v>
      </c>
      <c r="T179" s="45"/>
      <c r="U179" s="51">
        <v>44906</v>
      </c>
      <c r="V179" s="48">
        <f t="shared" si="20"/>
        <v>44906</v>
      </c>
      <c r="W179" s="50">
        <f>V179-U179</f>
        <v>0</v>
      </c>
      <c r="X179" s="261">
        <v>216000</v>
      </c>
      <c r="Y179" s="260">
        <v>216000</v>
      </c>
      <c r="Z179" s="260">
        <v>225000</v>
      </c>
      <c r="AA179" s="35">
        <v>0</v>
      </c>
      <c r="AB179" s="260"/>
      <c r="AC179" s="41"/>
      <c r="AD179" s="42"/>
      <c r="AE179" s="41"/>
      <c r="AF179" s="43"/>
      <c r="AG179" s="40">
        <v>9000</v>
      </c>
      <c r="AH179" s="40"/>
      <c r="AI179" s="44"/>
      <c r="AJ179" s="44"/>
      <c r="AK179" s="40">
        <v>0</v>
      </c>
      <c r="AL179" s="40">
        <v>0</v>
      </c>
      <c r="AM179" s="242">
        <f t="shared" si="21"/>
        <v>44926</v>
      </c>
      <c r="AN179" s="242" t="str">
        <f>IF(AQ179="x","",IF(AQ179="x",AM179,IF(EOMONTH(I179,0)=31,"",EOMONTH(I179,0))))</f>
        <v/>
      </c>
      <c r="AO179" s="79">
        <f>IFERROR(IF(VLOOKUP(C179,C180:C783,1,0)=0,1,0),1)</f>
        <v>1</v>
      </c>
      <c r="AP179" s="79"/>
      <c r="AQ179" s="243" t="str">
        <f t="shared" si="23"/>
        <v/>
      </c>
      <c r="AR179" s="242" t="b">
        <f>IF(AQ179="x",EOMONTH(I179,0))</f>
        <v>0</v>
      </c>
      <c r="AS179" s="79">
        <f t="shared" si="24"/>
        <v>1</v>
      </c>
      <c r="AT179" s="79">
        <f t="shared" si="25"/>
        <v>1</v>
      </c>
      <c r="AU179" s="79" t="str">
        <f t="shared" si="26"/>
        <v>B</v>
      </c>
      <c r="AV179" s="79">
        <f t="shared" si="28"/>
        <v>1</v>
      </c>
      <c r="AW179" s="79" t="str">
        <f>J179&amp;AU179</f>
        <v>4B</v>
      </c>
      <c r="AX179" s="79">
        <f>IF(COUNTIFS(J:J,"Integral",E:E,E179,H:H,"Ativo")=4,1/4,1/10)</f>
        <v>0.1</v>
      </c>
      <c r="AY179" s="79"/>
      <c r="AZ179" s="79"/>
    </row>
    <row r="180" spans="1:52" ht="15.75" customHeight="1">
      <c r="A180" s="31">
        <v>184</v>
      </c>
      <c r="B180" s="399">
        <v>44902</v>
      </c>
      <c r="C180" s="32" t="s">
        <v>613</v>
      </c>
      <c r="D180" s="32" t="s">
        <v>711</v>
      </c>
      <c r="E180" s="32" t="s">
        <v>712</v>
      </c>
      <c r="F180" s="32" t="s">
        <v>713</v>
      </c>
      <c r="G180" s="33" t="s">
        <v>220</v>
      </c>
      <c r="H180" s="33" t="s">
        <v>90</v>
      </c>
      <c r="I180" s="34">
        <v>0</v>
      </c>
      <c r="J180" s="33">
        <v>52</v>
      </c>
      <c r="K180" s="35" t="s">
        <v>394</v>
      </c>
      <c r="L180" s="35" t="s">
        <v>394</v>
      </c>
      <c r="M180" s="67" t="s">
        <v>222</v>
      </c>
      <c r="N180" s="33" t="s">
        <v>68</v>
      </c>
      <c r="O180" s="33" t="s">
        <v>10</v>
      </c>
      <c r="P180" s="33" t="s">
        <v>2</v>
      </c>
      <c r="Q180" s="47"/>
      <c r="R180" s="47"/>
      <c r="S180" s="45" t="s">
        <v>143</v>
      </c>
      <c r="T180" s="45"/>
      <c r="U180" s="47" t="s">
        <v>222</v>
      </c>
      <c r="V180" s="48">
        <f t="shared" si="20"/>
        <v>44902</v>
      </c>
      <c r="W180" s="50"/>
      <c r="X180" s="261">
        <v>200000</v>
      </c>
      <c r="Y180" s="260">
        <v>200000</v>
      </c>
      <c r="Z180" s="260">
        <v>200000</v>
      </c>
      <c r="AA180" s="35">
        <v>0</v>
      </c>
      <c r="AB180" s="260"/>
      <c r="AC180" s="41"/>
      <c r="AD180" s="42"/>
      <c r="AE180" s="41"/>
      <c r="AF180" s="43"/>
      <c r="AG180" s="40">
        <v>0</v>
      </c>
      <c r="AH180" s="40">
        <v>0</v>
      </c>
      <c r="AI180" s="44"/>
      <c r="AJ180" s="44"/>
      <c r="AK180" s="40">
        <v>0</v>
      </c>
      <c r="AL180" s="40">
        <v>0</v>
      </c>
      <c r="AM180" s="242">
        <f t="shared" si="21"/>
        <v>44926</v>
      </c>
      <c r="AN180" s="242" t="str">
        <f>IF(AQ180="x","",IF(AQ180="x",AM180,IF(EOMONTH(I180,0)=31,"",EOMONTH(I180,0))))</f>
        <v/>
      </c>
      <c r="AO180" s="79">
        <f>IFERROR(IF(VLOOKUP(C180,C181:C784,1,0)=0,1,0),1)</f>
        <v>1</v>
      </c>
      <c r="AP180" s="79"/>
      <c r="AQ180" s="243" t="str">
        <f t="shared" si="23"/>
        <v/>
      </c>
      <c r="AR180" s="242" t="b">
        <f>IF(AQ180="x",EOMONTH(I180,0))</f>
        <v>0</v>
      </c>
      <c r="AS180" s="79">
        <f t="shared" si="24"/>
        <v>1</v>
      </c>
      <c r="AT180" s="79">
        <f t="shared" si="25"/>
        <v>1</v>
      </c>
      <c r="AU180" s="79" t="str">
        <f t="shared" si="26"/>
        <v>V</v>
      </c>
      <c r="AV180" s="79">
        <f t="shared" si="28"/>
        <v>1</v>
      </c>
      <c r="AW180" s="79" t="str">
        <f>J180&amp;AU180</f>
        <v>52V</v>
      </c>
      <c r="AX180" s="79">
        <f>IF(COUNTIFS(J:J,"Integral",E:E,E180,H:H,"Ativo")=4,1/4,1/10)</f>
        <v>0.1</v>
      </c>
      <c r="AY180" s="79"/>
      <c r="AZ180" s="79"/>
    </row>
    <row r="181" spans="1:52" ht="15.75" customHeight="1">
      <c r="A181" s="54">
        <v>185</v>
      </c>
      <c r="B181" s="399">
        <v>44910</v>
      </c>
      <c r="C181" s="32" t="s">
        <v>714</v>
      </c>
      <c r="D181" s="32" t="s">
        <v>715</v>
      </c>
      <c r="E181" s="32" t="s">
        <v>716</v>
      </c>
      <c r="F181" s="32" t="s">
        <v>717</v>
      </c>
      <c r="G181" s="33" t="s">
        <v>220</v>
      </c>
      <c r="H181" s="33" t="s">
        <v>90</v>
      </c>
      <c r="I181" s="34">
        <v>0</v>
      </c>
      <c r="J181" s="33">
        <v>6</v>
      </c>
      <c r="K181" s="35" t="s">
        <v>289</v>
      </c>
      <c r="L181" s="35" t="s">
        <v>289</v>
      </c>
      <c r="M181" s="67" t="s">
        <v>222</v>
      </c>
      <c r="N181" s="33" t="s">
        <v>68</v>
      </c>
      <c r="O181" s="33" t="s">
        <v>13</v>
      </c>
      <c r="P181" s="33" t="s">
        <v>2</v>
      </c>
      <c r="Q181" s="47"/>
      <c r="R181" s="47"/>
      <c r="S181" s="45" t="s">
        <v>143</v>
      </c>
      <c r="T181" s="45"/>
      <c r="U181" s="51">
        <v>44909</v>
      </c>
      <c r="V181" s="48">
        <f t="shared" si="20"/>
        <v>44910</v>
      </c>
      <c r="W181" s="50">
        <f>V181-U181</f>
        <v>1</v>
      </c>
      <c r="X181" s="261">
        <v>327000</v>
      </c>
      <c r="Y181" s="260">
        <v>327000</v>
      </c>
      <c r="Z181" s="260">
        <v>350000</v>
      </c>
      <c r="AA181" s="35">
        <v>0</v>
      </c>
      <c r="AB181" s="260"/>
      <c r="AC181" s="41"/>
      <c r="AD181" s="42"/>
      <c r="AE181" s="41"/>
      <c r="AF181" s="43"/>
      <c r="AG181" s="40">
        <v>23000</v>
      </c>
      <c r="AH181" s="40"/>
      <c r="AI181" s="44"/>
      <c r="AJ181" s="44"/>
      <c r="AK181" s="40">
        <v>0</v>
      </c>
      <c r="AL181" s="40">
        <v>0</v>
      </c>
      <c r="AM181" s="242">
        <f t="shared" si="21"/>
        <v>44926</v>
      </c>
      <c r="AN181" s="242" t="str">
        <f>IF(AQ181="x","",IF(AQ181="x",AM181,IF(EOMONTH(I181,0)=31,"",EOMONTH(I181,0))))</f>
        <v/>
      </c>
      <c r="AO181" s="79">
        <f>IFERROR(IF(VLOOKUP(C181,C182:C786,1,0)=0,1,0),1)</f>
        <v>1</v>
      </c>
      <c r="AP181" s="79"/>
      <c r="AQ181" s="243" t="str">
        <f t="shared" si="23"/>
        <v/>
      </c>
      <c r="AR181" s="242" t="b">
        <f>IF(AQ181="x",EOMONTH(I181,0))</f>
        <v>0</v>
      </c>
      <c r="AS181" s="79">
        <f t="shared" si="24"/>
        <v>1</v>
      </c>
      <c r="AT181" s="79">
        <f t="shared" si="25"/>
        <v>1</v>
      </c>
      <c r="AU181" s="79" t="str">
        <f t="shared" si="26"/>
        <v>B</v>
      </c>
      <c r="AV181" s="79">
        <f t="shared" si="28"/>
        <v>1</v>
      </c>
      <c r="AW181" s="79" t="str">
        <f>J181&amp;AU181</f>
        <v>6B</v>
      </c>
      <c r="AX181" s="79">
        <f>IF(COUNTIFS(J:J,"Integral",E:E,E181,H:H,"Ativo")=4,1/4,1/10)</f>
        <v>0.1</v>
      </c>
      <c r="AY181" s="79"/>
      <c r="AZ181" s="79"/>
    </row>
    <row r="182" spans="1:52" ht="15.75" customHeight="1">
      <c r="A182" s="54">
        <v>186</v>
      </c>
      <c r="B182" s="399">
        <v>44911</v>
      </c>
      <c r="C182" s="32" t="s">
        <v>718</v>
      </c>
      <c r="D182" s="32" t="s">
        <v>719</v>
      </c>
      <c r="E182" s="32" t="s">
        <v>716</v>
      </c>
      <c r="F182" s="32" t="s">
        <v>720</v>
      </c>
      <c r="G182" s="33" t="s">
        <v>220</v>
      </c>
      <c r="H182" s="33" t="s">
        <v>90</v>
      </c>
      <c r="I182" s="34">
        <v>0</v>
      </c>
      <c r="J182" s="33">
        <v>6</v>
      </c>
      <c r="K182" s="35" t="s">
        <v>237</v>
      </c>
      <c r="L182" s="35" t="s">
        <v>274</v>
      </c>
      <c r="M182" s="67" t="s">
        <v>222</v>
      </c>
      <c r="N182" s="33" t="s">
        <v>68</v>
      </c>
      <c r="O182" s="33" t="s">
        <v>13</v>
      </c>
      <c r="P182" s="33" t="s">
        <v>1</v>
      </c>
      <c r="Q182" s="47"/>
      <c r="R182" s="47"/>
      <c r="S182" s="45" t="s">
        <v>144</v>
      </c>
      <c r="T182" s="45"/>
      <c r="U182" s="51">
        <v>44909</v>
      </c>
      <c r="V182" s="48">
        <f t="shared" si="20"/>
        <v>44911</v>
      </c>
      <c r="W182" s="50">
        <f>V182-U182</f>
        <v>2</v>
      </c>
      <c r="X182" s="261">
        <v>327000</v>
      </c>
      <c r="Y182" s="260">
        <v>327000</v>
      </c>
      <c r="Z182" s="260">
        <v>350000</v>
      </c>
      <c r="AA182" s="35">
        <v>0</v>
      </c>
      <c r="AB182" s="260"/>
      <c r="AC182" s="41"/>
      <c r="AD182" s="42"/>
      <c r="AE182" s="41"/>
      <c r="AF182" s="43"/>
      <c r="AG182" s="40">
        <v>23000</v>
      </c>
      <c r="AH182" s="40"/>
      <c r="AI182" s="44"/>
      <c r="AJ182" s="44"/>
      <c r="AK182" s="40">
        <v>0</v>
      </c>
      <c r="AL182" s="40">
        <v>0</v>
      </c>
      <c r="AM182" s="242">
        <f t="shared" si="21"/>
        <v>44926</v>
      </c>
      <c r="AN182" s="242" t="str">
        <f>IF(AQ182="x","",IF(AQ182="x",AM182,IF(EOMONTH(I182,0)=31,"",EOMONTH(I182,0))))</f>
        <v/>
      </c>
      <c r="AO182" s="79">
        <f>IFERROR(IF(VLOOKUP(C182,C183:C786,1,0)=0,1,0),1)</f>
        <v>1</v>
      </c>
      <c r="AP182" s="79"/>
      <c r="AQ182" s="243" t="str">
        <f t="shared" si="23"/>
        <v/>
      </c>
      <c r="AR182" s="242" t="b">
        <f>IF(AQ182="x",EOMONTH(I182,0))</f>
        <v>0</v>
      </c>
      <c r="AS182" s="79">
        <f t="shared" si="24"/>
        <v>1</v>
      </c>
      <c r="AT182" s="79">
        <f t="shared" si="25"/>
        <v>1</v>
      </c>
      <c r="AU182" s="79" t="str">
        <f t="shared" si="26"/>
        <v>B</v>
      </c>
      <c r="AV182" s="79">
        <f t="shared" si="28"/>
        <v>1</v>
      </c>
      <c r="AW182" s="79" t="str">
        <f>J182&amp;AU182</f>
        <v>6B</v>
      </c>
      <c r="AX182" s="79">
        <f>IF(COUNTIFS(J:J,"Integral",E:E,E182,H:H,"Ativo")=4,1/4,1/10)</f>
        <v>0.1</v>
      </c>
      <c r="AY182" s="79"/>
      <c r="AZ182" s="79"/>
    </row>
    <row r="183" spans="1:52" ht="15.75" customHeight="1">
      <c r="A183" s="54">
        <v>187</v>
      </c>
      <c r="B183" s="399">
        <v>44912</v>
      </c>
      <c r="C183" s="32" t="s">
        <v>721</v>
      </c>
      <c r="D183" s="32" t="s">
        <v>722</v>
      </c>
      <c r="E183" s="32" t="s">
        <v>716</v>
      </c>
      <c r="F183" s="32" t="s">
        <v>723</v>
      </c>
      <c r="G183" s="33" t="s">
        <v>220</v>
      </c>
      <c r="H183" s="33" t="s">
        <v>244</v>
      </c>
      <c r="I183" s="34">
        <v>44949</v>
      </c>
      <c r="J183" s="33">
        <v>6</v>
      </c>
      <c r="K183" s="35" t="s">
        <v>425</v>
      </c>
      <c r="L183" s="35" t="s">
        <v>425</v>
      </c>
      <c r="M183" s="67" t="s">
        <v>222</v>
      </c>
      <c r="N183" s="33" t="s">
        <v>68</v>
      </c>
      <c r="O183" s="33" t="s">
        <v>13</v>
      </c>
      <c r="P183" s="33" t="s">
        <v>1</v>
      </c>
      <c r="Q183" s="47"/>
      <c r="R183" s="47"/>
      <c r="S183" s="45" t="s">
        <v>222</v>
      </c>
      <c r="T183" s="45"/>
      <c r="U183" s="51">
        <v>44912</v>
      </c>
      <c r="V183" s="48">
        <f t="shared" si="20"/>
        <v>44912</v>
      </c>
      <c r="W183" s="50">
        <f>V183-U183</f>
        <v>0</v>
      </c>
      <c r="X183" s="265">
        <v>0</v>
      </c>
      <c r="Y183" s="67">
        <v>0</v>
      </c>
      <c r="Z183" s="67">
        <v>348538</v>
      </c>
      <c r="AA183" s="35">
        <v>0</v>
      </c>
      <c r="AB183" s="67"/>
      <c r="AC183" s="40"/>
      <c r="AD183" s="42"/>
      <c r="AE183" s="41">
        <v>0</v>
      </c>
      <c r="AF183" s="43">
        <v>0</v>
      </c>
      <c r="AG183" s="40">
        <v>0</v>
      </c>
      <c r="AH183" s="40"/>
      <c r="AI183" s="44"/>
      <c r="AJ183" s="44"/>
      <c r="AK183" s="40">
        <v>0</v>
      </c>
      <c r="AL183" s="40"/>
      <c r="AM183" s="242">
        <f t="shared" si="21"/>
        <v>44926</v>
      </c>
      <c r="AN183" s="242">
        <f>IF(AQ183="x","",IF(AQ183="x",AM183,IF(EOMONTH(I183,0)=31,"",EOMONTH(I183,0))))</f>
        <v>44957</v>
      </c>
      <c r="AO183" s="79">
        <f>IFERROR(IF(VLOOKUP(C183,C184:C787,1,0)=0,1,0),1)</f>
        <v>1</v>
      </c>
      <c r="AP183" s="79"/>
      <c r="AQ183" s="243" t="str">
        <f t="shared" si="23"/>
        <v/>
      </c>
      <c r="AR183" s="242" t="b">
        <f>IF(AQ183="x",EOMONTH(I183,0))</f>
        <v>0</v>
      </c>
      <c r="AS183" s="79">
        <f t="shared" si="24"/>
        <v>1</v>
      </c>
      <c r="AT183" s="79">
        <f t="shared" si="25"/>
        <v>1</v>
      </c>
      <c r="AU183" s="79" t="str">
        <f t="shared" si="26"/>
        <v>B</v>
      </c>
      <c r="AV183" s="79">
        <f t="shared" si="28"/>
        <v>1</v>
      </c>
      <c r="AW183" s="79" t="str">
        <f>J183&amp;AU183</f>
        <v>6B</v>
      </c>
      <c r="AX183" s="79">
        <f>IF(COUNTIFS(J:J,"Integral",E:E,E183,H:H,"Ativo")=4,1/4,1/10)</f>
        <v>0.1</v>
      </c>
      <c r="AY183" s="79"/>
      <c r="AZ183" s="79"/>
    </row>
    <row r="184" spans="1:52" ht="15.75" customHeight="1">
      <c r="A184" s="54">
        <v>188</v>
      </c>
      <c r="B184" s="399">
        <v>44913</v>
      </c>
      <c r="C184" s="32" t="s">
        <v>724</v>
      </c>
      <c r="D184" s="32" t="s">
        <v>725</v>
      </c>
      <c r="E184" s="32" t="s">
        <v>716</v>
      </c>
      <c r="F184" s="32" t="s">
        <v>726</v>
      </c>
      <c r="G184" s="33" t="s">
        <v>220</v>
      </c>
      <c r="H184" s="33" t="s">
        <v>90</v>
      </c>
      <c r="I184" s="34">
        <v>0</v>
      </c>
      <c r="J184" s="33">
        <v>4</v>
      </c>
      <c r="K184" s="35" t="s">
        <v>378</v>
      </c>
      <c r="L184" s="35" t="s">
        <v>246</v>
      </c>
      <c r="M184" s="67" t="s">
        <v>222</v>
      </c>
      <c r="N184" s="33" t="s">
        <v>68</v>
      </c>
      <c r="O184" s="33" t="s">
        <v>13</v>
      </c>
      <c r="P184" s="33" t="s">
        <v>1</v>
      </c>
      <c r="Q184" s="47"/>
      <c r="R184" s="47"/>
      <c r="S184" s="45" t="s">
        <v>143</v>
      </c>
      <c r="T184" s="45"/>
      <c r="U184" s="381">
        <v>44621</v>
      </c>
      <c r="V184" s="48">
        <f t="shared" si="20"/>
        <v>44913</v>
      </c>
      <c r="W184" s="50">
        <f>V184-U184</f>
        <v>292</v>
      </c>
      <c r="X184" s="261">
        <v>216000</v>
      </c>
      <c r="Y184" s="260">
        <v>216000</v>
      </c>
      <c r="Z184" s="260">
        <v>232207</v>
      </c>
      <c r="AA184" s="35">
        <v>0</v>
      </c>
      <c r="AB184" s="260"/>
      <c r="AC184" s="41"/>
      <c r="AD184" s="42"/>
      <c r="AE184" s="41"/>
      <c r="AF184" s="43"/>
      <c r="AG184" s="40">
        <v>16207</v>
      </c>
      <c r="AH184" s="40"/>
      <c r="AI184" s="44"/>
      <c r="AJ184" s="44"/>
      <c r="AK184" s="40">
        <v>0</v>
      </c>
      <c r="AL184" s="40">
        <v>0</v>
      </c>
      <c r="AM184" s="242">
        <f t="shared" si="21"/>
        <v>44926</v>
      </c>
      <c r="AN184" s="242" t="str">
        <f>IF(AQ184="x","",IF(AQ184="x",AM184,IF(EOMONTH(I184,0)=31,"",EOMONTH(I184,0))))</f>
        <v/>
      </c>
      <c r="AO184" s="79">
        <f>IFERROR(IF(VLOOKUP(C184,C185:C789,1,0)=0,1,0),1)</f>
        <v>0</v>
      </c>
      <c r="AP184" s="79"/>
      <c r="AQ184" s="243" t="str">
        <f t="shared" si="23"/>
        <v/>
      </c>
      <c r="AR184" s="242" t="b">
        <f>IF(AQ184="x",EOMONTH(I184,0))</f>
        <v>0</v>
      </c>
      <c r="AS184" s="79">
        <f t="shared" si="24"/>
        <v>1</v>
      </c>
      <c r="AT184" s="79">
        <f t="shared" si="25"/>
        <v>1</v>
      </c>
      <c r="AU184" s="79" t="str">
        <f t="shared" si="26"/>
        <v>B</v>
      </c>
      <c r="AV184" s="79">
        <f t="shared" si="28"/>
        <v>1</v>
      </c>
      <c r="AW184" s="79" t="str">
        <f>J184&amp;AU184</f>
        <v>4B</v>
      </c>
      <c r="AX184" s="79">
        <f>IF(COUNTIFS(J:J,"Integral",E:E,E184,H:H,"Ativo")=4,1/4,1/10)</f>
        <v>0.1</v>
      </c>
      <c r="AY184" s="79"/>
      <c r="AZ184" s="79"/>
    </row>
    <row r="185" spans="1:52" ht="15.75" customHeight="1">
      <c r="A185" s="54">
        <v>189</v>
      </c>
      <c r="B185" s="399">
        <v>44913</v>
      </c>
      <c r="C185" s="32" t="s">
        <v>724</v>
      </c>
      <c r="D185" s="32" t="s">
        <v>727</v>
      </c>
      <c r="E185" s="32" t="s">
        <v>716</v>
      </c>
      <c r="F185" s="32" t="s">
        <v>728</v>
      </c>
      <c r="G185" s="33" t="s">
        <v>220</v>
      </c>
      <c r="H185" s="33" t="s">
        <v>90</v>
      </c>
      <c r="I185" s="34">
        <v>0</v>
      </c>
      <c r="J185" s="33">
        <v>4</v>
      </c>
      <c r="K185" s="35" t="s">
        <v>378</v>
      </c>
      <c r="L185" s="35" t="s">
        <v>246</v>
      </c>
      <c r="M185" s="67" t="s">
        <v>222</v>
      </c>
      <c r="N185" s="33" t="s">
        <v>68</v>
      </c>
      <c r="O185" s="33" t="s">
        <v>13</v>
      </c>
      <c r="P185" s="33" t="s">
        <v>1</v>
      </c>
      <c r="Q185" s="47"/>
      <c r="R185" s="47"/>
      <c r="S185" s="45" t="s">
        <v>143</v>
      </c>
      <c r="T185" s="45"/>
      <c r="U185" s="381">
        <v>44621</v>
      </c>
      <c r="V185" s="48">
        <f t="shared" si="20"/>
        <v>44913</v>
      </c>
      <c r="W185" s="50">
        <f>V185-U185</f>
        <v>292</v>
      </c>
      <c r="X185" s="261">
        <v>216000</v>
      </c>
      <c r="Y185" s="260">
        <v>216000</v>
      </c>
      <c r="Z185" s="260">
        <v>232207</v>
      </c>
      <c r="AA185" s="35">
        <v>0</v>
      </c>
      <c r="AB185" s="260"/>
      <c r="AC185" s="41"/>
      <c r="AD185" s="42"/>
      <c r="AE185" s="41"/>
      <c r="AF185" s="43"/>
      <c r="AG185" s="40">
        <v>16207</v>
      </c>
      <c r="AH185" s="40"/>
      <c r="AI185" s="44"/>
      <c r="AJ185" s="44"/>
      <c r="AK185" s="40">
        <v>0</v>
      </c>
      <c r="AL185" s="40">
        <v>0</v>
      </c>
      <c r="AM185" s="242">
        <f t="shared" si="21"/>
        <v>44926</v>
      </c>
      <c r="AN185" s="242" t="str">
        <f>IF(AQ185="x","",IF(AQ185="x",AM185,IF(EOMONTH(I185,0)=31,"",EOMONTH(I185,0))))</f>
        <v/>
      </c>
      <c r="AO185" s="79">
        <f>IFERROR(IF(VLOOKUP(C185,C186:C790,1,0)=0,1,0),1)</f>
        <v>1</v>
      </c>
      <c r="AP185" s="79"/>
      <c r="AQ185" s="243" t="str">
        <f t="shared" si="23"/>
        <v/>
      </c>
      <c r="AR185" s="242" t="b">
        <f>IF(AQ185="x",EOMONTH(I185,0))</f>
        <v>0</v>
      </c>
      <c r="AS185" s="79">
        <f t="shared" si="24"/>
        <v>1</v>
      </c>
      <c r="AT185" s="79">
        <f t="shared" si="25"/>
        <v>1</v>
      </c>
      <c r="AU185" s="79" t="str">
        <f t="shared" si="26"/>
        <v>B</v>
      </c>
      <c r="AV185" s="79">
        <f t="shared" si="28"/>
        <v>1</v>
      </c>
      <c r="AW185" s="79" t="str">
        <f>J185&amp;AU185</f>
        <v>4B</v>
      </c>
      <c r="AX185" s="79">
        <f>IF(COUNTIFS(J:J,"Integral",E:E,E185,H:H,"Ativo")=4,1/4,1/10)</f>
        <v>0.1</v>
      </c>
      <c r="AY185" s="79"/>
      <c r="AZ185" s="79"/>
    </row>
    <row r="186" spans="1:52" ht="15.75" customHeight="1">
      <c r="A186" s="54">
        <v>190</v>
      </c>
      <c r="B186" s="399">
        <v>44915</v>
      </c>
      <c r="C186" s="32" t="s">
        <v>729</v>
      </c>
      <c r="D186" s="32" t="s">
        <v>730</v>
      </c>
      <c r="E186" s="32" t="s">
        <v>700</v>
      </c>
      <c r="F186" s="32" t="s">
        <v>731</v>
      </c>
      <c r="G186" s="33" t="s">
        <v>220</v>
      </c>
      <c r="H186" s="33" t="s">
        <v>90</v>
      </c>
      <c r="I186" s="34">
        <v>0</v>
      </c>
      <c r="J186" s="33">
        <v>4</v>
      </c>
      <c r="K186" s="35" t="s">
        <v>394</v>
      </c>
      <c r="L186" s="35" t="s">
        <v>394</v>
      </c>
      <c r="M186" s="67" t="s">
        <v>222</v>
      </c>
      <c r="N186" s="33" t="s">
        <v>68</v>
      </c>
      <c r="O186" s="33" t="s">
        <v>13</v>
      </c>
      <c r="P186" s="33" t="s">
        <v>1</v>
      </c>
      <c r="Q186" s="47"/>
      <c r="R186" s="47"/>
      <c r="S186" s="45" t="s">
        <v>143</v>
      </c>
      <c r="T186" s="45"/>
      <c r="U186" s="47" t="s">
        <v>222</v>
      </c>
      <c r="V186" s="48">
        <f t="shared" si="20"/>
        <v>44915</v>
      </c>
      <c r="W186" s="50"/>
      <c r="X186" s="261">
        <v>234000</v>
      </c>
      <c r="Y186" s="260">
        <v>234000</v>
      </c>
      <c r="Z186" s="260">
        <v>235000</v>
      </c>
      <c r="AA186" s="35">
        <v>0</v>
      </c>
      <c r="AB186" s="260"/>
      <c r="AC186" s="41"/>
      <c r="AD186" s="42"/>
      <c r="AE186" s="41"/>
      <c r="AF186" s="43"/>
      <c r="AG186" s="40">
        <v>1000</v>
      </c>
      <c r="AH186" s="40"/>
      <c r="AI186" s="44"/>
      <c r="AJ186" s="44"/>
      <c r="AK186" s="40">
        <v>0</v>
      </c>
      <c r="AL186" s="40">
        <v>0</v>
      </c>
      <c r="AM186" s="242">
        <f t="shared" si="21"/>
        <v>44926</v>
      </c>
      <c r="AN186" s="242" t="str">
        <f>IF(AQ186="x","",IF(AQ186="x",AM186,IF(EOMONTH(I186,0)=31,"",EOMONTH(I186,0))))</f>
        <v/>
      </c>
      <c r="AO186" s="79">
        <f>IFERROR(IF(VLOOKUP(C186,C187:C790,1,0)=0,1,0),1)</f>
        <v>0</v>
      </c>
      <c r="AP186" s="79"/>
      <c r="AQ186" s="243" t="str">
        <f t="shared" si="23"/>
        <v/>
      </c>
      <c r="AR186" s="242" t="b">
        <f>IF(AQ186="x",EOMONTH(I186,0))</f>
        <v>0</v>
      </c>
      <c r="AS186" s="79">
        <f t="shared" si="24"/>
        <v>1</v>
      </c>
      <c r="AT186" s="79">
        <f t="shared" si="25"/>
        <v>1</v>
      </c>
      <c r="AU186" s="79" t="str">
        <f t="shared" si="26"/>
        <v>B</v>
      </c>
      <c r="AV186" s="79">
        <f t="shared" si="28"/>
        <v>1</v>
      </c>
      <c r="AW186" s="79" t="str">
        <f>J186&amp;AU186</f>
        <v>4B</v>
      </c>
      <c r="AX186" s="79">
        <f>IF(COUNTIFS(J:J,"Integral",E:E,E186,H:H,"Ativo")=4,1/4,1/10)</f>
        <v>0.1</v>
      </c>
      <c r="AY186" s="79"/>
      <c r="AZ186" s="79"/>
    </row>
    <row r="187" spans="1:52" ht="15.75" customHeight="1">
      <c r="A187" s="54">
        <v>191</v>
      </c>
      <c r="B187" s="399">
        <v>44915</v>
      </c>
      <c r="C187" s="32" t="s">
        <v>729</v>
      </c>
      <c r="D187" s="32" t="s">
        <v>732</v>
      </c>
      <c r="E187" s="32" t="s">
        <v>700</v>
      </c>
      <c r="F187" s="32" t="s">
        <v>733</v>
      </c>
      <c r="G187" s="33" t="s">
        <v>220</v>
      </c>
      <c r="H187" s="33" t="s">
        <v>90</v>
      </c>
      <c r="I187" s="34">
        <v>0</v>
      </c>
      <c r="J187" s="33">
        <v>4</v>
      </c>
      <c r="K187" s="35" t="s">
        <v>394</v>
      </c>
      <c r="L187" s="35" t="s">
        <v>394</v>
      </c>
      <c r="M187" s="67" t="s">
        <v>222</v>
      </c>
      <c r="N187" s="33" t="s">
        <v>68</v>
      </c>
      <c r="O187" s="33" t="s">
        <v>13</v>
      </c>
      <c r="P187" s="33" t="s">
        <v>2</v>
      </c>
      <c r="Q187" s="47"/>
      <c r="R187" s="47"/>
      <c r="S187" s="45" t="s">
        <v>143</v>
      </c>
      <c r="T187" s="45"/>
      <c r="U187" s="51">
        <v>44915</v>
      </c>
      <c r="V187" s="48">
        <f t="shared" si="20"/>
        <v>44915</v>
      </c>
      <c r="W187" s="50">
        <f>V187-U187</f>
        <v>0</v>
      </c>
      <c r="X187" s="261">
        <v>234000</v>
      </c>
      <c r="Y187" s="260">
        <v>234000</v>
      </c>
      <c r="Z187" s="260">
        <v>235000</v>
      </c>
      <c r="AA187" s="35">
        <v>0</v>
      </c>
      <c r="AB187" s="260"/>
      <c r="AC187" s="41"/>
      <c r="AD187" s="42"/>
      <c r="AE187" s="41"/>
      <c r="AF187" s="43"/>
      <c r="AG187" s="40">
        <v>1000</v>
      </c>
      <c r="AH187" s="40"/>
      <c r="AI187" s="44"/>
      <c r="AJ187" s="44"/>
      <c r="AK187" s="40">
        <v>0</v>
      </c>
      <c r="AL187" s="40">
        <v>0</v>
      </c>
      <c r="AM187" s="242">
        <f t="shared" si="21"/>
        <v>44926</v>
      </c>
      <c r="AN187" s="242" t="str">
        <f>IF(AQ187="x","",IF(AQ187="x",AM187,IF(EOMONTH(I187,0)=31,"",EOMONTH(I187,0))))</f>
        <v/>
      </c>
      <c r="AO187" s="79">
        <f>IFERROR(IF(VLOOKUP(C187,C188:C791,1,0)=0,1,0),1)</f>
        <v>1</v>
      </c>
      <c r="AP187" s="79"/>
      <c r="AQ187" s="243" t="str">
        <f t="shared" si="23"/>
        <v/>
      </c>
      <c r="AR187" s="242" t="b">
        <f>IF(AQ187="x",EOMONTH(I187,0))</f>
        <v>0</v>
      </c>
      <c r="AS187" s="79">
        <f t="shared" si="24"/>
        <v>1</v>
      </c>
      <c r="AT187" s="79">
        <f t="shared" si="25"/>
        <v>1</v>
      </c>
      <c r="AU187" s="79" t="str">
        <f t="shared" si="26"/>
        <v>B</v>
      </c>
      <c r="AV187" s="79">
        <f t="shared" si="28"/>
        <v>1</v>
      </c>
      <c r="AW187" s="79" t="str">
        <f>J187&amp;AU187</f>
        <v>4B</v>
      </c>
      <c r="AX187" s="79">
        <f>IF(COUNTIFS(J:J,"Integral",E:E,E187,H:H,"Ativo")=4,1/4,1/10)</f>
        <v>0.1</v>
      </c>
      <c r="AY187" s="79"/>
      <c r="AZ187" s="79"/>
    </row>
    <row r="188" spans="1:52" ht="15.75" customHeight="1">
      <c r="A188" s="54">
        <v>192</v>
      </c>
      <c r="B188" s="399">
        <v>44917</v>
      </c>
      <c r="C188" s="32" t="s">
        <v>734</v>
      </c>
      <c r="D188" s="32" t="s">
        <v>735</v>
      </c>
      <c r="E188" s="32" t="s">
        <v>716</v>
      </c>
      <c r="F188" s="32" t="s">
        <v>736</v>
      </c>
      <c r="G188" s="33" t="s">
        <v>243</v>
      </c>
      <c r="H188" s="33" t="s">
        <v>244</v>
      </c>
      <c r="I188" s="34">
        <v>44922</v>
      </c>
      <c r="J188" s="33">
        <v>4</v>
      </c>
      <c r="K188" s="35" t="s">
        <v>425</v>
      </c>
      <c r="L188" s="35" t="s">
        <v>425</v>
      </c>
      <c r="M188" s="67" t="s">
        <v>222</v>
      </c>
      <c r="N188" s="33" t="s">
        <v>68</v>
      </c>
      <c r="O188" s="33" t="s">
        <v>10</v>
      </c>
      <c r="P188" s="33" t="s">
        <v>1</v>
      </c>
      <c r="Q188" s="47"/>
      <c r="R188" s="47"/>
      <c r="S188" s="45" t="s">
        <v>222</v>
      </c>
      <c r="T188" s="45"/>
      <c r="U188" s="51">
        <v>44917</v>
      </c>
      <c r="V188" s="48">
        <f t="shared" si="20"/>
        <v>44917</v>
      </c>
      <c r="W188" s="50">
        <f>V188-U188</f>
        <v>0</v>
      </c>
      <c r="X188" s="265">
        <v>0</v>
      </c>
      <c r="Y188" s="67">
        <v>0</v>
      </c>
      <c r="Z188" s="67">
        <v>200000</v>
      </c>
      <c r="AA188" s="35">
        <v>0</v>
      </c>
      <c r="AB188" s="67"/>
      <c r="AC188" s="40"/>
      <c r="AD188" s="42"/>
      <c r="AE188" s="41">
        <v>0</v>
      </c>
      <c r="AF188" s="43">
        <v>0</v>
      </c>
      <c r="AG188" s="40">
        <v>0</v>
      </c>
      <c r="AH188" s="40"/>
      <c r="AI188" s="44"/>
      <c r="AJ188" s="44"/>
      <c r="AK188" s="40">
        <v>0</v>
      </c>
      <c r="AL188" s="40"/>
      <c r="AM188" s="242">
        <f t="shared" si="21"/>
        <v>44926</v>
      </c>
      <c r="AN188" s="242" t="str">
        <f>IF(AQ188="x","",IF(AQ188="x",AM188,IF(EOMONTH(I188,0)=31,"",EOMONTH(I188,0))))</f>
        <v/>
      </c>
      <c r="AO188" s="79">
        <f>IFERROR(IF(VLOOKUP(C188,C189:C792,1,0)=0,1,0),1)</f>
        <v>0</v>
      </c>
      <c r="AP188" s="79"/>
      <c r="AQ188" s="243" t="str">
        <f t="shared" si="23"/>
        <v>x</v>
      </c>
      <c r="AR188" s="242">
        <f>IF(AQ188="x",EOMONTH(I188,0))</f>
        <v>44926</v>
      </c>
      <c r="AS188" s="79">
        <f t="shared" si="24"/>
        <v>1</v>
      </c>
      <c r="AT188" s="79">
        <f t="shared" si="25"/>
        <v>1</v>
      </c>
      <c r="AU188" s="79" t="str">
        <f t="shared" si="26"/>
        <v>B</v>
      </c>
      <c r="AV188" s="79">
        <f t="shared" si="28"/>
        <v>1</v>
      </c>
      <c r="AW188" s="79" t="str">
        <f>J188&amp;AU188</f>
        <v>4B</v>
      </c>
      <c r="AX188" s="79">
        <f>IF(COUNTIFS(J:J,"Integral",E:E,E188,H:H,"Ativo")=4,1/4,1/10)</f>
        <v>0.1</v>
      </c>
      <c r="AY188" s="79"/>
      <c r="AZ188" s="79"/>
    </row>
    <row r="189" spans="1:52" ht="15.75" customHeight="1">
      <c r="A189" s="54">
        <v>193</v>
      </c>
      <c r="B189" s="399">
        <v>44917</v>
      </c>
      <c r="C189" s="32" t="s">
        <v>734</v>
      </c>
      <c r="D189" s="32" t="s">
        <v>737</v>
      </c>
      <c r="E189" s="32" t="s">
        <v>716</v>
      </c>
      <c r="F189" s="32" t="s">
        <v>738</v>
      </c>
      <c r="G189" s="33" t="s">
        <v>243</v>
      </c>
      <c r="H189" s="33" t="s">
        <v>244</v>
      </c>
      <c r="I189" s="34">
        <v>44922</v>
      </c>
      <c r="J189" s="33">
        <v>4</v>
      </c>
      <c r="K189" s="35" t="s">
        <v>425</v>
      </c>
      <c r="L189" s="35" t="s">
        <v>425</v>
      </c>
      <c r="M189" s="67" t="s">
        <v>222</v>
      </c>
      <c r="N189" s="33" t="s">
        <v>68</v>
      </c>
      <c r="O189" s="33" t="s">
        <v>10</v>
      </c>
      <c r="P189" s="33" t="s">
        <v>1</v>
      </c>
      <c r="Q189" s="47"/>
      <c r="R189" s="47"/>
      <c r="S189" s="45" t="s">
        <v>222</v>
      </c>
      <c r="T189" s="45"/>
      <c r="U189" s="51">
        <v>44917</v>
      </c>
      <c r="V189" s="48">
        <f t="shared" si="20"/>
        <v>44917</v>
      </c>
      <c r="W189" s="50">
        <f>V189-U189</f>
        <v>0</v>
      </c>
      <c r="X189" s="265">
        <v>0</v>
      </c>
      <c r="Y189" s="67">
        <v>0</v>
      </c>
      <c r="Z189" s="67">
        <v>200000</v>
      </c>
      <c r="AA189" s="35">
        <v>0</v>
      </c>
      <c r="AB189" s="67"/>
      <c r="AC189" s="40"/>
      <c r="AD189" s="42"/>
      <c r="AE189" s="41">
        <v>0</v>
      </c>
      <c r="AF189" s="43">
        <v>0</v>
      </c>
      <c r="AG189" s="40">
        <v>0</v>
      </c>
      <c r="AH189" s="40"/>
      <c r="AI189" s="44"/>
      <c r="AJ189" s="44"/>
      <c r="AK189" s="40">
        <v>0</v>
      </c>
      <c r="AL189" s="40"/>
      <c r="AM189" s="242">
        <f t="shared" si="21"/>
        <v>44926</v>
      </c>
      <c r="AN189" s="242" t="str">
        <f>IF(AQ189="x","",IF(AQ189="x",AM189,IF(EOMONTH(I189,0)=31,"",EOMONTH(I189,0))))</f>
        <v/>
      </c>
      <c r="AO189" s="79">
        <f>IFERROR(IF(VLOOKUP(C189,C190:C793,1,0)=0,1,0),1)</f>
        <v>1</v>
      </c>
      <c r="AP189" s="79"/>
      <c r="AQ189" s="243" t="str">
        <f t="shared" si="23"/>
        <v>x</v>
      </c>
      <c r="AR189" s="242">
        <f>IF(AQ189="x",EOMONTH(I189,0))</f>
        <v>44926</v>
      </c>
      <c r="AS189" s="79">
        <f t="shared" si="24"/>
        <v>1</v>
      </c>
      <c r="AT189" s="79">
        <f t="shared" si="25"/>
        <v>1</v>
      </c>
      <c r="AU189" s="79" t="str">
        <f t="shared" si="26"/>
        <v>B</v>
      </c>
      <c r="AV189" s="79">
        <f t="shared" si="28"/>
        <v>1</v>
      </c>
      <c r="AW189" s="79" t="str">
        <f>J189&amp;AU189</f>
        <v>4B</v>
      </c>
      <c r="AX189" s="79">
        <f>IF(COUNTIFS(J:J,"Integral",E:E,E189,H:H,"Ativo")=4,1/4,1/10)</f>
        <v>0.1</v>
      </c>
      <c r="AY189" s="79"/>
      <c r="AZ189" s="79"/>
    </row>
    <row r="190" spans="1:52" ht="15.75" customHeight="1">
      <c r="A190" s="54">
        <v>194</v>
      </c>
      <c r="B190" s="399">
        <v>44918</v>
      </c>
      <c r="C190" s="32" t="s">
        <v>739</v>
      </c>
      <c r="D190" s="32" t="s">
        <v>740</v>
      </c>
      <c r="E190" s="32" t="s">
        <v>716</v>
      </c>
      <c r="F190" s="32" t="s">
        <v>741</v>
      </c>
      <c r="G190" s="33" t="s">
        <v>220</v>
      </c>
      <c r="H190" s="33" t="s">
        <v>244</v>
      </c>
      <c r="I190" s="34">
        <v>45440</v>
      </c>
      <c r="J190" s="33">
        <v>6</v>
      </c>
      <c r="K190" s="35" t="s">
        <v>612</v>
      </c>
      <c r="L190" s="35" t="s">
        <v>290</v>
      </c>
      <c r="M190" s="67" t="s">
        <v>222</v>
      </c>
      <c r="N190" s="33" t="s">
        <v>68</v>
      </c>
      <c r="O190" s="33" t="s">
        <v>13</v>
      </c>
      <c r="P190" s="33" t="s">
        <v>1</v>
      </c>
      <c r="Q190" s="47"/>
      <c r="R190" s="47"/>
      <c r="S190" s="45" t="s">
        <v>147</v>
      </c>
      <c r="T190" s="45"/>
      <c r="U190" s="51">
        <v>44918</v>
      </c>
      <c r="V190" s="48">
        <f t="shared" si="20"/>
        <v>44918</v>
      </c>
      <c r="W190" s="50">
        <f>V190-U190</f>
        <v>0</v>
      </c>
      <c r="X190" s="261">
        <v>327000</v>
      </c>
      <c r="Y190" s="260">
        <v>327000</v>
      </c>
      <c r="Z190" s="260">
        <v>300000</v>
      </c>
      <c r="AA190" s="35">
        <v>0</v>
      </c>
      <c r="AB190" s="260"/>
      <c r="AC190" s="41"/>
      <c r="AD190" s="42">
        <v>0.13389999999999999</v>
      </c>
      <c r="AE190" s="41"/>
      <c r="AF190" s="43">
        <v>0.13389999999999999</v>
      </c>
      <c r="AG190" s="40">
        <v>0</v>
      </c>
      <c r="AH190" s="40">
        <v>27000</v>
      </c>
      <c r="AI190" s="44">
        <v>8.2568807339449546E-2</v>
      </c>
      <c r="AJ190" s="44"/>
      <c r="AK190" s="40">
        <v>27000</v>
      </c>
      <c r="AL190" s="40">
        <v>0</v>
      </c>
      <c r="AM190" s="242">
        <f t="shared" si="21"/>
        <v>44926</v>
      </c>
      <c r="AN190" s="242">
        <f>IF(AQ190="x","",IF(AQ190="x",AM190,IF(EOMONTH(I190,0)=31,"",EOMONTH(I190,0))))</f>
        <v>45443</v>
      </c>
      <c r="AO190" s="79">
        <f>IFERROR(IF(VLOOKUP(C190,C191:C794,1,0)=0,1,0),1)</f>
        <v>0</v>
      </c>
      <c r="AP190" s="79"/>
      <c r="AQ190" s="243" t="str">
        <f t="shared" si="23"/>
        <v/>
      </c>
      <c r="AR190" s="242" t="b">
        <f>IF(AQ190="x",EOMONTH(I190,0))</f>
        <v>0</v>
      </c>
      <c r="AS190" s="79">
        <f t="shared" si="24"/>
        <v>1</v>
      </c>
      <c r="AT190" s="79">
        <f t="shared" si="25"/>
        <v>1</v>
      </c>
      <c r="AU190" s="79" t="str">
        <f t="shared" si="26"/>
        <v>B</v>
      </c>
      <c r="AV190" s="79">
        <f t="shared" si="28"/>
        <v>1</v>
      </c>
      <c r="AW190" s="79" t="str">
        <f>J190&amp;AU190</f>
        <v>6B</v>
      </c>
      <c r="AX190" s="79">
        <f>IF(COUNTIFS(J:J,"Integral",E:E,E190,H:H,"Ativo")=4,1/4,1/10)</f>
        <v>0.1</v>
      </c>
      <c r="AY190" s="79"/>
      <c r="AZ190" s="79"/>
    </row>
    <row r="191" spans="1:52" ht="15.75" customHeight="1">
      <c r="A191" s="54">
        <v>195</v>
      </c>
      <c r="B191" s="399">
        <v>44918</v>
      </c>
      <c r="C191" s="32" t="s">
        <v>739</v>
      </c>
      <c r="D191" s="32" t="s">
        <v>742</v>
      </c>
      <c r="E191" s="32" t="s">
        <v>716</v>
      </c>
      <c r="F191" s="32" t="s">
        <v>743</v>
      </c>
      <c r="G191" s="33" t="s">
        <v>220</v>
      </c>
      <c r="H191" s="33" t="s">
        <v>244</v>
      </c>
      <c r="I191" s="34">
        <v>45440</v>
      </c>
      <c r="J191" s="33">
        <v>6</v>
      </c>
      <c r="K191" s="35" t="s">
        <v>612</v>
      </c>
      <c r="L191" s="35" t="s">
        <v>290</v>
      </c>
      <c r="M191" s="67" t="s">
        <v>222</v>
      </c>
      <c r="N191" s="33" t="s">
        <v>68</v>
      </c>
      <c r="O191" s="33" t="s">
        <v>13</v>
      </c>
      <c r="P191" s="33" t="s">
        <v>1</v>
      </c>
      <c r="Q191" s="47"/>
      <c r="R191" s="47"/>
      <c r="S191" s="45" t="s">
        <v>147</v>
      </c>
      <c r="T191" s="45"/>
      <c r="U191" s="51">
        <v>44918</v>
      </c>
      <c r="V191" s="48">
        <f t="shared" si="20"/>
        <v>44918</v>
      </c>
      <c r="W191" s="50">
        <f>V191-U191</f>
        <v>0</v>
      </c>
      <c r="X191" s="261">
        <v>327000</v>
      </c>
      <c r="Y191" s="260">
        <v>327000</v>
      </c>
      <c r="Z191" s="260">
        <v>300000</v>
      </c>
      <c r="AA191" s="35">
        <v>0</v>
      </c>
      <c r="AB191" s="260"/>
      <c r="AC191" s="41"/>
      <c r="AD191" s="42">
        <v>0.13389999999999999</v>
      </c>
      <c r="AE191" s="41"/>
      <c r="AF191" s="43">
        <v>0.13389999999999999</v>
      </c>
      <c r="AG191" s="40">
        <v>0</v>
      </c>
      <c r="AH191" s="40">
        <v>27000</v>
      </c>
      <c r="AI191" s="44">
        <v>8.2568807339449546E-2</v>
      </c>
      <c r="AJ191" s="44"/>
      <c r="AK191" s="40">
        <v>27000</v>
      </c>
      <c r="AL191" s="40">
        <v>0</v>
      </c>
      <c r="AM191" s="242">
        <f t="shared" si="21"/>
        <v>44926</v>
      </c>
      <c r="AN191" s="242">
        <f>IF(AQ191="x","",IF(AQ191="x",AM191,IF(EOMONTH(I191,0)=31,"",EOMONTH(I191,0))))</f>
        <v>45443</v>
      </c>
      <c r="AO191" s="79">
        <f>IFERROR(IF(VLOOKUP(C191,C192:C795,1,0)=0,1,0),1)</f>
        <v>1</v>
      </c>
      <c r="AP191" s="79"/>
      <c r="AQ191" s="243" t="str">
        <f t="shared" si="23"/>
        <v/>
      </c>
      <c r="AR191" s="242" t="b">
        <f>IF(AQ191="x",EOMONTH(I191,0))</f>
        <v>0</v>
      </c>
      <c r="AS191" s="79">
        <f t="shared" si="24"/>
        <v>1</v>
      </c>
      <c r="AT191" s="79">
        <f t="shared" si="25"/>
        <v>1</v>
      </c>
      <c r="AU191" s="79" t="str">
        <f t="shared" si="26"/>
        <v>B</v>
      </c>
      <c r="AV191" s="79">
        <f t="shared" si="28"/>
        <v>1</v>
      </c>
      <c r="AW191" s="79" t="str">
        <f>J191&amp;AU191</f>
        <v>6B</v>
      </c>
      <c r="AX191" s="79">
        <f>IF(COUNTIFS(J:J,"Integral",E:E,E191,H:H,"Ativo")=4,1/4,1/10)</f>
        <v>0.1</v>
      </c>
      <c r="AY191" s="79"/>
      <c r="AZ191" s="79"/>
    </row>
    <row r="192" spans="1:52" ht="15.75" customHeight="1">
      <c r="A192" s="54">
        <v>196</v>
      </c>
      <c r="B192" s="399">
        <v>44927</v>
      </c>
      <c r="C192" s="32" t="s">
        <v>744</v>
      </c>
      <c r="D192" s="32" t="s">
        <v>745</v>
      </c>
      <c r="E192" s="32" t="s">
        <v>716</v>
      </c>
      <c r="F192" s="32" t="s">
        <v>746</v>
      </c>
      <c r="G192" s="33" t="s">
        <v>243</v>
      </c>
      <c r="H192" s="33" t="s">
        <v>244</v>
      </c>
      <c r="I192" s="34">
        <v>44946</v>
      </c>
      <c r="J192" s="33">
        <v>6</v>
      </c>
      <c r="K192" s="35" t="s">
        <v>394</v>
      </c>
      <c r="L192" s="35" t="s">
        <v>394</v>
      </c>
      <c r="M192" s="67" t="s">
        <v>222</v>
      </c>
      <c r="N192" s="33" t="s">
        <v>68</v>
      </c>
      <c r="O192" s="33" t="s">
        <v>11</v>
      </c>
      <c r="P192" s="33">
        <v>0</v>
      </c>
      <c r="Q192" s="47"/>
      <c r="R192" s="47"/>
      <c r="S192" s="45" t="s">
        <v>222</v>
      </c>
      <c r="T192" s="45"/>
      <c r="U192" s="51">
        <v>44918</v>
      </c>
      <c r="V192" s="48">
        <f t="shared" si="20"/>
        <v>44927</v>
      </c>
      <c r="W192" s="50">
        <f>V192-U192</f>
        <v>9</v>
      </c>
      <c r="X192" s="265">
        <v>0</v>
      </c>
      <c r="Y192" s="67">
        <v>0</v>
      </c>
      <c r="Z192" s="67">
        <v>330000</v>
      </c>
      <c r="AA192" s="35">
        <v>0</v>
      </c>
      <c r="AB192" s="67"/>
      <c r="AC192" s="40"/>
      <c r="AD192" s="42"/>
      <c r="AE192" s="41">
        <v>0</v>
      </c>
      <c r="AF192" s="43">
        <v>0</v>
      </c>
      <c r="AG192" s="40">
        <v>0</v>
      </c>
      <c r="AH192" s="40"/>
      <c r="AI192" s="44"/>
      <c r="AJ192" s="44"/>
      <c r="AK192" s="40">
        <v>0</v>
      </c>
      <c r="AL192" s="40"/>
      <c r="AM192" s="242">
        <f t="shared" si="21"/>
        <v>44957</v>
      </c>
      <c r="AN192" s="242" t="str">
        <f>IF(AQ192="x","",IF(AQ192="x",AM192,IF(EOMONTH(I192,0)=31,"",EOMONTH(I192,0))))</f>
        <v/>
      </c>
      <c r="AO192" s="79">
        <f>IFERROR(IF(VLOOKUP(C192,C193:C796,1,0)=0,1,0),1)</f>
        <v>1</v>
      </c>
      <c r="AP192" s="79"/>
      <c r="AQ192" s="243" t="str">
        <f t="shared" si="23"/>
        <v>x</v>
      </c>
      <c r="AR192" s="242">
        <f>IF(AQ192="x",EOMONTH(I192,0))</f>
        <v>44957</v>
      </c>
      <c r="AS192" s="79">
        <f t="shared" si="24"/>
        <v>1</v>
      </c>
      <c r="AT192" s="79">
        <f t="shared" si="25"/>
        <v>1</v>
      </c>
      <c r="AU192" s="79" t="str">
        <f t="shared" si="26"/>
        <v>B</v>
      </c>
      <c r="AV192" s="79">
        <f t="shared" si="28"/>
        <v>1</v>
      </c>
      <c r="AW192" s="79" t="str">
        <f>J192&amp;AU192</f>
        <v>6B</v>
      </c>
      <c r="AX192" s="79">
        <f>IF(COUNTIFS(J:J,"Integral",E:E,E192,H:H,"Ativo")=4,1/4,1/10)</f>
        <v>0.1</v>
      </c>
      <c r="AY192" s="79"/>
      <c r="AZ192" s="79"/>
    </row>
    <row r="193" spans="1:52" ht="15.75" customHeight="1">
      <c r="A193" s="54">
        <v>197</v>
      </c>
      <c r="B193" s="399">
        <v>44919</v>
      </c>
      <c r="C193" s="32" t="s">
        <v>747</v>
      </c>
      <c r="D193" s="32" t="s">
        <v>696</v>
      </c>
      <c r="E193" s="32" t="s">
        <v>547</v>
      </c>
      <c r="F193" s="32" t="s">
        <v>748</v>
      </c>
      <c r="G193" s="33" t="s">
        <v>220</v>
      </c>
      <c r="H193" s="33" t="s">
        <v>244</v>
      </c>
      <c r="I193" s="34">
        <v>44928</v>
      </c>
      <c r="J193" s="33">
        <v>6</v>
      </c>
      <c r="K193" s="35" t="s">
        <v>425</v>
      </c>
      <c r="L193" s="35" t="s">
        <v>425</v>
      </c>
      <c r="M193" s="67" t="s">
        <v>222</v>
      </c>
      <c r="N193" s="33" t="s">
        <v>68</v>
      </c>
      <c r="O193" s="33" t="s">
        <v>13</v>
      </c>
      <c r="P193" s="33" t="s">
        <v>1</v>
      </c>
      <c r="Q193" s="47"/>
      <c r="R193" s="47"/>
      <c r="S193" s="45" t="s">
        <v>222</v>
      </c>
      <c r="T193" s="45"/>
      <c r="U193" s="51">
        <v>44919</v>
      </c>
      <c r="V193" s="48">
        <f t="shared" si="20"/>
        <v>44919</v>
      </c>
      <c r="W193" s="50">
        <f>V193-U193</f>
        <v>0</v>
      </c>
      <c r="X193" s="265">
        <v>0</v>
      </c>
      <c r="Y193" s="67">
        <v>0</v>
      </c>
      <c r="Z193" s="67">
        <v>358000</v>
      </c>
      <c r="AA193" s="35">
        <v>0</v>
      </c>
      <c r="AB193" s="67"/>
      <c r="AC193" s="40"/>
      <c r="AD193" s="42"/>
      <c r="AE193" s="41">
        <v>0</v>
      </c>
      <c r="AF193" s="43">
        <v>0</v>
      </c>
      <c r="AG193" s="40">
        <v>0</v>
      </c>
      <c r="AH193" s="40"/>
      <c r="AI193" s="44"/>
      <c r="AJ193" s="44"/>
      <c r="AK193" s="40">
        <v>0</v>
      </c>
      <c r="AL193" s="40"/>
      <c r="AM193" s="242">
        <f t="shared" si="21"/>
        <v>44926</v>
      </c>
      <c r="AN193" s="242">
        <f>IF(AQ193="x","",IF(AQ193="x",AM193,IF(EOMONTH(I193,0)=31,"",EOMONTH(I193,0))))</f>
        <v>44957</v>
      </c>
      <c r="AO193" s="79">
        <f>IFERROR(IF(VLOOKUP(C193,C194:C797,1,0)=0,1,0),1)</f>
        <v>1</v>
      </c>
      <c r="AP193" s="79"/>
      <c r="AQ193" s="243" t="str">
        <f t="shared" si="23"/>
        <v/>
      </c>
      <c r="AR193" s="242" t="b">
        <f>IF(AQ193="x",EOMONTH(I193,0))</f>
        <v>0</v>
      </c>
      <c r="AS193" s="79">
        <f t="shared" si="24"/>
        <v>1</v>
      </c>
      <c r="AT193" s="79">
        <f t="shared" si="25"/>
        <v>1</v>
      </c>
      <c r="AU193" s="79" t="str">
        <f t="shared" si="26"/>
        <v>B</v>
      </c>
      <c r="AV193" s="79">
        <f t="shared" si="28"/>
        <v>1</v>
      </c>
      <c r="AW193" s="79" t="str">
        <f>J193&amp;AU193</f>
        <v>6B</v>
      </c>
      <c r="AX193" s="79">
        <f>IF(COUNTIFS(J:J,"Integral",E:E,E193,H:H,"Ativo")=4,1/4,1/10)</f>
        <v>0.1</v>
      </c>
      <c r="AY193" s="79"/>
      <c r="AZ193" s="79"/>
    </row>
    <row r="194" spans="1:52" ht="15.75" customHeight="1">
      <c r="A194" s="54">
        <v>198</v>
      </c>
      <c r="B194" s="399">
        <v>44919</v>
      </c>
      <c r="C194" s="32" t="s">
        <v>749</v>
      </c>
      <c r="D194" s="32" t="s">
        <v>520</v>
      </c>
      <c r="E194" s="32" t="s">
        <v>235</v>
      </c>
      <c r="F194" s="32" t="s">
        <v>750</v>
      </c>
      <c r="G194" s="33" t="s">
        <v>220</v>
      </c>
      <c r="H194" s="33" t="s">
        <v>244</v>
      </c>
      <c r="I194" s="34">
        <v>45146</v>
      </c>
      <c r="J194" s="33">
        <v>13</v>
      </c>
      <c r="K194" s="35" t="s">
        <v>289</v>
      </c>
      <c r="L194" s="35" t="s">
        <v>600</v>
      </c>
      <c r="M194" s="67" t="s">
        <v>222</v>
      </c>
      <c r="N194" s="33" t="s">
        <v>68</v>
      </c>
      <c r="O194" s="33" t="s">
        <v>12</v>
      </c>
      <c r="P194" s="33" t="s">
        <v>1</v>
      </c>
      <c r="Q194" s="47"/>
      <c r="R194" s="47"/>
      <c r="S194" s="45" t="s">
        <v>147</v>
      </c>
      <c r="T194" s="45"/>
      <c r="U194" s="51">
        <v>44919</v>
      </c>
      <c r="V194" s="48">
        <f t="shared" ref="V194:V257" si="29">B194</f>
        <v>44919</v>
      </c>
      <c r="W194" s="50">
        <f>V194-U194</f>
        <v>0</v>
      </c>
      <c r="X194" s="265">
        <v>1022000</v>
      </c>
      <c r="Y194" s="67">
        <v>1022000</v>
      </c>
      <c r="Z194" s="67">
        <v>1200000</v>
      </c>
      <c r="AA194" s="35">
        <v>0</v>
      </c>
      <c r="AB194" s="67"/>
      <c r="AC194" s="41"/>
      <c r="AD194" s="42"/>
      <c r="AE194" s="41"/>
      <c r="AF194" s="43"/>
      <c r="AG194" s="40">
        <v>178000</v>
      </c>
      <c r="AH194" s="40"/>
      <c r="AI194" s="44"/>
      <c r="AJ194" s="44"/>
      <c r="AK194" s="40">
        <v>0</v>
      </c>
      <c r="AL194" s="40">
        <v>0</v>
      </c>
      <c r="AM194" s="242">
        <f t="shared" ref="AM194:AM257" si="30">IFERROR(EOMONTH(B194,0),"Pendente")</f>
        <v>44926</v>
      </c>
      <c r="AN194" s="242">
        <f>IF(AQ194="x","",IF(AQ194="x",AM194,IF(EOMONTH(I194,0)=31,"",EOMONTH(I194,0))))</f>
        <v>45169</v>
      </c>
      <c r="AO194" s="79">
        <f>IFERROR(IF(VLOOKUP(C194,C195:C798,1,0)=0,1,0),1)</f>
        <v>1</v>
      </c>
      <c r="AP194" s="79"/>
      <c r="AQ194" s="243" t="str">
        <f t="shared" si="23"/>
        <v/>
      </c>
      <c r="AR194" s="242" t="b">
        <f>IF(AQ194="x",EOMONTH(I194,0))</f>
        <v>0</v>
      </c>
      <c r="AS194" s="79">
        <f t="shared" si="24"/>
        <v>1</v>
      </c>
      <c r="AT194" s="79">
        <f t="shared" si="25"/>
        <v>1</v>
      </c>
      <c r="AU194" s="79" t="str">
        <f t="shared" si="26"/>
        <v>A</v>
      </c>
      <c r="AV194" s="79">
        <f t="shared" si="28"/>
        <v>1</v>
      </c>
      <c r="AW194" s="79" t="str">
        <f>J194&amp;AU194</f>
        <v>13A</v>
      </c>
      <c r="AX194" s="79">
        <f>IF(COUNTIFS(J:J,"Integral",E:E,E194,H:H,"Ativo")=4,1/4,1/10)</f>
        <v>0.1</v>
      </c>
      <c r="AY194" s="79"/>
      <c r="AZ194" s="79"/>
    </row>
    <row r="195" spans="1:52" ht="15.75" customHeight="1">
      <c r="A195" s="54">
        <v>199</v>
      </c>
      <c r="B195" s="399">
        <v>44921</v>
      </c>
      <c r="C195" s="32" t="s">
        <v>751</v>
      </c>
      <c r="D195" s="32" t="s">
        <v>752</v>
      </c>
      <c r="E195" s="32" t="s">
        <v>753</v>
      </c>
      <c r="F195" s="32" t="s">
        <v>754</v>
      </c>
      <c r="G195" s="33" t="s">
        <v>220</v>
      </c>
      <c r="H195" s="33" t="s">
        <v>244</v>
      </c>
      <c r="I195" s="34">
        <v>44923</v>
      </c>
      <c r="J195" s="33">
        <v>4</v>
      </c>
      <c r="K195" s="35" t="s">
        <v>289</v>
      </c>
      <c r="L195" s="35" t="s">
        <v>238</v>
      </c>
      <c r="M195" s="67" t="s">
        <v>222</v>
      </c>
      <c r="N195" s="33" t="s">
        <v>68</v>
      </c>
      <c r="O195" s="33" t="s">
        <v>13</v>
      </c>
      <c r="P195" s="33">
        <v>0</v>
      </c>
      <c r="Q195" s="47"/>
      <c r="R195" s="47"/>
      <c r="S195" s="45" t="s">
        <v>222</v>
      </c>
      <c r="T195" s="45"/>
      <c r="U195" s="51">
        <v>44921</v>
      </c>
      <c r="V195" s="48">
        <f t="shared" si="29"/>
        <v>44921</v>
      </c>
      <c r="W195" s="50">
        <f>V195-U195</f>
        <v>0</v>
      </c>
      <c r="X195" s="265">
        <v>0</v>
      </c>
      <c r="Y195" s="67">
        <v>0</v>
      </c>
      <c r="Z195" s="67">
        <v>256000</v>
      </c>
      <c r="AA195" s="35">
        <v>0</v>
      </c>
      <c r="AB195" s="67"/>
      <c r="AC195" s="40"/>
      <c r="AD195" s="42"/>
      <c r="AE195" s="41">
        <v>0</v>
      </c>
      <c r="AF195" s="43">
        <v>0</v>
      </c>
      <c r="AG195" s="40">
        <v>0</v>
      </c>
      <c r="AH195" s="40"/>
      <c r="AI195" s="44"/>
      <c r="AJ195" s="44"/>
      <c r="AK195" s="40">
        <v>0</v>
      </c>
      <c r="AL195" s="40"/>
      <c r="AM195" s="242">
        <f t="shared" si="30"/>
        <v>44926</v>
      </c>
      <c r="AN195" s="242">
        <f>IF(AQ195="x","",IF(AQ195="x",AM195,IF(EOMONTH(I195,0)=31,"",EOMONTH(I195,0))))</f>
        <v>44926</v>
      </c>
      <c r="AO195" s="79">
        <f>IFERROR(IF(VLOOKUP(C195,C196:C799,1,0)=0,1,0),1)</f>
        <v>0</v>
      </c>
      <c r="AP195" s="79"/>
      <c r="AQ195" s="243" t="str">
        <f t="shared" si="23"/>
        <v/>
      </c>
      <c r="AR195" s="242" t="b">
        <f>IF(AQ195="x",EOMONTH(I195,0))</f>
        <v>0</v>
      </c>
      <c r="AS195" s="79">
        <f t="shared" si="24"/>
        <v>1</v>
      </c>
      <c r="AT195" s="79">
        <f t="shared" si="25"/>
        <v>1</v>
      </c>
      <c r="AU195" s="79" t="str">
        <f t="shared" si="26"/>
        <v>B</v>
      </c>
      <c r="AV195" s="79">
        <f t="shared" si="28"/>
        <v>1</v>
      </c>
      <c r="AW195" s="79" t="str">
        <f>J195&amp;AU195</f>
        <v>4B</v>
      </c>
      <c r="AX195" s="79">
        <f>IF(COUNTIFS(J:J,"Integral",E:E,E195,H:H,"Ativo")=4,1/4,1/10)</f>
        <v>0.1</v>
      </c>
      <c r="AY195" s="79"/>
      <c r="AZ195" s="79"/>
    </row>
    <row r="196" spans="1:52" ht="15.75" customHeight="1">
      <c r="A196" s="54">
        <v>200</v>
      </c>
      <c r="B196" s="399">
        <v>44921</v>
      </c>
      <c r="C196" s="32" t="s">
        <v>751</v>
      </c>
      <c r="D196" s="32" t="s">
        <v>755</v>
      </c>
      <c r="E196" s="32" t="s">
        <v>753</v>
      </c>
      <c r="F196" s="32" t="s">
        <v>756</v>
      </c>
      <c r="G196" s="33" t="s">
        <v>220</v>
      </c>
      <c r="H196" s="33" t="s">
        <v>244</v>
      </c>
      <c r="I196" s="34">
        <v>44923</v>
      </c>
      <c r="J196" s="33">
        <v>4</v>
      </c>
      <c r="K196" s="35" t="s">
        <v>289</v>
      </c>
      <c r="L196" s="35" t="s">
        <v>238</v>
      </c>
      <c r="M196" s="67" t="s">
        <v>222</v>
      </c>
      <c r="N196" s="33" t="s">
        <v>68</v>
      </c>
      <c r="O196" s="33" t="s">
        <v>13</v>
      </c>
      <c r="P196" s="33">
        <v>0</v>
      </c>
      <c r="Q196" s="47"/>
      <c r="R196" s="47"/>
      <c r="S196" s="45" t="s">
        <v>222</v>
      </c>
      <c r="T196" s="45"/>
      <c r="U196" s="51">
        <v>44921</v>
      </c>
      <c r="V196" s="48">
        <f t="shared" si="29"/>
        <v>44921</v>
      </c>
      <c r="W196" s="50">
        <f>V196-U196</f>
        <v>0</v>
      </c>
      <c r="X196" s="265">
        <v>0</v>
      </c>
      <c r="Y196" s="67">
        <v>0</v>
      </c>
      <c r="Z196" s="67">
        <v>256000</v>
      </c>
      <c r="AA196" s="35">
        <v>0</v>
      </c>
      <c r="AB196" s="67"/>
      <c r="AC196" s="40"/>
      <c r="AD196" s="42"/>
      <c r="AE196" s="41">
        <v>0</v>
      </c>
      <c r="AF196" s="43">
        <v>0</v>
      </c>
      <c r="AG196" s="40">
        <v>0</v>
      </c>
      <c r="AH196" s="40"/>
      <c r="AI196" s="44"/>
      <c r="AJ196" s="44"/>
      <c r="AK196" s="40">
        <v>0</v>
      </c>
      <c r="AL196" s="40"/>
      <c r="AM196" s="242">
        <f t="shared" si="30"/>
        <v>44926</v>
      </c>
      <c r="AN196" s="242">
        <f>IF(AQ196="x","",IF(AQ196="x",AM196,IF(EOMONTH(I196,0)=31,"",EOMONTH(I196,0))))</f>
        <v>44926</v>
      </c>
      <c r="AO196" s="79">
        <f>IFERROR(IF(VLOOKUP(C196,C197:C800,1,0)=0,1,0),1)</f>
        <v>1</v>
      </c>
      <c r="AP196" s="79"/>
      <c r="AQ196" s="243" t="str">
        <f t="shared" si="23"/>
        <v/>
      </c>
      <c r="AR196" s="242" t="b">
        <f>IF(AQ196="x",EOMONTH(I196,0))</f>
        <v>0</v>
      </c>
      <c r="AS196" s="79">
        <f t="shared" si="24"/>
        <v>1</v>
      </c>
      <c r="AT196" s="79">
        <f t="shared" si="25"/>
        <v>1</v>
      </c>
      <c r="AU196" s="79" t="str">
        <f t="shared" si="26"/>
        <v>B</v>
      </c>
      <c r="AV196" s="79">
        <f t="shared" si="28"/>
        <v>1</v>
      </c>
      <c r="AW196" s="79" t="str">
        <f>J196&amp;AU196</f>
        <v>4B</v>
      </c>
      <c r="AX196" s="79">
        <f>IF(COUNTIFS(J:J,"Integral",E:E,E196,H:H,"Ativo")=4,1/4,1/10)</f>
        <v>0.1</v>
      </c>
      <c r="AY196" s="79"/>
      <c r="AZ196" s="79"/>
    </row>
    <row r="197" spans="1:52" ht="15.75" customHeight="1">
      <c r="A197" s="54">
        <v>201</v>
      </c>
      <c r="B197" s="399">
        <v>44922</v>
      </c>
      <c r="C197" s="32" t="s">
        <v>757</v>
      </c>
      <c r="D197" s="32" t="s">
        <v>758</v>
      </c>
      <c r="E197" s="32" t="s">
        <v>249</v>
      </c>
      <c r="F197" s="32" t="s">
        <v>759</v>
      </c>
      <c r="G197" s="33" t="s">
        <v>220</v>
      </c>
      <c r="H197" s="33" t="s">
        <v>244</v>
      </c>
      <c r="I197" s="34">
        <v>44924</v>
      </c>
      <c r="J197" s="33">
        <v>13</v>
      </c>
      <c r="K197" s="35" t="s">
        <v>612</v>
      </c>
      <c r="L197" s="35" t="s">
        <v>413</v>
      </c>
      <c r="M197" s="67" t="s">
        <v>222</v>
      </c>
      <c r="N197" s="33" t="s">
        <v>68</v>
      </c>
      <c r="O197" s="33" t="s">
        <v>12</v>
      </c>
      <c r="P197" s="33">
        <v>0</v>
      </c>
      <c r="Q197" s="47"/>
      <c r="R197" s="47"/>
      <c r="S197" s="45" t="s">
        <v>222</v>
      </c>
      <c r="T197" s="45"/>
      <c r="U197" s="51">
        <v>44921</v>
      </c>
      <c r="V197" s="48">
        <f t="shared" si="29"/>
        <v>44922</v>
      </c>
      <c r="W197" s="50">
        <f>V197-U197</f>
        <v>1</v>
      </c>
      <c r="X197" s="265">
        <v>0</v>
      </c>
      <c r="Y197" s="67">
        <v>0</v>
      </c>
      <c r="Z197" s="67">
        <v>1200000</v>
      </c>
      <c r="AA197" s="35">
        <v>0</v>
      </c>
      <c r="AB197" s="67"/>
      <c r="AC197" s="40"/>
      <c r="AD197" s="42"/>
      <c r="AE197" s="41">
        <v>0</v>
      </c>
      <c r="AF197" s="43">
        <v>0</v>
      </c>
      <c r="AG197" s="40">
        <v>0</v>
      </c>
      <c r="AH197" s="40"/>
      <c r="AI197" s="44"/>
      <c r="AJ197" s="44"/>
      <c r="AK197" s="40">
        <v>0</v>
      </c>
      <c r="AL197" s="40"/>
      <c r="AM197" s="242">
        <f t="shared" si="30"/>
        <v>44926</v>
      </c>
      <c r="AN197" s="242">
        <f>IF(AQ197="x","",IF(AQ197="x",AM197,IF(EOMONTH(I197,0)=31,"",EOMONTH(I197,0))))</f>
        <v>44926</v>
      </c>
      <c r="AO197" s="79">
        <f>IFERROR(IF(VLOOKUP(C197,C198:C801,1,0)=0,1,0),1)</f>
        <v>1</v>
      </c>
      <c r="AP197" s="79"/>
      <c r="AQ197" s="243" t="str">
        <f t="shared" si="23"/>
        <v/>
      </c>
      <c r="AR197" s="242" t="b">
        <f>IF(AQ197="x",EOMONTH(I197,0))</f>
        <v>0</v>
      </c>
      <c r="AS197" s="79">
        <f t="shared" si="24"/>
        <v>1</v>
      </c>
      <c r="AT197" s="79">
        <f t="shared" si="25"/>
        <v>1</v>
      </c>
      <c r="AU197" s="79" t="str">
        <f t="shared" si="26"/>
        <v>A</v>
      </c>
      <c r="AV197" s="79">
        <f t="shared" si="28"/>
        <v>1</v>
      </c>
      <c r="AW197" s="79" t="str">
        <f>J197&amp;AU197</f>
        <v>13A</v>
      </c>
      <c r="AX197" s="79">
        <f>IF(COUNTIFS(J:J,"Integral",E:E,E197,H:H,"Ativo")=4,1/4,1/10)</f>
        <v>0.1</v>
      </c>
      <c r="AY197" s="79"/>
      <c r="AZ197" s="79"/>
    </row>
    <row r="198" spans="1:52" ht="15.75" customHeight="1">
      <c r="A198" s="54">
        <v>202</v>
      </c>
      <c r="B198" s="399">
        <v>44927</v>
      </c>
      <c r="C198" s="32" t="s">
        <v>760</v>
      </c>
      <c r="D198" s="32" t="s">
        <v>536</v>
      </c>
      <c r="E198" s="32" t="s">
        <v>537</v>
      </c>
      <c r="F198" s="32" t="s">
        <v>761</v>
      </c>
      <c r="G198" s="33" t="s">
        <v>220</v>
      </c>
      <c r="H198" s="33" t="s">
        <v>90</v>
      </c>
      <c r="I198" s="34">
        <v>0</v>
      </c>
      <c r="J198" s="33" t="s">
        <v>6</v>
      </c>
      <c r="K198" s="35" t="s">
        <v>762</v>
      </c>
      <c r="L198" s="35" t="s">
        <v>394</v>
      </c>
      <c r="M198" s="67" t="s">
        <v>222</v>
      </c>
      <c r="N198" s="33" t="s">
        <v>68</v>
      </c>
      <c r="O198" s="33" t="s">
        <v>11</v>
      </c>
      <c r="P198" s="33" t="s">
        <v>2</v>
      </c>
      <c r="Q198" s="47"/>
      <c r="R198" s="47"/>
      <c r="S198" s="45" t="s">
        <v>143</v>
      </c>
      <c r="T198" s="45"/>
      <c r="U198" s="46">
        <v>44922</v>
      </c>
      <c r="V198" s="38">
        <f t="shared" si="29"/>
        <v>44927</v>
      </c>
      <c r="W198" s="50">
        <f>V198-U198</f>
        <v>5</v>
      </c>
      <c r="X198" s="261">
        <v>1672000</v>
      </c>
      <c r="Y198" s="260">
        <v>1672000</v>
      </c>
      <c r="Z198" s="260">
        <v>1225007.5</v>
      </c>
      <c r="AA198" s="35">
        <v>0</v>
      </c>
      <c r="AB198" s="260"/>
      <c r="AC198" s="41"/>
      <c r="AD198" s="42">
        <v>8.77E-2</v>
      </c>
      <c r="AE198" s="41"/>
      <c r="AF198" s="43">
        <v>8.77E-2</v>
      </c>
      <c r="AG198" s="40">
        <v>0</v>
      </c>
      <c r="AH198" s="40">
        <v>446992.5</v>
      </c>
      <c r="AI198" s="44">
        <v>0.26734001196172247</v>
      </c>
      <c r="AJ198" s="44">
        <v>0.17964001196172247</v>
      </c>
      <c r="AK198" s="40">
        <v>146634.4</v>
      </c>
      <c r="AL198" s="40">
        <v>300358.09999999998</v>
      </c>
      <c r="AM198" s="242">
        <f t="shared" si="30"/>
        <v>44957</v>
      </c>
      <c r="AN198" s="242" t="str">
        <f>IF(AQ198="x","",IF(AQ198="x",AM198,IF(EOMONTH(I198,0)=31,"",EOMONTH(I198,0))))</f>
        <v/>
      </c>
      <c r="AO198" s="79">
        <f>IFERROR(IF(VLOOKUP(C198,C199:C802,1,0)=0,1,0),1)</f>
        <v>0</v>
      </c>
      <c r="AP198" s="79"/>
      <c r="AQ198" s="243" t="str">
        <f t="shared" si="23"/>
        <v/>
      </c>
      <c r="AR198" s="242" t="b">
        <f>IF(AQ198="x",EOMONTH(I198,0))</f>
        <v>0</v>
      </c>
      <c r="AS198" s="79">
        <f t="shared" si="24"/>
        <v>1</v>
      </c>
      <c r="AT198" s="79">
        <f t="shared" si="25"/>
        <v>1</v>
      </c>
      <c r="AU198" s="79" t="str">
        <f t="shared" si="26"/>
        <v>A</v>
      </c>
      <c r="AV198" s="79">
        <f t="shared" si="28"/>
        <v>1</v>
      </c>
      <c r="AW198" s="79" t="str">
        <f>J198&amp;AU198</f>
        <v>IntegralA</v>
      </c>
      <c r="AX198" s="79">
        <f>IF(COUNTIFS(J:J,"Integral",E:E,E198,H:H,"Ativo")=4,1/4,1/10)</f>
        <v>0.25</v>
      </c>
      <c r="AY198" s="79"/>
      <c r="AZ198" s="79"/>
    </row>
    <row r="199" spans="1:52" ht="15.75" customHeight="1">
      <c r="A199" s="54">
        <v>203</v>
      </c>
      <c r="B199" s="399">
        <v>44927</v>
      </c>
      <c r="C199" s="32" t="s">
        <v>763</v>
      </c>
      <c r="D199" s="32" t="s">
        <v>764</v>
      </c>
      <c r="E199" s="32" t="s">
        <v>765</v>
      </c>
      <c r="F199" s="32" t="s">
        <v>766</v>
      </c>
      <c r="G199" s="33" t="s">
        <v>220</v>
      </c>
      <c r="H199" s="33" t="s">
        <v>90</v>
      </c>
      <c r="I199" s="34">
        <v>0</v>
      </c>
      <c r="J199" s="33">
        <v>13</v>
      </c>
      <c r="K199" s="35" t="s">
        <v>762</v>
      </c>
      <c r="L199" s="35" t="s">
        <v>394</v>
      </c>
      <c r="M199" s="67" t="s">
        <v>222</v>
      </c>
      <c r="N199" s="33" t="s">
        <v>68</v>
      </c>
      <c r="O199" s="33" t="s">
        <v>11</v>
      </c>
      <c r="P199" s="33" t="s">
        <v>2</v>
      </c>
      <c r="Q199" s="47"/>
      <c r="R199" s="47"/>
      <c r="S199" s="45" t="s">
        <v>143</v>
      </c>
      <c r="T199" s="45"/>
      <c r="U199" s="46">
        <v>44922</v>
      </c>
      <c r="V199" s="38">
        <f t="shared" si="29"/>
        <v>44927</v>
      </c>
      <c r="W199" s="50">
        <f>V199-U199</f>
        <v>5</v>
      </c>
      <c r="X199" s="261">
        <v>1365000</v>
      </c>
      <c r="Y199" s="260">
        <v>1365000</v>
      </c>
      <c r="Z199" s="260">
        <v>999970</v>
      </c>
      <c r="AA199" s="35">
        <v>0</v>
      </c>
      <c r="AB199" s="260"/>
      <c r="AC199" s="41"/>
      <c r="AD199" s="42">
        <v>8.7800000000000003E-2</v>
      </c>
      <c r="AE199" s="41"/>
      <c r="AF199" s="43">
        <v>8.7800000000000003E-2</v>
      </c>
      <c r="AG199" s="40">
        <v>0</v>
      </c>
      <c r="AH199" s="40">
        <v>365030</v>
      </c>
      <c r="AI199" s="44">
        <v>0.2674212454212454</v>
      </c>
      <c r="AJ199" s="44">
        <v>0.17962124542124541</v>
      </c>
      <c r="AK199" s="40">
        <v>119847</v>
      </c>
      <c r="AL199" s="40">
        <v>245183</v>
      </c>
      <c r="AM199" s="242">
        <f t="shared" si="30"/>
        <v>44957</v>
      </c>
      <c r="AN199" s="242" t="str">
        <f>IF(AQ199="x","",IF(AQ199="x",AM199,IF(EOMONTH(I199,0)=31,"",EOMONTH(I199,0))))</f>
        <v/>
      </c>
      <c r="AO199" s="79">
        <f>IFERROR(IF(VLOOKUP(C199,C200:C803,1,0)=0,1,0),1)</f>
        <v>1</v>
      </c>
      <c r="AP199" s="79"/>
      <c r="AQ199" s="243" t="str">
        <f t="shared" si="23"/>
        <v/>
      </c>
      <c r="AR199" s="242" t="b">
        <f>IF(AQ199="x",EOMONTH(I199,0))</f>
        <v>0</v>
      </c>
      <c r="AS199" s="79">
        <f t="shared" si="24"/>
        <v>1</v>
      </c>
      <c r="AT199" s="79">
        <f t="shared" si="25"/>
        <v>1</v>
      </c>
      <c r="AU199" s="79" t="str">
        <f t="shared" si="26"/>
        <v>A</v>
      </c>
      <c r="AV199" s="79">
        <f t="shared" si="28"/>
        <v>1</v>
      </c>
      <c r="AW199" s="79" t="str">
        <f>J199&amp;AU199</f>
        <v>13A</v>
      </c>
      <c r="AX199" s="79">
        <f>IF(COUNTIFS(J:J,"Integral",E:E,E199,H:H,"Ativo")=4,1/4,1/10)</f>
        <v>0.1</v>
      </c>
      <c r="AY199" s="79"/>
      <c r="AZ199" s="79"/>
    </row>
    <row r="200" spans="1:52" ht="15.75" customHeight="1">
      <c r="A200" s="54">
        <v>204</v>
      </c>
      <c r="B200" s="399">
        <v>44927</v>
      </c>
      <c r="C200" s="32" t="s">
        <v>760</v>
      </c>
      <c r="D200" s="32" t="s">
        <v>539</v>
      </c>
      <c r="E200" s="32" t="s">
        <v>537</v>
      </c>
      <c r="F200" s="32" t="s">
        <v>767</v>
      </c>
      <c r="G200" s="33" t="s">
        <v>220</v>
      </c>
      <c r="H200" s="33" t="s">
        <v>90</v>
      </c>
      <c r="I200" s="34">
        <v>0</v>
      </c>
      <c r="J200" s="33" t="s">
        <v>6</v>
      </c>
      <c r="K200" s="35" t="s">
        <v>762</v>
      </c>
      <c r="L200" s="35" t="s">
        <v>394</v>
      </c>
      <c r="M200" s="67" t="s">
        <v>222</v>
      </c>
      <c r="N200" s="33" t="s">
        <v>68</v>
      </c>
      <c r="O200" s="33" t="s">
        <v>11</v>
      </c>
      <c r="P200" s="33" t="s">
        <v>2</v>
      </c>
      <c r="Q200" s="47"/>
      <c r="R200" s="47"/>
      <c r="S200" s="45" t="s">
        <v>143</v>
      </c>
      <c r="T200" s="45"/>
      <c r="U200" s="46">
        <v>44922</v>
      </c>
      <c r="V200" s="38">
        <f t="shared" si="29"/>
        <v>44927</v>
      </c>
      <c r="W200" s="50">
        <f>V200-U200</f>
        <v>5</v>
      </c>
      <c r="X200" s="261">
        <v>1672000</v>
      </c>
      <c r="Y200" s="260">
        <v>1672000</v>
      </c>
      <c r="Z200" s="260">
        <v>1225007.5</v>
      </c>
      <c r="AA200" s="35">
        <v>0</v>
      </c>
      <c r="AB200" s="260"/>
      <c r="AC200" s="41"/>
      <c r="AD200" s="42">
        <v>8.77E-2</v>
      </c>
      <c r="AE200" s="41"/>
      <c r="AF200" s="43">
        <v>8.77E-2</v>
      </c>
      <c r="AG200" s="40">
        <v>0</v>
      </c>
      <c r="AH200" s="40">
        <v>446992.5</v>
      </c>
      <c r="AI200" s="44">
        <v>0.26734001196172247</v>
      </c>
      <c r="AJ200" s="44">
        <v>0.17964001196172247</v>
      </c>
      <c r="AK200" s="40">
        <v>146634.4</v>
      </c>
      <c r="AL200" s="40">
        <v>300358.09999999998</v>
      </c>
      <c r="AM200" s="242">
        <f t="shared" si="30"/>
        <v>44957</v>
      </c>
      <c r="AN200" s="242" t="str">
        <f>IF(AQ200="x","",IF(AQ200="x",AM200,IF(EOMONTH(I200,0)=31,"",EOMONTH(I200,0))))</f>
        <v/>
      </c>
      <c r="AO200" s="79">
        <f>IFERROR(IF(VLOOKUP(C200,C201:C804,1,0)=0,1,0),1)</f>
        <v>0</v>
      </c>
      <c r="AP200" s="79"/>
      <c r="AQ200" s="243" t="str">
        <f t="shared" si="23"/>
        <v/>
      </c>
      <c r="AR200" s="242" t="b">
        <f>IF(AQ200="x",EOMONTH(I200,0))</f>
        <v>0</v>
      </c>
      <c r="AS200" s="79">
        <f t="shared" si="24"/>
        <v>1</v>
      </c>
      <c r="AT200" s="79">
        <f t="shared" si="25"/>
        <v>1</v>
      </c>
      <c r="AU200" s="79" t="str">
        <f t="shared" si="26"/>
        <v>A</v>
      </c>
      <c r="AV200" s="79">
        <f t="shared" si="28"/>
        <v>1</v>
      </c>
      <c r="AW200" s="79" t="str">
        <f>J200&amp;AU200</f>
        <v>IntegralA</v>
      </c>
      <c r="AX200" s="79">
        <f>IF(COUNTIFS(J:J,"Integral",E:E,E200,H:H,"Ativo")=4,1/4,1/10)</f>
        <v>0.25</v>
      </c>
      <c r="AY200" s="79"/>
      <c r="AZ200" s="79"/>
    </row>
    <row r="201" spans="1:52" ht="15.75" customHeight="1">
      <c r="A201" s="54">
        <v>205</v>
      </c>
      <c r="B201" s="399">
        <v>44927</v>
      </c>
      <c r="C201" s="32" t="s">
        <v>760</v>
      </c>
      <c r="D201" s="32" t="s">
        <v>543</v>
      </c>
      <c r="E201" s="32" t="s">
        <v>537</v>
      </c>
      <c r="F201" s="32" t="s">
        <v>768</v>
      </c>
      <c r="G201" s="33" t="s">
        <v>220</v>
      </c>
      <c r="H201" s="33" t="s">
        <v>90</v>
      </c>
      <c r="I201" s="34">
        <v>0</v>
      </c>
      <c r="J201" s="33" t="s">
        <v>6</v>
      </c>
      <c r="K201" s="35" t="s">
        <v>762</v>
      </c>
      <c r="L201" s="35" t="s">
        <v>394</v>
      </c>
      <c r="M201" s="67" t="s">
        <v>222</v>
      </c>
      <c r="N201" s="33" t="s">
        <v>68</v>
      </c>
      <c r="O201" s="33" t="s">
        <v>11</v>
      </c>
      <c r="P201" s="33" t="s">
        <v>2</v>
      </c>
      <c r="Q201" s="47"/>
      <c r="R201" s="47"/>
      <c r="S201" s="45" t="s">
        <v>143</v>
      </c>
      <c r="T201" s="45"/>
      <c r="U201" s="46">
        <v>44922</v>
      </c>
      <c r="V201" s="38">
        <f t="shared" si="29"/>
        <v>44927</v>
      </c>
      <c r="W201" s="50">
        <f>V201-U201</f>
        <v>5</v>
      </c>
      <c r="X201" s="261">
        <v>1672000</v>
      </c>
      <c r="Y201" s="260">
        <v>1672000</v>
      </c>
      <c r="Z201" s="260">
        <v>1225007.5</v>
      </c>
      <c r="AA201" s="35">
        <v>0</v>
      </c>
      <c r="AB201" s="260"/>
      <c r="AC201" s="41"/>
      <c r="AD201" s="42">
        <v>8.77E-2</v>
      </c>
      <c r="AE201" s="41"/>
      <c r="AF201" s="43">
        <v>8.77E-2</v>
      </c>
      <c r="AG201" s="40">
        <v>0</v>
      </c>
      <c r="AH201" s="40">
        <v>446992.5</v>
      </c>
      <c r="AI201" s="44">
        <v>0.26734001196172247</v>
      </c>
      <c r="AJ201" s="44">
        <v>0.17964001196172247</v>
      </c>
      <c r="AK201" s="40">
        <v>146634.4</v>
      </c>
      <c r="AL201" s="40">
        <v>300358.09999999998</v>
      </c>
      <c r="AM201" s="242">
        <f t="shared" si="30"/>
        <v>44957</v>
      </c>
      <c r="AN201" s="242" t="str">
        <f>IF(AQ201="x","",IF(AQ201="x",AM201,IF(EOMONTH(I201,0)=31,"",EOMONTH(I201,0))))</f>
        <v/>
      </c>
      <c r="AO201" s="79">
        <f>IFERROR(IF(VLOOKUP(C201,C202:C805,1,0)=0,1,0),1)</f>
        <v>0</v>
      </c>
      <c r="AP201" s="79"/>
      <c r="AQ201" s="243" t="str">
        <f t="shared" si="23"/>
        <v/>
      </c>
      <c r="AR201" s="242" t="b">
        <f>IF(AQ201="x",EOMONTH(I201,0))</f>
        <v>0</v>
      </c>
      <c r="AS201" s="79">
        <f t="shared" si="24"/>
        <v>1</v>
      </c>
      <c r="AT201" s="79">
        <f t="shared" si="25"/>
        <v>1</v>
      </c>
      <c r="AU201" s="79" t="str">
        <f t="shared" si="26"/>
        <v>A</v>
      </c>
      <c r="AV201" s="79">
        <f t="shared" si="28"/>
        <v>1</v>
      </c>
      <c r="AW201" s="79" t="str">
        <f>J201&amp;AU201</f>
        <v>IntegralA</v>
      </c>
      <c r="AX201" s="79">
        <f>IF(COUNTIFS(J:J,"Integral",E:E,E201,H:H,"Ativo")=4,1/4,1/10)</f>
        <v>0.25</v>
      </c>
      <c r="AY201" s="79"/>
      <c r="AZ201" s="79"/>
    </row>
    <row r="202" spans="1:52" ht="15.75" customHeight="1">
      <c r="A202" s="54">
        <v>206</v>
      </c>
      <c r="B202" s="399">
        <v>44927</v>
      </c>
      <c r="C202" s="32" t="s">
        <v>760</v>
      </c>
      <c r="D202" s="32" t="s">
        <v>541</v>
      </c>
      <c r="E202" s="32" t="s">
        <v>537</v>
      </c>
      <c r="F202" s="32" t="s">
        <v>769</v>
      </c>
      <c r="G202" s="33" t="s">
        <v>220</v>
      </c>
      <c r="H202" s="33" t="s">
        <v>90</v>
      </c>
      <c r="I202" s="34">
        <v>0</v>
      </c>
      <c r="J202" s="33" t="s">
        <v>6</v>
      </c>
      <c r="K202" s="35" t="s">
        <v>762</v>
      </c>
      <c r="L202" s="35" t="s">
        <v>394</v>
      </c>
      <c r="M202" s="67" t="s">
        <v>222</v>
      </c>
      <c r="N202" s="33" t="s">
        <v>68</v>
      </c>
      <c r="O202" s="33" t="s">
        <v>11</v>
      </c>
      <c r="P202" s="33" t="s">
        <v>2</v>
      </c>
      <c r="Q202" s="47"/>
      <c r="R202" s="47"/>
      <c r="S202" s="45" t="s">
        <v>143</v>
      </c>
      <c r="T202" s="45"/>
      <c r="U202" s="46">
        <v>44922</v>
      </c>
      <c r="V202" s="38">
        <f t="shared" si="29"/>
        <v>44927</v>
      </c>
      <c r="W202" s="50">
        <f>V202-U202</f>
        <v>5</v>
      </c>
      <c r="X202" s="261">
        <v>1672000</v>
      </c>
      <c r="Y202" s="260">
        <v>1672000</v>
      </c>
      <c r="Z202" s="260">
        <v>1225007.5</v>
      </c>
      <c r="AA202" s="35">
        <v>0</v>
      </c>
      <c r="AB202" s="260"/>
      <c r="AC202" s="41"/>
      <c r="AD202" s="42">
        <v>8.77E-2</v>
      </c>
      <c r="AE202" s="41"/>
      <c r="AF202" s="43">
        <v>8.77E-2</v>
      </c>
      <c r="AG202" s="40">
        <v>0</v>
      </c>
      <c r="AH202" s="40">
        <v>446992.5</v>
      </c>
      <c r="AI202" s="44">
        <v>0.26734001196172247</v>
      </c>
      <c r="AJ202" s="44">
        <v>0.17964001196172247</v>
      </c>
      <c r="AK202" s="40">
        <v>146634.4</v>
      </c>
      <c r="AL202" s="40">
        <v>300358.09999999998</v>
      </c>
      <c r="AM202" s="242">
        <f t="shared" si="30"/>
        <v>44957</v>
      </c>
      <c r="AN202" s="242" t="str">
        <f>IF(AQ202="x","",IF(AQ202="x",AM202,IF(EOMONTH(I202,0)=31,"",EOMONTH(I202,0))))</f>
        <v/>
      </c>
      <c r="AO202" s="79">
        <f>IFERROR(IF(VLOOKUP(C202,C203:C806,1,0)=0,1,0),1)</f>
        <v>1</v>
      </c>
      <c r="AP202" s="79"/>
      <c r="AQ202" s="243" t="str">
        <f t="shared" si="23"/>
        <v/>
      </c>
      <c r="AR202" s="242" t="b">
        <f>IF(AQ202="x",EOMONTH(I202,0))</f>
        <v>0</v>
      </c>
      <c r="AS202" s="79">
        <f t="shared" si="24"/>
        <v>1</v>
      </c>
      <c r="AT202" s="79">
        <f t="shared" si="25"/>
        <v>1</v>
      </c>
      <c r="AU202" s="79" t="str">
        <f t="shared" si="26"/>
        <v>A</v>
      </c>
      <c r="AV202" s="79">
        <f t="shared" si="28"/>
        <v>1</v>
      </c>
      <c r="AW202" s="79" t="str">
        <f>J202&amp;AU202</f>
        <v>IntegralA</v>
      </c>
      <c r="AX202" s="79">
        <f>IF(COUNTIFS(J:J,"Integral",E:E,E202,H:H,"Ativo")=4,1/4,1/10)</f>
        <v>0.25</v>
      </c>
      <c r="AY202" s="79"/>
      <c r="AZ202" s="79"/>
    </row>
    <row r="203" spans="1:52" ht="15.75" customHeight="1">
      <c r="A203" s="54">
        <v>207</v>
      </c>
      <c r="B203" s="399">
        <v>44922</v>
      </c>
      <c r="C203" s="32" t="s">
        <v>770</v>
      </c>
      <c r="D203" s="32" t="s">
        <v>771</v>
      </c>
      <c r="E203" s="32" t="s">
        <v>547</v>
      </c>
      <c r="F203" s="32" t="s">
        <v>772</v>
      </c>
      <c r="G203" s="33" t="s">
        <v>220</v>
      </c>
      <c r="H203" s="33" t="s">
        <v>90</v>
      </c>
      <c r="I203" s="34">
        <v>0</v>
      </c>
      <c r="J203" s="33">
        <v>6</v>
      </c>
      <c r="K203" s="35" t="s">
        <v>773</v>
      </c>
      <c r="L203" s="35" t="s">
        <v>246</v>
      </c>
      <c r="M203" s="67" t="s">
        <v>222</v>
      </c>
      <c r="N203" s="33" t="s">
        <v>68</v>
      </c>
      <c r="O203" s="33" t="s">
        <v>13</v>
      </c>
      <c r="P203" s="33" t="s">
        <v>1</v>
      </c>
      <c r="Q203" s="47"/>
      <c r="R203" s="47"/>
      <c r="S203" s="45" t="s">
        <v>143</v>
      </c>
      <c r="T203" s="45"/>
      <c r="U203" s="51">
        <v>44922</v>
      </c>
      <c r="V203" s="48">
        <f t="shared" si="29"/>
        <v>44922</v>
      </c>
      <c r="W203" s="50">
        <f>V203-U203</f>
        <v>0</v>
      </c>
      <c r="X203" s="261">
        <v>333000</v>
      </c>
      <c r="Y203" s="260">
        <v>333000</v>
      </c>
      <c r="Z203" s="260">
        <v>357986</v>
      </c>
      <c r="AA203" s="35">
        <v>0</v>
      </c>
      <c r="AB203" s="260"/>
      <c r="AC203" s="41"/>
      <c r="AD203" s="42"/>
      <c r="AE203" s="41"/>
      <c r="AF203" s="43"/>
      <c r="AG203" s="40">
        <v>24986</v>
      </c>
      <c r="AH203" s="40">
        <v>0</v>
      </c>
      <c r="AI203" s="44"/>
      <c r="AJ203" s="44"/>
      <c r="AK203" s="40">
        <v>0</v>
      </c>
      <c r="AL203" s="40">
        <v>0</v>
      </c>
      <c r="AM203" s="242">
        <f t="shared" si="30"/>
        <v>44926</v>
      </c>
      <c r="AN203" s="242" t="str">
        <f>IF(AQ203="x","",IF(AQ203="x",AM203,IF(EOMONTH(I203,0)=31,"",EOMONTH(I203,0))))</f>
        <v/>
      </c>
      <c r="AO203" s="79">
        <f>IFERROR(IF(VLOOKUP(C203,C204:C807,1,0)=0,1,0),1)</f>
        <v>1</v>
      </c>
      <c r="AP203" s="79"/>
      <c r="AQ203" s="243" t="str">
        <f t="shared" si="23"/>
        <v/>
      </c>
      <c r="AR203" s="242" t="b">
        <f>IF(AQ203="x",EOMONTH(I203,0))</f>
        <v>0</v>
      </c>
      <c r="AS203" s="79">
        <f t="shared" si="24"/>
        <v>1</v>
      </c>
      <c r="AT203" s="79">
        <f t="shared" si="25"/>
        <v>1</v>
      </c>
      <c r="AU203" s="79" t="str">
        <f t="shared" si="26"/>
        <v>B</v>
      </c>
      <c r="AV203" s="79">
        <f t="shared" si="28"/>
        <v>1</v>
      </c>
      <c r="AW203" s="79" t="str">
        <f>J203&amp;AU203</f>
        <v>6B</v>
      </c>
      <c r="AX203" s="79">
        <f>IF(COUNTIFS(J:J,"Integral",E:E,E203,H:H,"Ativo")=4,1/4,1/10)</f>
        <v>0.1</v>
      </c>
      <c r="AY203" s="79"/>
      <c r="AZ203" s="79"/>
    </row>
    <row r="204" spans="1:52" ht="15.75" customHeight="1">
      <c r="A204" s="54">
        <v>208</v>
      </c>
      <c r="B204" s="399">
        <v>44927</v>
      </c>
      <c r="C204" s="32" t="s">
        <v>774</v>
      </c>
      <c r="D204" s="32" t="s">
        <v>775</v>
      </c>
      <c r="E204" s="32" t="s">
        <v>776</v>
      </c>
      <c r="F204" s="32" t="s">
        <v>777</v>
      </c>
      <c r="G204" s="33" t="s">
        <v>243</v>
      </c>
      <c r="H204" s="33" t="s">
        <v>244</v>
      </c>
      <c r="I204" s="34">
        <v>44956</v>
      </c>
      <c r="J204" s="33" t="s">
        <v>6</v>
      </c>
      <c r="K204" s="35" t="s">
        <v>778</v>
      </c>
      <c r="L204" s="35" t="s">
        <v>600</v>
      </c>
      <c r="M204" s="67" t="s">
        <v>222</v>
      </c>
      <c r="N204" s="33" t="s">
        <v>68</v>
      </c>
      <c r="O204" s="33" t="s">
        <v>11</v>
      </c>
      <c r="P204" s="33" t="s">
        <v>1</v>
      </c>
      <c r="Q204" s="47"/>
      <c r="R204" s="47"/>
      <c r="S204" s="45" t="s">
        <v>222</v>
      </c>
      <c r="T204" s="45"/>
      <c r="U204" s="55">
        <v>44922</v>
      </c>
      <c r="V204" s="48">
        <f t="shared" si="29"/>
        <v>44927</v>
      </c>
      <c r="W204" s="50">
        <f>V204-U204</f>
        <v>5</v>
      </c>
      <c r="X204" s="265">
        <v>0</v>
      </c>
      <c r="Y204" s="67">
        <v>0</v>
      </c>
      <c r="Z204" s="67">
        <v>1875000</v>
      </c>
      <c r="AA204" s="35">
        <v>0</v>
      </c>
      <c r="AB204" s="67"/>
      <c r="AC204" s="40"/>
      <c r="AD204" s="42"/>
      <c r="AE204" s="41">
        <v>0</v>
      </c>
      <c r="AF204" s="43">
        <v>0</v>
      </c>
      <c r="AG204" s="40">
        <v>0</v>
      </c>
      <c r="AH204" s="40"/>
      <c r="AI204" s="44"/>
      <c r="AJ204" s="44"/>
      <c r="AK204" s="40">
        <v>0</v>
      </c>
      <c r="AL204" s="40"/>
      <c r="AM204" s="242">
        <f t="shared" si="30"/>
        <v>44957</v>
      </c>
      <c r="AN204" s="242" t="str">
        <f>IF(AQ204="x","",IF(AQ204="x",AM204,IF(EOMONTH(I204,0)=31,"",EOMONTH(I204,0))))</f>
        <v/>
      </c>
      <c r="AO204" s="79">
        <f>IFERROR(IF(VLOOKUP(C204,C205:C808,1,0)=0,1,0),1)</f>
        <v>0</v>
      </c>
      <c r="AP204" s="79"/>
      <c r="AQ204" s="243" t="str">
        <f t="shared" si="23"/>
        <v>x</v>
      </c>
      <c r="AR204" s="242">
        <f>IF(AQ204="x",EOMONTH(I204,0))</f>
        <v>44957</v>
      </c>
      <c r="AS204" s="79">
        <f t="shared" si="24"/>
        <v>1</v>
      </c>
      <c r="AT204" s="79">
        <f t="shared" si="25"/>
        <v>1</v>
      </c>
      <c r="AU204" s="79" t="str">
        <f t="shared" si="26"/>
        <v>A</v>
      </c>
      <c r="AV204" s="79">
        <f t="shared" si="28"/>
        <v>1</v>
      </c>
      <c r="AW204" s="79" t="str">
        <f>J204&amp;AU204</f>
        <v>IntegralA</v>
      </c>
      <c r="AX204" s="79">
        <f>IF(COUNTIFS(J:J,"Integral",E:E,E204,H:H,"Ativo")=4,1/4,1/10)</f>
        <v>0.25</v>
      </c>
      <c r="AY204" s="79"/>
      <c r="AZ204" s="79"/>
    </row>
    <row r="205" spans="1:52" ht="15.75" customHeight="1">
      <c r="A205" s="54">
        <v>209</v>
      </c>
      <c r="B205" s="399">
        <v>44927</v>
      </c>
      <c r="C205" s="32" t="s">
        <v>774</v>
      </c>
      <c r="D205" s="32" t="s">
        <v>779</v>
      </c>
      <c r="E205" s="32" t="s">
        <v>776</v>
      </c>
      <c r="F205" s="32" t="s">
        <v>780</v>
      </c>
      <c r="G205" s="33" t="s">
        <v>243</v>
      </c>
      <c r="H205" s="33" t="s">
        <v>244</v>
      </c>
      <c r="I205" s="34">
        <v>44956</v>
      </c>
      <c r="J205" s="33" t="s">
        <v>6</v>
      </c>
      <c r="K205" s="35" t="s">
        <v>778</v>
      </c>
      <c r="L205" s="35" t="s">
        <v>600</v>
      </c>
      <c r="M205" s="67" t="s">
        <v>222</v>
      </c>
      <c r="N205" s="33" t="s">
        <v>68</v>
      </c>
      <c r="O205" s="33" t="s">
        <v>11</v>
      </c>
      <c r="P205" s="33" t="s">
        <v>1</v>
      </c>
      <c r="Q205" s="47"/>
      <c r="R205" s="47"/>
      <c r="S205" s="45" t="s">
        <v>222</v>
      </c>
      <c r="T205" s="45"/>
      <c r="U205" s="55">
        <v>44922</v>
      </c>
      <c r="V205" s="48">
        <f t="shared" si="29"/>
        <v>44927</v>
      </c>
      <c r="W205" s="50">
        <f>V205-U205</f>
        <v>5</v>
      </c>
      <c r="X205" s="265">
        <v>0</v>
      </c>
      <c r="Y205" s="67">
        <v>0</v>
      </c>
      <c r="Z205" s="67">
        <v>1875000</v>
      </c>
      <c r="AA205" s="35">
        <v>0</v>
      </c>
      <c r="AB205" s="67"/>
      <c r="AC205" s="40"/>
      <c r="AD205" s="42"/>
      <c r="AE205" s="41">
        <v>0</v>
      </c>
      <c r="AF205" s="43">
        <v>0</v>
      </c>
      <c r="AG205" s="40">
        <v>0</v>
      </c>
      <c r="AH205" s="40"/>
      <c r="AI205" s="44"/>
      <c r="AJ205" s="44"/>
      <c r="AK205" s="40">
        <v>0</v>
      </c>
      <c r="AL205" s="40"/>
      <c r="AM205" s="242">
        <f t="shared" si="30"/>
        <v>44957</v>
      </c>
      <c r="AN205" s="242" t="str">
        <f>IF(AQ205="x","",IF(AQ205="x",AM205,IF(EOMONTH(I205,0)=31,"",EOMONTH(I205,0))))</f>
        <v/>
      </c>
      <c r="AO205" s="79">
        <f>IFERROR(IF(VLOOKUP(C205,C206:C809,1,0)=0,1,0),1)</f>
        <v>0</v>
      </c>
      <c r="AP205" s="79"/>
      <c r="AQ205" s="243" t="str">
        <f t="shared" si="23"/>
        <v>x</v>
      </c>
      <c r="AR205" s="242">
        <f>IF(AQ205="x",EOMONTH(I205,0))</f>
        <v>44957</v>
      </c>
      <c r="AS205" s="79">
        <f t="shared" si="24"/>
        <v>1</v>
      </c>
      <c r="AT205" s="79">
        <f t="shared" si="25"/>
        <v>1</v>
      </c>
      <c r="AU205" s="79" t="str">
        <f t="shared" si="26"/>
        <v>A</v>
      </c>
      <c r="AV205" s="79">
        <f t="shared" si="28"/>
        <v>1</v>
      </c>
      <c r="AW205" s="79" t="str">
        <f>J205&amp;AU205</f>
        <v>IntegralA</v>
      </c>
      <c r="AX205" s="79">
        <f>IF(COUNTIFS(J:J,"Integral",E:E,E205,H:H,"Ativo")=4,1/4,1/10)</f>
        <v>0.25</v>
      </c>
      <c r="AY205" s="79"/>
      <c r="AZ205" s="79"/>
    </row>
    <row r="206" spans="1:52" ht="15.75" customHeight="1">
      <c r="A206" s="54">
        <v>210</v>
      </c>
      <c r="B206" s="399">
        <v>44927</v>
      </c>
      <c r="C206" s="32" t="s">
        <v>774</v>
      </c>
      <c r="D206" s="32" t="s">
        <v>781</v>
      </c>
      <c r="E206" s="32" t="s">
        <v>776</v>
      </c>
      <c r="F206" s="32" t="s">
        <v>782</v>
      </c>
      <c r="G206" s="33" t="s">
        <v>243</v>
      </c>
      <c r="H206" s="33" t="s">
        <v>244</v>
      </c>
      <c r="I206" s="34">
        <v>44956</v>
      </c>
      <c r="J206" s="33" t="s">
        <v>6</v>
      </c>
      <c r="K206" s="35" t="s">
        <v>778</v>
      </c>
      <c r="L206" s="35" t="s">
        <v>600</v>
      </c>
      <c r="M206" s="67" t="s">
        <v>222</v>
      </c>
      <c r="N206" s="33" t="s">
        <v>68</v>
      </c>
      <c r="O206" s="33" t="s">
        <v>11</v>
      </c>
      <c r="P206" s="33" t="s">
        <v>1</v>
      </c>
      <c r="Q206" s="47"/>
      <c r="R206" s="47"/>
      <c r="S206" s="45" t="s">
        <v>222</v>
      </c>
      <c r="T206" s="45"/>
      <c r="U206" s="55">
        <v>44922</v>
      </c>
      <c r="V206" s="48">
        <f t="shared" si="29"/>
        <v>44927</v>
      </c>
      <c r="W206" s="50">
        <f>V206-U206</f>
        <v>5</v>
      </c>
      <c r="X206" s="265">
        <v>0</v>
      </c>
      <c r="Y206" s="67">
        <v>0</v>
      </c>
      <c r="Z206" s="67">
        <v>1875000</v>
      </c>
      <c r="AA206" s="35">
        <v>0</v>
      </c>
      <c r="AB206" s="67"/>
      <c r="AC206" s="40"/>
      <c r="AD206" s="42"/>
      <c r="AE206" s="41">
        <v>0</v>
      </c>
      <c r="AF206" s="43">
        <v>0</v>
      </c>
      <c r="AG206" s="40">
        <v>0</v>
      </c>
      <c r="AH206" s="40"/>
      <c r="AI206" s="44"/>
      <c r="AJ206" s="44"/>
      <c r="AK206" s="40">
        <v>0</v>
      </c>
      <c r="AL206" s="40"/>
      <c r="AM206" s="242">
        <f t="shared" si="30"/>
        <v>44957</v>
      </c>
      <c r="AN206" s="242" t="str">
        <f>IF(AQ206="x","",IF(AQ206="x",AM206,IF(EOMONTH(I206,0)=31,"",EOMONTH(I206,0))))</f>
        <v/>
      </c>
      <c r="AO206" s="79">
        <f>IFERROR(IF(VLOOKUP(C206,C207:C810,1,0)=0,1,0),1)</f>
        <v>0</v>
      </c>
      <c r="AP206" s="79"/>
      <c r="AQ206" s="243" t="str">
        <f t="shared" si="23"/>
        <v>x</v>
      </c>
      <c r="AR206" s="242">
        <f>IF(AQ206="x",EOMONTH(I206,0))</f>
        <v>44957</v>
      </c>
      <c r="AS206" s="79">
        <f t="shared" si="24"/>
        <v>1</v>
      </c>
      <c r="AT206" s="79">
        <f t="shared" si="25"/>
        <v>1</v>
      </c>
      <c r="AU206" s="79" t="str">
        <f t="shared" si="26"/>
        <v>A</v>
      </c>
      <c r="AV206" s="79">
        <f t="shared" si="28"/>
        <v>1</v>
      </c>
      <c r="AW206" s="79" t="str">
        <f>J206&amp;AU206</f>
        <v>IntegralA</v>
      </c>
      <c r="AX206" s="79">
        <f>IF(COUNTIFS(J:J,"Integral",E:E,E206,H:H,"Ativo")=4,1/4,1/10)</f>
        <v>0.25</v>
      </c>
      <c r="AY206" s="79"/>
      <c r="AZ206" s="79"/>
    </row>
    <row r="207" spans="1:52" ht="15.75" customHeight="1">
      <c r="A207" s="54">
        <v>211</v>
      </c>
      <c r="B207" s="399">
        <v>44927</v>
      </c>
      <c r="C207" s="32" t="s">
        <v>774</v>
      </c>
      <c r="D207" s="32" t="s">
        <v>783</v>
      </c>
      <c r="E207" s="32" t="s">
        <v>776</v>
      </c>
      <c r="F207" s="32" t="s">
        <v>784</v>
      </c>
      <c r="G207" s="33" t="s">
        <v>243</v>
      </c>
      <c r="H207" s="33" t="s">
        <v>244</v>
      </c>
      <c r="I207" s="34">
        <v>44956</v>
      </c>
      <c r="J207" s="33" t="s">
        <v>6</v>
      </c>
      <c r="K207" s="35" t="s">
        <v>778</v>
      </c>
      <c r="L207" s="35" t="s">
        <v>600</v>
      </c>
      <c r="M207" s="67" t="s">
        <v>222</v>
      </c>
      <c r="N207" s="33" t="s">
        <v>68</v>
      </c>
      <c r="O207" s="33" t="s">
        <v>11</v>
      </c>
      <c r="P207" s="33" t="s">
        <v>1</v>
      </c>
      <c r="Q207" s="47"/>
      <c r="R207" s="47"/>
      <c r="S207" s="45" t="s">
        <v>222</v>
      </c>
      <c r="T207" s="45"/>
      <c r="U207" s="55">
        <v>44922</v>
      </c>
      <c r="V207" s="48">
        <f t="shared" si="29"/>
        <v>44927</v>
      </c>
      <c r="W207" s="50">
        <f>V207-U207</f>
        <v>5</v>
      </c>
      <c r="X207" s="265">
        <v>0</v>
      </c>
      <c r="Y207" s="67">
        <v>0</v>
      </c>
      <c r="Z207" s="67">
        <v>1875000</v>
      </c>
      <c r="AA207" s="35">
        <v>0</v>
      </c>
      <c r="AB207" s="67"/>
      <c r="AC207" s="40"/>
      <c r="AD207" s="42"/>
      <c r="AE207" s="41">
        <v>0</v>
      </c>
      <c r="AF207" s="43">
        <v>0</v>
      </c>
      <c r="AG207" s="40">
        <v>0</v>
      </c>
      <c r="AH207" s="40"/>
      <c r="AI207" s="44"/>
      <c r="AJ207" s="44"/>
      <c r="AK207" s="40">
        <v>0</v>
      </c>
      <c r="AL207" s="40"/>
      <c r="AM207" s="242">
        <f t="shared" si="30"/>
        <v>44957</v>
      </c>
      <c r="AN207" s="242" t="str">
        <f>IF(AQ207="x","",IF(AQ207="x",AM207,IF(EOMONTH(I207,0)=31,"",EOMONTH(I207,0))))</f>
        <v/>
      </c>
      <c r="AO207" s="79">
        <f>IFERROR(IF(VLOOKUP(C207,C208:C811,1,0)=0,1,0),1)</f>
        <v>1</v>
      </c>
      <c r="AP207" s="79"/>
      <c r="AQ207" s="243" t="str">
        <f t="shared" si="23"/>
        <v>x</v>
      </c>
      <c r="AR207" s="242">
        <f>IF(AQ207="x",EOMONTH(I207,0))</f>
        <v>44957</v>
      </c>
      <c r="AS207" s="79">
        <f t="shared" si="24"/>
        <v>1</v>
      </c>
      <c r="AT207" s="79">
        <f t="shared" si="25"/>
        <v>1</v>
      </c>
      <c r="AU207" s="79" t="str">
        <f t="shared" si="26"/>
        <v>A</v>
      </c>
      <c r="AV207" s="79">
        <f t="shared" si="28"/>
        <v>1</v>
      </c>
      <c r="AW207" s="79" t="str">
        <f>J207&amp;AU207</f>
        <v>IntegralA</v>
      </c>
      <c r="AX207" s="79">
        <f>IF(COUNTIFS(J:J,"Integral",E:E,E207,H:H,"Ativo")=4,1/4,1/10)</f>
        <v>0.25</v>
      </c>
      <c r="AY207" s="79"/>
      <c r="AZ207" s="79"/>
    </row>
    <row r="208" spans="1:52" ht="15.75" customHeight="1">
      <c r="A208" s="54">
        <v>212</v>
      </c>
      <c r="B208" s="399">
        <v>44921</v>
      </c>
      <c r="C208" s="32" t="s">
        <v>785</v>
      </c>
      <c r="D208" s="32" t="s">
        <v>595</v>
      </c>
      <c r="E208" s="32" t="s">
        <v>300</v>
      </c>
      <c r="F208" s="32" t="s">
        <v>786</v>
      </c>
      <c r="G208" s="33" t="s">
        <v>243</v>
      </c>
      <c r="H208" s="33" t="s">
        <v>244</v>
      </c>
      <c r="I208" s="34">
        <v>44932</v>
      </c>
      <c r="J208" s="33">
        <v>6</v>
      </c>
      <c r="K208" s="35" t="s">
        <v>778</v>
      </c>
      <c r="L208" s="35" t="s">
        <v>413</v>
      </c>
      <c r="M208" s="67" t="s">
        <v>222</v>
      </c>
      <c r="N208" s="33" t="s">
        <v>68</v>
      </c>
      <c r="O208" s="33" t="s">
        <v>12</v>
      </c>
      <c r="P208" s="33">
        <v>0</v>
      </c>
      <c r="Q208" s="47"/>
      <c r="R208" s="47"/>
      <c r="S208" s="45" t="s">
        <v>222</v>
      </c>
      <c r="T208" s="45"/>
      <c r="U208" s="51">
        <v>44868</v>
      </c>
      <c r="V208" s="48">
        <f t="shared" si="29"/>
        <v>44921</v>
      </c>
      <c r="W208" s="50">
        <f>V208-U208</f>
        <v>53</v>
      </c>
      <c r="X208" s="265">
        <v>0</v>
      </c>
      <c r="Y208" s="67">
        <v>0</v>
      </c>
      <c r="Z208" s="67">
        <v>350000</v>
      </c>
      <c r="AA208" s="35">
        <v>0</v>
      </c>
      <c r="AB208" s="67"/>
      <c r="AC208" s="40"/>
      <c r="AD208" s="42"/>
      <c r="AE208" s="41">
        <v>0</v>
      </c>
      <c r="AF208" s="43">
        <v>0</v>
      </c>
      <c r="AG208" s="40">
        <v>0</v>
      </c>
      <c r="AH208" s="40"/>
      <c r="AI208" s="44"/>
      <c r="AJ208" s="44"/>
      <c r="AK208" s="40">
        <v>0</v>
      </c>
      <c r="AL208" s="40"/>
      <c r="AM208" s="242">
        <f t="shared" si="30"/>
        <v>44926</v>
      </c>
      <c r="AN208" s="242" t="str">
        <f>IF(AQ208="x","",IF(AQ208="x",AM208,IF(EOMONTH(I208,0)=31,"",EOMONTH(I208,0))))</f>
        <v/>
      </c>
      <c r="AO208" s="79">
        <f>IFERROR(IF(VLOOKUP(C208,C209:C812,1,0)=0,1,0),1)</f>
        <v>1</v>
      </c>
      <c r="AP208" s="79"/>
      <c r="AQ208" s="243" t="str">
        <f t="shared" si="23"/>
        <v>x</v>
      </c>
      <c r="AR208" s="242">
        <f>IF(AQ208="x",EOMONTH(I208,0))</f>
        <v>44957</v>
      </c>
      <c r="AS208" s="79">
        <f t="shared" si="24"/>
        <v>1</v>
      </c>
      <c r="AT208" s="79">
        <f t="shared" si="25"/>
        <v>1</v>
      </c>
      <c r="AU208" s="79" t="str">
        <f t="shared" si="26"/>
        <v>B</v>
      </c>
      <c r="AV208" s="79">
        <f t="shared" si="28"/>
        <v>1</v>
      </c>
      <c r="AW208" s="79" t="str">
        <f>J208&amp;AU208</f>
        <v>6B</v>
      </c>
      <c r="AX208" s="79">
        <f>IF(COUNTIFS(J:J,"Integral",E:E,E208,H:H,"Ativo")=4,1/4,1/10)</f>
        <v>0.1</v>
      </c>
      <c r="AY208" s="79"/>
      <c r="AZ208" s="79"/>
    </row>
    <row r="209" spans="1:52" ht="15.75" customHeight="1">
      <c r="A209" s="54">
        <v>213</v>
      </c>
      <c r="B209" s="399">
        <v>44924</v>
      </c>
      <c r="C209" s="32" t="s">
        <v>787</v>
      </c>
      <c r="D209" s="32" t="s">
        <v>788</v>
      </c>
      <c r="E209" s="32" t="s">
        <v>300</v>
      </c>
      <c r="F209" s="32" t="s">
        <v>789</v>
      </c>
      <c r="G209" s="33" t="s">
        <v>220</v>
      </c>
      <c r="H209" s="33" t="s">
        <v>244</v>
      </c>
      <c r="I209" s="34">
        <v>45148</v>
      </c>
      <c r="J209" s="33">
        <v>6</v>
      </c>
      <c r="K209" s="35" t="s">
        <v>566</v>
      </c>
      <c r="L209" s="35" t="s">
        <v>600</v>
      </c>
      <c r="M209" s="67" t="s">
        <v>222</v>
      </c>
      <c r="N209" s="33" t="s">
        <v>68</v>
      </c>
      <c r="O209" s="33" t="s">
        <v>12</v>
      </c>
      <c r="P209" s="33" t="s">
        <v>1</v>
      </c>
      <c r="Q209" s="47"/>
      <c r="R209" s="47"/>
      <c r="S209" s="45" t="s">
        <v>143</v>
      </c>
      <c r="T209" s="45"/>
      <c r="U209" s="51">
        <v>44924</v>
      </c>
      <c r="V209" s="48">
        <f t="shared" si="29"/>
        <v>44924</v>
      </c>
      <c r="W209" s="50">
        <f>V209-U209</f>
        <v>0</v>
      </c>
      <c r="X209" s="265">
        <v>333000</v>
      </c>
      <c r="Y209" s="67">
        <v>333000</v>
      </c>
      <c r="Z209" s="67">
        <v>360000</v>
      </c>
      <c r="AA209" s="35">
        <v>0</v>
      </c>
      <c r="AB209" s="67"/>
      <c r="AC209" s="41"/>
      <c r="AD209" s="42"/>
      <c r="AE209" s="41"/>
      <c r="AF209" s="43"/>
      <c r="AG209" s="40">
        <v>27000</v>
      </c>
      <c r="AH209" s="40"/>
      <c r="AI209" s="44"/>
      <c r="AJ209" s="44"/>
      <c r="AK209" s="40">
        <v>0</v>
      </c>
      <c r="AL209" s="40">
        <v>0</v>
      </c>
      <c r="AM209" s="242">
        <f t="shared" si="30"/>
        <v>44926</v>
      </c>
      <c r="AN209" s="242">
        <f>IF(AQ209="x","",IF(AQ209="x",AM209,IF(EOMONTH(I209,0)=31,"",EOMONTH(I209,0))))</f>
        <v>45169</v>
      </c>
      <c r="AO209" s="79">
        <f>IFERROR(IF(VLOOKUP(C209,C210:C813,1,0)=0,1,0),1)</f>
        <v>1</v>
      </c>
      <c r="AP209" s="79"/>
      <c r="AQ209" s="243" t="str">
        <f t="shared" si="23"/>
        <v/>
      </c>
      <c r="AR209" s="242" t="b">
        <f>IF(AQ209="x",EOMONTH(I209,0))</f>
        <v>0</v>
      </c>
      <c r="AS209" s="79">
        <f t="shared" si="24"/>
        <v>1</v>
      </c>
      <c r="AT209" s="79">
        <f t="shared" si="25"/>
        <v>1</v>
      </c>
      <c r="AU209" s="79" t="str">
        <f t="shared" si="26"/>
        <v>B</v>
      </c>
      <c r="AV209" s="79">
        <f t="shared" si="28"/>
        <v>1</v>
      </c>
      <c r="AW209" s="79" t="str">
        <f>J209&amp;AU209</f>
        <v>6B</v>
      </c>
      <c r="AX209" s="79">
        <f>IF(COUNTIFS(J:J,"Integral",E:E,E209,H:H,"Ativo")=4,1/4,1/10)</f>
        <v>0.1</v>
      </c>
      <c r="AY209" s="79"/>
      <c r="AZ209" s="79"/>
    </row>
    <row r="210" spans="1:52" ht="15.75" customHeight="1">
      <c r="A210" s="54">
        <v>214</v>
      </c>
      <c r="B210" s="399">
        <v>44925</v>
      </c>
      <c r="C210" s="32" t="s">
        <v>790</v>
      </c>
      <c r="D210" s="32" t="s">
        <v>510</v>
      </c>
      <c r="E210" s="32" t="s">
        <v>385</v>
      </c>
      <c r="F210" s="32" t="s">
        <v>791</v>
      </c>
      <c r="G210" s="33" t="s">
        <v>220</v>
      </c>
      <c r="H210" s="33" t="s">
        <v>90</v>
      </c>
      <c r="I210" s="34">
        <v>0</v>
      </c>
      <c r="J210" s="33">
        <v>4</v>
      </c>
      <c r="K210" s="35" t="s">
        <v>394</v>
      </c>
      <c r="L210" s="35" t="s">
        <v>600</v>
      </c>
      <c r="M210" s="67" t="s">
        <v>222</v>
      </c>
      <c r="N210" s="33" t="s">
        <v>68</v>
      </c>
      <c r="O210" s="33" t="s">
        <v>11</v>
      </c>
      <c r="P210" s="33" t="s">
        <v>2</v>
      </c>
      <c r="Q210" s="47"/>
      <c r="R210" s="47"/>
      <c r="S210" s="45" t="s">
        <v>158</v>
      </c>
      <c r="T210" s="45"/>
      <c r="U210" s="51">
        <v>44925</v>
      </c>
      <c r="V210" s="48">
        <f t="shared" si="29"/>
        <v>44925</v>
      </c>
      <c r="W210" s="50">
        <f>V210-U210</f>
        <v>0</v>
      </c>
      <c r="X210" s="261">
        <v>216000</v>
      </c>
      <c r="Y210" s="260">
        <v>216000</v>
      </c>
      <c r="Z210" s="260">
        <v>225000</v>
      </c>
      <c r="AA210" s="35">
        <v>0</v>
      </c>
      <c r="AB210" s="260"/>
      <c r="AC210" s="41"/>
      <c r="AD210" s="42"/>
      <c r="AE210" s="41"/>
      <c r="AF210" s="43"/>
      <c r="AG210" s="40">
        <v>9000</v>
      </c>
      <c r="AH210" s="40"/>
      <c r="AI210" s="44"/>
      <c r="AJ210" s="44"/>
      <c r="AK210" s="40">
        <v>0</v>
      </c>
      <c r="AL210" s="40">
        <v>0</v>
      </c>
      <c r="AM210" s="242">
        <f t="shared" si="30"/>
        <v>44926</v>
      </c>
      <c r="AN210" s="242" t="str">
        <f>IF(AQ210="x","",IF(AQ210="x",AM210,IF(EOMONTH(I210,0)=31,"",EOMONTH(I210,0))))</f>
        <v/>
      </c>
      <c r="AO210" s="79">
        <f>IFERROR(IF(VLOOKUP(C210,C211:C814,1,0)=0,1,0),1)</f>
        <v>0</v>
      </c>
      <c r="AP210" s="79"/>
      <c r="AQ210" s="243" t="str">
        <f t="shared" si="23"/>
        <v/>
      </c>
      <c r="AR210" s="242" t="b">
        <f>IF(AQ210="x",EOMONTH(I210,0))</f>
        <v>0</v>
      </c>
      <c r="AS210" s="79">
        <f t="shared" si="24"/>
        <v>1</v>
      </c>
      <c r="AT210" s="79">
        <f t="shared" si="25"/>
        <v>1</v>
      </c>
      <c r="AU210" s="79" t="str">
        <f t="shared" si="26"/>
        <v>B</v>
      </c>
      <c r="AV210" s="79">
        <f t="shared" si="28"/>
        <v>1</v>
      </c>
      <c r="AW210" s="79" t="str">
        <f>J210&amp;AU210</f>
        <v>4B</v>
      </c>
      <c r="AX210" s="79">
        <f>IF(COUNTIFS(J:J,"Integral",E:E,E210,H:H,"Ativo")=4,1/4,1/10)</f>
        <v>0.1</v>
      </c>
      <c r="AY210" s="79"/>
      <c r="AZ210" s="79"/>
    </row>
    <row r="211" spans="1:52" ht="15.75" customHeight="1">
      <c r="A211" s="54">
        <v>215</v>
      </c>
      <c r="B211" s="399">
        <v>44925</v>
      </c>
      <c r="C211" s="32" t="s">
        <v>790</v>
      </c>
      <c r="D211" s="32" t="s">
        <v>517</v>
      </c>
      <c r="E211" s="32" t="s">
        <v>385</v>
      </c>
      <c r="F211" s="32" t="s">
        <v>792</v>
      </c>
      <c r="G211" s="33" t="s">
        <v>220</v>
      </c>
      <c r="H211" s="33" t="s">
        <v>90</v>
      </c>
      <c r="I211" s="34">
        <v>0</v>
      </c>
      <c r="J211" s="33">
        <v>4</v>
      </c>
      <c r="K211" s="35" t="s">
        <v>394</v>
      </c>
      <c r="L211" s="35" t="s">
        <v>600</v>
      </c>
      <c r="M211" s="67" t="s">
        <v>222</v>
      </c>
      <c r="N211" s="33" t="s">
        <v>68</v>
      </c>
      <c r="O211" s="33" t="s">
        <v>11</v>
      </c>
      <c r="P211" s="33" t="s">
        <v>2</v>
      </c>
      <c r="Q211" s="47"/>
      <c r="R211" s="47"/>
      <c r="S211" s="45" t="s">
        <v>158</v>
      </c>
      <c r="T211" s="45"/>
      <c r="U211" s="51">
        <v>44925</v>
      </c>
      <c r="V211" s="48">
        <f t="shared" si="29"/>
        <v>44925</v>
      </c>
      <c r="W211" s="50">
        <f>V211-U211</f>
        <v>0</v>
      </c>
      <c r="X211" s="261">
        <v>216000</v>
      </c>
      <c r="Y211" s="260">
        <v>216000</v>
      </c>
      <c r="Z211" s="260">
        <v>225000</v>
      </c>
      <c r="AA211" s="35">
        <v>0</v>
      </c>
      <c r="AB211" s="260"/>
      <c r="AC211" s="41"/>
      <c r="AD211" s="42"/>
      <c r="AE211" s="41"/>
      <c r="AF211" s="43"/>
      <c r="AG211" s="40">
        <v>9000</v>
      </c>
      <c r="AH211" s="40"/>
      <c r="AI211" s="44"/>
      <c r="AJ211" s="44"/>
      <c r="AK211" s="40">
        <v>0</v>
      </c>
      <c r="AL211" s="40">
        <v>0</v>
      </c>
      <c r="AM211" s="242">
        <f t="shared" si="30"/>
        <v>44926</v>
      </c>
      <c r="AN211" s="242" t="str">
        <f>IF(AQ211="x","",IF(AQ211="x",AM211,IF(EOMONTH(I211,0)=31,"",EOMONTH(I211,0))))</f>
        <v/>
      </c>
      <c r="AO211" s="79">
        <f>IFERROR(IF(VLOOKUP(C211,C212:C815,1,0)=0,1,0),1)</f>
        <v>1</v>
      </c>
      <c r="AP211" s="79"/>
      <c r="AQ211" s="243" t="str">
        <f t="shared" si="23"/>
        <v/>
      </c>
      <c r="AR211" s="242" t="b">
        <f>IF(AQ211="x",EOMONTH(I211,0))</f>
        <v>0</v>
      </c>
      <c r="AS211" s="79">
        <f t="shared" si="24"/>
        <v>1</v>
      </c>
      <c r="AT211" s="79">
        <f t="shared" si="25"/>
        <v>1</v>
      </c>
      <c r="AU211" s="79" t="str">
        <f t="shared" si="26"/>
        <v>B</v>
      </c>
      <c r="AV211" s="79">
        <f t="shared" si="28"/>
        <v>1</v>
      </c>
      <c r="AW211" s="79" t="str">
        <f>J211&amp;AU211</f>
        <v>4B</v>
      </c>
      <c r="AX211" s="79">
        <f>IF(COUNTIFS(J:J,"Integral",E:E,E211,H:H,"Ativo")=4,1/4,1/10)</f>
        <v>0.1</v>
      </c>
      <c r="AY211" s="79"/>
      <c r="AZ211" s="79"/>
    </row>
    <row r="212" spans="1:52" ht="15.75" customHeight="1">
      <c r="A212" s="54">
        <v>216</v>
      </c>
      <c r="B212" s="399">
        <v>44926</v>
      </c>
      <c r="C212" s="32" t="s">
        <v>793</v>
      </c>
      <c r="D212" s="32" t="s">
        <v>794</v>
      </c>
      <c r="E212" s="32" t="s">
        <v>753</v>
      </c>
      <c r="F212" s="32" t="s">
        <v>795</v>
      </c>
      <c r="G212" s="33" t="s">
        <v>220</v>
      </c>
      <c r="H212" s="33" t="s">
        <v>90</v>
      </c>
      <c r="I212" s="34">
        <v>0</v>
      </c>
      <c r="J212" s="33">
        <v>4</v>
      </c>
      <c r="K212" s="35" t="s">
        <v>566</v>
      </c>
      <c r="L212" s="35" t="s">
        <v>413</v>
      </c>
      <c r="M212" s="67" t="s">
        <v>222</v>
      </c>
      <c r="N212" s="33" t="s">
        <v>68</v>
      </c>
      <c r="O212" s="33" t="s">
        <v>11</v>
      </c>
      <c r="P212" s="33" t="s">
        <v>1</v>
      </c>
      <c r="Q212" s="47"/>
      <c r="R212" s="47"/>
      <c r="S212" s="45" t="s">
        <v>143</v>
      </c>
      <c r="T212" s="45"/>
      <c r="U212" s="51">
        <v>44926</v>
      </c>
      <c r="V212" s="48">
        <f t="shared" si="29"/>
        <v>44926</v>
      </c>
      <c r="W212" s="50">
        <f>V212-U212</f>
        <v>0</v>
      </c>
      <c r="X212" s="261">
        <v>220000</v>
      </c>
      <c r="Y212" s="260">
        <v>220000</v>
      </c>
      <c r="Z212" s="260">
        <v>235000</v>
      </c>
      <c r="AA212" s="35">
        <v>0</v>
      </c>
      <c r="AB212" s="260"/>
      <c r="AC212" s="41"/>
      <c r="AD212" s="42"/>
      <c r="AE212" s="41"/>
      <c r="AF212" s="43"/>
      <c r="AG212" s="40">
        <v>15000</v>
      </c>
      <c r="AH212" s="40"/>
      <c r="AI212" s="44"/>
      <c r="AJ212" s="44"/>
      <c r="AK212" s="40">
        <v>0</v>
      </c>
      <c r="AL212" s="40">
        <v>0</v>
      </c>
      <c r="AM212" s="242">
        <f t="shared" si="30"/>
        <v>44926</v>
      </c>
      <c r="AN212" s="242" t="str">
        <f>IF(AQ212="x","",IF(AQ212="x",AM212,IF(EOMONTH(I212,0)=31,"",EOMONTH(I212,0))))</f>
        <v/>
      </c>
      <c r="AO212" s="79">
        <f>IFERROR(IF(VLOOKUP(C212,C213:C816,1,0)=0,1,0),1)</f>
        <v>0</v>
      </c>
      <c r="AP212" s="79"/>
      <c r="AQ212" s="243" t="str">
        <f t="shared" si="23"/>
        <v/>
      </c>
      <c r="AR212" s="242" t="b">
        <f>IF(AQ212="x",EOMONTH(I212,0))</f>
        <v>0</v>
      </c>
      <c r="AS212" s="79">
        <f t="shared" si="24"/>
        <v>1</v>
      </c>
      <c r="AT212" s="79">
        <f t="shared" si="25"/>
        <v>1</v>
      </c>
      <c r="AU212" s="79" t="str">
        <f t="shared" si="26"/>
        <v>B</v>
      </c>
      <c r="AV212" s="79">
        <f t="shared" si="28"/>
        <v>1</v>
      </c>
      <c r="AW212" s="79" t="str">
        <f>J212&amp;AU212</f>
        <v>4B</v>
      </c>
      <c r="AX212" s="79">
        <f>IF(COUNTIFS(J:J,"Integral",E:E,E212,H:H,"Ativo")=4,1/4,1/10)</f>
        <v>0.1</v>
      </c>
      <c r="AY212" s="79"/>
      <c r="AZ212" s="79"/>
    </row>
    <row r="213" spans="1:52" ht="15.75" customHeight="1">
      <c r="A213" s="54">
        <v>217</v>
      </c>
      <c r="B213" s="399">
        <v>44926</v>
      </c>
      <c r="C213" s="32" t="s">
        <v>793</v>
      </c>
      <c r="D213" s="32" t="s">
        <v>796</v>
      </c>
      <c r="E213" s="32" t="s">
        <v>753</v>
      </c>
      <c r="F213" s="32" t="s">
        <v>797</v>
      </c>
      <c r="G213" s="33" t="s">
        <v>220</v>
      </c>
      <c r="H213" s="33" t="s">
        <v>90</v>
      </c>
      <c r="I213" s="34">
        <v>0</v>
      </c>
      <c r="J213" s="33">
        <v>4</v>
      </c>
      <c r="K213" s="35" t="s">
        <v>566</v>
      </c>
      <c r="L213" s="35" t="s">
        <v>413</v>
      </c>
      <c r="M213" s="67" t="s">
        <v>222</v>
      </c>
      <c r="N213" s="33" t="s">
        <v>68</v>
      </c>
      <c r="O213" s="33" t="s">
        <v>11</v>
      </c>
      <c r="P213" s="33" t="s">
        <v>1</v>
      </c>
      <c r="Q213" s="47"/>
      <c r="R213" s="47"/>
      <c r="S213" s="45" t="s">
        <v>143</v>
      </c>
      <c r="T213" s="45"/>
      <c r="U213" s="51">
        <v>44926</v>
      </c>
      <c r="V213" s="48">
        <f t="shared" si="29"/>
        <v>44926</v>
      </c>
      <c r="W213" s="50">
        <f>V213-U213</f>
        <v>0</v>
      </c>
      <c r="X213" s="261">
        <v>220000</v>
      </c>
      <c r="Y213" s="260">
        <v>220000</v>
      </c>
      <c r="Z213" s="260">
        <v>235000</v>
      </c>
      <c r="AA213" s="35">
        <v>0</v>
      </c>
      <c r="AB213" s="260"/>
      <c r="AC213" s="41"/>
      <c r="AD213" s="42"/>
      <c r="AE213" s="41"/>
      <c r="AF213" s="43"/>
      <c r="AG213" s="40">
        <v>15000</v>
      </c>
      <c r="AH213" s="40"/>
      <c r="AI213" s="44"/>
      <c r="AJ213" s="44"/>
      <c r="AK213" s="40">
        <v>0</v>
      </c>
      <c r="AL213" s="40">
        <v>0</v>
      </c>
      <c r="AM213" s="242">
        <f t="shared" si="30"/>
        <v>44926</v>
      </c>
      <c r="AN213" s="242" t="str">
        <f>IF(AQ213="x","",IF(AQ213="x",AM213,IF(EOMONTH(I213,0)=31,"",EOMONTH(I213,0))))</f>
        <v/>
      </c>
      <c r="AO213" s="79">
        <f>IFERROR(IF(VLOOKUP(C213,C214:C817,1,0)=0,1,0),1)</f>
        <v>1</v>
      </c>
      <c r="AP213" s="79"/>
      <c r="AQ213" s="243" t="str">
        <f t="shared" si="23"/>
        <v/>
      </c>
      <c r="AR213" s="242" t="b">
        <f>IF(AQ213="x",EOMONTH(I213,0))</f>
        <v>0</v>
      </c>
      <c r="AS213" s="79">
        <f t="shared" si="24"/>
        <v>1</v>
      </c>
      <c r="AT213" s="79">
        <f t="shared" si="25"/>
        <v>1</v>
      </c>
      <c r="AU213" s="79" t="str">
        <f t="shared" si="26"/>
        <v>B</v>
      </c>
      <c r="AV213" s="79">
        <f t="shared" si="28"/>
        <v>1</v>
      </c>
      <c r="AW213" s="79" t="str">
        <f>J213&amp;AU213</f>
        <v>4B</v>
      </c>
      <c r="AX213" s="79">
        <f>IF(COUNTIFS(J:J,"Integral",E:E,E213,H:H,"Ativo")=4,1/4,1/10)</f>
        <v>0.1</v>
      </c>
      <c r="AY213" s="79"/>
      <c r="AZ213" s="79"/>
    </row>
    <row r="214" spans="1:52" ht="15.75" customHeight="1">
      <c r="A214" s="54">
        <v>218</v>
      </c>
      <c r="B214" s="399">
        <v>44927</v>
      </c>
      <c r="C214" s="32" t="s">
        <v>798</v>
      </c>
      <c r="D214" s="32" t="s">
        <v>799</v>
      </c>
      <c r="E214" s="32" t="s">
        <v>700</v>
      </c>
      <c r="F214" s="32" t="s">
        <v>800</v>
      </c>
      <c r="G214" s="33" t="s">
        <v>220</v>
      </c>
      <c r="H214" s="33" t="s">
        <v>90</v>
      </c>
      <c r="I214" s="34">
        <v>0</v>
      </c>
      <c r="J214" s="33">
        <v>6</v>
      </c>
      <c r="K214" s="35" t="s">
        <v>566</v>
      </c>
      <c r="L214" s="35" t="s">
        <v>413</v>
      </c>
      <c r="M214" s="67" t="s">
        <v>222</v>
      </c>
      <c r="N214" s="33" t="s">
        <v>68</v>
      </c>
      <c r="O214" s="33" t="s">
        <v>13</v>
      </c>
      <c r="P214" s="33" t="s">
        <v>1</v>
      </c>
      <c r="Q214" s="47"/>
      <c r="R214" s="47"/>
      <c r="S214" s="45" t="s">
        <v>143</v>
      </c>
      <c r="T214" s="45"/>
      <c r="U214" s="51">
        <v>44927</v>
      </c>
      <c r="V214" s="48">
        <f t="shared" si="29"/>
        <v>44927</v>
      </c>
      <c r="W214" s="50">
        <f>V214-U214</f>
        <v>0</v>
      </c>
      <c r="X214" s="261">
        <v>327000</v>
      </c>
      <c r="Y214" s="260">
        <v>327000</v>
      </c>
      <c r="Z214" s="260">
        <v>360000</v>
      </c>
      <c r="AA214" s="35">
        <v>0</v>
      </c>
      <c r="AB214" s="260"/>
      <c r="AC214" s="41"/>
      <c r="AD214" s="42"/>
      <c r="AE214" s="41"/>
      <c r="AF214" s="43"/>
      <c r="AG214" s="40">
        <v>33000</v>
      </c>
      <c r="AH214" s="40"/>
      <c r="AI214" s="44"/>
      <c r="AJ214" s="44"/>
      <c r="AK214" s="40">
        <v>0</v>
      </c>
      <c r="AL214" s="40">
        <v>0</v>
      </c>
      <c r="AM214" s="242">
        <f t="shared" si="30"/>
        <v>44957</v>
      </c>
      <c r="AN214" s="242" t="str">
        <f>IF(AQ214="x","",IF(AQ214="x",AM214,IF(EOMONTH(I214,0)=31,"",EOMONTH(I214,0))))</f>
        <v/>
      </c>
      <c r="AO214" s="79">
        <f>IFERROR(IF(VLOOKUP(C214,C215:C818,1,0)=0,1,0),1)</f>
        <v>1</v>
      </c>
      <c r="AP214" s="79"/>
      <c r="AQ214" s="243" t="str">
        <f t="shared" si="23"/>
        <v/>
      </c>
      <c r="AR214" s="242" t="b">
        <f>IF(AQ214="x",EOMONTH(I214,0))</f>
        <v>0</v>
      </c>
      <c r="AS214" s="79">
        <f t="shared" si="24"/>
        <v>1</v>
      </c>
      <c r="AT214" s="79">
        <f t="shared" si="25"/>
        <v>1</v>
      </c>
      <c r="AU214" s="79" t="str">
        <f t="shared" si="26"/>
        <v>B</v>
      </c>
      <c r="AV214" s="79">
        <f t="shared" si="28"/>
        <v>1</v>
      </c>
      <c r="AW214" s="79" t="str">
        <f>J214&amp;AU214</f>
        <v>6B</v>
      </c>
      <c r="AX214" s="79">
        <f>IF(COUNTIFS(J:J,"Integral",E:E,E214,H:H,"Ativo")=4,1/4,1/10)</f>
        <v>0.1</v>
      </c>
      <c r="AY214" s="79"/>
      <c r="AZ214" s="79"/>
    </row>
    <row r="215" spans="1:52" ht="15.75" customHeight="1">
      <c r="A215" s="54">
        <v>219</v>
      </c>
      <c r="B215" s="399">
        <v>44928</v>
      </c>
      <c r="C215" s="32" t="s">
        <v>801</v>
      </c>
      <c r="D215" s="32" t="s">
        <v>467</v>
      </c>
      <c r="E215" s="32" t="s">
        <v>468</v>
      </c>
      <c r="F215" s="32" t="s">
        <v>802</v>
      </c>
      <c r="G215" s="33" t="s">
        <v>243</v>
      </c>
      <c r="H215" s="33" t="s">
        <v>244</v>
      </c>
      <c r="I215" s="34">
        <v>44945</v>
      </c>
      <c r="J215" s="33">
        <v>13</v>
      </c>
      <c r="K215" s="35" t="s">
        <v>378</v>
      </c>
      <c r="L215" s="35" t="s">
        <v>238</v>
      </c>
      <c r="M215" s="67" t="s">
        <v>222</v>
      </c>
      <c r="N215" s="33" t="s">
        <v>68</v>
      </c>
      <c r="O215" s="33" t="s">
        <v>12</v>
      </c>
      <c r="P215" s="33">
        <v>0</v>
      </c>
      <c r="Q215" s="47"/>
      <c r="R215" s="47"/>
      <c r="S215" s="45" t="s">
        <v>222</v>
      </c>
      <c r="T215" s="45"/>
      <c r="U215" s="51">
        <v>44928</v>
      </c>
      <c r="V215" s="48">
        <f t="shared" si="29"/>
        <v>44928</v>
      </c>
      <c r="W215" s="50">
        <f>V215-U215</f>
        <v>0</v>
      </c>
      <c r="X215" s="265">
        <v>0</v>
      </c>
      <c r="Y215" s="67">
        <v>0</v>
      </c>
      <c r="Z215" s="67">
        <v>673200</v>
      </c>
      <c r="AA215" s="35">
        <v>0</v>
      </c>
      <c r="AB215" s="67"/>
      <c r="AC215" s="40"/>
      <c r="AD215" s="42"/>
      <c r="AE215" s="41">
        <v>0</v>
      </c>
      <c r="AF215" s="43">
        <v>0</v>
      </c>
      <c r="AG215" s="40">
        <v>0</v>
      </c>
      <c r="AH215" s="40"/>
      <c r="AI215" s="44"/>
      <c r="AJ215" s="44"/>
      <c r="AK215" s="40">
        <v>0</v>
      </c>
      <c r="AL215" s="40"/>
      <c r="AM215" s="242">
        <f t="shared" si="30"/>
        <v>44957</v>
      </c>
      <c r="AN215" s="242" t="str">
        <f>IF(AQ215="x","",IF(AQ215="x",AM215,IF(EOMONTH(I215,0)=31,"",EOMONTH(I215,0))))</f>
        <v/>
      </c>
      <c r="AO215" s="79">
        <f>IFERROR(IF(VLOOKUP(C215,C216:C819,1,0)=0,1,0),1)</f>
        <v>1</v>
      </c>
      <c r="AP215" s="79"/>
      <c r="AQ215" s="243" t="str">
        <f t="shared" si="23"/>
        <v>x</v>
      </c>
      <c r="AR215" s="242">
        <f>IF(AQ215="x",EOMONTH(I215,0))</f>
        <v>44957</v>
      </c>
      <c r="AS215" s="79">
        <f t="shared" si="24"/>
        <v>1</v>
      </c>
      <c r="AT215" s="79">
        <f t="shared" si="25"/>
        <v>1</v>
      </c>
      <c r="AU215" s="79" t="str">
        <f t="shared" si="26"/>
        <v>B</v>
      </c>
      <c r="AV215" s="79">
        <f t="shared" si="28"/>
        <v>1</v>
      </c>
      <c r="AW215" s="79" t="str">
        <f>J215&amp;AU215</f>
        <v>13B</v>
      </c>
      <c r="AX215" s="79">
        <f>IF(COUNTIFS(J:J,"Integral",E:E,E215,H:H,"Ativo")=4,1/4,1/10)</f>
        <v>0.1</v>
      </c>
      <c r="AY215" s="79"/>
      <c r="AZ215" s="79"/>
    </row>
    <row r="216" spans="1:52" ht="15.75" customHeight="1">
      <c r="A216" s="54">
        <v>220</v>
      </c>
      <c r="B216" s="399">
        <v>44928</v>
      </c>
      <c r="C216" s="32" t="s">
        <v>803</v>
      </c>
      <c r="D216" s="32" t="s">
        <v>470</v>
      </c>
      <c r="E216" s="32" t="s">
        <v>468</v>
      </c>
      <c r="F216" s="32" t="s">
        <v>804</v>
      </c>
      <c r="G216" s="33" t="s">
        <v>220</v>
      </c>
      <c r="H216" s="33" t="s">
        <v>90</v>
      </c>
      <c r="I216" s="34">
        <v>0</v>
      </c>
      <c r="J216" s="33">
        <v>13</v>
      </c>
      <c r="K216" s="35" t="s">
        <v>378</v>
      </c>
      <c r="L216" s="35" t="s">
        <v>238</v>
      </c>
      <c r="M216" s="67" t="s">
        <v>222</v>
      </c>
      <c r="N216" s="33" t="s">
        <v>68</v>
      </c>
      <c r="O216" s="33" t="s">
        <v>12</v>
      </c>
      <c r="P216" s="33" t="s">
        <v>1</v>
      </c>
      <c r="Q216" s="47"/>
      <c r="R216" s="47"/>
      <c r="S216" s="45" t="s">
        <v>152</v>
      </c>
      <c r="T216" s="45"/>
      <c r="U216" s="51">
        <v>44928</v>
      </c>
      <c r="V216" s="48">
        <f t="shared" si="29"/>
        <v>44928</v>
      </c>
      <c r="W216" s="50">
        <f>V216-U216</f>
        <v>0</v>
      </c>
      <c r="X216" s="261">
        <v>696000</v>
      </c>
      <c r="Y216" s="260">
        <v>696000</v>
      </c>
      <c r="Z216" s="260">
        <v>673200</v>
      </c>
      <c r="AA216" s="35">
        <v>0</v>
      </c>
      <c r="AB216" s="260"/>
      <c r="AC216" s="41"/>
      <c r="AD216" s="42">
        <v>3.3700000000000001E-2</v>
      </c>
      <c r="AE216" s="41"/>
      <c r="AF216" s="43">
        <v>3.3700000000000001E-2</v>
      </c>
      <c r="AG216" s="40">
        <v>0</v>
      </c>
      <c r="AH216" s="40">
        <v>22800</v>
      </c>
      <c r="AI216" s="41">
        <v>3.2758620689655175E-2</v>
      </c>
      <c r="AJ216" s="44"/>
      <c r="AK216" s="40">
        <v>22800</v>
      </c>
      <c r="AL216" s="40">
        <v>0</v>
      </c>
      <c r="AM216" s="242">
        <f t="shared" si="30"/>
        <v>44957</v>
      </c>
      <c r="AN216" s="242" t="str">
        <f>IF(AQ216="x","",IF(AQ216="x",AM216,IF(EOMONTH(I216,0)=31,"",EOMONTH(I216,0))))</f>
        <v/>
      </c>
      <c r="AO216" s="79">
        <f>IFERROR(IF(VLOOKUP(C216,C217:C820,1,0)=0,1,0),1)</f>
        <v>1</v>
      </c>
      <c r="AP216" s="79"/>
      <c r="AQ216" s="243" t="str">
        <f t="shared" si="23"/>
        <v/>
      </c>
      <c r="AR216" s="242" t="b">
        <f>IF(AQ216="x",EOMONTH(I216,0))</f>
        <v>0</v>
      </c>
      <c r="AS216" s="79">
        <f t="shared" si="24"/>
        <v>1</v>
      </c>
      <c r="AT216" s="79">
        <f t="shared" si="25"/>
        <v>1</v>
      </c>
      <c r="AU216" s="79" t="str">
        <f t="shared" si="26"/>
        <v>B</v>
      </c>
      <c r="AV216" s="79">
        <f t="shared" si="28"/>
        <v>1</v>
      </c>
      <c r="AW216" s="79" t="str">
        <f>J216&amp;AU216</f>
        <v>13B</v>
      </c>
      <c r="AX216" s="79">
        <f>IF(COUNTIFS(J:J,"Integral",E:E,E216,H:H,"Ativo")=4,1/4,1/10)</f>
        <v>0.1</v>
      </c>
      <c r="AY216" s="79"/>
      <c r="AZ216" s="79"/>
    </row>
    <row r="217" spans="1:52" ht="15.75" customHeight="1">
      <c r="A217" s="54">
        <v>221</v>
      </c>
      <c r="B217" s="399">
        <v>44930</v>
      </c>
      <c r="C217" s="32" t="s">
        <v>805</v>
      </c>
      <c r="D217" s="32" t="s">
        <v>806</v>
      </c>
      <c r="E217" s="32" t="s">
        <v>807</v>
      </c>
      <c r="F217" s="32" t="s">
        <v>808</v>
      </c>
      <c r="G217" s="33" t="s">
        <v>220</v>
      </c>
      <c r="H217" s="33" t="s">
        <v>244</v>
      </c>
      <c r="I217" s="34">
        <v>44932</v>
      </c>
      <c r="J217" s="33">
        <v>6</v>
      </c>
      <c r="K217" s="35" t="s">
        <v>273</v>
      </c>
      <c r="L217" s="35" t="s">
        <v>238</v>
      </c>
      <c r="M217" s="67" t="s">
        <v>222</v>
      </c>
      <c r="N217" s="33" t="s">
        <v>68</v>
      </c>
      <c r="O217" s="33" t="s">
        <v>13</v>
      </c>
      <c r="P217" s="33" t="s">
        <v>1</v>
      </c>
      <c r="Q217" s="47"/>
      <c r="R217" s="47"/>
      <c r="S217" s="45" t="s">
        <v>222</v>
      </c>
      <c r="T217" s="45"/>
      <c r="U217" s="51">
        <v>44930</v>
      </c>
      <c r="V217" s="48">
        <f t="shared" si="29"/>
        <v>44930</v>
      </c>
      <c r="W217" s="50">
        <f>V217-U217</f>
        <v>0</v>
      </c>
      <c r="X217" s="265">
        <v>0</v>
      </c>
      <c r="Y217" s="67">
        <v>0</v>
      </c>
      <c r="Z217" s="67">
        <v>355000</v>
      </c>
      <c r="AA217" s="35">
        <v>0</v>
      </c>
      <c r="AB217" s="67"/>
      <c r="AC217" s="40"/>
      <c r="AD217" s="42"/>
      <c r="AE217" s="41">
        <v>0</v>
      </c>
      <c r="AF217" s="43">
        <v>0</v>
      </c>
      <c r="AG217" s="40">
        <v>0</v>
      </c>
      <c r="AH217" s="40"/>
      <c r="AI217" s="44"/>
      <c r="AJ217" s="44"/>
      <c r="AK217" s="40">
        <v>0</v>
      </c>
      <c r="AL217" s="40"/>
      <c r="AM217" s="242">
        <f t="shared" si="30"/>
        <v>44957</v>
      </c>
      <c r="AN217" s="242">
        <f>IF(AQ217="x","",IF(AQ217="x",AM217,IF(EOMONTH(I217,0)=31,"",EOMONTH(I217,0))))</f>
        <v>44957</v>
      </c>
      <c r="AO217" s="79">
        <f>IFERROR(IF(VLOOKUP(C217,C218:C821,1,0)=0,1,0),1)</f>
        <v>1</v>
      </c>
      <c r="AP217" s="79"/>
      <c r="AQ217" s="243" t="str">
        <f t="shared" si="23"/>
        <v/>
      </c>
      <c r="AR217" s="242" t="b">
        <f>IF(AQ217="x",EOMONTH(I217,0))</f>
        <v>0</v>
      </c>
      <c r="AS217" s="79">
        <f t="shared" si="24"/>
        <v>1</v>
      </c>
      <c r="AT217" s="79">
        <f t="shared" si="25"/>
        <v>1</v>
      </c>
      <c r="AU217" s="79" t="str">
        <f t="shared" si="26"/>
        <v>B</v>
      </c>
      <c r="AV217" s="79">
        <f t="shared" si="28"/>
        <v>1</v>
      </c>
      <c r="AW217" s="79" t="str">
        <f>J217&amp;AU217</f>
        <v>6B</v>
      </c>
      <c r="AX217" s="79">
        <f>IF(COUNTIFS(J:J,"Integral",E:E,E217,H:H,"Ativo")=4,1/4,1/10)</f>
        <v>0.1</v>
      </c>
      <c r="AY217" s="79"/>
      <c r="AZ217" s="79"/>
    </row>
    <row r="218" spans="1:52" ht="15.75" customHeight="1">
      <c r="A218" s="54">
        <v>222</v>
      </c>
      <c r="B218" s="399">
        <v>44930</v>
      </c>
      <c r="C218" s="32" t="s">
        <v>809</v>
      </c>
      <c r="D218" s="32" t="s">
        <v>810</v>
      </c>
      <c r="E218" s="32" t="s">
        <v>811</v>
      </c>
      <c r="F218" s="32" t="s">
        <v>812</v>
      </c>
      <c r="G218" s="33" t="s">
        <v>220</v>
      </c>
      <c r="H218" s="33" t="s">
        <v>244</v>
      </c>
      <c r="I218" s="34">
        <v>44957</v>
      </c>
      <c r="J218" s="33" t="s">
        <v>6</v>
      </c>
      <c r="K218" s="35" t="s">
        <v>378</v>
      </c>
      <c r="L218" s="35" t="s">
        <v>238</v>
      </c>
      <c r="M218" s="67" t="s">
        <v>222</v>
      </c>
      <c r="N218" s="33" t="s">
        <v>68</v>
      </c>
      <c r="O218" s="33" t="s">
        <v>13</v>
      </c>
      <c r="P218" s="33">
        <v>0</v>
      </c>
      <c r="Q218" s="47"/>
      <c r="R218" s="47"/>
      <c r="S218" s="45" t="s">
        <v>222</v>
      </c>
      <c r="T218" s="45"/>
      <c r="U218" s="51">
        <v>44862</v>
      </c>
      <c r="V218" s="48">
        <f t="shared" si="29"/>
        <v>44930</v>
      </c>
      <c r="W218" s="50">
        <f>V218-U218</f>
        <v>68</v>
      </c>
      <c r="X218" s="265">
        <v>0</v>
      </c>
      <c r="Y218" s="67">
        <v>0</v>
      </c>
      <c r="Z218" s="67">
        <v>1147750</v>
      </c>
      <c r="AA218" s="35">
        <v>0</v>
      </c>
      <c r="AB218" s="67"/>
      <c r="AC218" s="40"/>
      <c r="AD218" s="42"/>
      <c r="AE218" s="41">
        <v>0</v>
      </c>
      <c r="AF218" s="43">
        <v>0</v>
      </c>
      <c r="AG218" s="40">
        <v>0</v>
      </c>
      <c r="AH218" s="40"/>
      <c r="AI218" s="44"/>
      <c r="AJ218" s="44"/>
      <c r="AK218" s="40">
        <v>0</v>
      </c>
      <c r="AL218" s="40"/>
      <c r="AM218" s="242">
        <f t="shared" si="30"/>
        <v>44957</v>
      </c>
      <c r="AN218" s="242">
        <f>IF(AQ218="x","",IF(AQ218="x",AM218,IF(EOMONTH(I218,0)=31,"",EOMONTH(I218,0))))</f>
        <v>44957</v>
      </c>
      <c r="AO218" s="79">
        <f>IFERROR(IF(VLOOKUP(C218,C219:C822,1,0)=0,1,0),1)</f>
        <v>0</v>
      </c>
      <c r="AP218" s="79"/>
      <c r="AQ218" s="243" t="str">
        <f t="shared" si="23"/>
        <v/>
      </c>
      <c r="AR218" s="242" t="b">
        <f>IF(AQ218="x",EOMONTH(I218,0))</f>
        <v>0</v>
      </c>
      <c r="AS218" s="79">
        <f t="shared" si="24"/>
        <v>1</v>
      </c>
      <c r="AT218" s="79">
        <f t="shared" si="25"/>
        <v>1</v>
      </c>
      <c r="AU218" s="79" t="str">
        <f t="shared" si="26"/>
        <v>A</v>
      </c>
      <c r="AV218" s="79">
        <f t="shared" si="28"/>
        <v>1</v>
      </c>
      <c r="AW218" s="79" t="str">
        <f>J218&amp;AU218</f>
        <v>IntegralA</v>
      </c>
      <c r="AX218" s="79">
        <f>IF(COUNTIFS(J:J,"Integral",E:E,E218,H:H,"Ativo")=4,1/4,1/10)</f>
        <v>0.1</v>
      </c>
      <c r="AY218" s="79"/>
      <c r="AZ218" s="79"/>
    </row>
    <row r="219" spans="1:52" ht="15.75" customHeight="1">
      <c r="A219" s="54">
        <v>223</v>
      </c>
      <c r="B219" s="399">
        <v>44930</v>
      </c>
      <c r="C219" s="32" t="s">
        <v>809</v>
      </c>
      <c r="D219" s="32" t="s">
        <v>813</v>
      </c>
      <c r="E219" s="32" t="s">
        <v>811</v>
      </c>
      <c r="F219" s="32" t="s">
        <v>814</v>
      </c>
      <c r="G219" s="33" t="s">
        <v>220</v>
      </c>
      <c r="H219" s="33" t="s">
        <v>244</v>
      </c>
      <c r="I219" s="34">
        <v>44957</v>
      </c>
      <c r="J219" s="33" t="s">
        <v>6</v>
      </c>
      <c r="K219" s="35" t="s">
        <v>378</v>
      </c>
      <c r="L219" s="35" t="s">
        <v>238</v>
      </c>
      <c r="M219" s="67" t="s">
        <v>222</v>
      </c>
      <c r="N219" s="33" t="s">
        <v>68</v>
      </c>
      <c r="O219" s="33" t="s">
        <v>13</v>
      </c>
      <c r="P219" s="33">
        <v>0</v>
      </c>
      <c r="Q219" s="47"/>
      <c r="R219" s="47"/>
      <c r="S219" s="45" t="s">
        <v>222</v>
      </c>
      <c r="T219" s="45"/>
      <c r="U219" s="51">
        <v>44862</v>
      </c>
      <c r="V219" s="48">
        <f t="shared" si="29"/>
        <v>44930</v>
      </c>
      <c r="W219" s="50">
        <f>V219-U219</f>
        <v>68</v>
      </c>
      <c r="X219" s="265">
        <v>0</v>
      </c>
      <c r="Y219" s="67">
        <v>0</v>
      </c>
      <c r="Z219" s="67">
        <v>1147750</v>
      </c>
      <c r="AA219" s="35">
        <v>0</v>
      </c>
      <c r="AB219" s="67"/>
      <c r="AC219" s="40"/>
      <c r="AD219" s="42"/>
      <c r="AE219" s="41">
        <v>0</v>
      </c>
      <c r="AF219" s="43">
        <v>0</v>
      </c>
      <c r="AG219" s="40">
        <v>0</v>
      </c>
      <c r="AH219" s="40"/>
      <c r="AI219" s="44"/>
      <c r="AJ219" s="44"/>
      <c r="AK219" s="40">
        <v>0</v>
      </c>
      <c r="AL219" s="40"/>
      <c r="AM219" s="242">
        <f t="shared" si="30"/>
        <v>44957</v>
      </c>
      <c r="AN219" s="242">
        <f>IF(AQ219="x","",IF(AQ219="x",AM219,IF(EOMONTH(I219,0)=31,"",EOMONTH(I219,0))))</f>
        <v>44957</v>
      </c>
      <c r="AO219" s="79">
        <f>IFERROR(IF(VLOOKUP(C219,C220:C823,1,0)=0,1,0),1)</f>
        <v>0</v>
      </c>
      <c r="AP219" s="79"/>
      <c r="AQ219" s="243" t="str">
        <f t="shared" si="23"/>
        <v/>
      </c>
      <c r="AR219" s="242" t="b">
        <f>IF(AQ219="x",EOMONTH(I219,0))</f>
        <v>0</v>
      </c>
      <c r="AS219" s="79">
        <f t="shared" si="24"/>
        <v>1</v>
      </c>
      <c r="AT219" s="79">
        <f t="shared" si="25"/>
        <v>1</v>
      </c>
      <c r="AU219" s="79" t="str">
        <f t="shared" si="26"/>
        <v>A</v>
      </c>
      <c r="AV219" s="79">
        <f t="shared" si="28"/>
        <v>1</v>
      </c>
      <c r="AW219" s="79" t="str">
        <f>J219&amp;AU219</f>
        <v>IntegralA</v>
      </c>
      <c r="AX219" s="79">
        <f>IF(COUNTIFS(J:J,"Integral",E:E,E219,H:H,"Ativo")=4,1/4,1/10)</f>
        <v>0.1</v>
      </c>
      <c r="AY219" s="79"/>
      <c r="AZ219" s="79"/>
    </row>
    <row r="220" spans="1:52" ht="15.75" customHeight="1">
      <c r="A220" s="54">
        <v>224</v>
      </c>
      <c r="B220" s="399">
        <v>44930</v>
      </c>
      <c r="C220" s="32" t="s">
        <v>809</v>
      </c>
      <c r="D220" s="32" t="s">
        <v>815</v>
      </c>
      <c r="E220" s="32" t="s">
        <v>811</v>
      </c>
      <c r="F220" s="32" t="s">
        <v>816</v>
      </c>
      <c r="G220" s="33" t="s">
        <v>220</v>
      </c>
      <c r="H220" s="33" t="s">
        <v>244</v>
      </c>
      <c r="I220" s="34">
        <v>44957</v>
      </c>
      <c r="J220" s="33" t="s">
        <v>6</v>
      </c>
      <c r="K220" s="35" t="s">
        <v>378</v>
      </c>
      <c r="L220" s="35" t="s">
        <v>238</v>
      </c>
      <c r="M220" s="67" t="s">
        <v>222</v>
      </c>
      <c r="N220" s="33" t="s">
        <v>68</v>
      </c>
      <c r="O220" s="33" t="s">
        <v>13</v>
      </c>
      <c r="P220" s="33">
        <v>0</v>
      </c>
      <c r="Q220" s="47"/>
      <c r="R220" s="47"/>
      <c r="S220" s="45" t="s">
        <v>222</v>
      </c>
      <c r="T220" s="45"/>
      <c r="U220" s="51">
        <v>44862</v>
      </c>
      <c r="V220" s="48">
        <f t="shared" si="29"/>
        <v>44930</v>
      </c>
      <c r="W220" s="50">
        <f>V220-U220</f>
        <v>68</v>
      </c>
      <c r="X220" s="265">
        <v>0</v>
      </c>
      <c r="Y220" s="67">
        <v>0</v>
      </c>
      <c r="Z220" s="67">
        <v>1147750</v>
      </c>
      <c r="AA220" s="35">
        <v>0</v>
      </c>
      <c r="AB220" s="67"/>
      <c r="AC220" s="40"/>
      <c r="AD220" s="42"/>
      <c r="AE220" s="41">
        <v>0</v>
      </c>
      <c r="AF220" s="43">
        <v>0</v>
      </c>
      <c r="AG220" s="40">
        <v>0</v>
      </c>
      <c r="AH220" s="40"/>
      <c r="AI220" s="44"/>
      <c r="AJ220" s="44"/>
      <c r="AK220" s="40">
        <v>0</v>
      </c>
      <c r="AL220" s="40"/>
      <c r="AM220" s="242">
        <f t="shared" si="30"/>
        <v>44957</v>
      </c>
      <c r="AN220" s="242">
        <f>IF(AQ220="x","",IF(AQ220="x",AM220,IF(EOMONTH(I220,0)=31,"",EOMONTH(I220,0))))</f>
        <v>44957</v>
      </c>
      <c r="AO220" s="79">
        <f>IFERROR(IF(VLOOKUP(C220,C221:C824,1,0)=0,1,0),1)</f>
        <v>0</v>
      </c>
      <c r="AP220" s="79"/>
      <c r="AQ220" s="243" t="str">
        <f t="shared" si="23"/>
        <v/>
      </c>
      <c r="AR220" s="242" t="b">
        <f>IF(AQ220="x",EOMONTH(I220,0))</f>
        <v>0</v>
      </c>
      <c r="AS220" s="79">
        <f t="shared" si="24"/>
        <v>1</v>
      </c>
      <c r="AT220" s="79">
        <f t="shared" si="25"/>
        <v>1</v>
      </c>
      <c r="AU220" s="79" t="str">
        <f t="shared" si="26"/>
        <v>A</v>
      </c>
      <c r="AV220" s="79">
        <f t="shared" si="28"/>
        <v>1</v>
      </c>
      <c r="AW220" s="79" t="str">
        <f>J220&amp;AU220</f>
        <v>IntegralA</v>
      </c>
      <c r="AX220" s="79">
        <f>IF(COUNTIFS(J:J,"Integral",E:E,E220,H:H,"Ativo")=4,1/4,1/10)</f>
        <v>0.1</v>
      </c>
      <c r="AY220" s="79"/>
      <c r="AZ220" s="79"/>
    </row>
    <row r="221" spans="1:52" ht="15.75" customHeight="1">
      <c r="A221" s="54">
        <v>225</v>
      </c>
      <c r="B221" s="399">
        <v>44930</v>
      </c>
      <c r="C221" s="32" t="s">
        <v>809</v>
      </c>
      <c r="D221" s="32" t="s">
        <v>817</v>
      </c>
      <c r="E221" s="32" t="s">
        <v>811</v>
      </c>
      <c r="F221" s="32" t="s">
        <v>818</v>
      </c>
      <c r="G221" s="33" t="s">
        <v>220</v>
      </c>
      <c r="H221" s="33" t="s">
        <v>244</v>
      </c>
      <c r="I221" s="34">
        <v>44957</v>
      </c>
      <c r="J221" s="33" t="s">
        <v>6</v>
      </c>
      <c r="K221" s="35" t="s">
        <v>378</v>
      </c>
      <c r="L221" s="35" t="s">
        <v>238</v>
      </c>
      <c r="M221" s="67" t="s">
        <v>222</v>
      </c>
      <c r="N221" s="33" t="s">
        <v>68</v>
      </c>
      <c r="O221" s="33" t="s">
        <v>13</v>
      </c>
      <c r="P221" s="33">
        <v>0</v>
      </c>
      <c r="Q221" s="47"/>
      <c r="R221" s="47"/>
      <c r="S221" s="45" t="s">
        <v>222</v>
      </c>
      <c r="T221" s="45"/>
      <c r="U221" s="51">
        <v>44862</v>
      </c>
      <c r="V221" s="48">
        <f t="shared" si="29"/>
        <v>44930</v>
      </c>
      <c r="W221" s="50">
        <f>V221-U221</f>
        <v>68</v>
      </c>
      <c r="X221" s="265">
        <v>0</v>
      </c>
      <c r="Y221" s="67">
        <v>0</v>
      </c>
      <c r="Z221" s="67">
        <v>1147750</v>
      </c>
      <c r="AA221" s="35">
        <v>0</v>
      </c>
      <c r="AB221" s="67"/>
      <c r="AC221" s="40"/>
      <c r="AD221" s="42"/>
      <c r="AE221" s="41">
        <v>0</v>
      </c>
      <c r="AF221" s="43">
        <v>0</v>
      </c>
      <c r="AG221" s="40">
        <v>0</v>
      </c>
      <c r="AH221" s="40"/>
      <c r="AI221" s="44"/>
      <c r="AJ221" s="44"/>
      <c r="AK221" s="40">
        <v>0</v>
      </c>
      <c r="AL221" s="40"/>
      <c r="AM221" s="242">
        <f t="shared" si="30"/>
        <v>44957</v>
      </c>
      <c r="AN221" s="242">
        <f>IF(AQ221="x","",IF(AQ221="x",AM221,IF(EOMONTH(I221,0)=31,"",EOMONTH(I221,0))))</f>
        <v>44957</v>
      </c>
      <c r="AO221" s="79">
        <f>IFERROR(IF(VLOOKUP(C221,C222:C825,1,0)=0,1,0),1)</f>
        <v>1</v>
      </c>
      <c r="AP221" s="79"/>
      <c r="AQ221" s="243" t="str">
        <f t="shared" si="23"/>
        <v/>
      </c>
      <c r="AR221" s="242" t="b">
        <f>IF(AQ221="x",EOMONTH(I221,0))</f>
        <v>0</v>
      </c>
      <c r="AS221" s="79">
        <f t="shared" si="24"/>
        <v>1</v>
      </c>
      <c r="AT221" s="79">
        <f t="shared" si="25"/>
        <v>1</v>
      </c>
      <c r="AU221" s="79" t="str">
        <f t="shared" si="26"/>
        <v>A</v>
      </c>
      <c r="AV221" s="79">
        <f t="shared" si="28"/>
        <v>1</v>
      </c>
      <c r="AW221" s="79" t="str">
        <f>J221&amp;AU221</f>
        <v>IntegralA</v>
      </c>
      <c r="AX221" s="79">
        <f>IF(COUNTIFS(J:J,"Integral",E:E,E221,H:H,"Ativo")=4,1/4,1/10)</f>
        <v>0.1</v>
      </c>
      <c r="AY221" s="79"/>
      <c r="AZ221" s="79"/>
    </row>
    <row r="222" spans="1:52" ht="15.75" customHeight="1">
      <c r="A222" s="54">
        <v>226</v>
      </c>
      <c r="B222" s="399">
        <v>44932</v>
      </c>
      <c r="C222" s="32" t="s">
        <v>819</v>
      </c>
      <c r="D222" s="32" t="s">
        <v>820</v>
      </c>
      <c r="E222" s="32" t="s">
        <v>575</v>
      </c>
      <c r="F222" s="32" t="s">
        <v>821</v>
      </c>
      <c r="G222" s="33" t="s">
        <v>220</v>
      </c>
      <c r="H222" s="33" t="s">
        <v>90</v>
      </c>
      <c r="I222" s="34">
        <v>0</v>
      </c>
      <c r="J222" s="33">
        <v>4</v>
      </c>
      <c r="K222" s="35" t="s">
        <v>378</v>
      </c>
      <c r="L222" s="35" t="s">
        <v>274</v>
      </c>
      <c r="M222" s="67" t="s">
        <v>222</v>
      </c>
      <c r="N222" s="33" t="s">
        <v>68</v>
      </c>
      <c r="O222" s="33" t="s">
        <v>11</v>
      </c>
      <c r="P222" s="33" t="s">
        <v>1</v>
      </c>
      <c r="Q222" s="47"/>
      <c r="R222" s="47"/>
      <c r="S222" s="45" t="s">
        <v>149</v>
      </c>
      <c r="T222" s="45"/>
      <c r="U222" s="51">
        <v>44932</v>
      </c>
      <c r="V222" s="48">
        <f t="shared" si="29"/>
        <v>44932</v>
      </c>
      <c r="W222" s="50">
        <f>V222-U222</f>
        <v>0</v>
      </c>
      <c r="X222" s="261">
        <v>220000</v>
      </c>
      <c r="Y222" s="260">
        <v>220000</v>
      </c>
      <c r="Z222" s="260">
        <v>232920</v>
      </c>
      <c r="AA222" s="35">
        <v>0</v>
      </c>
      <c r="AB222" s="260"/>
      <c r="AC222" s="41"/>
      <c r="AD222" s="42"/>
      <c r="AE222" s="41"/>
      <c r="AF222" s="43"/>
      <c r="AG222" s="40">
        <v>12920</v>
      </c>
      <c r="AH222" s="40"/>
      <c r="AI222" s="44"/>
      <c r="AJ222" s="44"/>
      <c r="AK222" s="40">
        <v>0</v>
      </c>
      <c r="AL222" s="40">
        <v>0</v>
      </c>
      <c r="AM222" s="242">
        <f t="shared" si="30"/>
        <v>44957</v>
      </c>
      <c r="AN222" s="242" t="str">
        <f>IF(AQ222="x","",IF(AQ222="x",AM222,IF(EOMONTH(I222,0)=31,"",EOMONTH(I222,0))))</f>
        <v/>
      </c>
      <c r="AO222" s="79">
        <f>IFERROR(IF(VLOOKUP(C222,C223:C827,1,0)=0,1,0),1)</f>
        <v>0</v>
      </c>
      <c r="AP222" s="79"/>
      <c r="AQ222" s="243" t="str">
        <f t="shared" si="23"/>
        <v/>
      </c>
      <c r="AR222" s="242" t="b">
        <f>IF(AQ222="x",EOMONTH(I222,0))</f>
        <v>0</v>
      </c>
      <c r="AS222" s="79">
        <f t="shared" si="24"/>
        <v>1</v>
      </c>
      <c r="AT222" s="79">
        <f t="shared" si="25"/>
        <v>1</v>
      </c>
      <c r="AU222" s="79" t="str">
        <f t="shared" si="26"/>
        <v>B</v>
      </c>
      <c r="AV222" s="79">
        <f t="shared" si="28"/>
        <v>1</v>
      </c>
      <c r="AW222" s="79" t="str">
        <f>J222&amp;AU222</f>
        <v>4B</v>
      </c>
      <c r="AX222" s="79">
        <f>IF(COUNTIFS(J:J,"Integral",E:E,E222,H:H,"Ativo")=4,1/4,1/10)</f>
        <v>0.1</v>
      </c>
      <c r="AY222" s="79"/>
      <c r="AZ222" s="79"/>
    </row>
    <row r="223" spans="1:52" ht="15.75" customHeight="1">
      <c r="A223" s="54">
        <v>227</v>
      </c>
      <c r="B223" s="399">
        <v>44932</v>
      </c>
      <c r="C223" s="32" t="s">
        <v>819</v>
      </c>
      <c r="D223" s="32" t="s">
        <v>822</v>
      </c>
      <c r="E223" s="32" t="s">
        <v>575</v>
      </c>
      <c r="F223" s="32" t="s">
        <v>823</v>
      </c>
      <c r="G223" s="33" t="s">
        <v>220</v>
      </c>
      <c r="H223" s="33" t="s">
        <v>90</v>
      </c>
      <c r="I223" s="34">
        <v>0</v>
      </c>
      <c r="J223" s="33">
        <v>4</v>
      </c>
      <c r="K223" s="35" t="s">
        <v>378</v>
      </c>
      <c r="L223" s="35" t="s">
        <v>274</v>
      </c>
      <c r="M223" s="67" t="s">
        <v>222</v>
      </c>
      <c r="N223" s="33" t="s">
        <v>68</v>
      </c>
      <c r="O223" s="33" t="s">
        <v>11</v>
      </c>
      <c r="P223" s="33" t="s">
        <v>1</v>
      </c>
      <c r="Q223" s="47"/>
      <c r="R223" s="47"/>
      <c r="S223" s="45" t="s">
        <v>149</v>
      </c>
      <c r="T223" s="45"/>
      <c r="U223" s="51">
        <v>44932</v>
      </c>
      <c r="V223" s="48">
        <f t="shared" si="29"/>
        <v>44932</v>
      </c>
      <c r="W223" s="50">
        <f>V223-U223</f>
        <v>0</v>
      </c>
      <c r="X223" s="261">
        <v>220000</v>
      </c>
      <c r="Y223" s="260">
        <v>220000</v>
      </c>
      <c r="Z223" s="260">
        <v>232920</v>
      </c>
      <c r="AA223" s="35">
        <v>0</v>
      </c>
      <c r="AB223" s="260"/>
      <c r="AC223" s="41"/>
      <c r="AD223" s="42"/>
      <c r="AE223" s="41"/>
      <c r="AF223" s="43"/>
      <c r="AG223" s="40">
        <v>12920</v>
      </c>
      <c r="AH223" s="40"/>
      <c r="AI223" s="44"/>
      <c r="AJ223" s="44"/>
      <c r="AK223" s="40">
        <v>0</v>
      </c>
      <c r="AL223" s="40">
        <v>0</v>
      </c>
      <c r="AM223" s="242">
        <f t="shared" si="30"/>
        <v>44957</v>
      </c>
      <c r="AN223" s="242" t="str">
        <f>IF(AQ223="x","",IF(AQ223="x",AM223,IF(EOMONTH(I223,0)=31,"",EOMONTH(I223,0))))</f>
        <v/>
      </c>
      <c r="AO223" s="79">
        <f>IFERROR(IF(VLOOKUP(C223,C224:C828,1,0)=0,1,0),1)</f>
        <v>1</v>
      </c>
      <c r="AP223" s="79"/>
      <c r="AQ223" s="243" t="str">
        <f t="shared" si="23"/>
        <v/>
      </c>
      <c r="AR223" s="242" t="b">
        <f>IF(AQ223="x",EOMONTH(I223,0))</f>
        <v>0</v>
      </c>
      <c r="AS223" s="79">
        <f t="shared" si="24"/>
        <v>1</v>
      </c>
      <c r="AT223" s="79">
        <f t="shared" si="25"/>
        <v>1</v>
      </c>
      <c r="AU223" s="79" t="str">
        <f t="shared" si="26"/>
        <v>B</v>
      </c>
      <c r="AV223" s="79">
        <f t="shared" si="28"/>
        <v>1</v>
      </c>
      <c r="AW223" s="79" t="str">
        <f>J223&amp;AU223</f>
        <v>4B</v>
      </c>
      <c r="AX223" s="79">
        <f>IF(COUNTIFS(J:J,"Integral",E:E,E223,H:H,"Ativo")=4,1/4,1/10)</f>
        <v>0.1</v>
      </c>
      <c r="AY223" s="79"/>
      <c r="AZ223" s="79"/>
    </row>
    <row r="224" spans="1:52" ht="15.75" customHeight="1">
      <c r="A224" s="54">
        <v>228</v>
      </c>
      <c r="B224" s="399">
        <v>44933</v>
      </c>
      <c r="C224" s="32" t="s">
        <v>824</v>
      </c>
      <c r="D224" s="32" t="s">
        <v>735</v>
      </c>
      <c r="E224" s="32" t="s">
        <v>716</v>
      </c>
      <c r="F224" s="32" t="s">
        <v>825</v>
      </c>
      <c r="G224" s="33" t="s">
        <v>220</v>
      </c>
      <c r="H224" s="33" t="s">
        <v>244</v>
      </c>
      <c r="I224" s="34">
        <v>45112</v>
      </c>
      <c r="J224" s="33">
        <v>4</v>
      </c>
      <c r="K224" s="35" t="s">
        <v>318</v>
      </c>
      <c r="L224" s="35" t="s">
        <v>600</v>
      </c>
      <c r="M224" s="67" t="s">
        <v>222</v>
      </c>
      <c r="N224" s="33" t="s">
        <v>68</v>
      </c>
      <c r="O224" s="33" t="s">
        <v>12</v>
      </c>
      <c r="P224" s="33" t="s">
        <v>1</v>
      </c>
      <c r="Q224" s="47"/>
      <c r="R224" s="47"/>
      <c r="S224" s="45" t="s">
        <v>222</v>
      </c>
      <c r="T224" s="45"/>
      <c r="U224" s="51">
        <v>44933</v>
      </c>
      <c r="V224" s="48">
        <f t="shared" si="29"/>
        <v>44933</v>
      </c>
      <c r="W224" s="50">
        <f>V224-U224</f>
        <v>0</v>
      </c>
      <c r="X224" s="265">
        <v>216000</v>
      </c>
      <c r="Y224" s="67">
        <v>216000</v>
      </c>
      <c r="Z224" s="67">
        <v>237500</v>
      </c>
      <c r="AA224" s="35">
        <v>0</v>
      </c>
      <c r="AB224" s="67"/>
      <c r="AC224" s="41"/>
      <c r="AD224" s="42"/>
      <c r="AE224" s="41"/>
      <c r="AF224" s="43"/>
      <c r="AG224" s="40">
        <v>21500</v>
      </c>
      <c r="AH224" s="40"/>
      <c r="AI224" s="44"/>
      <c r="AJ224" s="44"/>
      <c r="AK224" s="40">
        <v>0</v>
      </c>
      <c r="AL224" s="40">
        <v>0</v>
      </c>
      <c r="AM224" s="242">
        <f t="shared" si="30"/>
        <v>44957</v>
      </c>
      <c r="AN224" s="242">
        <f>IF(AQ224="x","",IF(AQ224="x",AM224,IF(EOMONTH(I224,0)=31,"",EOMONTH(I224,0))))</f>
        <v>45138</v>
      </c>
      <c r="AO224" s="79">
        <f>IFERROR(IF(VLOOKUP(C224,C225:C828,1,0)=0,1,0),1)</f>
        <v>0</v>
      </c>
      <c r="AP224" s="79"/>
      <c r="AQ224" s="243" t="str">
        <f t="shared" si="23"/>
        <v/>
      </c>
      <c r="AR224" s="242" t="b">
        <f>IF(AQ224="x",EOMONTH(I224,0))</f>
        <v>0</v>
      </c>
      <c r="AS224" s="79">
        <f t="shared" si="24"/>
        <v>1</v>
      </c>
      <c r="AT224" s="79">
        <f t="shared" si="25"/>
        <v>1</v>
      </c>
      <c r="AU224" s="79" t="str">
        <f t="shared" si="26"/>
        <v>B</v>
      </c>
      <c r="AV224" s="79">
        <f t="shared" si="28"/>
        <v>1</v>
      </c>
      <c r="AW224" s="79" t="str">
        <f>J224&amp;AU224</f>
        <v>4B</v>
      </c>
      <c r="AX224" s="79">
        <f>IF(COUNTIFS(J:J,"Integral",E:E,E224,H:H,"Ativo")=4,1/4,1/10)</f>
        <v>0.1</v>
      </c>
      <c r="AY224" s="79"/>
      <c r="AZ224" s="79"/>
    </row>
    <row r="225" spans="1:52" ht="15.75" customHeight="1">
      <c r="A225" s="54">
        <v>229</v>
      </c>
      <c r="B225" s="399">
        <v>44933</v>
      </c>
      <c r="C225" s="32" t="s">
        <v>824</v>
      </c>
      <c r="D225" s="32" t="s">
        <v>737</v>
      </c>
      <c r="E225" s="32" t="s">
        <v>716</v>
      </c>
      <c r="F225" s="32" t="s">
        <v>826</v>
      </c>
      <c r="G225" s="33" t="s">
        <v>220</v>
      </c>
      <c r="H225" s="33" t="s">
        <v>244</v>
      </c>
      <c r="I225" s="34">
        <v>45112</v>
      </c>
      <c r="J225" s="33">
        <v>4</v>
      </c>
      <c r="K225" s="35" t="s">
        <v>318</v>
      </c>
      <c r="L225" s="35" t="s">
        <v>600</v>
      </c>
      <c r="M225" s="67" t="s">
        <v>222</v>
      </c>
      <c r="N225" s="33" t="s">
        <v>68</v>
      </c>
      <c r="O225" s="33" t="s">
        <v>12</v>
      </c>
      <c r="P225" s="33" t="s">
        <v>1</v>
      </c>
      <c r="Q225" s="47"/>
      <c r="R225" s="47"/>
      <c r="S225" s="45" t="s">
        <v>222</v>
      </c>
      <c r="T225" s="45"/>
      <c r="U225" s="51">
        <v>44933</v>
      </c>
      <c r="V225" s="48">
        <f t="shared" si="29"/>
        <v>44933</v>
      </c>
      <c r="W225" s="50">
        <f>V225-U225</f>
        <v>0</v>
      </c>
      <c r="X225" s="265">
        <v>216000</v>
      </c>
      <c r="Y225" s="67">
        <v>216000</v>
      </c>
      <c r="Z225" s="67">
        <v>237500</v>
      </c>
      <c r="AA225" s="35">
        <v>0</v>
      </c>
      <c r="AB225" s="67"/>
      <c r="AC225" s="41"/>
      <c r="AD225" s="42"/>
      <c r="AE225" s="41"/>
      <c r="AF225" s="43"/>
      <c r="AG225" s="40">
        <v>21500</v>
      </c>
      <c r="AH225" s="40"/>
      <c r="AI225" s="44"/>
      <c r="AJ225" s="44"/>
      <c r="AK225" s="40">
        <v>0</v>
      </c>
      <c r="AL225" s="40">
        <v>0</v>
      </c>
      <c r="AM225" s="242">
        <f t="shared" si="30"/>
        <v>44957</v>
      </c>
      <c r="AN225" s="242">
        <f>IF(AQ225="x","",IF(AQ225="x",AM225,IF(EOMONTH(I225,0)=31,"",EOMONTH(I225,0))))</f>
        <v>45138</v>
      </c>
      <c r="AO225" s="79">
        <f>IFERROR(IF(VLOOKUP(C225,C226:C829,1,0)=0,1,0),1)</f>
        <v>1</v>
      </c>
      <c r="AP225" s="79"/>
      <c r="AQ225" s="243" t="str">
        <f t="shared" si="23"/>
        <v/>
      </c>
      <c r="AR225" s="242" t="b">
        <f>IF(AQ225="x",EOMONTH(I225,0))</f>
        <v>0</v>
      </c>
      <c r="AS225" s="79">
        <f t="shared" si="24"/>
        <v>1</v>
      </c>
      <c r="AT225" s="79">
        <f t="shared" si="25"/>
        <v>1</v>
      </c>
      <c r="AU225" s="79" t="str">
        <f t="shared" si="26"/>
        <v>B</v>
      </c>
      <c r="AV225" s="79">
        <f t="shared" si="28"/>
        <v>1</v>
      </c>
      <c r="AW225" s="79" t="str">
        <f>J225&amp;AU225</f>
        <v>4B</v>
      </c>
      <c r="AX225" s="79">
        <f>IF(COUNTIFS(J:J,"Integral",E:E,E225,H:H,"Ativo")=4,1/4,1/10)</f>
        <v>0.1</v>
      </c>
      <c r="AY225" s="79"/>
      <c r="AZ225" s="79"/>
    </row>
    <row r="226" spans="1:52" ht="15.75" customHeight="1">
      <c r="A226" s="54">
        <v>230</v>
      </c>
      <c r="B226" s="399">
        <v>44934</v>
      </c>
      <c r="C226" s="32" t="s">
        <v>827</v>
      </c>
      <c r="D226" s="32" t="s">
        <v>828</v>
      </c>
      <c r="E226" s="32" t="s">
        <v>249</v>
      </c>
      <c r="F226" s="32" t="s">
        <v>829</v>
      </c>
      <c r="G226" s="33" t="s">
        <v>220</v>
      </c>
      <c r="H226" s="33" t="s">
        <v>90</v>
      </c>
      <c r="I226" s="34">
        <v>0</v>
      </c>
      <c r="J226" s="33">
        <v>13</v>
      </c>
      <c r="K226" s="35" t="s">
        <v>762</v>
      </c>
      <c r="L226" s="35" t="s">
        <v>394</v>
      </c>
      <c r="M226" s="67" t="s">
        <v>222</v>
      </c>
      <c r="N226" s="33" t="s">
        <v>68</v>
      </c>
      <c r="O226" s="33" t="s">
        <v>13</v>
      </c>
      <c r="P226" s="33" t="s">
        <v>2</v>
      </c>
      <c r="Q226" s="47"/>
      <c r="R226" s="47"/>
      <c r="S226" s="45" t="s">
        <v>147</v>
      </c>
      <c r="T226" s="45"/>
      <c r="U226" s="51">
        <v>44934</v>
      </c>
      <c r="V226" s="48">
        <f t="shared" si="29"/>
        <v>44934</v>
      </c>
      <c r="W226" s="50">
        <f>V226-U226</f>
        <v>0</v>
      </c>
      <c r="X226" s="261">
        <v>1240000</v>
      </c>
      <c r="Y226" s="260">
        <v>1240000</v>
      </c>
      <c r="Z226" s="260">
        <v>1500000</v>
      </c>
      <c r="AA226" s="35">
        <v>0</v>
      </c>
      <c r="AB226" s="260"/>
      <c r="AC226" s="41"/>
      <c r="AD226" s="42"/>
      <c r="AE226" s="41"/>
      <c r="AF226" s="43"/>
      <c r="AG226" s="40">
        <v>260000</v>
      </c>
      <c r="AH226" s="40"/>
      <c r="AI226" s="44"/>
      <c r="AJ226" s="44"/>
      <c r="AK226" s="40">
        <v>0</v>
      </c>
      <c r="AL226" s="40">
        <v>0</v>
      </c>
      <c r="AM226" s="242">
        <f t="shared" si="30"/>
        <v>44957</v>
      </c>
      <c r="AN226" s="242" t="str">
        <f>IF(AQ226="x","",IF(AQ226="x",AM226,IF(EOMONTH(I226,0)=31,"",EOMONTH(I226,0))))</f>
        <v/>
      </c>
      <c r="AO226" s="79">
        <f>IFERROR(IF(VLOOKUP(C226,C227:C830,1,0)=0,1,0),1)</f>
        <v>1</v>
      </c>
      <c r="AP226" s="79"/>
      <c r="AQ226" s="243" t="str">
        <f t="shared" si="23"/>
        <v/>
      </c>
      <c r="AR226" s="242" t="b">
        <f>IF(AQ226="x",EOMONTH(I226,0))</f>
        <v>0</v>
      </c>
      <c r="AS226" s="79">
        <f t="shared" si="24"/>
        <v>1</v>
      </c>
      <c r="AT226" s="79">
        <f t="shared" si="25"/>
        <v>1</v>
      </c>
      <c r="AU226" s="79" t="str">
        <f t="shared" si="26"/>
        <v>A</v>
      </c>
      <c r="AV226" s="79">
        <f t="shared" si="28"/>
        <v>1</v>
      </c>
      <c r="AW226" s="79" t="str">
        <f>J226&amp;AU226</f>
        <v>13A</v>
      </c>
      <c r="AX226" s="79">
        <f>IF(COUNTIFS(J:J,"Integral",E:E,E226,H:H,"Ativo")=4,1/4,1/10)</f>
        <v>0.1</v>
      </c>
      <c r="AY226" s="79"/>
      <c r="AZ226" s="79"/>
    </row>
    <row r="227" spans="1:52" ht="15.75" customHeight="1">
      <c r="A227" s="54">
        <v>231</v>
      </c>
      <c r="B227" s="399">
        <v>44934</v>
      </c>
      <c r="C227" s="32" t="s">
        <v>830</v>
      </c>
      <c r="D227" s="32" t="s">
        <v>696</v>
      </c>
      <c r="E227" s="32" t="s">
        <v>547</v>
      </c>
      <c r="F227" s="32" t="s">
        <v>831</v>
      </c>
      <c r="G227" s="33" t="s">
        <v>220</v>
      </c>
      <c r="H227" s="33" t="s">
        <v>244</v>
      </c>
      <c r="I227" s="34">
        <v>44938</v>
      </c>
      <c r="J227" s="33">
        <v>6</v>
      </c>
      <c r="K227" s="35" t="s">
        <v>566</v>
      </c>
      <c r="L227" s="35" t="s">
        <v>566</v>
      </c>
      <c r="M227" s="67" t="s">
        <v>222</v>
      </c>
      <c r="N227" s="33" t="s">
        <v>68</v>
      </c>
      <c r="O227" s="33" t="s">
        <v>13</v>
      </c>
      <c r="P227" s="33" t="s">
        <v>1</v>
      </c>
      <c r="Q227" s="47"/>
      <c r="R227" s="47"/>
      <c r="S227" s="45" t="s">
        <v>222</v>
      </c>
      <c r="T227" s="45"/>
      <c r="U227" s="51">
        <v>44934</v>
      </c>
      <c r="V227" s="48">
        <f t="shared" si="29"/>
        <v>44934</v>
      </c>
      <c r="W227" s="50">
        <f>V227-U227</f>
        <v>0</v>
      </c>
      <c r="X227" s="265">
        <v>0</v>
      </c>
      <c r="Y227" s="67">
        <v>0</v>
      </c>
      <c r="Z227" s="67">
        <v>360000</v>
      </c>
      <c r="AA227" s="35">
        <v>0</v>
      </c>
      <c r="AB227" s="67"/>
      <c r="AC227" s="40"/>
      <c r="AD227" s="42"/>
      <c r="AE227" s="41">
        <v>0</v>
      </c>
      <c r="AF227" s="43">
        <v>0</v>
      </c>
      <c r="AG227" s="40">
        <v>0</v>
      </c>
      <c r="AH227" s="40"/>
      <c r="AI227" s="44"/>
      <c r="AJ227" s="44"/>
      <c r="AK227" s="40">
        <v>0</v>
      </c>
      <c r="AL227" s="40"/>
      <c r="AM227" s="242">
        <f t="shared" si="30"/>
        <v>44957</v>
      </c>
      <c r="AN227" s="242">
        <f>IF(AQ227="x","",IF(AQ227="x",AM227,IF(EOMONTH(I227,0)=31,"",EOMONTH(I227,0))))</f>
        <v>44957</v>
      </c>
      <c r="AO227" s="79">
        <f>IFERROR(IF(VLOOKUP(C227,C228:C831,1,0)=0,1,0),1)</f>
        <v>1</v>
      </c>
      <c r="AP227" s="79"/>
      <c r="AQ227" s="243" t="str">
        <f t="shared" si="23"/>
        <v/>
      </c>
      <c r="AR227" s="242" t="b">
        <f>IF(AQ227="x",EOMONTH(I227,0))</f>
        <v>0</v>
      </c>
      <c r="AS227" s="79">
        <f t="shared" si="24"/>
        <v>1</v>
      </c>
      <c r="AT227" s="79">
        <f t="shared" si="25"/>
        <v>1</v>
      </c>
      <c r="AU227" s="79" t="str">
        <f t="shared" si="26"/>
        <v>B</v>
      </c>
      <c r="AV227" s="79">
        <f t="shared" si="28"/>
        <v>1</v>
      </c>
      <c r="AW227" s="79" t="str">
        <f>J227&amp;AU227</f>
        <v>6B</v>
      </c>
      <c r="AX227" s="79">
        <f>IF(COUNTIFS(J:J,"Integral",E:E,E227,H:H,"Ativo")=4,1/4,1/10)</f>
        <v>0.1</v>
      </c>
      <c r="AY227" s="79"/>
      <c r="AZ227" s="79"/>
    </row>
    <row r="228" spans="1:52" ht="15.75" customHeight="1">
      <c r="A228" s="54">
        <v>232</v>
      </c>
      <c r="B228" s="399">
        <v>44934</v>
      </c>
      <c r="C228" s="32" t="s">
        <v>832</v>
      </c>
      <c r="D228" s="32" t="s">
        <v>833</v>
      </c>
      <c r="E228" s="32" t="s">
        <v>765</v>
      </c>
      <c r="F228" s="32" t="s">
        <v>834</v>
      </c>
      <c r="G228" s="33" t="s">
        <v>220</v>
      </c>
      <c r="H228" s="33" t="s">
        <v>90</v>
      </c>
      <c r="I228" s="34">
        <v>0</v>
      </c>
      <c r="J228" s="33">
        <v>13</v>
      </c>
      <c r="K228" s="35" t="s">
        <v>778</v>
      </c>
      <c r="L228" s="35" t="s">
        <v>246</v>
      </c>
      <c r="M228" s="67" t="s">
        <v>222</v>
      </c>
      <c r="N228" s="33" t="s">
        <v>68</v>
      </c>
      <c r="O228" s="33" t="s">
        <v>12</v>
      </c>
      <c r="P228" s="33" t="s">
        <v>1</v>
      </c>
      <c r="Q228" s="47"/>
      <c r="R228" s="47"/>
      <c r="S228" s="45" t="s">
        <v>147</v>
      </c>
      <c r="T228" s="45"/>
      <c r="U228" s="51">
        <v>44934</v>
      </c>
      <c r="V228" s="48">
        <f t="shared" si="29"/>
        <v>44934</v>
      </c>
      <c r="W228" s="50">
        <f>V228-U228</f>
        <v>0</v>
      </c>
      <c r="X228" s="261">
        <v>1365000</v>
      </c>
      <c r="Y228" s="260">
        <v>1365000</v>
      </c>
      <c r="Z228" s="260">
        <v>1370000</v>
      </c>
      <c r="AA228" s="35">
        <v>0</v>
      </c>
      <c r="AB228" s="260"/>
      <c r="AC228" s="41"/>
      <c r="AD228" s="42"/>
      <c r="AE228" s="41"/>
      <c r="AF228" s="43"/>
      <c r="AG228" s="40">
        <v>5000</v>
      </c>
      <c r="AH228" s="40"/>
      <c r="AI228" s="44"/>
      <c r="AJ228" s="44"/>
      <c r="AK228" s="40">
        <v>0</v>
      </c>
      <c r="AL228" s="40">
        <v>0</v>
      </c>
      <c r="AM228" s="242">
        <f t="shared" si="30"/>
        <v>44957</v>
      </c>
      <c r="AN228" s="242" t="str">
        <f>IF(AQ228="x","",IF(AQ228="x",AM228,IF(EOMONTH(I228,0)=31,"",EOMONTH(I228,0))))</f>
        <v/>
      </c>
      <c r="AO228" s="79">
        <f>IFERROR(IF(VLOOKUP(C228,C229:C832,1,0)=0,1,0),1)</f>
        <v>1</v>
      </c>
      <c r="AP228" s="79"/>
      <c r="AQ228" s="243" t="str">
        <f t="shared" ref="AQ228:AQ291" si="31">IF(MID(G228,1,15)="NAO ASSINADO","x","")</f>
        <v/>
      </c>
      <c r="AR228" s="242" t="b">
        <f>IF(AQ228="x",EOMONTH(I228,0))</f>
        <v>0</v>
      </c>
      <c r="AS228" s="79">
        <f t="shared" ref="AS228:AS291" si="32">IF(AH228&lt;0,0,1)</f>
        <v>1</v>
      </c>
      <c r="AT228" s="79">
        <f t="shared" ref="AT228:AT291" si="33">IF(AL228&lt;0,0,1)</f>
        <v>1</v>
      </c>
      <c r="AU228" s="79" t="str">
        <f t="shared" ref="AU228:AU291" si="34">MID(E228,1,1)</f>
        <v>A</v>
      </c>
      <c r="AV228" s="79">
        <f t="shared" si="28"/>
        <v>1</v>
      </c>
      <c r="AW228" s="79" t="str">
        <f>J228&amp;AU228</f>
        <v>13A</v>
      </c>
      <c r="AX228" s="79">
        <f>IF(COUNTIFS(J:J,"Integral",E:E,E228,H:H,"Ativo")=4,1/4,1/10)</f>
        <v>0.1</v>
      </c>
      <c r="AY228" s="79"/>
      <c r="AZ228" s="79"/>
    </row>
    <row r="229" spans="1:52" ht="15.75" customHeight="1">
      <c r="A229" s="54">
        <v>233</v>
      </c>
      <c r="B229" s="399">
        <v>44935</v>
      </c>
      <c r="C229" s="32" t="s">
        <v>835</v>
      </c>
      <c r="D229" s="32" t="s">
        <v>836</v>
      </c>
      <c r="E229" s="32" t="s">
        <v>575</v>
      </c>
      <c r="F229" s="32" t="s">
        <v>837</v>
      </c>
      <c r="G229" s="33" t="s">
        <v>220</v>
      </c>
      <c r="H229" s="33" t="s">
        <v>244</v>
      </c>
      <c r="I229" s="34">
        <v>45103</v>
      </c>
      <c r="J229" s="33">
        <v>6</v>
      </c>
      <c r="K229" s="35" t="s">
        <v>289</v>
      </c>
      <c r="L229" s="35" t="s">
        <v>600</v>
      </c>
      <c r="M229" s="67" t="s">
        <v>222</v>
      </c>
      <c r="N229" s="33" t="s">
        <v>68</v>
      </c>
      <c r="O229" s="33" t="s">
        <v>12</v>
      </c>
      <c r="P229" s="33">
        <v>0</v>
      </c>
      <c r="Q229" s="47"/>
      <c r="R229" s="47"/>
      <c r="S229" s="45" t="s">
        <v>222</v>
      </c>
      <c r="T229" s="45"/>
      <c r="U229" s="51">
        <v>44935</v>
      </c>
      <c r="V229" s="48">
        <f t="shared" si="29"/>
        <v>44935</v>
      </c>
      <c r="W229" s="50">
        <f>V229-U229</f>
        <v>0</v>
      </c>
      <c r="X229" s="265">
        <v>333000</v>
      </c>
      <c r="Y229" s="67">
        <v>333000</v>
      </c>
      <c r="Z229" s="67">
        <v>400000</v>
      </c>
      <c r="AA229" s="35">
        <v>0</v>
      </c>
      <c r="AB229" s="67"/>
      <c r="AC229" s="41"/>
      <c r="AD229" s="42"/>
      <c r="AE229" s="41"/>
      <c r="AF229" s="43"/>
      <c r="AG229" s="40">
        <v>67000</v>
      </c>
      <c r="AH229" s="40"/>
      <c r="AI229" s="44"/>
      <c r="AJ229" s="44"/>
      <c r="AK229" s="40">
        <v>0</v>
      </c>
      <c r="AL229" s="40">
        <v>0</v>
      </c>
      <c r="AM229" s="242">
        <f t="shared" si="30"/>
        <v>44957</v>
      </c>
      <c r="AN229" s="242">
        <f>IF(AQ229="x","",IF(AQ229="x",AM229,IF(EOMONTH(I229,0)=31,"",EOMONTH(I229,0))))</f>
        <v>45107</v>
      </c>
      <c r="AO229" s="79">
        <f>IFERROR(IF(VLOOKUP(C229,C230:C833,1,0)=0,1,0),1)</f>
        <v>1</v>
      </c>
      <c r="AP229" s="79"/>
      <c r="AQ229" s="243" t="str">
        <f t="shared" si="31"/>
        <v/>
      </c>
      <c r="AR229" s="242" t="b">
        <f>IF(AQ229="x",EOMONTH(I229,0))</f>
        <v>0</v>
      </c>
      <c r="AS229" s="79">
        <f t="shared" si="32"/>
        <v>1</v>
      </c>
      <c r="AT229" s="79">
        <f t="shared" si="33"/>
        <v>1</v>
      </c>
      <c r="AU229" s="79" t="str">
        <f t="shared" si="34"/>
        <v>B</v>
      </c>
      <c r="AV229" s="79">
        <f t="shared" si="28"/>
        <v>1</v>
      </c>
      <c r="AW229" s="79" t="str">
        <f>J229&amp;AU229</f>
        <v>6B</v>
      </c>
      <c r="AX229" s="79">
        <f>IF(COUNTIFS(J:J,"Integral",E:E,E229,H:H,"Ativo")=4,1/4,1/10)</f>
        <v>0.1</v>
      </c>
      <c r="AY229" s="79"/>
      <c r="AZ229" s="79"/>
    </row>
    <row r="230" spans="1:52" ht="15.75" customHeight="1">
      <c r="A230" s="54">
        <v>234</v>
      </c>
      <c r="B230" s="399">
        <v>44935</v>
      </c>
      <c r="C230" s="32" t="s">
        <v>838</v>
      </c>
      <c r="D230" s="32" t="s">
        <v>839</v>
      </c>
      <c r="E230" s="32" t="s">
        <v>807</v>
      </c>
      <c r="F230" s="32" t="s">
        <v>840</v>
      </c>
      <c r="G230" s="33" t="s">
        <v>220</v>
      </c>
      <c r="H230" s="33" t="s">
        <v>90</v>
      </c>
      <c r="I230" s="34">
        <v>0</v>
      </c>
      <c r="J230" s="33">
        <v>6</v>
      </c>
      <c r="K230" s="35" t="s">
        <v>612</v>
      </c>
      <c r="L230" s="35" t="s">
        <v>413</v>
      </c>
      <c r="M230" s="67" t="s">
        <v>222</v>
      </c>
      <c r="N230" s="33" t="s">
        <v>68</v>
      </c>
      <c r="O230" s="33" t="s">
        <v>13</v>
      </c>
      <c r="P230" s="33" t="s">
        <v>1</v>
      </c>
      <c r="Q230" s="47"/>
      <c r="R230" s="47"/>
      <c r="S230" s="45" t="s">
        <v>147</v>
      </c>
      <c r="T230" s="45"/>
      <c r="U230" s="51">
        <v>44935</v>
      </c>
      <c r="V230" s="48">
        <f t="shared" si="29"/>
        <v>44935</v>
      </c>
      <c r="W230" s="50">
        <f>V230-U230</f>
        <v>0</v>
      </c>
      <c r="X230" s="261">
        <v>327000</v>
      </c>
      <c r="Y230" s="260">
        <v>327000</v>
      </c>
      <c r="Z230" s="260">
        <v>366920</v>
      </c>
      <c r="AA230" s="35">
        <v>0</v>
      </c>
      <c r="AB230" s="260"/>
      <c r="AC230" s="41"/>
      <c r="AD230" s="42"/>
      <c r="AE230" s="41"/>
      <c r="AF230" s="43"/>
      <c r="AG230" s="40">
        <v>39920</v>
      </c>
      <c r="AH230" s="40"/>
      <c r="AI230" s="44"/>
      <c r="AJ230" s="44"/>
      <c r="AK230" s="40">
        <v>0</v>
      </c>
      <c r="AL230" s="40">
        <v>0</v>
      </c>
      <c r="AM230" s="242">
        <f t="shared" si="30"/>
        <v>44957</v>
      </c>
      <c r="AN230" s="242" t="str">
        <f>IF(AQ230="x","",IF(AQ230="x",AM230,IF(EOMONTH(I230,0)=31,"",EOMONTH(I230,0))))</f>
        <v/>
      </c>
      <c r="AO230" s="79">
        <f>IFERROR(IF(VLOOKUP(C230,C231:C834,1,0)=0,1,0),1)</f>
        <v>1</v>
      </c>
      <c r="AP230" s="79"/>
      <c r="AQ230" s="243" t="str">
        <f t="shared" si="31"/>
        <v/>
      </c>
      <c r="AR230" s="242" t="b">
        <f>IF(AQ230="x",EOMONTH(I230,0))</f>
        <v>0</v>
      </c>
      <c r="AS230" s="79">
        <f t="shared" si="32"/>
        <v>1</v>
      </c>
      <c r="AT230" s="79">
        <f t="shared" si="33"/>
        <v>1</v>
      </c>
      <c r="AU230" s="79" t="str">
        <f t="shared" si="34"/>
        <v>B</v>
      </c>
      <c r="AV230" s="79">
        <f t="shared" si="28"/>
        <v>1</v>
      </c>
      <c r="AW230" s="79" t="str">
        <f>J230&amp;AU230</f>
        <v>6B</v>
      </c>
      <c r="AX230" s="79">
        <f>IF(COUNTIFS(J:J,"Integral",E:E,E230,H:H,"Ativo")=4,1/4,1/10)</f>
        <v>0.1</v>
      </c>
      <c r="AY230" s="79"/>
      <c r="AZ230" s="79"/>
    </row>
    <row r="231" spans="1:52" ht="15.75" customHeight="1">
      <c r="A231" s="54">
        <v>235</v>
      </c>
      <c r="B231" s="399">
        <v>44939</v>
      </c>
      <c r="C231" s="32" t="s">
        <v>841</v>
      </c>
      <c r="D231" s="32" t="s">
        <v>842</v>
      </c>
      <c r="E231" s="32" t="s">
        <v>753</v>
      </c>
      <c r="F231" s="32" t="s">
        <v>843</v>
      </c>
      <c r="G231" s="33" t="s">
        <v>220</v>
      </c>
      <c r="H231" s="33" t="s">
        <v>90</v>
      </c>
      <c r="I231" s="34">
        <v>0</v>
      </c>
      <c r="J231" s="33">
        <v>6</v>
      </c>
      <c r="K231" s="35" t="s">
        <v>318</v>
      </c>
      <c r="L231" s="35" t="s">
        <v>600</v>
      </c>
      <c r="M231" s="67" t="s">
        <v>222</v>
      </c>
      <c r="N231" s="33" t="s">
        <v>68</v>
      </c>
      <c r="O231" s="33" t="s">
        <v>12</v>
      </c>
      <c r="P231" s="33" t="s">
        <v>1</v>
      </c>
      <c r="Q231" s="47"/>
      <c r="R231" s="47"/>
      <c r="S231" s="45" t="s">
        <v>163</v>
      </c>
      <c r="T231" s="45"/>
      <c r="U231" s="51">
        <v>44939</v>
      </c>
      <c r="V231" s="48">
        <f t="shared" si="29"/>
        <v>44939</v>
      </c>
      <c r="W231" s="50">
        <f>V231-U231</f>
        <v>0</v>
      </c>
      <c r="X231" s="261">
        <v>333000</v>
      </c>
      <c r="Y231" s="260">
        <v>333000</v>
      </c>
      <c r="Z231" s="260">
        <v>410000</v>
      </c>
      <c r="AA231" s="35">
        <v>0</v>
      </c>
      <c r="AB231" s="260"/>
      <c r="AC231" s="41"/>
      <c r="AD231" s="42"/>
      <c r="AE231" s="41"/>
      <c r="AF231" s="43"/>
      <c r="AG231" s="40">
        <v>77000</v>
      </c>
      <c r="AH231" s="40"/>
      <c r="AI231" s="44"/>
      <c r="AJ231" s="44"/>
      <c r="AK231" s="40">
        <v>0</v>
      </c>
      <c r="AL231" s="40">
        <v>0</v>
      </c>
      <c r="AM231" s="242">
        <f t="shared" si="30"/>
        <v>44957</v>
      </c>
      <c r="AN231" s="242" t="str">
        <f>IF(AQ231="x","",IF(AQ231="x",AM231,IF(EOMONTH(I231,0)=31,"",EOMONTH(I231,0))))</f>
        <v/>
      </c>
      <c r="AO231" s="79">
        <f>IFERROR(IF(VLOOKUP(C231,C232:C835,1,0)=0,1,0),1)</f>
        <v>1</v>
      </c>
      <c r="AP231" s="79"/>
      <c r="AQ231" s="243" t="str">
        <f t="shared" si="31"/>
        <v/>
      </c>
      <c r="AR231" s="242" t="b">
        <f>IF(AQ231="x",EOMONTH(I231,0))</f>
        <v>0</v>
      </c>
      <c r="AS231" s="79">
        <f t="shared" si="32"/>
        <v>1</v>
      </c>
      <c r="AT231" s="79">
        <f t="shared" si="33"/>
        <v>1</v>
      </c>
      <c r="AU231" s="79" t="str">
        <f t="shared" si="34"/>
        <v>B</v>
      </c>
      <c r="AV231" s="79">
        <f t="shared" si="28"/>
        <v>1</v>
      </c>
      <c r="AW231" s="79" t="str">
        <f>J231&amp;AU231</f>
        <v>6B</v>
      </c>
      <c r="AX231" s="79">
        <f>IF(COUNTIFS(J:J,"Integral",E:E,E231,H:H,"Ativo")=4,1/4,1/10)</f>
        <v>0.1</v>
      </c>
      <c r="AY231" s="79"/>
      <c r="AZ231" s="79"/>
    </row>
    <row r="232" spans="1:52" ht="15.75" customHeight="1">
      <c r="A232" s="54">
        <v>236</v>
      </c>
      <c r="B232" s="399">
        <v>44958</v>
      </c>
      <c r="C232" s="32" t="s">
        <v>844</v>
      </c>
      <c r="D232" s="32" t="s">
        <v>331</v>
      </c>
      <c r="E232" s="32" t="s">
        <v>235</v>
      </c>
      <c r="F232" s="32" t="s">
        <v>845</v>
      </c>
      <c r="G232" s="33" t="s">
        <v>220</v>
      </c>
      <c r="H232" s="33" t="s">
        <v>90</v>
      </c>
      <c r="I232" s="34">
        <v>0</v>
      </c>
      <c r="J232" s="33">
        <v>13</v>
      </c>
      <c r="K232" s="35" t="s">
        <v>778</v>
      </c>
      <c r="L232" s="35" t="s">
        <v>246</v>
      </c>
      <c r="M232" s="67" t="s">
        <v>222</v>
      </c>
      <c r="N232" s="33" t="s">
        <v>68</v>
      </c>
      <c r="O232" s="33" t="s">
        <v>11</v>
      </c>
      <c r="P232" s="33" t="s">
        <v>1</v>
      </c>
      <c r="Q232" s="47"/>
      <c r="R232" s="47"/>
      <c r="S232" s="45" t="s">
        <v>145</v>
      </c>
      <c r="T232" s="45"/>
      <c r="U232" s="51">
        <v>44939</v>
      </c>
      <c r="V232" s="48">
        <f t="shared" si="29"/>
        <v>44958</v>
      </c>
      <c r="W232" s="50">
        <f>V232-U232</f>
        <v>19</v>
      </c>
      <c r="X232" s="261">
        <v>1022000</v>
      </c>
      <c r="Y232" s="260">
        <v>1022000</v>
      </c>
      <c r="Z232" s="260">
        <v>1056825</v>
      </c>
      <c r="AA232" s="35" t="s">
        <v>846</v>
      </c>
      <c r="AB232" s="260"/>
      <c r="AC232" s="41"/>
      <c r="AD232" s="42"/>
      <c r="AE232" s="41"/>
      <c r="AF232" s="43"/>
      <c r="AG232" s="40">
        <v>34825</v>
      </c>
      <c r="AH232" s="40"/>
      <c r="AI232" s="44"/>
      <c r="AJ232" s="44"/>
      <c r="AK232" s="40">
        <v>0</v>
      </c>
      <c r="AL232" s="40">
        <v>0</v>
      </c>
      <c r="AM232" s="242">
        <f t="shared" si="30"/>
        <v>44985</v>
      </c>
      <c r="AN232" s="242" t="str">
        <f>IF(AQ232="x","",IF(AQ232="x",AM232,IF(EOMONTH(I232,0)=31,"",EOMONTH(I232,0))))</f>
        <v/>
      </c>
      <c r="AO232" s="79">
        <f>IFERROR(IF(VLOOKUP(C232,C233:C836,1,0)=0,1,0),1)</f>
        <v>1</v>
      </c>
      <c r="AP232" s="79"/>
      <c r="AQ232" s="243" t="str">
        <f t="shared" si="31"/>
        <v/>
      </c>
      <c r="AR232" s="242" t="b">
        <f>IF(AQ232="x",EOMONTH(I232,0))</f>
        <v>0</v>
      </c>
      <c r="AS232" s="79">
        <f t="shared" si="32"/>
        <v>1</v>
      </c>
      <c r="AT232" s="79">
        <f t="shared" si="33"/>
        <v>1</v>
      </c>
      <c r="AU232" s="79" t="str">
        <f t="shared" si="34"/>
        <v>A</v>
      </c>
      <c r="AV232" s="79">
        <f t="shared" si="28"/>
        <v>1</v>
      </c>
      <c r="AW232" s="79" t="str">
        <f>J232&amp;AU232</f>
        <v>13A</v>
      </c>
      <c r="AX232" s="79">
        <f>IF(COUNTIFS(J:J,"Integral",E:E,E232,H:H,"Ativo")=4,1/4,1/10)</f>
        <v>0.1</v>
      </c>
      <c r="AY232" s="79"/>
      <c r="AZ232" s="79"/>
    </row>
    <row r="233" spans="1:52" ht="15.75" customHeight="1">
      <c r="A233" s="54">
        <v>237</v>
      </c>
      <c r="B233" s="399">
        <v>44940</v>
      </c>
      <c r="C233" s="32" t="s">
        <v>847</v>
      </c>
      <c r="D233" s="32" t="s">
        <v>848</v>
      </c>
      <c r="E233" s="32" t="s">
        <v>753</v>
      </c>
      <c r="F233" s="32" t="s">
        <v>849</v>
      </c>
      <c r="G233" s="33" t="s">
        <v>220</v>
      </c>
      <c r="H233" s="33" t="s">
        <v>244</v>
      </c>
      <c r="I233" s="34">
        <v>44957</v>
      </c>
      <c r="J233" s="33">
        <v>6</v>
      </c>
      <c r="K233" s="35" t="s">
        <v>762</v>
      </c>
      <c r="L233" s="35" t="s">
        <v>762</v>
      </c>
      <c r="M233" s="67" t="s">
        <v>222</v>
      </c>
      <c r="N233" s="33" t="s">
        <v>68</v>
      </c>
      <c r="O233" s="33" t="s">
        <v>12</v>
      </c>
      <c r="P233" s="33">
        <v>0</v>
      </c>
      <c r="Q233" s="47"/>
      <c r="R233" s="47"/>
      <c r="S233" s="45" t="s">
        <v>222</v>
      </c>
      <c r="T233" s="45"/>
      <c r="U233" s="51">
        <v>44940</v>
      </c>
      <c r="V233" s="48">
        <f t="shared" si="29"/>
        <v>44940</v>
      </c>
      <c r="W233" s="50">
        <f>V233-U233</f>
        <v>0</v>
      </c>
      <c r="X233" s="265">
        <v>0</v>
      </c>
      <c r="Y233" s="67">
        <v>0</v>
      </c>
      <c r="Z233" s="67">
        <v>397000</v>
      </c>
      <c r="AA233" s="35">
        <v>0</v>
      </c>
      <c r="AB233" s="67"/>
      <c r="AC233" s="40"/>
      <c r="AD233" s="42"/>
      <c r="AE233" s="41">
        <v>0</v>
      </c>
      <c r="AF233" s="43">
        <v>0</v>
      </c>
      <c r="AG233" s="40">
        <v>0</v>
      </c>
      <c r="AH233" s="40"/>
      <c r="AI233" s="44"/>
      <c r="AJ233" s="44"/>
      <c r="AK233" s="40">
        <v>0</v>
      </c>
      <c r="AL233" s="40"/>
      <c r="AM233" s="242">
        <f t="shared" si="30"/>
        <v>44957</v>
      </c>
      <c r="AN233" s="242">
        <f>IF(AQ233="x","",IF(AQ233="x",AM233,IF(EOMONTH(I233,0)=31,"",EOMONTH(I233,0))))</f>
        <v>44957</v>
      </c>
      <c r="AO233" s="79">
        <f>IFERROR(IF(VLOOKUP(C233,C234:C837,1,0)=0,1,0),1)</f>
        <v>1</v>
      </c>
      <c r="AP233" s="79"/>
      <c r="AQ233" s="243" t="str">
        <f t="shared" si="31"/>
        <v/>
      </c>
      <c r="AR233" s="242" t="b">
        <f>IF(AQ233="x",EOMONTH(I233,0))</f>
        <v>0</v>
      </c>
      <c r="AS233" s="79">
        <f t="shared" si="32"/>
        <v>1</v>
      </c>
      <c r="AT233" s="79">
        <f t="shared" si="33"/>
        <v>1</v>
      </c>
      <c r="AU233" s="79" t="str">
        <f t="shared" si="34"/>
        <v>B</v>
      </c>
      <c r="AV233" s="79">
        <f t="shared" si="28"/>
        <v>1</v>
      </c>
      <c r="AW233" s="79" t="str">
        <f>J233&amp;AU233</f>
        <v>6B</v>
      </c>
      <c r="AX233" s="79">
        <f>IF(COUNTIFS(J:J,"Integral",E:E,E233,H:H,"Ativo")=4,1/4,1/10)</f>
        <v>0.1</v>
      </c>
      <c r="AY233" s="79"/>
      <c r="AZ233" s="79"/>
    </row>
    <row r="234" spans="1:52" ht="15.75" customHeight="1">
      <c r="A234" s="54">
        <v>238</v>
      </c>
      <c r="B234" s="399">
        <v>44941</v>
      </c>
      <c r="C234" s="32" t="s">
        <v>850</v>
      </c>
      <c r="D234" s="32" t="s">
        <v>851</v>
      </c>
      <c r="E234" s="32" t="s">
        <v>575</v>
      </c>
      <c r="F234" s="32" t="s">
        <v>852</v>
      </c>
      <c r="G234" s="33" t="s">
        <v>220</v>
      </c>
      <c r="H234" s="33" t="s">
        <v>244</v>
      </c>
      <c r="I234" s="34">
        <v>44959</v>
      </c>
      <c r="J234" s="33">
        <v>6</v>
      </c>
      <c r="K234" s="35" t="s">
        <v>853</v>
      </c>
      <c r="L234" s="35" t="s">
        <v>854</v>
      </c>
      <c r="M234" s="67" t="s">
        <v>222</v>
      </c>
      <c r="N234" s="33" t="s">
        <v>68</v>
      </c>
      <c r="O234" s="33" t="s">
        <v>13</v>
      </c>
      <c r="P234" s="33">
        <v>0</v>
      </c>
      <c r="Q234" s="47"/>
      <c r="R234" s="47"/>
      <c r="S234" s="45" t="s">
        <v>222</v>
      </c>
      <c r="T234" s="45"/>
      <c r="U234" s="51">
        <v>44941</v>
      </c>
      <c r="V234" s="48">
        <f t="shared" si="29"/>
        <v>44941</v>
      </c>
      <c r="W234" s="50">
        <f>V234-U234</f>
        <v>0</v>
      </c>
      <c r="X234" s="265">
        <v>0</v>
      </c>
      <c r="Y234" s="67">
        <v>0</v>
      </c>
      <c r="Z234" s="67">
        <v>398000</v>
      </c>
      <c r="AA234" s="35">
        <v>0</v>
      </c>
      <c r="AB234" s="67"/>
      <c r="AC234" s="40"/>
      <c r="AD234" s="42"/>
      <c r="AE234" s="41">
        <v>0</v>
      </c>
      <c r="AF234" s="43">
        <v>0</v>
      </c>
      <c r="AG234" s="40">
        <v>0</v>
      </c>
      <c r="AH234" s="40"/>
      <c r="AI234" s="44"/>
      <c r="AJ234" s="44"/>
      <c r="AK234" s="40">
        <v>0</v>
      </c>
      <c r="AL234" s="40"/>
      <c r="AM234" s="242">
        <f t="shared" si="30"/>
        <v>44957</v>
      </c>
      <c r="AN234" s="242">
        <f>IF(AQ234="x","",IF(AQ234="x",AM234,IF(EOMONTH(I234,0)=31,"",EOMONTH(I234,0))))</f>
        <v>44985</v>
      </c>
      <c r="AO234" s="79">
        <f>IFERROR(IF(VLOOKUP(C234,C235:C838,1,0)=0,1,0),1)</f>
        <v>1</v>
      </c>
      <c r="AP234" s="79"/>
      <c r="AQ234" s="243" t="str">
        <f t="shared" si="31"/>
        <v/>
      </c>
      <c r="AR234" s="242" t="b">
        <f>IF(AQ234="x",EOMONTH(I234,0))</f>
        <v>0</v>
      </c>
      <c r="AS234" s="79">
        <f t="shared" si="32"/>
        <v>1</v>
      </c>
      <c r="AT234" s="79">
        <f t="shared" si="33"/>
        <v>1</v>
      </c>
      <c r="AU234" s="79" t="str">
        <f t="shared" si="34"/>
        <v>B</v>
      </c>
      <c r="AV234" s="79">
        <f t="shared" si="28"/>
        <v>1</v>
      </c>
      <c r="AW234" s="79" t="str">
        <f>J234&amp;AU234</f>
        <v>6B</v>
      </c>
      <c r="AX234" s="79">
        <f>IF(COUNTIFS(J:J,"Integral",E:E,E234,H:H,"Ativo")=4,1/4,1/10)</f>
        <v>0.1</v>
      </c>
      <c r="AY234" s="79"/>
      <c r="AZ234" s="79"/>
    </row>
    <row r="235" spans="1:52" ht="15.75" customHeight="1">
      <c r="A235" s="54">
        <v>239</v>
      </c>
      <c r="B235" s="399">
        <v>44941</v>
      </c>
      <c r="C235" s="32" t="s">
        <v>855</v>
      </c>
      <c r="D235" s="32" t="s">
        <v>856</v>
      </c>
      <c r="E235" s="32" t="s">
        <v>765</v>
      </c>
      <c r="F235" s="32" t="s">
        <v>857</v>
      </c>
      <c r="G235" s="33" t="s">
        <v>220</v>
      </c>
      <c r="H235" s="33" t="s">
        <v>90</v>
      </c>
      <c r="I235" s="34">
        <v>0</v>
      </c>
      <c r="J235" s="33">
        <v>13</v>
      </c>
      <c r="K235" s="35" t="s">
        <v>566</v>
      </c>
      <c r="L235" s="35" t="s">
        <v>600</v>
      </c>
      <c r="M235" s="67" t="s">
        <v>222</v>
      </c>
      <c r="N235" s="33" t="s">
        <v>68</v>
      </c>
      <c r="O235" s="33" t="s">
        <v>13</v>
      </c>
      <c r="P235" s="33" t="s">
        <v>1</v>
      </c>
      <c r="Q235" s="47"/>
      <c r="R235" s="47"/>
      <c r="S235" s="45" t="s">
        <v>150</v>
      </c>
      <c r="T235" s="45"/>
      <c r="U235" s="51">
        <v>44941</v>
      </c>
      <c r="V235" s="48">
        <f t="shared" si="29"/>
        <v>44941</v>
      </c>
      <c r="W235" s="50">
        <f>V235-U235</f>
        <v>0</v>
      </c>
      <c r="X235" s="261">
        <v>1365000</v>
      </c>
      <c r="Y235" s="260">
        <v>1365000</v>
      </c>
      <c r="Z235" s="260">
        <v>1500000</v>
      </c>
      <c r="AA235" s="35">
        <v>0</v>
      </c>
      <c r="AB235" s="260"/>
      <c r="AC235" s="41"/>
      <c r="AD235" s="42"/>
      <c r="AE235" s="41"/>
      <c r="AF235" s="43"/>
      <c r="AG235" s="40">
        <v>135000</v>
      </c>
      <c r="AH235" s="40"/>
      <c r="AI235" s="44"/>
      <c r="AJ235" s="44"/>
      <c r="AK235" s="40">
        <v>0</v>
      </c>
      <c r="AL235" s="40">
        <v>0</v>
      </c>
      <c r="AM235" s="242">
        <f t="shared" si="30"/>
        <v>44957</v>
      </c>
      <c r="AN235" s="242" t="str">
        <f>IF(AQ235="x","",IF(AQ235="x",AM235,IF(EOMONTH(I235,0)=31,"",EOMONTH(I235,0))))</f>
        <v/>
      </c>
      <c r="AO235" s="79">
        <f>IFERROR(IF(VLOOKUP(C235,C236:C839,1,0)=0,1,0),1)</f>
        <v>1</v>
      </c>
      <c r="AP235" s="79"/>
      <c r="AQ235" s="243" t="str">
        <f t="shared" si="31"/>
        <v/>
      </c>
      <c r="AR235" s="242" t="b">
        <f>IF(AQ235="x",EOMONTH(I235,0))</f>
        <v>0</v>
      </c>
      <c r="AS235" s="79">
        <f t="shared" si="32"/>
        <v>1</v>
      </c>
      <c r="AT235" s="79">
        <f t="shared" si="33"/>
        <v>1</v>
      </c>
      <c r="AU235" s="79" t="str">
        <f t="shared" si="34"/>
        <v>A</v>
      </c>
      <c r="AV235" s="79">
        <f t="shared" si="28"/>
        <v>1</v>
      </c>
      <c r="AW235" s="79" t="str">
        <f>J235&amp;AU235</f>
        <v>13A</v>
      </c>
      <c r="AX235" s="79">
        <f>IF(COUNTIFS(J:J,"Integral",E:E,E235,H:H,"Ativo")=4,1/4,1/10)</f>
        <v>0.1</v>
      </c>
      <c r="AY235" s="79"/>
      <c r="AZ235" s="79"/>
    </row>
    <row r="236" spans="1:52" ht="15.75" customHeight="1">
      <c r="A236" s="54">
        <v>240</v>
      </c>
      <c r="B236" s="399">
        <v>44943</v>
      </c>
      <c r="C236" s="32" t="s">
        <v>858</v>
      </c>
      <c r="D236" s="32" t="s">
        <v>696</v>
      </c>
      <c r="E236" s="32" t="s">
        <v>547</v>
      </c>
      <c r="F236" s="32" t="s">
        <v>859</v>
      </c>
      <c r="G236" s="33" t="s">
        <v>220</v>
      </c>
      <c r="H236" s="33" t="s">
        <v>244</v>
      </c>
      <c r="I236" s="34">
        <v>45258</v>
      </c>
      <c r="J236" s="33">
        <v>6</v>
      </c>
      <c r="K236" s="35" t="s">
        <v>853</v>
      </c>
      <c r="L236" s="35" t="s">
        <v>600</v>
      </c>
      <c r="M236" s="67" t="s">
        <v>222</v>
      </c>
      <c r="N236" s="33" t="s">
        <v>68</v>
      </c>
      <c r="O236" s="33" t="s">
        <v>12</v>
      </c>
      <c r="P236" s="33" t="s">
        <v>1</v>
      </c>
      <c r="Q236" s="47"/>
      <c r="R236" s="47"/>
      <c r="S236" s="45" t="s">
        <v>143</v>
      </c>
      <c r="T236" s="45"/>
      <c r="U236" s="51">
        <v>44943</v>
      </c>
      <c r="V236" s="48">
        <f t="shared" si="29"/>
        <v>44943</v>
      </c>
      <c r="W236" s="50">
        <f>V236-U236</f>
        <v>0</v>
      </c>
      <c r="X236" s="265">
        <v>333000</v>
      </c>
      <c r="Y236" s="67">
        <v>333000</v>
      </c>
      <c r="Z236" s="67">
        <v>360000</v>
      </c>
      <c r="AA236" s="35">
        <v>0</v>
      </c>
      <c r="AB236" s="67"/>
      <c r="AC236" s="41"/>
      <c r="AD236" s="42"/>
      <c r="AE236" s="41"/>
      <c r="AF236" s="43"/>
      <c r="AG236" s="40">
        <v>27000</v>
      </c>
      <c r="AH236" s="40"/>
      <c r="AI236" s="44"/>
      <c r="AJ236" s="44"/>
      <c r="AK236" s="40">
        <v>0</v>
      </c>
      <c r="AL236" s="40">
        <v>0</v>
      </c>
      <c r="AM236" s="242">
        <f t="shared" si="30"/>
        <v>44957</v>
      </c>
      <c r="AN236" s="242">
        <f>IF(AQ236="x","",IF(AQ236="x",AM236,IF(EOMONTH(I236,0)=31,"",EOMONTH(I236,0))))</f>
        <v>45260</v>
      </c>
      <c r="AO236" s="79">
        <f>IFERROR(IF(VLOOKUP(C236,C237:C840,1,0)=0,1,0),1)</f>
        <v>1</v>
      </c>
      <c r="AP236" s="79"/>
      <c r="AQ236" s="243" t="str">
        <f t="shared" si="31"/>
        <v/>
      </c>
      <c r="AR236" s="242" t="b">
        <f>IF(AQ236="x",EOMONTH(I236,0))</f>
        <v>0</v>
      </c>
      <c r="AS236" s="79">
        <f t="shared" si="32"/>
        <v>1</v>
      </c>
      <c r="AT236" s="79">
        <f t="shared" si="33"/>
        <v>1</v>
      </c>
      <c r="AU236" s="79" t="str">
        <f t="shared" si="34"/>
        <v>B</v>
      </c>
      <c r="AV236" s="79">
        <f t="shared" si="28"/>
        <v>1</v>
      </c>
      <c r="AW236" s="79" t="str">
        <f>J236&amp;AU236</f>
        <v>6B</v>
      </c>
      <c r="AX236" s="79">
        <f>IF(COUNTIFS(J:J,"Integral",E:E,E236,H:H,"Ativo")=4,1/4,1/10)</f>
        <v>0.1</v>
      </c>
      <c r="AY236" s="79"/>
      <c r="AZ236" s="79"/>
    </row>
    <row r="237" spans="1:52" ht="15.75" customHeight="1">
      <c r="A237" s="54">
        <v>241</v>
      </c>
      <c r="B237" s="399">
        <v>44945</v>
      </c>
      <c r="C237" s="32" t="s">
        <v>860</v>
      </c>
      <c r="D237" s="32" t="s">
        <v>861</v>
      </c>
      <c r="E237" s="32" t="s">
        <v>807</v>
      </c>
      <c r="F237" s="32" t="s">
        <v>862</v>
      </c>
      <c r="G237" s="33" t="s">
        <v>220</v>
      </c>
      <c r="H237" s="33" t="s">
        <v>90</v>
      </c>
      <c r="I237" s="34">
        <v>0</v>
      </c>
      <c r="J237" s="33">
        <v>4</v>
      </c>
      <c r="K237" s="35" t="s">
        <v>318</v>
      </c>
      <c r="L237" s="35" t="s">
        <v>600</v>
      </c>
      <c r="M237" s="67" t="s">
        <v>222</v>
      </c>
      <c r="N237" s="33" t="s">
        <v>68</v>
      </c>
      <c r="O237" s="33" t="s">
        <v>12</v>
      </c>
      <c r="P237" s="33" t="s">
        <v>1</v>
      </c>
      <c r="Q237" s="47"/>
      <c r="R237" s="47"/>
      <c r="S237" s="45" t="s">
        <v>143</v>
      </c>
      <c r="T237" s="45"/>
      <c r="U237" s="51">
        <v>44945</v>
      </c>
      <c r="V237" s="48">
        <f t="shared" si="29"/>
        <v>44945</v>
      </c>
      <c r="W237" s="50">
        <f>V237-U237</f>
        <v>0</v>
      </c>
      <c r="X237" s="261">
        <v>216000</v>
      </c>
      <c r="Y237" s="260">
        <v>216000</v>
      </c>
      <c r="Z237" s="260">
        <v>247500</v>
      </c>
      <c r="AA237" s="35">
        <v>0</v>
      </c>
      <c r="AB237" s="260"/>
      <c r="AC237" s="41"/>
      <c r="AD237" s="42"/>
      <c r="AE237" s="41"/>
      <c r="AF237" s="43"/>
      <c r="AG237" s="40">
        <v>31500</v>
      </c>
      <c r="AH237" s="40"/>
      <c r="AI237" s="44"/>
      <c r="AJ237" s="44"/>
      <c r="AK237" s="40">
        <v>0</v>
      </c>
      <c r="AL237" s="40">
        <v>0</v>
      </c>
      <c r="AM237" s="242">
        <f t="shared" si="30"/>
        <v>44957</v>
      </c>
      <c r="AN237" s="242" t="str">
        <f>IF(AQ237="x","",IF(AQ237="x",AM237,IF(EOMONTH(I237,0)=31,"",EOMONTH(I237,0))))</f>
        <v/>
      </c>
      <c r="AO237" s="79">
        <f>IFERROR(IF(VLOOKUP(C237,C238:C841,1,0)=0,1,0),1)</f>
        <v>0</v>
      </c>
      <c r="AP237" s="79"/>
      <c r="AQ237" s="243" t="str">
        <f t="shared" si="31"/>
        <v/>
      </c>
      <c r="AR237" s="242" t="b">
        <f>IF(AQ237="x",EOMONTH(I237,0))</f>
        <v>0</v>
      </c>
      <c r="AS237" s="79">
        <f t="shared" si="32"/>
        <v>1</v>
      </c>
      <c r="AT237" s="79">
        <f t="shared" si="33"/>
        <v>1</v>
      </c>
      <c r="AU237" s="79" t="str">
        <f t="shared" si="34"/>
        <v>B</v>
      </c>
      <c r="AV237" s="79">
        <f t="shared" si="28"/>
        <v>1</v>
      </c>
      <c r="AW237" s="79" t="str">
        <f>J237&amp;AU237</f>
        <v>4B</v>
      </c>
      <c r="AX237" s="79">
        <f>IF(COUNTIFS(J:J,"Integral",E:E,E237,H:H,"Ativo")=4,1/4,1/10)</f>
        <v>0.1</v>
      </c>
      <c r="AY237" s="79"/>
      <c r="AZ237" s="79"/>
    </row>
    <row r="238" spans="1:52" ht="15.75" customHeight="1">
      <c r="A238" s="54">
        <v>242</v>
      </c>
      <c r="B238" s="399">
        <v>44945</v>
      </c>
      <c r="C238" s="32" t="s">
        <v>860</v>
      </c>
      <c r="D238" s="32" t="s">
        <v>863</v>
      </c>
      <c r="E238" s="32" t="s">
        <v>807</v>
      </c>
      <c r="F238" s="32" t="s">
        <v>864</v>
      </c>
      <c r="G238" s="33" t="s">
        <v>220</v>
      </c>
      <c r="H238" s="33" t="s">
        <v>90</v>
      </c>
      <c r="I238" s="34">
        <v>0</v>
      </c>
      <c r="J238" s="33">
        <v>4</v>
      </c>
      <c r="K238" s="35" t="s">
        <v>318</v>
      </c>
      <c r="L238" s="35" t="s">
        <v>600</v>
      </c>
      <c r="M238" s="67" t="s">
        <v>222</v>
      </c>
      <c r="N238" s="33" t="s">
        <v>68</v>
      </c>
      <c r="O238" s="33" t="s">
        <v>12</v>
      </c>
      <c r="P238" s="33" t="s">
        <v>1</v>
      </c>
      <c r="Q238" s="47"/>
      <c r="R238" s="47"/>
      <c r="S238" s="45" t="s">
        <v>143</v>
      </c>
      <c r="T238" s="45"/>
      <c r="U238" s="51">
        <v>44945</v>
      </c>
      <c r="V238" s="48">
        <f t="shared" si="29"/>
        <v>44945</v>
      </c>
      <c r="W238" s="50">
        <f>V238-U238</f>
        <v>0</v>
      </c>
      <c r="X238" s="261">
        <v>216000</v>
      </c>
      <c r="Y238" s="260">
        <v>216000</v>
      </c>
      <c r="Z238" s="260">
        <v>247500</v>
      </c>
      <c r="AA238" s="35">
        <v>0</v>
      </c>
      <c r="AB238" s="260"/>
      <c r="AC238" s="41"/>
      <c r="AD238" s="42"/>
      <c r="AE238" s="41"/>
      <c r="AF238" s="43"/>
      <c r="AG238" s="40">
        <v>31500</v>
      </c>
      <c r="AH238" s="40"/>
      <c r="AI238" s="44"/>
      <c r="AJ238" s="44"/>
      <c r="AK238" s="40">
        <v>0</v>
      </c>
      <c r="AL238" s="40">
        <v>0</v>
      </c>
      <c r="AM238" s="242">
        <f t="shared" si="30"/>
        <v>44957</v>
      </c>
      <c r="AN238" s="242" t="str">
        <f>IF(AQ238="x","",IF(AQ238="x",AM238,IF(EOMONTH(I238,0)=31,"",EOMONTH(I238,0))))</f>
        <v/>
      </c>
      <c r="AO238" s="79">
        <f>IFERROR(IF(VLOOKUP(C238,C239:C842,1,0)=0,1,0),1)</f>
        <v>1</v>
      </c>
      <c r="AP238" s="79"/>
      <c r="AQ238" s="243" t="str">
        <f t="shared" si="31"/>
        <v/>
      </c>
      <c r="AR238" s="242" t="b">
        <f>IF(AQ238="x",EOMONTH(I238,0))</f>
        <v>0</v>
      </c>
      <c r="AS238" s="79">
        <f t="shared" si="32"/>
        <v>1</v>
      </c>
      <c r="AT238" s="79">
        <f t="shared" si="33"/>
        <v>1</v>
      </c>
      <c r="AU238" s="79" t="str">
        <f t="shared" si="34"/>
        <v>B</v>
      </c>
      <c r="AV238" s="79">
        <f t="shared" si="28"/>
        <v>1</v>
      </c>
      <c r="AW238" s="79" t="str">
        <f>J238&amp;AU238</f>
        <v>4B</v>
      </c>
      <c r="AX238" s="79">
        <f>IF(COUNTIFS(J:J,"Integral",E:E,E238,H:H,"Ativo")=4,1/4,1/10)</f>
        <v>0.1</v>
      </c>
      <c r="AY238" s="79"/>
      <c r="AZ238" s="79"/>
    </row>
    <row r="239" spans="1:52" ht="15.75" customHeight="1">
      <c r="A239" s="54">
        <v>243</v>
      </c>
      <c r="B239" s="399">
        <v>44945</v>
      </c>
      <c r="C239" s="32" t="s">
        <v>865</v>
      </c>
      <c r="D239" s="32" t="s">
        <v>866</v>
      </c>
      <c r="E239" s="32" t="s">
        <v>575</v>
      </c>
      <c r="F239" s="32" t="s">
        <v>867</v>
      </c>
      <c r="G239" s="33" t="s">
        <v>220</v>
      </c>
      <c r="H239" s="33" t="s">
        <v>244</v>
      </c>
      <c r="I239" s="34">
        <v>44957</v>
      </c>
      <c r="J239" s="33">
        <v>6</v>
      </c>
      <c r="K239" s="35" t="s">
        <v>290</v>
      </c>
      <c r="L239" s="35" t="s">
        <v>290</v>
      </c>
      <c r="M239" s="67" t="s">
        <v>222</v>
      </c>
      <c r="N239" s="33" t="s">
        <v>68</v>
      </c>
      <c r="O239" s="33" t="s">
        <v>12</v>
      </c>
      <c r="P239" s="33" t="s">
        <v>1</v>
      </c>
      <c r="Q239" s="47"/>
      <c r="R239" s="47"/>
      <c r="S239" s="45" t="s">
        <v>222</v>
      </c>
      <c r="T239" s="45"/>
      <c r="U239" s="51">
        <v>44945</v>
      </c>
      <c r="V239" s="48">
        <f t="shared" si="29"/>
        <v>44945</v>
      </c>
      <c r="W239" s="50">
        <f>V239-U239</f>
        <v>0</v>
      </c>
      <c r="X239" s="265">
        <v>0</v>
      </c>
      <c r="Y239" s="67">
        <v>0</v>
      </c>
      <c r="Z239" s="67">
        <v>390000</v>
      </c>
      <c r="AA239" s="35">
        <v>0</v>
      </c>
      <c r="AB239" s="67"/>
      <c r="AC239" s="40"/>
      <c r="AD239" s="42"/>
      <c r="AE239" s="41">
        <v>0</v>
      </c>
      <c r="AF239" s="43">
        <v>0</v>
      </c>
      <c r="AG239" s="40">
        <v>0</v>
      </c>
      <c r="AH239" s="40"/>
      <c r="AI239" s="44"/>
      <c r="AJ239" s="44"/>
      <c r="AK239" s="40">
        <v>0</v>
      </c>
      <c r="AL239" s="40"/>
      <c r="AM239" s="242">
        <f t="shared" si="30"/>
        <v>44957</v>
      </c>
      <c r="AN239" s="242">
        <f>IF(AQ239="x","",IF(AQ239="x",AM239,IF(EOMONTH(I239,0)=31,"",EOMONTH(I239,0))))</f>
        <v>44957</v>
      </c>
      <c r="AO239" s="79">
        <f>IFERROR(IF(VLOOKUP(C239,C240:C843,1,0)=0,1,0),1)</f>
        <v>1</v>
      </c>
      <c r="AP239" s="79"/>
      <c r="AQ239" s="243" t="str">
        <f t="shared" si="31"/>
        <v/>
      </c>
      <c r="AR239" s="242" t="b">
        <f>IF(AQ239="x",EOMONTH(I239,0))</f>
        <v>0</v>
      </c>
      <c r="AS239" s="79">
        <f t="shared" si="32"/>
        <v>1</v>
      </c>
      <c r="AT239" s="79">
        <f t="shared" si="33"/>
        <v>1</v>
      </c>
      <c r="AU239" s="79" t="str">
        <f t="shared" si="34"/>
        <v>B</v>
      </c>
      <c r="AV239" s="79">
        <f t="shared" si="28"/>
        <v>1</v>
      </c>
      <c r="AW239" s="79" t="str">
        <f>J239&amp;AU239</f>
        <v>6B</v>
      </c>
      <c r="AX239" s="79">
        <f>IF(COUNTIFS(J:J,"Integral",E:E,E239,H:H,"Ativo")=4,1/4,1/10)</f>
        <v>0.1</v>
      </c>
      <c r="AY239" s="79"/>
      <c r="AZ239" s="79"/>
    </row>
    <row r="240" spans="1:52" ht="15.75" customHeight="1">
      <c r="A240" s="54">
        <v>244</v>
      </c>
      <c r="B240" s="399">
        <v>44948</v>
      </c>
      <c r="C240" s="32" t="s">
        <v>868</v>
      </c>
      <c r="D240" s="32" t="s">
        <v>240</v>
      </c>
      <c r="E240" s="32" t="s">
        <v>241</v>
      </c>
      <c r="F240" s="32" t="s">
        <v>869</v>
      </c>
      <c r="G240" s="33" t="s">
        <v>243</v>
      </c>
      <c r="H240" s="33" t="s">
        <v>244</v>
      </c>
      <c r="I240" s="34">
        <v>44949</v>
      </c>
      <c r="J240" s="33">
        <v>13</v>
      </c>
      <c r="K240" s="35" t="s">
        <v>318</v>
      </c>
      <c r="L240" s="35" t="s">
        <v>274</v>
      </c>
      <c r="M240" s="67" t="s">
        <v>222</v>
      </c>
      <c r="N240" s="33" t="s">
        <v>68</v>
      </c>
      <c r="O240" s="33" t="s">
        <v>11</v>
      </c>
      <c r="P240" s="33" t="s">
        <v>1</v>
      </c>
      <c r="Q240" s="47"/>
      <c r="R240" s="47"/>
      <c r="S240" s="45" t="s">
        <v>222</v>
      </c>
      <c r="T240" s="45"/>
      <c r="U240" s="51">
        <v>44948</v>
      </c>
      <c r="V240" s="48">
        <f t="shared" si="29"/>
        <v>44948</v>
      </c>
      <c r="W240" s="50">
        <f>V240-U240</f>
        <v>0</v>
      </c>
      <c r="X240" s="265">
        <v>0</v>
      </c>
      <c r="Y240" s="67">
        <v>0</v>
      </c>
      <c r="Z240" s="67">
        <v>1100000</v>
      </c>
      <c r="AA240" s="35">
        <v>0</v>
      </c>
      <c r="AB240" s="67"/>
      <c r="AC240" s="40"/>
      <c r="AD240" s="42"/>
      <c r="AE240" s="41">
        <v>0</v>
      </c>
      <c r="AF240" s="43">
        <v>0</v>
      </c>
      <c r="AG240" s="40">
        <v>0</v>
      </c>
      <c r="AH240" s="40"/>
      <c r="AI240" s="44"/>
      <c r="AJ240" s="44"/>
      <c r="AK240" s="40">
        <v>0</v>
      </c>
      <c r="AL240" s="40"/>
      <c r="AM240" s="242">
        <f t="shared" si="30"/>
        <v>44957</v>
      </c>
      <c r="AN240" s="242" t="str">
        <f>IF(AQ240="x","",IF(AQ240="x",AM240,IF(EOMONTH(I240,0)=31,"",EOMONTH(I240,0))))</f>
        <v/>
      </c>
      <c r="AO240" s="79">
        <f>IFERROR(IF(VLOOKUP(C240,C241:C844,1,0)=0,1,0),1)</f>
        <v>1</v>
      </c>
      <c r="AP240" s="79"/>
      <c r="AQ240" s="243" t="str">
        <f t="shared" si="31"/>
        <v>x</v>
      </c>
      <c r="AR240" s="242">
        <f>IF(AQ240="x",EOMONTH(I240,0))</f>
        <v>44957</v>
      </c>
      <c r="AS240" s="79">
        <f t="shared" si="32"/>
        <v>1</v>
      </c>
      <c r="AT240" s="79">
        <f t="shared" si="33"/>
        <v>1</v>
      </c>
      <c r="AU240" s="79" t="str">
        <f t="shared" si="34"/>
        <v>A</v>
      </c>
      <c r="AV240" s="79">
        <f t="shared" si="28"/>
        <v>1</v>
      </c>
      <c r="AW240" s="79" t="str">
        <f>J240&amp;AU240</f>
        <v>13A</v>
      </c>
      <c r="AX240" s="79">
        <f>IF(COUNTIFS(J:J,"Integral",E:E,E240,H:H,"Ativo")=4,1/4,1/10)</f>
        <v>0.1</v>
      </c>
      <c r="AY240" s="79"/>
      <c r="AZ240" s="79"/>
    </row>
    <row r="241" spans="1:52" ht="15.75" customHeight="1">
      <c r="A241" s="54">
        <v>245</v>
      </c>
      <c r="B241" s="399">
        <v>44949</v>
      </c>
      <c r="C241" s="32" t="s">
        <v>870</v>
      </c>
      <c r="D241" s="32" t="s">
        <v>871</v>
      </c>
      <c r="E241" s="32" t="s">
        <v>753</v>
      </c>
      <c r="F241" s="32" t="s">
        <v>872</v>
      </c>
      <c r="G241" s="33" t="s">
        <v>220</v>
      </c>
      <c r="H241" s="33" t="s">
        <v>90</v>
      </c>
      <c r="I241" s="34">
        <v>0</v>
      </c>
      <c r="J241" s="33">
        <v>6</v>
      </c>
      <c r="K241" s="35" t="s">
        <v>394</v>
      </c>
      <c r="L241" s="35" t="s">
        <v>394</v>
      </c>
      <c r="M241" s="67" t="s">
        <v>222</v>
      </c>
      <c r="N241" s="33" t="s">
        <v>68</v>
      </c>
      <c r="O241" s="33" t="s">
        <v>10</v>
      </c>
      <c r="P241" s="33" t="s">
        <v>2</v>
      </c>
      <c r="Q241" s="47"/>
      <c r="R241" s="47"/>
      <c r="S241" s="45" t="s">
        <v>150</v>
      </c>
      <c r="T241" s="45"/>
      <c r="U241" s="46">
        <v>44949</v>
      </c>
      <c r="V241" s="38">
        <f t="shared" si="29"/>
        <v>44949</v>
      </c>
      <c r="W241" s="50">
        <f>V241-U241</f>
        <v>0</v>
      </c>
      <c r="X241" s="261">
        <v>333000</v>
      </c>
      <c r="Y241" s="260">
        <v>333000</v>
      </c>
      <c r="Z241" s="260">
        <v>298000</v>
      </c>
      <c r="AA241" s="35">
        <v>0</v>
      </c>
      <c r="AB241" s="260"/>
      <c r="AC241" s="41"/>
      <c r="AD241" s="42"/>
      <c r="AE241" s="41"/>
      <c r="AF241" s="43">
        <v>0</v>
      </c>
      <c r="AG241" s="40">
        <v>0</v>
      </c>
      <c r="AH241" s="40">
        <v>35000</v>
      </c>
      <c r="AI241" s="44">
        <v>0.10510510510510511</v>
      </c>
      <c r="AJ241" s="44">
        <v>0.10510510510510511</v>
      </c>
      <c r="AK241" s="40">
        <v>0</v>
      </c>
      <c r="AL241" s="40">
        <v>35000</v>
      </c>
      <c r="AM241" s="242">
        <f t="shared" si="30"/>
        <v>44957</v>
      </c>
      <c r="AN241" s="242" t="str">
        <f>IF(AQ241="x","",IF(AQ241="x",AM241,IF(EOMONTH(I241,0)=31,"",EOMONTH(I241,0))))</f>
        <v/>
      </c>
      <c r="AO241" s="79">
        <f>IFERROR(IF(VLOOKUP(C241,C242:C845,1,0)=0,1,0),1)</f>
        <v>0</v>
      </c>
      <c r="AP241" s="79"/>
      <c r="AQ241" s="243" t="str">
        <f t="shared" si="31"/>
        <v/>
      </c>
      <c r="AR241" s="242" t="b">
        <f>IF(AQ241="x",EOMONTH(I241,0))</f>
        <v>0</v>
      </c>
      <c r="AS241" s="79">
        <f t="shared" si="32"/>
        <v>1</v>
      </c>
      <c r="AT241" s="79">
        <f t="shared" si="33"/>
        <v>1</v>
      </c>
      <c r="AU241" s="79" t="str">
        <f t="shared" si="34"/>
        <v>B</v>
      </c>
      <c r="AV241" s="79">
        <f t="shared" ref="AV241:AV304" si="35">IF(AG241&lt;0,0,1)</f>
        <v>1</v>
      </c>
      <c r="AW241" s="79" t="str">
        <f>J241&amp;AU241</f>
        <v>6B</v>
      </c>
      <c r="AX241" s="79">
        <f>IF(COUNTIFS(J:J,"Integral",E:E,E241,H:H,"Ativo")=4,1/4,1/10)</f>
        <v>0.1</v>
      </c>
      <c r="AY241" s="79"/>
      <c r="AZ241" s="79"/>
    </row>
    <row r="242" spans="1:52" ht="15.75" customHeight="1">
      <c r="A242" s="54">
        <v>246</v>
      </c>
      <c r="B242" s="399">
        <v>44949</v>
      </c>
      <c r="C242" s="32" t="s">
        <v>870</v>
      </c>
      <c r="D242" s="32" t="s">
        <v>873</v>
      </c>
      <c r="E242" s="32" t="s">
        <v>419</v>
      </c>
      <c r="F242" s="32" t="s">
        <v>874</v>
      </c>
      <c r="G242" s="33" t="s">
        <v>220</v>
      </c>
      <c r="H242" s="33" t="s">
        <v>90</v>
      </c>
      <c r="I242" s="34">
        <v>0</v>
      </c>
      <c r="J242" s="33">
        <v>6</v>
      </c>
      <c r="K242" s="35" t="s">
        <v>394</v>
      </c>
      <c r="L242" s="35" t="s">
        <v>394</v>
      </c>
      <c r="M242" s="67" t="s">
        <v>222</v>
      </c>
      <c r="N242" s="33" t="s">
        <v>68</v>
      </c>
      <c r="O242" s="33" t="s">
        <v>10</v>
      </c>
      <c r="P242" s="33" t="s">
        <v>2</v>
      </c>
      <c r="Q242" s="47"/>
      <c r="R242" s="47"/>
      <c r="S242" s="45" t="s">
        <v>150</v>
      </c>
      <c r="T242" s="45"/>
      <c r="U242" s="46">
        <v>44949</v>
      </c>
      <c r="V242" s="38">
        <f t="shared" si="29"/>
        <v>44949</v>
      </c>
      <c r="W242" s="50">
        <f>V242-U242</f>
        <v>0</v>
      </c>
      <c r="X242" s="261">
        <v>354000</v>
      </c>
      <c r="Y242" s="260">
        <v>354000</v>
      </c>
      <c r="Z242" s="260">
        <v>292000</v>
      </c>
      <c r="AA242" s="35">
        <v>0</v>
      </c>
      <c r="AB242" s="260"/>
      <c r="AC242" s="41"/>
      <c r="AD242" s="42"/>
      <c r="AE242" s="41"/>
      <c r="AF242" s="43">
        <v>0</v>
      </c>
      <c r="AG242" s="40">
        <v>0</v>
      </c>
      <c r="AH242" s="40">
        <v>62000</v>
      </c>
      <c r="AI242" s="44">
        <v>0.1751412429378531</v>
      </c>
      <c r="AJ242" s="44">
        <v>0.1751412429378531</v>
      </c>
      <c r="AK242" s="40">
        <v>0</v>
      </c>
      <c r="AL242" s="40">
        <v>62000</v>
      </c>
      <c r="AM242" s="242">
        <f t="shared" si="30"/>
        <v>44957</v>
      </c>
      <c r="AN242" s="242" t="str">
        <f>IF(AQ242="x","",IF(AQ242="x",AM242,IF(EOMONTH(I242,0)=31,"",EOMONTH(I242,0))))</f>
        <v/>
      </c>
      <c r="AO242" s="79">
        <f>IFERROR(IF(VLOOKUP(C242,C243:C846,1,0)=0,1,0),1)</f>
        <v>1</v>
      </c>
      <c r="AP242" s="79"/>
      <c r="AQ242" s="243" t="str">
        <f t="shared" si="31"/>
        <v/>
      </c>
      <c r="AR242" s="242" t="b">
        <f>IF(AQ242="x",EOMONTH(I242,0))</f>
        <v>0</v>
      </c>
      <c r="AS242" s="79">
        <f t="shared" si="32"/>
        <v>1</v>
      </c>
      <c r="AT242" s="79">
        <f t="shared" si="33"/>
        <v>1</v>
      </c>
      <c r="AU242" s="79" t="str">
        <f t="shared" si="34"/>
        <v>B</v>
      </c>
      <c r="AV242" s="79">
        <f t="shared" si="35"/>
        <v>1</v>
      </c>
      <c r="AW242" s="79" t="str">
        <f>J242&amp;AU242</f>
        <v>6B</v>
      </c>
      <c r="AX242" s="79">
        <f>IF(COUNTIFS(J:J,"Integral",E:E,E242,H:H,"Ativo")=4,1/4,1/10)</f>
        <v>0.1</v>
      </c>
      <c r="AY242" s="79"/>
      <c r="AZ242" s="79"/>
    </row>
    <row r="243" spans="1:52" ht="15.75" customHeight="1">
      <c r="A243" s="54">
        <v>247</v>
      </c>
      <c r="B243" s="399">
        <v>44952</v>
      </c>
      <c r="C243" s="32" t="s">
        <v>875</v>
      </c>
      <c r="D243" s="32" t="s">
        <v>745</v>
      </c>
      <c r="E243" s="32" t="s">
        <v>716</v>
      </c>
      <c r="F243" s="32" t="s">
        <v>876</v>
      </c>
      <c r="G243" s="33" t="s">
        <v>220</v>
      </c>
      <c r="H243" s="33" t="s">
        <v>90</v>
      </c>
      <c r="I243" s="34">
        <v>0</v>
      </c>
      <c r="J243" s="33">
        <v>6</v>
      </c>
      <c r="K243" s="35" t="s">
        <v>318</v>
      </c>
      <c r="L243" s="35" t="s">
        <v>394</v>
      </c>
      <c r="M243" s="67" t="s">
        <v>222</v>
      </c>
      <c r="N243" s="33" t="s">
        <v>68</v>
      </c>
      <c r="O243" s="33" t="s">
        <v>13</v>
      </c>
      <c r="P243" s="33" t="s">
        <v>1</v>
      </c>
      <c r="Q243" s="47"/>
      <c r="R243" s="47"/>
      <c r="S243" s="45" t="s">
        <v>145</v>
      </c>
      <c r="T243" s="45"/>
      <c r="U243" s="51">
        <v>44952</v>
      </c>
      <c r="V243" s="48">
        <f t="shared" si="29"/>
        <v>44952</v>
      </c>
      <c r="W243" s="50">
        <f>V243-U243</f>
        <v>0</v>
      </c>
      <c r="X243" s="261">
        <v>327000</v>
      </c>
      <c r="Y243" s="260">
        <v>327000</v>
      </c>
      <c r="Z243" s="260">
        <v>336875</v>
      </c>
      <c r="AA243" s="35">
        <v>0</v>
      </c>
      <c r="AB243" s="260"/>
      <c r="AC243" s="41"/>
      <c r="AD243" s="42"/>
      <c r="AE243" s="41"/>
      <c r="AF243" s="43"/>
      <c r="AG243" s="40">
        <v>9875</v>
      </c>
      <c r="AH243" s="40"/>
      <c r="AI243" s="44"/>
      <c r="AJ243" s="44"/>
      <c r="AK243" s="40">
        <v>0</v>
      </c>
      <c r="AL243" s="40">
        <v>0</v>
      </c>
      <c r="AM243" s="242">
        <f t="shared" si="30"/>
        <v>44957</v>
      </c>
      <c r="AN243" s="242" t="str">
        <f>IF(AQ243="x","",IF(AQ243="x",AM243,IF(EOMONTH(I243,0)=31,"",EOMONTH(I243,0))))</f>
        <v/>
      </c>
      <c r="AO243" s="79">
        <f>IFERROR(IF(VLOOKUP(C243,C244:C847,1,0)=0,1,0),1)</f>
        <v>1</v>
      </c>
      <c r="AP243" s="79"/>
      <c r="AQ243" s="243" t="str">
        <f t="shared" si="31"/>
        <v/>
      </c>
      <c r="AR243" s="242" t="b">
        <f>IF(AQ243="x",EOMONTH(I243,0))</f>
        <v>0</v>
      </c>
      <c r="AS243" s="79">
        <f t="shared" si="32"/>
        <v>1</v>
      </c>
      <c r="AT243" s="79">
        <f t="shared" si="33"/>
        <v>1</v>
      </c>
      <c r="AU243" s="79" t="str">
        <f t="shared" si="34"/>
        <v>B</v>
      </c>
      <c r="AV243" s="79">
        <f t="shared" si="35"/>
        <v>1</v>
      </c>
      <c r="AW243" s="79" t="str">
        <f>J243&amp;AU243</f>
        <v>6B</v>
      </c>
      <c r="AX243" s="79">
        <f>IF(COUNTIFS(J:J,"Integral",E:E,E243,H:H,"Ativo")=4,1/4,1/10)</f>
        <v>0.1</v>
      </c>
      <c r="AY243" s="79"/>
      <c r="AZ243" s="79"/>
    </row>
    <row r="244" spans="1:52" ht="15.75" customHeight="1">
      <c r="A244" s="54">
        <v>248</v>
      </c>
      <c r="B244" s="399">
        <v>44958</v>
      </c>
      <c r="C244" s="32" t="s">
        <v>877</v>
      </c>
      <c r="D244" s="32" t="s">
        <v>878</v>
      </c>
      <c r="E244" s="32" t="s">
        <v>610</v>
      </c>
      <c r="F244" s="32" t="s">
        <v>879</v>
      </c>
      <c r="G244" s="33" t="s">
        <v>220</v>
      </c>
      <c r="H244" s="33" t="s">
        <v>90</v>
      </c>
      <c r="I244" s="34">
        <v>0</v>
      </c>
      <c r="J244" s="33">
        <v>4</v>
      </c>
      <c r="K244" s="35" t="s">
        <v>289</v>
      </c>
      <c r="L244" s="35" t="s">
        <v>274</v>
      </c>
      <c r="M244" s="67" t="s">
        <v>222</v>
      </c>
      <c r="N244" s="33" t="s">
        <v>68</v>
      </c>
      <c r="O244" s="33" t="s">
        <v>11</v>
      </c>
      <c r="P244" s="33" t="s">
        <v>1</v>
      </c>
      <c r="Q244" s="47"/>
      <c r="R244" s="47"/>
      <c r="S244" s="45" t="s">
        <v>149</v>
      </c>
      <c r="T244" s="45"/>
      <c r="U244" s="46">
        <v>44952</v>
      </c>
      <c r="V244" s="38">
        <f t="shared" si="29"/>
        <v>44958</v>
      </c>
      <c r="W244" s="50">
        <f>V244-U244</f>
        <v>6</v>
      </c>
      <c r="X244" s="261">
        <v>228500</v>
      </c>
      <c r="Y244" s="260">
        <v>228500</v>
      </c>
      <c r="Z244" s="260">
        <v>225000</v>
      </c>
      <c r="AA244" s="35" t="s">
        <v>880</v>
      </c>
      <c r="AB244" s="260"/>
      <c r="AC244" s="41"/>
      <c r="AD244" s="42"/>
      <c r="AE244" s="41"/>
      <c r="AF244" s="43"/>
      <c r="AG244" s="40">
        <v>0</v>
      </c>
      <c r="AH244" s="40">
        <v>3500</v>
      </c>
      <c r="AI244" s="44">
        <v>1.5317286652078774E-2</v>
      </c>
      <c r="AJ244" s="44">
        <v>1.5317286652078774E-2</v>
      </c>
      <c r="AK244" s="40">
        <v>0</v>
      </c>
      <c r="AL244" s="40">
        <v>3500</v>
      </c>
      <c r="AM244" s="242">
        <f t="shared" si="30"/>
        <v>44985</v>
      </c>
      <c r="AN244" s="242" t="str">
        <f>IF(AQ244="x","",IF(AQ244="x",AM244,IF(EOMONTH(I244,0)=31,"",EOMONTH(I244,0))))</f>
        <v/>
      </c>
      <c r="AO244" s="79">
        <f>IFERROR(IF(VLOOKUP(C244,C245:C848,1,0)=0,1,0),1)</f>
        <v>0</v>
      </c>
      <c r="AP244" s="79"/>
      <c r="AQ244" s="243" t="str">
        <f t="shared" si="31"/>
        <v/>
      </c>
      <c r="AR244" s="242" t="b">
        <f>IF(AQ244="x",EOMONTH(I244,0))</f>
        <v>0</v>
      </c>
      <c r="AS244" s="79">
        <f t="shared" si="32"/>
        <v>1</v>
      </c>
      <c r="AT244" s="79">
        <f t="shared" si="33"/>
        <v>1</v>
      </c>
      <c r="AU244" s="79" t="str">
        <f t="shared" si="34"/>
        <v>B</v>
      </c>
      <c r="AV244" s="79">
        <f t="shared" si="35"/>
        <v>1</v>
      </c>
      <c r="AW244" s="79" t="str">
        <f>J244&amp;AU244</f>
        <v>4B</v>
      </c>
      <c r="AX244" s="79">
        <f>IF(COUNTIFS(J:J,"Integral",E:E,E244,H:H,"Ativo")=4,1/4,1/10)</f>
        <v>0.1</v>
      </c>
      <c r="AY244" s="79"/>
      <c r="AZ244" s="79"/>
    </row>
    <row r="245" spans="1:52" ht="15.75" customHeight="1">
      <c r="A245" s="54">
        <v>249</v>
      </c>
      <c r="B245" s="399">
        <v>44958</v>
      </c>
      <c r="C245" s="32" t="s">
        <v>877</v>
      </c>
      <c r="D245" s="32" t="s">
        <v>881</v>
      </c>
      <c r="E245" s="32" t="s">
        <v>610</v>
      </c>
      <c r="F245" s="32" t="s">
        <v>882</v>
      </c>
      <c r="G245" s="33" t="s">
        <v>220</v>
      </c>
      <c r="H245" s="33" t="s">
        <v>90</v>
      </c>
      <c r="I245" s="34">
        <v>0</v>
      </c>
      <c r="J245" s="33">
        <v>4</v>
      </c>
      <c r="K245" s="35" t="s">
        <v>289</v>
      </c>
      <c r="L245" s="35" t="s">
        <v>274</v>
      </c>
      <c r="M245" s="67" t="s">
        <v>222</v>
      </c>
      <c r="N245" s="33" t="s">
        <v>68</v>
      </c>
      <c r="O245" s="33" t="s">
        <v>11</v>
      </c>
      <c r="P245" s="33" t="s">
        <v>1</v>
      </c>
      <c r="Q245" s="47"/>
      <c r="R245" s="47"/>
      <c r="S245" s="45" t="s">
        <v>149</v>
      </c>
      <c r="T245" s="45"/>
      <c r="U245" s="46">
        <v>44952</v>
      </c>
      <c r="V245" s="38">
        <f t="shared" si="29"/>
        <v>44958</v>
      </c>
      <c r="W245" s="50">
        <f>V245-U245</f>
        <v>6</v>
      </c>
      <c r="X245" s="261">
        <v>228500</v>
      </c>
      <c r="Y245" s="260">
        <v>228500</v>
      </c>
      <c r="Z245" s="260">
        <v>225000</v>
      </c>
      <c r="AA245" s="35" t="s">
        <v>880</v>
      </c>
      <c r="AB245" s="260"/>
      <c r="AC245" s="41"/>
      <c r="AD245" s="42"/>
      <c r="AE245" s="41"/>
      <c r="AF245" s="43"/>
      <c r="AG245" s="40">
        <v>0</v>
      </c>
      <c r="AH245" s="40">
        <v>3500</v>
      </c>
      <c r="AI245" s="44">
        <v>1.5317286652078774E-2</v>
      </c>
      <c r="AJ245" s="44">
        <v>1.5317286652078774E-2</v>
      </c>
      <c r="AK245" s="40">
        <v>0</v>
      </c>
      <c r="AL245" s="40">
        <v>3500</v>
      </c>
      <c r="AM245" s="242">
        <f t="shared" si="30"/>
        <v>44985</v>
      </c>
      <c r="AN245" s="242" t="str">
        <f>IF(AQ245="x","",IF(AQ245="x",AM245,IF(EOMONTH(I245,0)=31,"",EOMONTH(I245,0))))</f>
        <v/>
      </c>
      <c r="AO245" s="79">
        <f>IFERROR(IF(VLOOKUP(C245,C246:C849,1,0)=0,1,0),1)</f>
        <v>1</v>
      </c>
      <c r="AP245" s="79"/>
      <c r="AQ245" s="243" t="str">
        <f t="shared" si="31"/>
        <v/>
      </c>
      <c r="AR245" s="242" t="b">
        <f>IF(AQ245="x",EOMONTH(I245,0))</f>
        <v>0</v>
      </c>
      <c r="AS245" s="79">
        <f t="shared" si="32"/>
        <v>1</v>
      </c>
      <c r="AT245" s="79">
        <f t="shared" si="33"/>
        <v>1</v>
      </c>
      <c r="AU245" s="79" t="str">
        <f t="shared" si="34"/>
        <v>B</v>
      </c>
      <c r="AV245" s="79">
        <f t="shared" si="35"/>
        <v>1</v>
      </c>
      <c r="AW245" s="79" t="str">
        <f>J245&amp;AU245</f>
        <v>4B</v>
      </c>
      <c r="AX245" s="79">
        <f>IF(COUNTIFS(J:J,"Integral",E:E,E245,H:H,"Ativo")=4,1/4,1/10)</f>
        <v>0.1</v>
      </c>
      <c r="AY245" s="79"/>
      <c r="AZ245" s="79"/>
    </row>
    <row r="246" spans="1:52" ht="15.75" customHeight="1">
      <c r="A246" s="54">
        <v>250</v>
      </c>
      <c r="B246" s="399">
        <v>44953</v>
      </c>
      <c r="C246" s="32" t="s">
        <v>883</v>
      </c>
      <c r="D246" s="32" t="s">
        <v>722</v>
      </c>
      <c r="E246" s="32" t="s">
        <v>716</v>
      </c>
      <c r="F246" s="32" t="s">
        <v>884</v>
      </c>
      <c r="G246" s="33" t="s">
        <v>220</v>
      </c>
      <c r="H246" s="33" t="s">
        <v>90</v>
      </c>
      <c r="I246" s="34">
        <v>0</v>
      </c>
      <c r="J246" s="33">
        <v>6</v>
      </c>
      <c r="K246" s="35" t="s">
        <v>778</v>
      </c>
      <c r="L246" s="35" t="s">
        <v>600</v>
      </c>
      <c r="M246" s="67" t="s">
        <v>222</v>
      </c>
      <c r="N246" s="33" t="s">
        <v>68</v>
      </c>
      <c r="O246" s="33" t="s">
        <v>13</v>
      </c>
      <c r="P246" s="33" t="s">
        <v>1</v>
      </c>
      <c r="Q246" s="47"/>
      <c r="R246" s="47"/>
      <c r="S246" s="45" t="s">
        <v>143</v>
      </c>
      <c r="T246" s="45"/>
      <c r="U246" s="51">
        <v>44953</v>
      </c>
      <c r="V246" s="48">
        <f t="shared" si="29"/>
        <v>44953</v>
      </c>
      <c r="W246" s="50">
        <f>V246-U246</f>
        <v>0</v>
      </c>
      <c r="X246" s="261">
        <v>327000</v>
      </c>
      <c r="Y246" s="260">
        <v>327000</v>
      </c>
      <c r="Z246" s="260">
        <v>340000</v>
      </c>
      <c r="AA246" s="35">
        <v>0</v>
      </c>
      <c r="AB246" s="260"/>
      <c r="AC246" s="41"/>
      <c r="AD246" s="42"/>
      <c r="AE246" s="41"/>
      <c r="AF246" s="43"/>
      <c r="AG246" s="40">
        <v>13000</v>
      </c>
      <c r="AH246" s="40"/>
      <c r="AI246" s="44"/>
      <c r="AJ246" s="44"/>
      <c r="AK246" s="40">
        <v>0</v>
      </c>
      <c r="AL246" s="40">
        <v>0</v>
      </c>
      <c r="AM246" s="242">
        <f t="shared" si="30"/>
        <v>44957</v>
      </c>
      <c r="AN246" s="242" t="str">
        <f>IF(AQ246="x","",IF(AQ246="x",AM246,IF(EOMONTH(I246,0)=31,"",EOMONTH(I246,0))))</f>
        <v/>
      </c>
      <c r="AO246" s="79">
        <f>IFERROR(IF(VLOOKUP(C246,C247:C850,1,0)=0,1,0),1)</f>
        <v>1</v>
      </c>
      <c r="AP246" s="79"/>
      <c r="AQ246" s="243" t="str">
        <f t="shared" si="31"/>
        <v/>
      </c>
      <c r="AR246" s="242" t="b">
        <f>IF(AQ246="x",EOMONTH(I246,0))</f>
        <v>0</v>
      </c>
      <c r="AS246" s="79">
        <f t="shared" si="32"/>
        <v>1</v>
      </c>
      <c r="AT246" s="79">
        <f t="shared" si="33"/>
        <v>1</v>
      </c>
      <c r="AU246" s="79" t="str">
        <f t="shared" si="34"/>
        <v>B</v>
      </c>
      <c r="AV246" s="79">
        <f t="shared" si="35"/>
        <v>1</v>
      </c>
      <c r="AW246" s="79" t="str">
        <f>J246&amp;AU246</f>
        <v>6B</v>
      </c>
      <c r="AX246" s="79">
        <f>IF(COUNTIFS(J:J,"Integral",E:E,E246,H:H,"Ativo")=4,1/4,1/10)</f>
        <v>0.1</v>
      </c>
      <c r="AY246" s="79"/>
      <c r="AZ246" s="79"/>
    </row>
    <row r="247" spans="1:52" ht="15.75" customHeight="1">
      <c r="A247" s="54">
        <v>251</v>
      </c>
      <c r="B247" s="399">
        <v>44986</v>
      </c>
      <c r="C247" s="32" t="s">
        <v>885</v>
      </c>
      <c r="D247" s="32" t="s">
        <v>595</v>
      </c>
      <c r="E247" s="32" t="s">
        <v>300</v>
      </c>
      <c r="F247" s="32" t="s">
        <v>886</v>
      </c>
      <c r="G247" s="33" t="s">
        <v>220</v>
      </c>
      <c r="H247" s="33" t="s">
        <v>90</v>
      </c>
      <c r="I247" s="34">
        <v>0</v>
      </c>
      <c r="J247" s="33">
        <v>6</v>
      </c>
      <c r="K247" s="35" t="s">
        <v>245</v>
      </c>
      <c r="L247" s="35" t="s">
        <v>421</v>
      </c>
      <c r="M247" s="67" t="s">
        <v>222</v>
      </c>
      <c r="N247" s="33" t="s">
        <v>68</v>
      </c>
      <c r="O247" s="33" t="s">
        <v>13</v>
      </c>
      <c r="P247" s="33" t="s">
        <v>1</v>
      </c>
      <c r="Q247" s="47"/>
      <c r="R247" s="47"/>
      <c r="S247" s="45" t="s">
        <v>147</v>
      </c>
      <c r="T247" s="45"/>
      <c r="U247" s="51">
        <v>44954</v>
      </c>
      <c r="V247" s="48">
        <f t="shared" si="29"/>
        <v>44986</v>
      </c>
      <c r="W247" s="50">
        <f>V247-U247</f>
        <v>32</v>
      </c>
      <c r="X247" s="261">
        <v>333000</v>
      </c>
      <c r="Y247" s="260">
        <v>333000</v>
      </c>
      <c r="Z247" s="260">
        <v>368000</v>
      </c>
      <c r="AA247" s="35" t="s">
        <v>887</v>
      </c>
      <c r="AB247" s="260"/>
      <c r="AC247" s="41"/>
      <c r="AD247" s="42"/>
      <c r="AE247" s="41"/>
      <c r="AF247" s="43"/>
      <c r="AG247" s="40">
        <v>35000</v>
      </c>
      <c r="AH247" s="40"/>
      <c r="AI247" s="44"/>
      <c r="AJ247" s="44"/>
      <c r="AK247" s="40">
        <v>0</v>
      </c>
      <c r="AL247" s="40">
        <v>0</v>
      </c>
      <c r="AM247" s="242">
        <f t="shared" si="30"/>
        <v>45016</v>
      </c>
      <c r="AN247" s="242" t="str">
        <f>IF(AQ247="x","",IF(AQ247="x",AM247,IF(EOMONTH(I247,0)=31,"",EOMONTH(I247,0))))</f>
        <v/>
      </c>
      <c r="AO247" s="79">
        <f>IFERROR(IF(VLOOKUP(C247,C248:C851,1,0)=0,1,0),1)</f>
        <v>0</v>
      </c>
      <c r="AP247" s="79"/>
      <c r="AQ247" s="243" t="str">
        <f t="shared" si="31"/>
        <v/>
      </c>
      <c r="AR247" s="242" t="b">
        <f>IF(AQ247="x",EOMONTH(I247,0))</f>
        <v>0</v>
      </c>
      <c r="AS247" s="79">
        <f t="shared" si="32"/>
        <v>1</v>
      </c>
      <c r="AT247" s="79">
        <f t="shared" si="33"/>
        <v>1</v>
      </c>
      <c r="AU247" s="79" t="str">
        <f t="shared" si="34"/>
        <v>B</v>
      </c>
      <c r="AV247" s="79">
        <f t="shared" si="35"/>
        <v>1</v>
      </c>
      <c r="AW247" s="79" t="str">
        <f>J247&amp;AU247</f>
        <v>6B</v>
      </c>
      <c r="AX247" s="79">
        <f>IF(COUNTIFS(J:J,"Integral",E:E,E247,H:H,"Ativo")=4,1/4,1/10)</f>
        <v>0.1</v>
      </c>
      <c r="AY247" s="79"/>
      <c r="AZ247" s="79"/>
    </row>
    <row r="248" spans="1:52" ht="15.75" customHeight="1">
      <c r="A248" s="54">
        <v>252</v>
      </c>
      <c r="B248" s="399">
        <v>44986</v>
      </c>
      <c r="C248" s="32" t="s">
        <v>885</v>
      </c>
      <c r="D248" s="32" t="s">
        <v>888</v>
      </c>
      <c r="E248" s="32" t="s">
        <v>807</v>
      </c>
      <c r="F248" s="32" t="s">
        <v>889</v>
      </c>
      <c r="G248" s="33" t="s">
        <v>220</v>
      </c>
      <c r="H248" s="33" t="s">
        <v>90</v>
      </c>
      <c r="I248" s="34">
        <v>0</v>
      </c>
      <c r="J248" s="33">
        <v>6</v>
      </c>
      <c r="K248" s="35" t="s">
        <v>245</v>
      </c>
      <c r="L248" s="35" t="s">
        <v>421</v>
      </c>
      <c r="M248" s="67" t="s">
        <v>222</v>
      </c>
      <c r="N248" s="33" t="s">
        <v>68</v>
      </c>
      <c r="O248" s="33" t="s">
        <v>10</v>
      </c>
      <c r="P248" s="33" t="s">
        <v>1</v>
      </c>
      <c r="Q248" s="47"/>
      <c r="R248" s="47"/>
      <c r="S248" s="45" t="s">
        <v>147</v>
      </c>
      <c r="T248" s="45"/>
      <c r="U248" s="46">
        <v>44954</v>
      </c>
      <c r="V248" s="38">
        <f t="shared" si="29"/>
        <v>44986</v>
      </c>
      <c r="W248" s="50">
        <f>V248-U248</f>
        <v>32</v>
      </c>
      <c r="X248" s="261">
        <v>327000</v>
      </c>
      <c r="Y248" s="260">
        <v>327000</v>
      </c>
      <c r="Z248" s="260">
        <v>283000</v>
      </c>
      <c r="AA248" s="35" t="s">
        <v>887</v>
      </c>
      <c r="AB248" s="260"/>
      <c r="AC248" s="41"/>
      <c r="AD248" s="42"/>
      <c r="AE248" s="41"/>
      <c r="AF248" s="43"/>
      <c r="AG248" s="40"/>
      <c r="AH248" s="40">
        <v>44000</v>
      </c>
      <c r="AI248" s="44">
        <v>0.13455657492354739</v>
      </c>
      <c r="AJ248" s="44">
        <v>0.13455657492354739</v>
      </c>
      <c r="AK248" s="40">
        <v>0</v>
      </c>
      <c r="AL248" s="40">
        <v>44000</v>
      </c>
      <c r="AM248" s="242">
        <f t="shared" si="30"/>
        <v>45016</v>
      </c>
      <c r="AN248" s="242" t="str">
        <f>IF(AQ248="x","",IF(AQ248="x",AM248,IF(EOMONTH(I248,0)=31,"",EOMONTH(I248,0))))</f>
        <v/>
      </c>
      <c r="AO248" s="79">
        <f>IFERROR(IF(VLOOKUP(C248,C249:C852,1,0)=0,1,0),1)</f>
        <v>1</v>
      </c>
      <c r="AP248" s="79"/>
      <c r="AQ248" s="243" t="str">
        <f t="shared" si="31"/>
        <v/>
      </c>
      <c r="AR248" s="242" t="b">
        <f>IF(AQ248="x",EOMONTH(I248,0))</f>
        <v>0</v>
      </c>
      <c r="AS248" s="79">
        <f t="shared" si="32"/>
        <v>1</v>
      </c>
      <c r="AT248" s="79">
        <f t="shared" si="33"/>
        <v>1</v>
      </c>
      <c r="AU248" s="79" t="str">
        <f t="shared" si="34"/>
        <v>B</v>
      </c>
      <c r="AV248" s="79">
        <f t="shared" si="35"/>
        <v>1</v>
      </c>
      <c r="AW248" s="79" t="str">
        <f>J248&amp;AU248</f>
        <v>6B</v>
      </c>
      <c r="AX248" s="79">
        <f>IF(COUNTIFS(J:J,"Integral",E:E,E248,H:H,"Ativo")=4,1/4,1/10)</f>
        <v>0.1</v>
      </c>
      <c r="AY248" s="79"/>
      <c r="AZ248" s="79"/>
    </row>
    <row r="249" spans="1:52" ht="15.75" customHeight="1">
      <c r="A249" s="54">
        <v>253</v>
      </c>
      <c r="B249" s="399">
        <v>44954</v>
      </c>
      <c r="C249" s="32" t="s">
        <v>890</v>
      </c>
      <c r="D249" s="32" t="s">
        <v>752</v>
      </c>
      <c r="E249" s="32" t="s">
        <v>753</v>
      </c>
      <c r="F249" s="32" t="s">
        <v>891</v>
      </c>
      <c r="G249" s="33" t="s">
        <v>220</v>
      </c>
      <c r="H249" s="33" t="s">
        <v>244</v>
      </c>
      <c r="I249" s="34">
        <v>45275</v>
      </c>
      <c r="J249" s="33">
        <v>4</v>
      </c>
      <c r="K249" s="35" t="s">
        <v>600</v>
      </c>
      <c r="L249" s="35" t="s">
        <v>600</v>
      </c>
      <c r="M249" s="67" t="s">
        <v>222</v>
      </c>
      <c r="N249" s="33" t="s">
        <v>68</v>
      </c>
      <c r="O249" s="33" t="s">
        <v>12</v>
      </c>
      <c r="P249" s="33" t="s">
        <v>1</v>
      </c>
      <c r="Q249" s="47"/>
      <c r="R249" s="47"/>
      <c r="S249" s="45" t="s">
        <v>145</v>
      </c>
      <c r="T249" s="45"/>
      <c r="U249" s="51">
        <v>44954</v>
      </c>
      <c r="V249" s="48">
        <f t="shared" si="29"/>
        <v>44954</v>
      </c>
      <c r="W249" s="50">
        <f>V249-U249</f>
        <v>0</v>
      </c>
      <c r="X249" s="261">
        <v>220000</v>
      </c>
      <c r="Y249" s="260">
        <v>220000</v>
      </c>
      <c r="Z249" s="260">
        <v>250000</v>
      </c>
      <c r="AA249" s="35">
        <v>0</v>
      </c>
      <c r="AB249" s="260"/>
      <c r="AC249" s="41"/>
      <c r="AD249" s="42"/>
      <c r="AE249" s="41"/>
      <c r="AF249" s="43"/>
      <c r="AG249" s="40">
        <v>30000</v>
      </c>
      <c r="AH249" s="40"/>
      <c r="AI249" s="44"/>
      <c r="AJ249" s="44"/>
      <c r="AK249" s="40">
        <v>0</v>
      </c>
      <c r="AL249" s="40">
        <v>0</v>
      </c>
      <c r="AM249" s="242">
        <f t="shared" si="30"/>
        <v>44957</v>
      </c>
      <c r="AN249" s="242">
        <f>IF(AQ249="x","",IF(AQ249="x",AM249,IF(EOMONTH(I249,0)=31,"",EOMONTH(I249,0))))</f>
        <v>45291</v>
      </c>
      <c r="AO249" s="79">
        <f>IFERROR(IF(VLOOKUP(C249,C250:C853,1,0)=0,1,0),1)</f>
        <v>0</v>
      </c>
      <c r="AP249" s="79"/>
      <c r="AQ249" s="243" t="str">
        <f t="shared" si="31"/>
        <v/>
      </c>
      <c r="AR249" s="242" t="b">
        <f>IF(AQ249="x",EOMONTH(I249,0))</f>
        <v>0</v>
      </c>
      <c r="AS249" s="79">
        <f t="shared" si="32"/>
        <v>1</v>
      </c>
      <c r="AT249" s="79">
        <f t="shared" si="33"/>
        <v>1</v>
      </c>
      <c r="AU249" s="79" t="str">
        <f t="shared" si="34"/>
        <v>B</v>
      </c>
      <c r="AV249" s="79">
        <f t="shared" si="35"/>
        <v>1</v>
      </c>
      <c r="AW249" s="79" t="str">
        <f>J249&amp;AU249</f>
        <v>4B</v>
      </c>
      <c r="AX249" s="79">
        <f>IF(COUNTIFS(J:J,"Integral",E:E,E249,H:H,"Ativo")=4,1/4,1/10)</f>
        <v>0.1</v>
      </c>
      <c r="AY249" s="79"/>
      <c r="AZ249" s="79"/>
    </row>
    <row r="250" spans="1:52" ht="15.75" customHeight="1">
      <c r="A250" s="54">
        <v>254</v>
      </c>
      <c r="B250" s="399">
        <v>44954</v>
      </c>
      <c r="C250" s="32" t="s">
        <v>890</v>
      </c>
      <c r="D250" s="32" t="s">
        <v>755</v>
      </c>
      <c r="E250" s="32" t="s">
        <v>753</v>
      </c>
      <c r="F250" s="32" t="s">
        <v>892</v>
      </c>
      <c r="G250" s="33" t="s">
        <v>220</v>
      </c>
      <c r="H250" s="33" t="s">
        <v>244</v>
      </c>
      <c r="I250" s="34">
        <v>45275</v>
      </c>
      <c r="J250" s="33">
        <v>4</v>
      </c>
      <c r="K250" s="35" t="s">
        <v>600</v>
      </c>
      <c r="L250" s="35" t="s">
        <v>600</v>
      </c>
      <c r="M250" s="67" t="s">
        <v>222</v>
      </c>
      <c r="N250" s="33" t="s">
        <v>68</v>
      </c>
      <c r="O250" s="33" t="s">
        <v>12</v>
      </c>
      <c r="P250" s="33" t="s">
        <v>1</v>
      </c>
      <c r="Q250" s="47"/>
      <c r="R250" s="47"/>
      <c r="S250" s="45" t="s">
        <v>145</v>
      </c>
      <c r="T250" s="45"/>
      <c r="U250" s="51">
        <v>44954</v>
      </c>
      <c r="V250" s="48">
        <f t="shared" si="29"/>
        <v>44954</v>
      </c>
      <c r="W250" s="50">
        <f>V250-U250</f>
        <v>0</v>
      </c>
      <c r="X250" s="261">
        <v>220000</v>
      </c>
      <c r="Y250" s="260">
        <v>220000</v>
      </c>
      <c r="Z250" s="260">
        <v>250000</v>
      </c>
      <c r="AA250" s="35">
        <v>0</v>
      </c>
      <c r="AB250" s="260"/>
      <c r="AC250" s="41"/>
      <c r="AD250" s="42"/>
      <c r="AE250" s="41"/>
      <c r="AF250" s="43"/>
      <c r="AG250" s="40">
        <v>30000</v>
      </c>
      <c r="AH250" s="40"/>
      <c r="AI250" s="44"/>
      <c r="AJ250" s="44"/>
      <c r="AK250" s="40">
        <v>0</v>
      </c>
      <c r="AL250" s="40">
        <v>0</v>
      </c>
      <c r="AM250" s="242">
        <f t="shared" si="30"/>
        <v>44957</v>
      </c>
      <c r="AN250" s="242">
        <f>IF(AQ250="x","",IF(AQ250="x",AM250,IF(EOMONTH(I250,0)=31,"",EOMONTH(I250,0))))</f>
        <v>45291</v>
      </c>
      <c r="AO250" s="79">
        <f>IFERROR(IF(VLOOKUP(C250,C251:C854,1,0)=0,1,0),1)</f>
        <v>1</v>
      </c>
      <c r="AP250" s="79"/>
      <c r="AQ250" s="243" t="str">
        <f t="shared" si="31"/>
        <v/>
      </c>
      <c r="AR250" s="242" t="b">
        <f>IF(AQ250="x",EOMONTH(I250,0))</f>
        <v>0</v>
      </c>
      <c r="AS250" s="79">
        <f t="shared" si="32"/>
        <v>1</v>
      </c>
      <c r="AT250" s="79">
        <f t="shared" si="33"/>
        <v>1</v>
      </c>
      <c r="AU250" s="79" t="str">
        <f t="shared" si="34"/>
        <v>B</v>
      </c>
      <c r="AV250" s="79">
        <f t="shared" si="35"/>
        <v>1</v>
      </c>
      <c r="AW250" s="79" t="str">
        <f>J250&amp;AU250</f>
        <v>4B</v>
      </c>
      <c r="AX250" s="79">
        <f>IF(COUNTIFS(J:J,"Integral",E:E,E250,H:H,"Ativo")=4,1/4,1/10)</f>
        <v>0.1</v>
      </c>
      <c r="AY250" s="79"/>
      <c r="AZ250" s="79"/>
    </row>
    <row r="251" spans="1:52" ht="16.5" customHeight="1">
      <c r="A251" s="54">
        <v>255</v>
      </c>
      <c r="B251" s="399">
        <v>44956</v>
      </c>
      <c r="C251" s="32" t="s">
        <v>893</v>
      </c>
      <c r="D251" s="32" t="s">
        <v>894</v>
      </c>
      <c r="E251" s="32" t="s">
        <v>753</v>
      </c>
      <c r="F251" s="32" t="s">
        <v>895</v>
      </c>
      <c r="G251" s="33" t="s">
        <v>220</v>
      </c>
      <c r="H251" s="33" t="s">
        <v>90</v>
      </c>
      <c r="I251" s="34">
        <v>0</v>
      </c>
      <c r="J251" s="33">
        <v>6</v>
      </c>
      <c r="K251" s="35" t="s">
        <v>762</v>
      </c>
      <c r="L251" s="35" t="s">
        <v>394</v>
      </c>
      <c r="M251" s="67" t="s">
        <v>222</v>
      </c>
      <c r="N251" s="33" t="s">
        <v>68</v>
      </c>
      <c r="O251" s="33" t="s">
        <v>10</v>
      </c>
      <c r="P251" s="33" t="s">
        <v>2</v>
      </c>
      <c r="Q251" s="47"/>
      <c r="R251" s="47"/>
      <c r="S251" s="45" t="s">
        <v>143</v>
      </c>
      <c r="T251" s="45"/>
      <c r="U251" s="51">
        <v>44956</v>
      </c>
      <c r="V251" s="48">
        <f t="shared" si="29"/>
        <v>44956</v>
      </c>
      <c r="W251" s="50">
        <f>V251-U251</f>
        <v>0</v>
      </c>
      <c r="X251" s="261">
        <v>333000</v>
      </c>
      <c r="Y251" s="260">
        <v>333000</v>
      </c>
      <c r="Z251" s="260">
        <v>360000</v>
      </c>
      <c r="AA251" s="35">
        <v>0</v>
      </c>
      <c r="AB251" s="260"/>
      <c r="AC251" s="41"/>
      <c r="AD251" s="42"/>
      <c r="AE251" s="41"/>
      <c r="AF251" s="43"/>
      <c r="AG251" s="40">
        <v>27000</v>
      </c>
      <c r="AH251" s="40"/>
      <c r="AI251" s="44"/>
      <c r="AJ251" s="44"/>
      <c r="AK251" s="40">
        <v>0</v>
      </c>
      <c r="AL251" s="40">
        <v>0</v>
      </c>
      <c r="AM251" s="242">
        <f t="shared" si="30"/>
        <v>44957</v>
      </c>
      <c r="AN251" s="242" t="str">
        <f>IF(AQ251="x","",IF(AQ251="x",AM251,IF(EOMONTH(I251,0)=31,"",EOMONTH(I251,0))))</f>
        <v/>
      </c>
      <c r="AO251" s="79">
        <f>IFERROR(IF(VLOOKUP(C251,C252:C855,1,0)=0,1,0),1)</f>
        <v>1</v>
      </c>
      <c r="AP251" s="79"/>
      <c r="AQ251" s="243" t="str">
        <f t="shared" si="31"/>
        <v/>
      </c>
      <c r="AR251" s="242" t="b">
        <f>IF(AQ251="x",EOMONTH(I251,0))</f>
        <v>0</v>
      </c>
      <c r="AS251" s="79">
        <f t="shared" si="32"/>
        <v>1</v>
      </c>
      <c r="AT251" s="79">
        <f t="shared" si="33"/>
        <v>1</v>
      </c>
      <c r="AU251" s="79" t="str">
        <f t="shared" si="34"/>
        <v>B</v>
      </c>
      <c r="AV251" s="79">
        <f t="shared" si="35"/>
        <v>1</v>
      </c>
      <c r="AW251" s="79" t="str">
        <f>J251&amp;AU251</f>
        <v>6B</v>
      </c>
      <c r="AX251" s="79">
        <f>IF(COUNTIFS(J:J,"Integral",E:E,E251,H:H,"Ativo")=4,1/4,1/10)</f>
        <v>0.1</v>
      </c>
      <c r="AY251" s="79"/>
      <c r="AZ251" s="79"/>
    </row>
    <row r="252" spans="1:52" ht="15.75" customHeight="1">
      <c r="A252" s="54">
        <v>256</v>
      </c>
      <c r="B252" s="399">
        <v>44957</v>
      </c>
      <c r="C252" s="32" t="s">
        <v>896</v>
      </c>
      <c r="D252" s="32" t="s">
        <v>897</v>
      </c>
      <c r="E252" s="32" t="s">
        <v>765</v>
      </c>
      <c r="F252" s="32" t="s">
        <v>898</v>
      </c>
      <c r="G252" s="33" t="s">
        <v>220</v>
      </c>
      <c r="H252" s="33" t="s">
        <v>337</v>
      </c>
      <c r="I252" s="34">
        <v>45287</v>
      </c>
      <c r="J252" s="33">
        <v>13</v>
      </c>
      <c r="K252" s="35" t="s">
        <v>600</v>
      </c>
      <c r="L252" s="35" t="s">
        <v>600</v>
      </c>
      <c r="M252" s="67" t="s">
        <v>222</v>
      </c>
      <c r="N252" s="33" t="s">
        <v>68</v>
      </c>
      <c r="O252" s="33" t="s">
        <v>11</v>
      </c>
      <c r="P252" s="33" t="s">
        <v>86</v>
      </c>
      <c r="Q252" s="47"/>
      <c r="R252" s="47"/>
      <c r="S252" s="45" t="s">
        <v>145</v>
      </c>
      <c r="T252" s="45"/>
      <c r="U252" s="46">
        <v>44957</v>
      </c>
      <c r="V252" s="38">
        <f t="shared" si="29"/>
        <v>44957</v>
      </c>
      <c r="W252" s="50">
        <f>V252-U252</f>
        <v>0</v>
      </c>
      <c r="X252" s="265">
        <v>1365000</v>
      </c>
      <c r="Y252" s="67">
        <v>1365000</v>
      </c>
      <c r="Z252" s="67">
        <v>1300000</v>
      </c>
      <c r="AA252" s="35">
        <v>0</v>
      </c>
      <c r="AB252" s="67"/>
      <c r="AC252" s="41"/>
      <c r="AD252" s="42"/>
      <c r="AE252" s="41"/>
      <c r="AF252" s="43"/>
      <c r="AG252" s="40">
        <v>0</v>
      </c>
      <c r="AH252" s="40">
        <v>65000</v>
      </c>
      <c r="AI252" s="44">
        <v>4.7619047619047616E-2</v>
      </c>
      <c r="AJ252" s="44">
        <v>4.7619047619047616E-2</v>
      </c>
      <c r="AK252" s="40">
        <v>0</v>
      </c>
      <c r="AL252" s="40">
        <v>65000</v>
      </c>
      <c r="AM252" s="242">
        <f t="shared" si="30"/>
        <v>44957</v>
      </c>
      <c r="AN252" s="242">
        <f>IF(AQ252="x","",IF(AQ252="x",AM252,IF(EOMONTH(I252,0)=31,"",EOMONTH(I252,0))))</f>
        <v>45291</v>
      </c>
      <c r="AO252" s="350">
        <v>1</v>
      </c>
      <c r="AP252" s="350"/>
      <c r="AQ252" s="243" t="str">
        <f t="shared" si="31"/>
        <v/>
      </c>
      <c r="AR252" s="242" t="b">
        <f>IF(AQ252="x",EOMONTH(I252,0))</f>
        <v>0</v>
      </c>
      <c r="AS252" s="79">
        <f t="shared" si="32"/>
        <v>1</v>
      </c>
      <c r="AT252" s="79">
        <f t="shared" si="33"/>
        <v>1</v>
      </c>
      <c r="AU252" s="79" t="str">
        <f t="shared" si="34"/>
        <v>A</v>
      </c>
      <c r="AV252" s="79">
        <f t="shared" si="35"/>
        <v>1</v>
      </c>
      <c r="AW252" s="79" t="str">
        <f>J252&amp;AU252</f>
        <v>13A</v>
      </c>
      <c r="AX252" s="79">
        <f>IF(COUNTIFS(J:J,"Integral",E:E,E252,H:H,"Ativo")=4,1/4,1/10)</f>
        <v>0.1</v>
      </c>
      <c r="AY252" s="79"/>
      <c r="AZ252" s="79"/>
    </row>
    <row r="253" spans="1:52" ht="15.75" customHeight="1">
      <c r="A253" s="54">
        <v>257</v>
      </c>
      <c r="B253" s="399">
        <v>44958</v>
      </c>
      <c r="C253" s="32" t="s">
        <v>899</v>
      </c>
      <c r="D253" s="32" t="s">
        <v>900</v>
      </c>
      <c r="E253" s="32" t="s">
        <v>300</v>
      </c>
      <c r="F253" s="32" t="s">
        <v>901</v>
      </c>
      <c r="G253" s="33" t="s">
        <v>220</v>
      </c>
      <c r="H253" s="33" t="s">
        <v>90</v>
      </c>
      <c r="I253" s="34">
        <v>0</v>
      </c>
      <c r="J253" s="33">
        <v>6</v>
      </c>
      <c r="K253" s="35" t="s">
        <v>327</v>
      </c>
      <c r="L253" s="35" t="s">
        <v>327</v>
      </c>
      <c r="M253" s="67" t="s">
        <v>222</v>
      </c>
      <c r="N253" s="33" t="s">
        <v>68</v>
      </c>
      <c r="O253" s="33" t="s">
        <v>12</v>
      </c>
      <c r="P253" s="33" t="s">
        <v>1</v>
      </c>
      <c r="Q253" s="47"/>
      <c r="R253" s="47"/>
      <c r="S253" s="45" t="s">
        <v>143</v>
      </c>
      <c r="T253" s="45"/>
      <c r="U253" s="46">
        <v>44958</v>
      </c>
      <c r="V253" s="38">
        <f t="shared" si="29"/>
        <v>44958</v>
      </c>
      <c r="W253" s="50">
        <f>V253-U253</f>
        <v>0</v>
      </c>
      <c r="X253" s="261">
        <v>333000</v>
      </c>
      <c r="Y253" s="260">
        <v>333000</v>
      </c>
      <c r="Z253" s="260">
        <v>328000</v>
      </c>
      <c r="AA253" s="35">
        <v>0</v>
      </c>
      <c r="AB253" s="260"/>
      <c r="AC253" s="41"/>
      <c r="AD253" s="42"/>
      <c r="AE253" s="41"/>
      <c r="AF253" s="43">
        <v>0</v>
      </c>
      <c r="AG253" s="40">
        <v>0</v>
      </c>
      <c r="AH253" s="40">
        <v>5000</v>
      </c>
      <c r="AI253" s="44">
        <v>1.5015015015015015E-2</v>
      </c>
      <c r="AJ253" s="44">
        <v>1.5015015015015015E-2</v>
      </c>
      <c r="AK253" s="40">
        <v>0</v>
      </c>
      <c r="AL253" s="40">
        <v>5000</v>
      </c>
      <c r="AM253" s="242">
        <f t="shared" si="30"/>
        <v>44985</v>
      </c>
      <c r="AN253" s="242" t="str">
        <f>IF(AQ253="x","",IF(AQ253="x",AM253,IF(EOMONTH(I253,0)=31,"",EOMONTH(I253,0))))</f>
        <v/>
      </c>
      <c r="AO253" s="79">
        <f>IFERROR(IF(VLOOKUP(C253,C254:C857,1,0)=0,1,0),1)</f>
        <v>1</v>
      </c>
      <c r="AP253" s="79"/>
      <c r="AQ253" s="243" t="str">
        <f t="shared" si="31"/>
        <v/>
      </c>
      <c r="AR253" s="242" t="b">
        <f>IF(AQ253="x",EOMONTH(I253,0))</f>
        <v>0</v>
      </c>
      <c r="AS253" s="79">
        <f t="shared" si="32"/>
        <v>1</v>
      </c>
      <c r="AT253" s="79">
        <f t="shared" si="33"/>
        <v>1</v>
      </c>
      <c r="AU253" s="79" t="str">
        <f t="shared" si="34"/>
        <v>B</v>
      </c>
      <c r="AV253" s="79">
        <f t="shared" si="35"/>
        <v>1</v>
      </c>
      <c r="AW253" s="79" t="str">
        <f>J253&amp;AU253</f>
        <v>6B</v>
      </c>
      <c r="AX253" s="79">
        <f>IF(COUNTIFS(J:J,"Integral",E:E,E253,H:H,"Ativo")=4,1/4,1/10)</f>
        <v>0.1</v>
      </c>
      <c r="AY253" s="79"/>
      <c r="AZ253" s="79"/>
    </row>
    <row r="254" spans="1:52" ht="15.75" customHeight="1">
      <c r="A254" s="54">
        <v>258</v>
      </c>
      <c r="B254" s="399">
        <v>44959</v>
      </c>
      <c r="C254" s="32" t="s">
        <v>902</v>
      </c>
      <c r="D254" s="32" t="s">
        <v>903</v>
      </c>
      <c r="E254" s="32" t="s">
        <v>419</v>
      </c>
      <c r="F254" s="32" t="s">
        <v>904</v>
      </c>
      <c r="G254" s="33" t="s">
        <v>220</v>
      </c>
      <c r="H254" s="33" t="s">
        <v>90</v>
      </c>
      <c r="I254" s="34">
        <v>0</v>
      </c>
      <c r="J254" s="33">
        <v>4</v>
      </c>
      <c r="K254" s="35" t="s">
        <v>274</v>
      </c>
      <c r="L254" s="35" t="s">
        <v>274</v>
      </c>
      <c r="M254" s="67" t="s">
        <v>222</v>
      </c>
      <c r="N254" s="33" t="s">
        <v>68</v>
      </c>
      <c r="O254" s="33" t="s">
        <v>11</v>
      </c>
      <c r="P254" s="33" t="s">
        <v>1</v>
      </c>
      <c r="Q254" s="47"/>
      <c r="R254" s="47"/>
      <c r="S254" s="45" t="s">
        <v>145</v>
      </c>
      <c r="T254" s="45"/>
      <c r="U254" s="51">
        <v>44959</v>
      </c>
      <c r="V254" s="48">
        <f t="shared" si="29"/>
        <v>44959</v>
      </c>
      <c r="W254" s="50">
        <f>V254-U254</f>
        <v>0</v>
      </c>
      <c r="X254" s="261">
        <v>234000</v>
      </c>
      <c r="Y254" s="260">
        <v>234000</v>
      </c>
      <c r="Z254" s="260">
        <v>234000</v>
      </c>
      <c r="AA254" s="35" t="s">
        <v>905</v>
      </c>
      <c r="AB254" s="260"/>
      <c r="AC254" s="41"/>
      <c r="AD254" s="42"/>
      <c r="AE254" s="41"/>
      <c r="AF254" s="43"/>
      <c r="AG254" s="40">
        <v>0</v>
      </c>
      <c r="AH254" s="40">
        <v>0</v>
      </c>
      <c r="AI254" s="44"/>
      <c r="AJ254" s="44"/>
      <c r="AK254" s="40">
        <v>0</v>
      </c>
      <c r="AL254" s="40">
        <v>0</v>
      </c>
      <c r="AM254" s="242">
        <f t="shared" si="30"/>
        <v>44985</v>
      </c>
      <c r="AN254" s="242" t="str">
        <f>IF(AQ254="x","",IF(AQ254="x",AM254,IF(EOMONTH(I254,0)=31,"",EOMONTH(I254,0))))</f>
        <v/>
      </c>
      <c r="AO254" s="79">
        <f>IFERROR(IF(VLOOKUP(C254,C255:C859,1,0)=0,1,0),1)</f>
        <v>0</v>
      </c>
      <c r="AP254" s="79"/>
      <c r="AQ254" s="243" t="str">
        <f t="shared" si="31"/>
        <v/>
      </c>
      <c r="AR254" s="242" t="b">
        <f>IF(AQ254="x",EOMONTH(I254,0))</f>
        <v>0</v>
      </c>
      <c r="AS254" s="79">
        <f t="shared" si="32"/>
        <v>1</v>
      </c>
      <c r="AT254" s="79">
        <f t="shared" si="33"/>
        <v>1</v>
      </c>
      <c r="AU254" s="79" t="str">
        <f t="shared" si="34"/>
        <v>B</v>
      </c>
      <c r="AV254" s="79">
        <f t="shared" si="35"/>
        <v>1</v>
      </c>
      <c r="AW254" s="79" t="str">
        <f>J254&amp;AU254</f>
        <v>4B</v>
      </c>
      <c r="AX254" s="79">
        <f>IF(COUNTIFS(J:J,"Integral",E:E,E254,H:H,"Ativo")=4,1/4,1/10)</f>
        <v>0.1</v>
      </c>
      <c r="AY254" s="79"/>
      <c r="AZ254" s="79"/>
    </row>
    <row r="255" spans="1:52" ht="15.75" customHeight="1">
      <c r="A255" s="54">
        <v>259</v>
      </c>
      <c r="B255" s="399">
        <v>44959</v>
      </c>
      <c r="C255" s="32" t="s">
        <v>902</v>
      </c>
      <c r="D255" s="32" t="s">
        <v>906</v>
      </c>
      <c r="E255" s="32" t="s">
        <v>419</v>
      </c>
      <c r="F255" s="32" t="s">
        <v>907</v>
      </c>
      <c r="G255" s="33" t="s">
        <v>220</v>
      </c>
      <c r="H255" s="33" t="s">
        <v>90</v>
      </c>
      <c r="I255" s="34">
        <v>0</v>
      </c>
      <c r="J255" s="33">
        <v>4</v>
      </c>
      <c r="K255" s="35" t="s">
        <v>274</v>
      </c>
      <c r="L255" s="35" t="s">
        <v>274</v>
      </c>
      <c r="M255" s="67" t="s">
        <v>222</v>
      </c>
      <c r="N255" s="33" t="s">
        <v>68</v>
      </c>
      <c r="O255" s="33" t="s">
        <v>11</v>
      </c>
      <c r="P255" s="33" t="s">
        <v>1</v>
      </c>
      <c r="Q255" s="47"/>
      <c r="R255" s="47"/>
      <c r="S255" s="45" t="s">
        <v>145</v>
      </c>
      <c r="T255" s="45"/>
      <c r="U255" s="51">
        <v>44959</v>
      </c>
      <c r="V255" s="48">
        <f t="shared" si="29"/>
        <v>44959</v>
      </c>
      <c r="W255" s="50">
        <f>V255-U255</f>
        <v>0</v>
      </c>
      <c r="X255" s="261">
        <v>234000</v>
      </c>
      <c r="Y255" s="260">
        <v>234000</v>
      </c>
      <c r="Z255" s="260">
        <v>234000</v>
      </c>
      <c r="AA255" s="35" t="s">
        <v>905</v>
      </c>
      <c r="AB255" s="260"/>
      <c r="AC255" s="41"/>
      <c r="AD255" s="42"/>
      <c r="AE255" s="41"/>
      <c r="AF255" s="43"/>
      <c r="AG255" s="40">
        <v>0</v>
      </c>
      <c r="AH255" s="40">
        <v>0</v>
      </c>
      <c r="AI255" s="44"/>
      <c r="AJ255" s="44"/>
      <c r="AK255" s="40">
        <v>0</v>
      </c>
      <c r="AL255" s="40">
        <v>0</v>
      </c>
      <c r="AM255" s="242">
        <f t="shared" si="30"/>
        <v>44985</v>
      </c>
      <c r="AN255" s="242" t="str">
        <f>IF(AQ255="x","",IF(AQ255="x",AM255,IF(EOMONTH(I255,0)=31,"",EOMONTH(I255,0))))</f>
        <v/>
      </c>
      <c r="AO255" s="79">
        <f>IFERROR(IF(VLOOKUP(C255,C256:C860,1,0)=0,1,0),1)</f>
        <v>1</v>
      </c>
      <c r="AP255" s="79"/>
      <c r="AQ255" s="243" t="str">
        <f t="shared" si="31"/>
        <v/>
      </c>
      <c r="AR255" s="242" t="b">
        <f>IF(AQ255="x",EOMONTH(I255,0))</f>
        <v>0</v>
      </c>
      <c r="AS255" s="79">
        <f t="shared" si="32"/>
        <v>1</v>
      </c>
      <c r="AT255" s="79">
        <f t="shared" si="33"/>
        <v>1</v>
      </c>
      <c r="AU255" s="79" t="str">
        <f t="shared" si="34"/>
        <v>B</v>
      </c>
      <c r="AV255" s="79">
        <f t="shared" si="35"/>
        <v>1</v>
      </c>
      <c r="AW255" s="79" t="str">
        <f>J255&amp;AU255</f>
        <v>4B</v>
      </c>
      <c r="AX255" s="79">
        <f>IF(COUNTIFS(J:J,"Integral",E:E,E255,H:H,"Ativo")=4,1/4,1/10)</f>
        <v>0.1</v>
      </c>
      <c r="AY255" s="79"/>
      <c r="AZ255" s="79"/>
    </row>
    <row r="256" spans="1:52" ht="15.75" customHeight="1">
      <c r="A256" s="54">
        <v>260</v>
      </c>
      <c r="B256" s="399">
        <v>44970</v>
      </c>
      <c r="C256" s="32" t="s">
        <v>908</v>
      </c>
      <c r="D256" s="32" t="s">
        <v>909</v>
      </c>
      <c r="E256" s="32" t="s">
        <v>572</v>
      </c>
      <c r="F256" s="32" t="s">
        <v>910</v>
      </c>
      <c r="G256" s="33" t="s">
        <v>220</v>
      </c>
      <c r="H256" s="33" t="s">
        <v>90</v>
      </c>
      <c r="I256" s="34">
        <v>0</v>
      </c>
      <c r="J256" s="33">
        <v>4</v>
      </c>
      <c r="K256" s="35" t="s">
        <v>289</v>
      </c>
      <c r="L256" s="35" t="s">
        <v>246</v>
      </c>
      <c r="M256" s="67" t="s">
        <v>222</v>
      </c>
      <c r="N256" s="33" t="s">
        <v>68</v>
      </c>
      <c r="O256" s="33" t="s">
        <v>10</v>
      </c>
      <c r="P256" s="33" t="s">
        <v>1</v>
      </c>
      <c r="Q256" s="47"/>
      <c r="R256" s="47"/>
      <c r="S256" s="45" t="s">
        <v>147</v>
      </c>
      <c r="T256" s="45"/>
      <c r="U256" s="51">
        <v>44962</v>
      </c>
      <c r="V256" s="48">
        <f t="shared" si="29"/>
        <v>44970</v>
      </c>
      <c r="W256" s="50">
        <f>V256-U256</f>
        <v>8</v>
      </c>
      <c r="X256" s="261">
        <v>255000</v>
      </c>
      <c r="Y256" s="260">
        <v>255000</v>
      </c>
      <c r="Z256" s="260">
        <v>255000</v>
      </c>
      <c r="AA256" s="56" t="s">
        <v>911</v>
      </c>
      <c r="AB256" s="260"/>
      <c r="AC256" s="41"/>
      <c r="AD256" s="42"/>
      <c r="AE256" s="41"/>
      <c r="AF256" s="43"/>
      <c r="AG256" s="40">
        <v>0</v>
      </c>
      <c r="AH256" s="40">
        <v>0</v>
      </c>
      <c r="AI256" s="44"/>
      <c r="AJ256" s="44"/>
      <c r="AK256" s="40">
        <v>0</v>
      </c>
      <c r="AL256" s="40">
        <v>0</v>
      </c>
      <c r="AM256" s="242">
        <f t="shared" si="30"/>
        <v>44985</v>
      </c>
      <c r="AN256" s="242" t="str">
        <f>IF(AQ256="x","",IF(AQ256="x",AM256,IF(EOMONTH(I256,0)=31,"",EOMONTH(I256,0))))</f>
        <v/>
      </c>
      <c r="AO256" s="79">
        <f>IFERROR(IF(VLOOKUP(C256,C257:C861,1,0)=0,1,0),1)</f>
        <v>0</v>
      </c>
      <c r="AP256" s="79"/>
      <c r="AQ256" s="243" t="str">
        <f t="shared" si="31"/>
        <v/>
      </c>
      <c r="AR256" s="242" t="b">
        <f>IF(AQ256="x",EOMONTH(I256,0))</f>
        <v>0</v>
      </c>
      <c r="AS256" s="79">
        <f t="shared" si="32"/>
        <v>1</v>
      </c>
      <c r="AT256" s="79">
        <f t="shared" si="33"/>
        <v>1</v>
      </c>
      <c r="AU256" s="79" t="str">
        <f t="shared" si="34"/>
        <v>B</v>
      </c>
      <c r="AV256" s="79">
        <f t="shared" si="35"/>
        <v>1</v>
      </c>
      <c r="AW256" s="79" t="str">
        <f>J256&amp;AU256</f>
        <v>4B</v>
      </c>
      <c r="AX256" s="79">
        <f>IF(COUNTIFS(J:J,"Integral",E:E,E256,H:H,"Ativo")=4,1/4,1/10)</f>
        <v>0.1</v>
      </c>
      <c r="AY256" s="79"/>
      <c r="AZ256" s="79"/>
    </row>
    <row r="257" spans="1:52" ht="15.75" customHeight="1">
      <c r="A257" s="54">
        <v>261</v>
      </c>
      <c r="B257" s="399">
        <v>44970</v>
      </c>
      <c r="C257" s="32" t="s">
        <v>908</v>
      </c>
      <c r="D257" s="32" t="s">
        <v>912</v>
      </c>
      <c r="E257" s="32" t="s">
        <v>572</v>
      </c>
      <c r="F257" s="32" t="s">
        <v>913</v>
      </c>
      <c r="G257" s="33" t="s">
        <v>220</v>
      </c>
      <c r="H257" s="33" t="s">
        <v>90</v>
      </c>
      <c r="I257" s="34">
        <v>0</v>
      </c>
      <c r="J257" s="33">
        <v>4</v>
      </c>
      <c r="K257" s="35" t="s">
        <v>289</v>
      </c>
      <c r="L257" s="35" t="s">
        <v>246</v>
      </c>
      <c r="M257" s="67" t="s">
        <v>222</v>
      </c>
      <c r="N257" s="33" t="s">
        <v>68</v>
      </c>
      <c r="O257" s="33" t="s">
        <v>10</v>
      </c>
      <c r="P257" s="33" t="s">
        <v>1</v>
      </c>
      <c r="Q257" s="47"/>
      <c r="R257" s="47"/>
      <c r="S257" s="45" t="s">
        <v>147</v>
      </c>
      <c r="T257" s="45"/>
      <c r="U257" s="51">
        <v>44962</v>
      </c>
      <c r="V257" s="48">
        <f t="shared" si="29"/>
        <v>44970</v>
      </c>
      <c r="W257" s="50">
        <f>V257-U257</f>
        <v>8</v>
      </c>
      <c r="X257" s="261">
        <v>255000</v>
      </c>
      <c r="Y257" s="260">
        <v>255000</v>
      </c>
      <c r="Z257" s="260">
        <v>255000</v>
      </c>
      <c r="AA257" s="56" t="s">
        <v>911</v>
      </c>
      <c r="AB257" s="260"/>
      <c r="AC257" s="41"/>
      <c r="AD257" s="42"/>
      <c r="AE257" s="41"/>
      <c r="AF257" s="43"/>
      <c r="AG257" s="40">
        <v>0</v>
      </c>
      <c r="AH257" s="40">
        <v>0</v>
      </c>
      <c r="AI257" s="44"/>
      <c r="AJ257" s="44"/>
      <c r="AK257" s="40">
        <v>0</v>
      </c>
      <c r="AL257" s="40">
        <v>0</v>
      </c>
      <c r="AM257" s="242">
        <f t="shared" si="30"/>
        <v>44985</v>
      </c>
      <c r="AN257" s="242" t="str">
        <f>IF(AQ257="x","",IF(AQ257="x",AM257,IF(EOMONTH(I257,0)=31,"",EOMONTH(I257,0))))</f>
        <v/>
      </c>
      <c r="AO257" s="79">
        <f>IFERROR(IF(VLOOKUP(C257,C258:C862,1,0)=0,1,0),1)</f>
        <v>1</v>
      </c>
      <c r="AP257" s="79"/>
      <c r="AQ257" s="243" t="str">
        <f t="shared" si="31"/>
        <v/>
      </c>
      <c r="AR257" s="242" t="b">
        <f>IF(AQ257="x",EOMONTH(I257,0))</f>
        <v>0</v>
      </c>
      <c r="AS257" s="79">
        <f t="shared" si="32"/>
        <v>1</v>
      </c>
      <c r="AT257" s="79">
        <f t="shared" si="33"/>
        <v>1</v>
      </c>
      <c r="AU257" s="79" t="str">
        <f t="shared" si="34"/>
        <v>B</v>
      </c>
      <c r="AV257" s="79">
        <f t="shared" si="35"/>
        <v>1</v>
      </c>
      <c r="AW257" s="79" t="str">
        <f>J257&amp;AU257</f>
        <v>4B</v>
      </c>
      <c r="AX257" s="79">
        <f>IF(COUNTIFS(J:J,"Integral",E:E,E257,H:H,"Ativo")=4,1/4,1/10)</f>
        <v>0.1</v>
      </c>
      <c r="AY257" s="79"/>
      <c r="AZ257" s="79"/>
    </row>
    <row r="258" spans="1:52" ht="15.75" customHeight="1">
      <c r="A258" s="54">
        <v>262</v>
      </c>
      <c r="B258" s="399">
        <v>44986</v>
      </c>
      <c r="C258" s="32" t="s">
        <v>914</v>
      </c>
      <c r="D258" s="32" t="s">
        <v>915</v>
      </c>
      <c r="E258" s="32" t="s">
        <v>916</v>
      </c>
      <c r="F258" s="32" t="s">
        <v>917</v>
      </c>
      <c r="G258" s="33" t="s">
        <v>220</v>
      </c>
      <c r="H258" s="33" t="s">
        <v>90</v>
      </c>
      <c r="I258" s="34">
        <v>0</v>
      </c>
      <c r="J258" s="33" t="s">
        <v>6</v>
      </c>
      <c r="K258" s="35" t="s">
        <v>394</v>
      </c>
      <c r="L258" s="35" t="s">
        <v>327</v>
      </c>
      <c r="M258" s="67" t="s">
        <v>222</v>
      </c>
      <c r="N258" s="33" t="s">
        <v>68</v>
      </c>
      <c r="O258" s="33" t="s">
        <v>10</v>
      </c>
      <c r="P258" s="33" t="s">
        <v>2</v>
      </c>
      <c r="Q258" s="47"/>
      <c r="R258" s="47"/>
      <c r="S258" s="45" t="s">
        <v>143</v>
      </c>
      <c r="T258" s="45"/>
      <c r="U258" s="46">
        <v>44974</v>
      </c>
      <c r="V258" s="38">
        <f t="shared" ref="V258:V321" si="36">B258</f>
        <v>44986</v>
      </c>
      <c r="W258" s="50">
        <f>V258-U258</f>
        <v>12</v>
      </c>
      <c r="X258" s="261">
        <f>Y258*0.91</f>
        <v>2564607.5</v>
      </c>
      <c r="Y258" s="260">
        <v>2818250</v>
      </c>
      <c r="Z258" s="260">
        <v>1950000</v>
      </c>
      <c r="AA258" s="35">
        <v>0</v>
      </c>
      <c r="AB258" s="260"/>
      <c r="AC258" s="44">
        <f>ABS(X258/Y258-1)</f>
        <v>8.9999999999999969E-2</v>
      </c>
      <c r="AD258" s="42">
        <v>0.1048</v>
      </c>
      <c r="AE258" s="41">
        <f t="shared" ref="AE258:AE292" si="37">AC258-AD258</f>
        <v>-1.4800000000000035E-2</v>
      </c>
      <c r="AF258" s="43">
        <v>1.4800000000000001E-2</v>
      </c>
      <c r="AG258" s="40">
        <f>IF((X258*AE258)&lt;0,0,(X258*AE258))</f>
        <v>0</v>
      </c>
      <c r="AH258" s="40">
        <f>Y258-Z258</f>
        <v>868250</v>
      </c>
      <c r="AI258" s="44">
        <f>AH258/X258</f>
        <v>0.33855083087762944</v>
      </c>
      <c r="AJ258" s="44">
        <f>AI258-AF258</f>
        <v>0.32375083087762946</v>
      </c>
      <c r="AK258" s="40">
        <f>AF258*X258</f>
        <v>37956.190999999999</v>
      </c>
      <c r="AL258" s="40">
        <f t="shared" ref="AL258:AL275" si="38">AH258-AK258</f>
        <v>830293.80900000001</v>
      </c>
      <c r="AM258" s="242">
        <f t="shared" ref="AM258:AM321" si="39">IFERROR(EOMONTH(B258,0),"Pendente")</f>
        <v>45016</v>
      </c>
      <c r="AN258" s="242" t="str">
        <f>IF(AQ258="x","",IF(AQ258="x",AM258,IF(EOMONTH(I258,0)=31,"",EOMONTH(I258,0))))</f>
        <v/>
      </c>
      <c r="AO258" s="79">
        <f>IFERROR(IF(VLOOKUP(C258,C259:C862,1,0)=0,1,0),1)</f>
        <v>0</v>
      </c>
      <c r="AP258" s="79"/>
      <c r="AQ258" s="243" t="str">
        <f t="shared" si="31"/>
        <v/>
      </c>
      <c r="AR258" s="242" t="b">
        <f>IF(AQ258="x",EOMONTH(I258,0))</f>
        <v>0</v>
      </c>
      <c r="AS258" s="79">
        <f t="shared" si="32"/>
        <v>1</v>
      </c>
      <c r="AT258" s="79">
        <f t="shared" si="33"/>
        <v>1</v>
      </c>
      <c r="AU258" s="79" t="str">
        <f t="shared" si="34"/>
        <v>C</v>
      </c>
      <c r="AV258" s="79">
        <f t="shared" si="35"/>
        <v>1</v>
      </c>
      <c r="AW258" s="79" t="str">
        <f>J258&amp;AU258</f>
        <v>IntegralC</v>
      </c>
      <c r="AX258" s="79">
        <f>IF(COUNTIFS(J:J,"Integral",E:E,E258,H:H,"Ativo")=4,1/4,1/10)</f>
        <v>0.25</v>
      </c>
      <c r="AY258" s="79"/>
      <c r="AZ258" s="79"/>
    </row>
    <row r="259" spans="1:52" ht="15.75" customHeight="1">
      <c r="A259" s="54">
        <v>263</v>
      </c>
      <c r="B259" s="399">
        <v>44986</v>
      </c>
      <c r="C259" s="32" t="s">
        <v>914</v>
      </c>
      <c r="D259" s="32" t="s">
        <v>918</v>
      </c>
      <c r="E259" s="32" t="s">
        <v>916</v>
      </c>
      <c r="F259" s="32" t="s">
        <v>919</v>
      </c>
      <c r="G259" s="33" t="s">
        <v>220</v>
      </c>
      <c r="H259" s="33" t="s">
        <v>90</v>
      </c>
      <c r="I259" s="34">
        <v>0</v>
      </c>
      <c r="J259" s="33" t="s">
        <v>6</v>
      </c>
      <c r="K259" s="35" t="s">
        <v>394</v>
      </c>
      <c r="L259" s="35" t="s">
        <v>327</v>
      </c>
      <c r="M259" s="67" t="s">
        <v>222</v>
      </c>
      <c r="N259" s="33" t="s">
        <v>68</v>
      </c>
      <c r="O259" s="33" t="s">
        <v>10</v>
      </c>
      <c r="P259" s="33" t="s">
        <v>2</v>
      </c>
      <c r="Q259" s="47"/>
      <c r="R259" s="47"/>
      <c r="S259" s="45" t="s">
        <v>143</v>
      </c>
      <c r="T259" s="45"/>
      <c r="U259" s="46">
        <v>44974</v>
      </c>
      <c r="V259" s="38">
        <f t="shared" si="36"/>
        <v>44986</v>
      </c>
      <c r="W259" s="50">
        <f>V259-U259</f>
        <v>12</v>
      </c>
      <c r="X259" s="261">
        <f>Y259*0.91</f>
        <v>2564607.5</v>
      </c>
      <c r="Y259" s="260">
        <v>2818250</v>
      </c>
      <c r="Z259" s="260">
        <v>1950000</v>
      </c>
      <c r="AA259" s="35">
        <v>0</v>
      </c>
      <c r="AB259" s="260"/>
      <c r="AC259" s="44">
        <f>ABS(X259/Y259-1)</f>
        <v>8.9999999999999969E-2</v>
      </c>
      <c r="AD259" s="42">
        <v>0.1048</v>
      </c>
      <c r="AE259" s="41">
        <f t="shared" si="37"/>
        <v>-1.4800000000000035E-2</v>
      </c>
      <c r="AF259" s="43">
        <v>1.4800000000000001E-2</v>
      </c>
      <c r="AG259" s="40">
        <f>IF((X259*AE259)&lt;0,0,(X259*AE259))</f>
        <v>0</v>
      </c>
      <c r="AH259" s="40">
        <f>Y259-Z259</f>
        <v>868250</v>
      </c>
      <c r="AI259" s="44">
        <f>AH259/X259</f>
        <v>0.33855083087762944</v>
      </c>
      <c r="AJ259" s="44">
        <f>AI259-AF259</f>
        <v>0.32375083087762946</v>
      </c>
      <c r="AK259" s="40">
        <f>AF259*X259</f>
        <v>37956.190999999999</v>
      </c>
      <c r="AL259" s="40">
        <f t="shared" si="38"/>
        <v>830293.80900000001</v>
      </c>
      <c r="AM259" s="242">
        <f t="shared" si="39"/>
        <v>45016</v>
      </c>
      <c r="AN259" s="242" t="str">
        <f>IF(AQ259="x","",IF(AQ259="x",AM259,IF(EOMONTH(I259,0)=31,"",EOMONTH(I259,0))))</f>
        <v/>
      </c>
      <c r="AO259" s="79">
        <f>IFERROR(IF(VLOOKUP(C259,C260:C863,1,0)=0,1,0),1)</f>
        <v>0</v>
      </c>
      <c r="AP259" s="79"/>
      <c r="AQ259" s="243" t="str">
        <f t="shared" si="31"/>
        <v/>
      </c>
      <c r="AR259" s="242" t="b">
        <f>IF(AQ259="x",EOMONTH(I259,0))</f>
        <v>0</v>
      </c>
      <c r="AS259" s="79">
        <f t="shared" si="32"/>
        <v>1</v>
      </c>
      <c r="AT259" s="79">
        <f t="shared" si="33"/>
        <v>1</v>
      </c>
      <c r="AU259" s="79" t="str">
        <f t="shared" si="34"/>
        <v>C</v>
      </c>
      <c r="AV259" s="79">
        <f t="shared" si="35"/>
        <v>1</v>
      </c>
      <c r="AW259" s="79" t="str">
        <f>J259&amp;AU259</f>
        <v>IntegralC</v>
      </c>
      <c r="AX259" s="79">
        <f>IF(COUNTIFS(J:J,"Integral",E:E,E259,H:H,"Ativo")=4,1/4,1/10)</f>
        <v>0.25</v>
      </c>
      <c r="AY259" s="79"/>
      <c r="AZ259" s="79"/>
    </row>
    <row r="260" spans="1:52" ht="15.75" customHeight="1">
      <c r="A260" s="54">
        <v>264</v>
      </c>
      <c r="B260" s="399">
        <v>44986</v>
      </c>
      <c r="C260" s="32" t="s">
        <v>914</v>
      </c>
      <c r="D260" s="32" t="s">
        <v>920</v>
      </c>
      <c r="E260" s="32" t="s">
        <v>916</v>
      </c>
      <c r="F260" s="32" t="s">
        <v>921</v>
      </c>
      <c r="G260" s="33" t="s">
        <v>220</v>
      </c>
      <c r="H260" s="33" t="s">
        <v>90</v>
      </c>
      <c r="I260" s="34">
        <v>0</v>
      </c>
      <c r="J260" s="33" t="s">
        <v>6</v>
      </c>
      <c r="K260" s="35" t="s">
        <v>394</v>
      </c>
      <c r="L260" s="35" t="s">
        <v>327</v>
      </c>
      <c r="M260" s="67" t="s">
        <v>222</v>
      </c>
      <c r="N260" s="33" t="s">
        <v>68</v>
      </c>
      <c r="O260" s="33" t="s">
        <v>10</v>
      </c>
      <c r="P260" s="33" t="s">
        <v>2</v>
      </c>
      <c r="Q260" s="47"/>
      <c r="R260" s="47"/>
      <c r="S260" s="45" t="s">
        <v>143</v>
      </c>
      <c r="T260" s="45"/>
      <c r="U260" s="46">
        <v>44974</v>
      </c>
      <c r="V260" s="38">
        <f t="shared" si="36"/>
        <v>44986</v>
      </c>
      <c r="W260" s="50">
        <f>V260-U260</f>
        <v>12</v>
      </c>
      <c r="X260" s="261">
        <f>Y260*0.91</f>
        <v>2564607.5</v>
      </c>
      <c r="Y260" s="260">
        <v>2818250</v>
      </c>
      <c r="Z260" s="260">
        <v>1950000</v>
      </c>
      <c r="AA260" s="35">
        <v>0</v>
      </c>
      <c r="AB260" s="260"/>
      <c r="AC260" s="44">
        <f>ABS(X260/Y260-1)</f>
        <v>8.9999999999999969E-2</v>
      </c>
      <c r="AD260" s="42">
        <v>0.1048</v>
      </c>
      <c r="AE260" s="41">
        <f t="shared" si="37"/>
        <v>-1.4800000000000035E-2</v>
      </c>
      <c r="AF260" s="43">
        <v>1.4800000000000001E-2</v>
      </c>
      <c r="AG260" s="40">
        <f>IF((X260*AE260)&lt;0,0,(X260*AE260))</f>
        <v>0</v>
      </c>
      <c r="AH260" s="40">
        <f>Y260-Z260</f>
        <v>868250</v>
      </c>
      <c r="AI260" s="44">
        <f>AH260/X260</f>
        <v>0.33855083087762944</v>
      </c>
      <c r="AJ260" s="44">
        <f>AI260-AF260</f>
        <v>0.32375083087762946</v>
      </c>
      <c r="AK260" s="40">
        <f>AF260*X260</f>
        <v>37956.190999999999</v>
      </c>
      <c r="AL260" s="40">
        <f t="shared" si="38"/>
        <v>830293.80900000001</v>
      </c>
      <c r="AM260" s="242">
        <f t="shared" si="39"/>
        <v>45016</v>
      </c>
      <c r="AN260" s="242" t="str">
        <f>IF(AQ260="x","",IF(AQ260="x",AM260,IF(EOMONTH(I260,0)=31,"",EOMONTH(I260,0))))</f>
        <v/>
      </c>
      <c r="AO260" s="79">
        <f>IFERROR(IF(VLOOKUP(C260,C261:C864,1,0)=0,1,0),1)</f>
        <v>0</v>
      </c>
      <c r="AP260" s="79"/>
      <c r="AQ260" s="243" t="str">
        <f t="shared" si="31"/>
        <v/>
      </c>
      <c r="AR260" s="242" t="b">
        <f>IF(AQ260="x",EOMONTH(I260,0))</f>
        <v>0</v>
      </c>
      <c r="AS260" s="79">
        <f t="shared" si="32"/>
        <v>1</v>
      </c>
      <c r="AT260" s="79">
        <f t="shared" si="33"/>
        <v>1</v>
      </c>
      <c r="AU260" s="79" t="str">
        <f t="shared" si="34"/>
        <v>C</v>
      </c>
      <c r="AV260" s="79">
        <f t="shared" si="35"/>
        <v>1</v>
      </c>
      <c r="AW260" s="79" t="str">
        <f>J260&amp;AU260</f>
        <v>IntegralC</v>
      </c>
      <c r="AX260" s="79">
        <f>IF(COUNTIFS(J:J,"Integral",E:E,E260,H:H,"Ativo")=4,1/4,1/10)</f>
        <v>0.25</v>
      </c>
      <c r="AY260" s="79"/>
      <c r="AZ260" s="79"/>
    </row>
    <row r="261" spans="1:52" ht="15.75" customHeight="1">
      <c r="A261" s="54">
        <v>265</v>
      </c>
      <c r="B261" s="399">
        <v>44986</v>
      </c>
      <c r="C261" s="32" t="s">
        <v>914</v>
      </c>
      <c r="D261" s="32" t="s">
        <v>922</v>
      </c>
      <c r="E261" s="32" t="s">
        <v>923</v>
      </c>
      <c r="F261" s="32" t="s">
        <v>924</v>
      </c>
      <c r="G261" s="33" t="s">
        <v>220</v>
      </c>
      <c r="H261" s="33" t="s">
        <v>90</v>
      </c>
      <c r="I261" s="34">
        <v>0</v>
      </c>
      <c r="J261" s="33">
        <v>52</v>
      </c>
      <c r="K261" s="35" t="s">
        <v>394</v>
      </c>
      <c r="L261" s="35" t="s">
        <v>327</v>
      </c>
      <c r="M261" s="67" t="s">
        <v>222</v>
      </c>
      <c r="N261" s="33" t="s">
        <v>68</v>
      </c>
      <c r="O261" s="33" t="s">
        <v>10</v>
      </c>
      <c r="P261" s="33" t="s">
        <v>2</v>
      </c>
      <c r="Q261" s="47"/>
      <c r="R261" s="47"/>
      <c r="S261" s="45" t="s">
        <v>143</v>
      </c>
      <c r="T261" s="45"/>
      <c r="U261" s="51">
        <v>44974</v>
      </c>
      <c r="V261" s="48">
        <f t="shared" si="36"/>
        <v>44986</v>
      </c>
      <c r="W261" s="50">
        <f>V261-U261</f>
        <v>12</v>
      </c>
      <c r="X261" s="261">
        <v>200000</v>
      </c>
      <c r="Y261" s="260">
        <v>200000</v>
      </c>
      <c r="Z261" s="260">
        <v>200000</v>
      </c>
      <c r="AA261" s="35">
        <v>0</v>
      </c>
      <c r="AB261" s="260"/>
      <c r="AC261" s="44">
        <f>ABS(X261/Y261-1)</f>
        <v>0</v>
      </c>
      <c r="AD261" s="42"/>
      <c r="AE261" s="41">
        <f t="shared" si="37"/>
        <v>0</v>
      </c>
      <c r="AF261" s="43"/>
      <c r="AG261" s="40"/>
      <c r="AH261" s="40">
        <f>X261-Z261</f>
        <v>0</v>
      </c>
      <c r="AI261" s="44"/>
      <c r="AJ261" s="44"/>
      <c r="AK261" s="40">
        <f>AF261*X261</f>
        <v>0</v>
      </c>
      <c r="AL261" s="40">
        <f t="shared" si="38"/>
        <v>0</v>
      </c>
      <c r="AM261" s="242">
        <f t="shared" si="39"/>
        <v>45016</v>
      </c>
      <c r="AN261" s="242" t="str">
        <f>IF(AQ261="x","",IF(AQ261="x",AM261,IF(EOMONTH(I261,0)=31,"",EOMONTH(I261,0))))</f>
        <v/>
      </c>
      <c r="AO261" s="79">
        <f>IFERROR(IF(VLOOKUP(C261,C262:C865,1,0)=0,1,0),1)</f>
        <v>0</v>
      </c>
      <c r="AP261" s="79"/>
      <c r="AQ261" s="243" t="str">
        <f t="shared" si="31"/>
        <v/>
      </c>
      <c r="AR261" s="242" t="b">
        <f>IF(AQ261="x",EOMONTH(I261,0))</f>
        <v>0</v>
      </c>
      <c r="AS261" s="79">
        <f t="shared" si="32"/>
        <v>1</v>
      </c>
      <c r="AT261" s="79">
        <f t="shared" si="33"/>
        <v>1</v>
      </c>
      <c r="AU261" s="79" t="str">
        <f t="shared" si="34"/>
        <v>V</v>
      </c>
      <c r="AV261" s="79">
        <f t="shared" si="35"/>
        <v>1</v>
      </c>
      <c r="AW261" s="79" t="str">
        <f>J261&amp;AU261</f>
        <v>52V</v>
      </c>
      <c r="AX261" s="79">
        <f>IF(COUNTIFS(J:J,"Integral",E:E,E261,H:H,"Ativo")=4,1/4,1/10)</f>
        <v>0.1</v>
      </c>
      <c r="AY261" s="79"/>
      <c r="AZ261" s="79"/>
    </row>
    <row r="262" spans="1:52" ht="15.75" customHeight="1">
      <c r="A262" s="54">
        <v>266</v>
      </c>
      <c r="B262" s="399">
        <v>44986</v>
      </c>
      <c r="C262" s="32" t="s">
        <v>914</v>
      </c>
      <c r="D262" s="32" t="s">
        <v>925</v>
      </c>
      <c r="E262" s="32" t="s">
        <v>916</v>
      </c>
      <c r="F262" s="32" t="s">
        <v>926</v>
      </c>
      <c r="G262" s="33" t="s">
        <v>220</v>
      </c>
      <c r="H262" s="33" t="s">
        <v>90</v>
      </c>
      <c r="I262" s="34">
        <v>0</v>
      </c>
      <c r="J262" s="33" t="s">
        <v>6</v>
      </c>
      <c r="K262" s="35" t="s">
        <v>394</v>
      </c>
      <c r="L262" s="35" t="s">
        <v>327</v>
      </c>
      <c r="M262" s="67" t="s">
        <v>222</v>
      </c>
      <c r="N262" s="33" t="s">
        <v>68</v>
      </c>
      <c r="O262" s="33" t="s">
        <v>10</v>
      </c>
      <c r="P262" s="33" t="s">
        <v>2</v>
      </c>
      <c r="Q262" s="47"/>
      <c r="R262" s="47"/>
      <c r="S262" s="45" t="s">
        <v>143</v>
      </c>
      <c r="T262" s="45"/>
      <c r="U262" s="46">
        <v>44974</v>
      </c>
      <c r="V262" s="38">
        <f t="shared" si="36"/>
        <v>44986</v>
      </c>
      <c r="W262" s="50">
        <f>V262-U262</f>
        <v>12</v>
      </c>
      <c r="X262" s="261">
        <f>Y262*0.91</f>
        <v>2564607.5</v>
      </c>
      <c r="Y262" s="260">
        <v>2818250</v>
      </c>
      <c r="Z262" s="260">
        <v>1950000</v>
      </c>
      <c r="AA262" s="35">
        <v>0</v>
      </c>
      <c r="AB262" s="260"/>
      <c r="AC262" s="44">
        <f>ABS(X262/Y262-1)</f>
        <v>8.9999999999999969E-2</v>
      </c>
      <c r="AD262" s="42">
        <v>0.1048</v>
      </c>
      <c r="AE262" s="41">
        <f t="shared" si="37"/>
        <v>-1.4800000000000035E-2</v>
      </c>
      <c r="AF262" s="43">
        <v>1.4800000000000001E-2</v>
      </c>
      <c r="AG262" s="40">
        <f>IF((X262*AE262)&lt;0,0,(X262*AE262))</f>
        <v>0</v>
      </c>
      <c r="AH262" s="40">
        <f t="shared" ref="AH262:AH268" si="40">Y262-Z262</f>
        <v>868250</v>
      </c>
      <c r="AI262" s="44">
        <f>AH262/X262</f>
        <v>0.33855083087762944</v>
      </c>
      <c r="AJ262" s="44">
        <f>AI262-AF262</f>
        <v>0.32375083087762946</v>
      </c>
      <c r="AK262" s="40">
        <f>AF262*X262</f>
        <v>37956.190999999999</v>
      </c>
      <c r="AL262" s="40">
        <f t="shared" si="38"/>
        <v>830293.80900000001</v>
      </c>
      <c r="AM262" s="242">
        <f t="shared" si="39"/>
        <v>45016</v>
      </c>
      <c r="AN262" s="242" t="str">
        <f>IF(AQ262="x","",IF(AQ262="x",AM262,IF(EOMONTH(I262,0)=31,"",EOMONTH(I262,0))))</f>
        <v/>
      </c>
      <c r="AO262" s="79">
        <f>IFERROR(IF(VLOOKUP(C262,C263:C866,1,0)=0,1,0),1)</f>
        <v>1</v>
      </c>
      <c r="AP262" s="79"/>
      <c r="AQ262" s="243" t="str">
        <f t="shared" si="31"/>
        <v/>
      </c>
      <c r="AR262" s="242" t="b">
        <f>IF(AQ262="x",EOMONTH(I262,0))</f>
        <v>0</v>
      </c>
      <c r="AS262" s="79">
        <f t="shared" si="32"/>
        <v>1</v>
      </c>
      <c r="AT262" s="79">
        <f t="shared" si="33"/>
        <v>1</v>
      </c>
      <c r="AU262" s="79" t="str">
        <f t="shared" si="34"/>
        <v>C</v>
      </c>
      <c r="AV262" s="79">
        <f t="shared" si="35"/>
        <v>1</v>
      </c>
      <c r="AW262" s="79" t="str">
        <f>J262&amp;AU262</f>
        <v>IntegralC</v>
      </c>
      <c r="AX262" s="79">
        <f>IF(COUNTIFS(J:J,"Integral",E:E,E262,H:H,"Ativo")=4,1/4,1/10)</f>
        <v>0.25</v>
      </c>
      <c r="AY262" s="79"/>
      <c r="AZ262" s="79"/>
    </row>
    <row r="263" spans="1:52" ht="15.75" customHeight="1">
      <c r="A263" s="54">
        <v>267</v>
      </c>
      <c r="B263" s="399">
        <v>44976</v>
      </c>
      <c r="C263" s="32" t="s">
        <v>927</v>
      </c>
      <c r="D263" s="32" t="s">
        <v>928</v>
      </c>
      <c r="E263" s="32" t="s">
        <v>807</v>
      </c>
      <c r="F263" s="32" t="s">
        <v>929</v>
      </c>
      <c r="G263" s="33" t="s">
        <v>220</v>
      </c>
      <c r="H263" s="33" t="s">
        <v>90</v>
      </c>
      <c r="I263" s="34">
        <v>0</v>
      </c>
      <c r="J263" s="33">
        <v>6</v>
      </c>
      <c r="K263" s="35" t="s">
        <v>289</v>
      </c>
      <c r="L263" s="35" t="s">
        <v>238</v>
      </c>
      <c r="M263" s="67" t="s">
        <v>222</v>
      </c>
      <c r="N263" s="33" t="s">
        <v>68</v>
      </c>
      <c r="O263" s="33" t="s">
        <v>12</v>
      </c>
      <c r="P263" s="33" t="s">
        <v>1</v>
      </c>
      <c r="Q263" s="47"/>
      <c r="R263" s="47"/>
      <c r="S263" s="45" t="s">
        <v>143</v>
      </c>
      <c r="T263" s="45"/>
      <c r="U263" s="51">
        <v>44976</v>
      </c>
      <c r="V263" s="48">
        <f t="shared" si="36"/>
        <v>44976</v>
      </c>
      <c r="W263" s="50">
        <f>V263-U263</f>
        <v>0</v>
      </c>
      <c r="X263" s="261">
        <f>Y263*0.91</f>
        <v>392210</v>
      </c>
      <c r="Y263" s="260">
        <v>431000</v>
      </c>
      <c r="Z263" s="260">
        <v>431000</v>
      </c>
      <c r="AA263" s="35" t="s">
        <v>930</v>
      </c>
      <c r="AB263" s="260"/>
      <c r="AC263" s="44">
        <f>ABS(X263/Y263-1)</f>
        <v>8.9999999999999969E-2</v>
      </c>
      <c r="AD263" s="42">
        <v>0</v>
      </c>
      <c r="AE263" s="41">
        <f t="shared" si="37"/>
        <v>8.9999999999999969E-2</v>
      </c>
      <c r="AF263" s="43"/>
      <c r="AG263" s="40">
        <f>Z263-X263</f>
        <v>38790</v>
      </c>
      <c r="AH263" s="40">
        <f t="shared" si="40"/>
        <v>0</v>
      </c>
      <c r="AI263" s="44"/>
      <c r="AJ263" s="44"/>
      <c r="AK263" s="40">
        <f>AF263*X263</f>
        <v>0</v>
      </c>
      <c r="AL263" s="40">
        <f t="shared" si="38"/>
        <v>0</v>
      </c>
      <c r="AM263" s="242">
        <f t="shared" si="39"/>
        <v>44985</v>
      </c>
      <c r="AN263" s="242" t="str">
        <f>IF(AQ263="x","",IF(AQ263="x",AM263,IF(EOMONTH(I263,0)=31,"",EOMONTH(I263,0))))</f>
        <v/>
      </c>
      <c r="AO263" s="79">
        <f>IFERROR(IF(VLOOKUP(C263,C264:C868,1,0)=0,1,0),1)</f>
        <v>1</v>
      </c>
      <c r="AP263" s="79"/>
      <c r="AQ263" s="243" t="str">
        <f t="shared" si="31"/>
        <v/>
      </c>
      <c r="AR263" s="242" t="b">
        <f>IF(AQ263="x",EOMONTH(I263,0))</f>
        <v>0</v>
      </c>
      <c r="AS263" s="79">
        <f t="shared" si="32"/>
        <v>1</v>
      </c>
      <c r="AT263" s="79">
        <f t="shared" si="33"/>
        <v>1</v>
      </c>
      <c r="AU263" s="79" t="str">
        <f t="shared" si="34"/>
        <v>B</v>
      </c>
      <c r="AV263" s="79">
        <f t="shared" si="35"/>
        <v>1</v>
      </c>
      <c r="AW263" s="79" t="str">
        <f>J263&amp;AU263</f>
        <v>6B</v>
      </c>
      <c r="AX263" s="79">
        <f>IF(COUNTIFS(J:J,"Integral",E:E,E263,H:H,"Ativo")=4,1/4,1/10)</f>
        <v>0.1</v>
      </c>
      <c r="AY263" s="79"/>
      <c r="AZ263" s="79"/>
    </row>
    <row r="264" spans="1:52" ht="15.75" customHeight="1">
      <c r="A264" s="54">
        <v>268</v>
      </c>
      <c r="B264" s="399">
        <v>44976</v>
      </c>
      <c r="C264" s="32" t="s">
        <v>931</v>
      </c>
      <c r="D264" s="32" t="s">
        <v>932</v>
      </c>
      <c r="E264" s="32" t="s">
        <v>300</v>
      </c>
      <c r="F264" s="32" t="s">
        <v>933</v>
      </c>
      <c r="G264" s="33" t="s">
        <v>220</v>
      </c>
      <c r="H264" s="33" t="s">
        <v>90</v>
      </c>
      <c r="I264" s="34">
        <v>0</v>
      </c>
      <c r="J264" s="33">
        <v>6</v>
      </c>
      <c r="K264" s="35" t="s">
        <v>425</v>
      </c>
      <c r="L264" s="35" t="s">
        <v>425</v>
      </c>
      <c r="M264" s="67" t="s">
        <v>222</v>
      </c>
      <c r="N264" s="33" t="s">
        <v>68</v>
      </c>
      <c r="O264" s="33" t="s">
        <v>12</v>
      </c>
      <c r="P264" s="33" t="s">
        <v>1</v>
      </c>
      <c r="Q264" s="47"/>
      <c r="R264" s="47"/>
      <c r="S264" s="45" t="s">
        <v>143</v>
      </c>
      <c r="T264" s="45"/>
      <c r="U264" s="51">
        <v>44976</v>
      </c>
      <c r="V264" s="48">
        <f t="shared" si="36"/>
        <v>44976</v>
      </c>
      <c r="W264" s="50">
        <f>V264-U264</f>
        <v>0</v>
      </c>
      <c r="X264" s="261">
        <f>Y264*0.91</f>
        <v>399490</v>
      </c>
      <c r="Y264" s="260">
        <v>439000</v>
      </c>
      <c r="Z264" s="260">
        <v>439000</v>
      </c>
      <c r="AA264" s="35" t="s">
        <v>880</v>
      </c>
      <c r="AB264" s="260"/>
      <c r="AC264" s="44">
        <f>ABS(X264/Y264-1)</f>
        <v>8.9999999999999969E-2</v>
      </c>
      <c r="AD264" s="42">
        <v>0</v>
      </c>
      <c r="AE264" s="41">
        <f t="shared" si="37"/>
        <v>8.9999999999999969E-2</v>
      </c>
      <c r="AF264" s="43"/>
      <c r="AG264" s="40">
        <f>Z264-X264</f>
        <v>39510</v>
      </c>
      <c r="AH264" s="40">
        <f t="shared" si="40"/>
        <v>0</v>
      </c>
      <c r="AI264" s="44"/>
      <c r="AJ264" s="44"/>
      <c r="AK264" s="40">
        <f>AF264*X264</f>
        <v>0</v>
      </c>
      <c r="AL264" s="40">
        <f t="shared" si="38"/>
        <v>0</v>
      </c>
      <c r="AM264" s="242">
        <f t="shared" si="39"/>
        <v>44985</v>
      </c>
      <c r="AN264" s="242" t="str">
        <f>IF(AQ264="x","",IF(AQ264="x",AM264,IF(EOMONTH(I264,0)=31,"",EOMONTH(I264,0))))</f>
        <v/>
      </c>
      <c r="AO264" s="79">
        <f>IFERROR(IF(VLOOKUP(C264,C265:C868,1,0)=0,1,0),1)</f>
        <v>1</v>
      </c>
      <c r="AP264" s="79"/>
      <c r="AQ264" s="243" t="str">
        <f t="shared" si="31"/>
        <v/>
      </c>
      <c r="AR264" s="242" t="b">
        <f>IF(AQ264="x",EOMONTH(I264,0))</f>
        <v>0</v>
      </c>
      <c r="AS264" s="79">
        <f t="shared" si="32"/>
        <v>1</v>
      </c>
      <c r="AT264" s="79">
        <f t="shared" si="33"/>
        <v>1</v>
      </c>
      <c r="AU264" s="79" t="str">
        <f t="shared" si="34"/>
        <v>B</v>
      </c>
      <c r="AV264" s="79">
        <f t="shared" si="35"/>
        <v>1</v>
      </c>
      <c r="AW264" s="79" t="str">
        <f>J264&amp;AU264</f>
        <v>6B</v>
      </c>
      <c r="AX264" s="79">
        <f>IF(COUNTIFS(J:J,"Integral",E:E,E264,H:H,"Ativo")=4,1/4,1/10)</f>
        <v>0.1</v>
      </c>
      <c r="AY264" s="79"/>
      <c r="AZ264" s="79"/>
    </row>
    <row r="265" spans="1:52" ht="15.75" customHeight="1">
      <c r="A265" s="54">
        <v>269</v>
      </c>
      <c r="B265" s="399">
        <v>44980</v>
      </c>
      <c r="C265" s="32" t="s">
        <v>934</v>
      </c>
      <c r="D265" s="32" t="s">
        <v>935</v>
      </c>
      <c r="E265" s="32" t="s">
        <v>575</v>
      </c>
      <c r="F265" s="32" t="s">
        <v>936</v>
      </c>
      <c r="G265" s="33" t="s">
        <v>220</v>
      </c>
      <c r="H265" s="33" t="s">
        <v>90</v>
      </c>
      <c r="I265" s="34">
        <v>0</v>
      </c>
      <c r="J265" s="33">
        <v>6</v>
      </c>
      <c r="K265" s="35" t="s">
        <v>413</v>
      </c>
      <c r="L265" s="35" t="s">
        <v>413</v>
      </c>
      <c r="M265" s="67" t="s">
        <v>222</v>
      </c>
      <c r="N265" s="33" t="s">
        <v>68</v>
      </c>
      <c r="O265" s="33" t="s">
        <v>10</v>
      </c>
      <c r="P265" s="33" t="s">
        <v>1</v>
      </c>
      <c r="Q265" s="47"/>
      <c r="R265" s="47"/>
      <c r="S265" s="45" t="s">
        <v>144</v>
      </c>
      <c r="T265" s="45"/>
      <c r="U265" s="46">
        <v>44980</v>
      </c>
      <c r="V265" s="38">
        <f t="shared" si="36"/>
        <v>44980</v>
      </c>
      <c r="W265" s="50">
        <f>V265-U265</f>
        <v>0</v>
      </c>
      <c r="X265" s="261">
        <f>Y265*0.91</f>
        <v>432250</v>
      </c>
      <c r="Y265" s="260">
        <v>475000</v>
      </c>
      <c r="Z265" s="260">
        <v>332500</v>
      </c>
      <c r="AA265" s="35" t="s">
        <v>887</v>
      </c>
      <c r="AB265" s="260"/>
      <c r="AC265" s="44">
        <f>ABS(X265/Y265-1)</f>
        <v>8.9999999999999969E-2</v>
      </c>
      <c r="AD265" s="42">
        <v>0.11700000000000001</v>
      </c>
      <c r="AE265" s="41">
        <f t="shared" si="37"/>
        <v>-2.7000000000000038E-2</v>
      </c>
      <c r="AF265" s="43">
        <v>2.7E-2</v>
      </c>
      <c r="AG265" s="40">
        <f>IF((X265*AE265)&lt;0,0,(X265*AE265))</f>
        <v>0</v>
      </c>
      <c r="AH265" s="40">
        <f t="shared" si="40"/>
        <v>142500</v>
      </c>
      <c r="AI265" s="44">
        <f>AH265/X265</f>
        <v>0.32967032967032966</v>
      </c>
      <c r="AJ265" s="44">
        <f t="shared" ref="AJ265:AJ271" si="41">AI265-AF265</f>
        <v>0.30267032967032964</v>
      </c>
      <c r="AK265" s="40">
        <f>AF265*X265</f>
        <v>11670.75</v>
      </c>
      <c r="AL265" s="40">
        <f t="shared" si="38"/>
        <v>130829.25</v>
      </c>
      <c r="AM265" s="242">
        <f t="shared" si="39"/>
        <v>44985</v>
      </c>
      <c r="AN265" s="242" t="str">
        <f>IF(AQ265="x","",IF(AQ265="x",AM265,IF(EOMONTH(I265,0)=31,"",EOMONTH(I265,0))))</f>
        <v/>
      </c>
      <c r="AO265" s="79">
        <f>IFERROR(IF(VLOOKUP(C265,C266:C869,1,0)=0,1,0),1)</f>
        <v>0</v>
      </c>
      <c r="AP265" s="79"/>
      <c r="AQ265" s="243" t="str">
        <f t="shared" si="31"/>
        <v/>
      </c>
      <c r="AR265" s="242" t="b">
        <f>IF(AQ265="x",EOMONTH(I265,0))</f>
        <v>0</v>
      </c>
      <c r="AS265" s="79">
        <f t="shared" si="32"/>
        <v>1</v>
      </c>
      <c r="AT265" s="79">
        <f t="shared" si="33"/>
        <v>1</v>
      </c>
      <c r="AU265" s="79" t="str">
        <f t="shared" si="34"/>
        <v>B</v>
      </c>
      <c r="AV265" s="79">
        <f t="shared" si="35"/>
        <v>1</v>
      </c>
      <c r="AW265" s="79" t="str">
        <f>J265&amp;AU265</f>
        <v>6B</v>
      </c>
      <c r="AX265" s="79">
        <f>IF(COUNTIFS(J:J,"Integral",E:E,E265,H:H,"Ativo")=4,1/4,1/10)</f>
        <v>0.1</v>
      </c>
      <c r="AY265" s="79"/>
      <c r="AZ265" s="79"/>
    </row>
    <row r="266" spans="1:52" ht="15.75" customHeight="1">
      <c r="A266" s="54">
        <v>270</v>
      </c>
      <c r="B266" s="399">
        <v>44980</v>
      </c>
      <c r="C266" s="32" t="s">
        <v>934</v>
      </c>
      <c r="D266" s="32" t="s">
        <v>937</v>
      </c>
      <c r="E266" s="32" t="s">
        <v>700</v>
      </c>
      <c r="F266" s="32" t="s">
        <v>938</v>
      </c>
      <c r="G266" s="33" t="s">
        <v>220</v>
      </c>
      <c r="H266" s="33" t="s">
        <v>90</v>
      </c>
      <c r="I266" s="34">
        <v>0</v>
      </c>
      <c r="J266" s="33">
        <v>6</v>
      </c>
      <c r="K266" s="35" t="s">
        <v>413</v>
      </c>
      <c r="L266" s="35" t="s">
        <v>413</v>
      </c>
      <c r="M266" s="67" t="s">
        <v>222</v>
      </c>
      <c r="N266" s="33" t="s">
        <v>68</v>
      </c>
      <c r="O266" s="33" t="s">
        <v>10</v>
      </c>
      <c r="P266" s="33" t="s">
        <v>1</v>
      </c>
      <c r="Q266" s="47"/>
      <c r="R266" s="47"/>
      <c r="S266" s="45" t="s">
        <v>144</v>
      </c>
      <c r="T266" s="45"/>
      <c r="U266" s="46">
        <v>44980</v>
      </c>
      <c r="V266" s="38">
        <f t="shared" si="36"/>
        <v>44980</v>
      </c>
      <c r="W266" s="50">
        <f>V266-U266</f>
        <v>0</v>
      </c>
      <c r="X266" s="261">
        <f>Y266*0.91</f>
        <v>432250</v>
      </c>
      <c r="Y266" s="260">
        <v>475000</v>
      </c>
      <c r="Z266" s="260">
        <v>332500</v>
      </c>
      <c r="AA266" s="35" t="s">
        <v>887</v>
      </c>
      <c r="AB266" s="260"/>
      <c r="AC266" s="44">
        <f>ABS(X266/Y266-1)</f>
        <v>8.9999999999999969E-2</v>
      </c>
      <c r="AD266" s="42">
        <v>2.6800000000000001E-2</v>
      </c>
      <c r="AE266" s="41">
        <f t="shared" si="37"/>
        <v>6.3199999999999965E-2</v>
      </c>
      <c r="AF266" s="43"/>
      <c r="AG266" s="40">
        <f>X266*AE266</f>
        <v>27318.199999999986</v>
      </c>
      <c r="AH266" s="40">
        <f t="shared" si="40"/>
        <v>142500</v>
      </c>
      <c r="AI266" s="44">
        <f>AH266/X266</f>
        <v>0.32967032967032966</v>
      </c>
      <c r="AJ266" s="44">
        <f t="shared" si="41"/>
        <v>0.32967032967032966</v>
      </c>
      <c r="AK266" s="40">
        <f>AF266*X266</f>
        <v>0</v>
      </c>
      <c r="AL266" s="40">
        <f t="shared" si="38"/>
        <v>142500</v>
      </c>
      <c r="AM266" s="242">
        <f t="shared" si="39"/>
        <v>44985</v>
      </c>
      <c r="AN266" s="242" t="str">
        <f>IF(AQ266="x","",IF(AQ266="x",AM266,IF(EOMONTH(I266,0)=31,"",EOMONTH(I266,0))))</f>
        <v/>
      </c>
      <c r="AO266" s="79">
        <f>IFERROR(IF(VLOOKUP(C266,C267:C870,1,0)=0,1,0),1)</f>
        <v>1</v>
      </c>
      <c r="AP266" s="79"/>
      <c r="AQ266" s="243" t="str">
        <f t="shared" si="31"/>
        <v/>
      </c>
      <c r="AR266" s="242" t="b">
        <f>IF(AQ266="x",EOMONTH(I266,0))</f>
        <v>0</v>
      </c>
      <c r="AS266" s="79">
        <f t="shared" si="32"/>
        <v>1</v>
      </c>
      <c r="AT266" s="79">
        <f t="shared" si="33"/>
        <v>1</v>
      </c>
      <c r="AU266" s="79" t="str">
        <f t="shared" si="34"/>
        <v>B</v>
      </c>
      <c r="AV266" s="79">
        <f t="shared" si="35"/>
        <v>1</v>
      </c>
      <c r="AW266" s="79" t="str">
        <f>J266&amp;AU266</f>
        <v>6B</v>
      </c>
      <c r="AX266" s="79">
        <f>IF(COUNTIFS(J:J,"Integral",E:E,E266,H:H,"Ativo")=4,1/4,1/10)</f>
        <v>0.1</v>
      </c>
      <c r="AY266" s="79"/>
      <c r="AZ266" s="79"/>
    </row>
    <row r="267" spans="1:52" ht="15.75" customHeight="1">
      <c r="A267" s="54">
        <v>271</v>
      </c>
      <c r="B267" s="399">
        <v>44990</v>
      </c>
      <c r="C267" s="32" t="s">
        <v>939</v>
      </c>
      <c r="D267" s="32" t="s">
        <v>940</v>
      </c>
      <c r="E267" s="32" t="s">
        <v>700</v>
      </c>
      <c r="F267" s="32" t="s">
        <v>941</v>
      </c>
      <c r="G267" s="33" t="s">
        <v>220</v>
      </c>
      <c r="H267" s="33" t="s">
        <v>337</v>
      </c>
      <c r="I267" s="53">
        <v>45172</v>
      </c>
      <c r="J267" s="33">
        <v>6</v>
      </c>
      <c r="K267" s="35" t="s">
        <v>394</v>
      </c>
      <c r="L267" s="35" t="s">
        <v>394</v>
      </c>
      <c r="M267" s="67" t="s">
        <v>222</v>
      </c>
      <c r="N267" s="33" t="s">
        <v>68</v>
      </c>
      <c r="O267" s="33" t="s">
        <v>12</v>
      </c>
      <c r="P267" s="33" t="s">
        <v>2</v>
      </c>
      <c r="Q267" s="47"/>
      <c r="R267" s="47"/>
      <c r="S267" s="45" t="s">
        <v>147</v>
      </c>
      <c r="T267" s="45"/>
      <c r="U267" s="46">
        <v>44990</v>
      </c>
      <c r="V267" s="38">
        <f t="shared" si="36"/>
        <v>44990</v>
      </c>
      <c r="W267" s="50">
        <f>V267-U267</f>
        <v>0</v>
      </c>
      <c r="X267" s="265">
        <f>Y267*0.91</f>
        <v>393120</v>
      </c>
      <c r="Y267" s="67">
        <v>432000</v>
      </c>
      <c r="Z267" s="67">
        <v>400000</v>
      </c>
      <c r="AA267" s="35">
        <v>0</v>
      </c>
      <c r="AB267" s="67"/>
      <c r="AC267" s="44">
        <f>ABS(X267/Y267-1)</f>
        <v>8.9999999999999969E-2</v>
      </c>
      <c r="AD267" s="42">
        <v>4.24E-2</v>
      </c>
      <c r="AE267" s="41">
        <f t="shared" si="37"/>
        <v>4.7599999999999969E-2</v>
      </c>
      <c r="AF267" s="43"/>
      <c r="AG267" s="40">
        <f>X267*AE267</f>
        <v>18712.511999999988</v>
      </c>
      <c r="AH267" s="40">
        <f t="shared" si="40"/>
        <v>32000</v>
      </c>
      <c r="AI267" s="44">
        <f>AH267/X267</f>
        <v>8.1400081400081398E-2</v>
      </c>
      <c r="AJ267" s="44">
        <f t="shared" si="41"/>
        <v>8.1400081400081398E-2</v>
      </c>
      <c r="AK267" s="40">
        <f>AF267*X267</f>
        <v>0</v>
      </c>
      <c r="AL267" s="40">
        <f t="shared" si="38"/>
        <v>32000</v>
      </c>
      <c r="AM267" s="242">
        <f t="shared" si="39"/>
        <v>45016</v>
      </c>
      <c r="AN267" s="242">
        <f>IF(AQ267="x","",IF(AQ267="x",AM267,IF(EOMONTH(I267,0)=31,"",EOMONTH(I267,0))))</f>
        <v>45199</v>
      </c>
      <c r="AO267" s="79">
        <f>IFERROR(IF(VLOOKUP(C267,C268:C871,1,0)=0,1,0),1)</f>
        <v>0</v>
      </c>
      <c r="AP267" s="79"/>
      <c r="AQ267" s="243" t="str">
        <f t="shared" si="31"/>
        <v/>
      </c>
      <c r="AR267" s="242" t="b">
        <f>IF(AQ267="x",EOMONTH(I267,0))</f>
        <v>0</v>
      </c>
      <c r="AS267" s="79">
        <f t="shared" si="32"/>
        <v>1</v>
      </c>
      <c r="AT267" s="79">
        <f t="shared" si="33"/>
        <v>1</v>
      </c>
      <c r="AU267" s="79" t="str">
        <f t="shared" si="34"/>
        <v>B</v>
      </c>
      <c r="AV267" s="79">
        <f t="shared" si="35"/>
        <v>1</v>
      </c>
      <c r="AW267" s="79" t="str">
        <f>J267&amp;AU267</f>
        <v>6B</v>
      </c>
      <c r="AX267" s="79">
        <f>IF(COUNTIFS(J:J,"Integral",E:E,E267,H:H,"Ativo")=4,1/4,1/10)</f>
        <v>0.1</v>
      </c>
      <c r="AY267" s="79"/>
      <c r="AZ267" s="79"/>
    </row>
    <row r="268" spans="1:52" ht="15.75" customHeight="1">
      <c r="A268" s="54">
        <v>272</v>
      </c>
      <c r="B268" s="399">
        <v>44993</v>
      </c>
      <c r="C268" s="32" t="s">
        <v>942</v>
      </c>
      <c r="D268" s="32" t="s">
        <v>943</v>
      </c>
      <c r="E268" s="32" t="s">
        <v>944</v>
      </c>
      <c r="F268" s="32" t="s">
        <v>945</v>
      </c>
      <c r="G268" s="33" t="s">
        <v>220</v>
      </c>
      <c r="H268" s="33" t="s">
        <v>90</v>
      </c>
      <c r="I268" s="34">
        <v>0</v>
      </c>
      <c r="J268" s="33">
        <v>13</v>
      </c>
      <c r="K268" s="35" t="s">
        <v>318</v>
      </c>
      <c r="L268" s="35" t="s">
        <v>274</v>
      </c>
      <c r="M268" s="67" t="s">
        <v>222</v>
      </c>
      <c r="N268" s="33" t="s">
        <v>68</v>
      </c>
      <c r="O268" s="33" t="s">
        <v>11</v>
      </c>
      <c r="P268" s="33" t="s">
        <v>1</v>
      </c>
      <c r="Q268" s="47"/>
      <c r="R268" s="47"/>
      <c r="S268" s="45" t="s">
        <v>145</v>
      </c>
      <c r="T268" s="45"/>
      <c r="U268" s="46">
        <v>44989</v>
      </c>
      <c r="V268" s="38">
        <f t="shared" si="36"/>
        <v>44993</v>
      </c>
      <c r="W268" s="50">
        <f>V268-U268</f>
        <v>4</v>
      </c>
      <c r="X268" s="261">
        <f>Y268*0.91</f>
        <v>1506050</v>
      </c>
      <c r="Y268" s="260">
        <v>1655000</v>
      </c>
      <c r="Z268" s="260">
        <v>1289000</v>
      </c>
      <c r="AA268" s="35" t="s">
        <v>946</v>
      </c>
      <c r="AB268" s="260"/>
      <c r="AC268" s="44">
        <f>ABS(X268/Y268-1)</f>
        <v>8.9999999999999969E-2</v>
      </c>
      <c r="AD268" s="42">
        <v>0.1011</v>
      </c>
      <c r="AE268" s="41">
        <f t="shared" si="37"/>
        <v>-1.1100000000000027E-2</v>
      </c>
      <c r="AF268" s="43">
        <v>1.11E-2</v>
      </c>
      <c r="AG268" s="40">
        <f>IF((X268*AE268)&lt;0,0,(X268*AE268))</f>
        <v>0</v>
      </c>
      <c r="AH268" s="40">
        <f t="shared" si="40"/>
        <v>366000</v>
      </c>
      <c r="AI268" s="44">
        <f>AH268/X268</f>
        <v>0.24301982005909498</v>
      </c>
      <c r="AJ268" s="44">
        <f t="shared" si="41"/>
        <v>0.23191982005909498</v>
      </c>
      <c r="AK268" s="40">
        <f>AF268*X268</f>
        <v>16717.155000000002</v>
      </c>
      <c r="AL268" s="40">
        <f t="shared" si="38"/>
        <v>349282.84499999997</v>
      </c>
      <c r="AM268" s="242">
        <f t="shared" si="39"/>
        <v>45016</v>
      </c>
      <c r="AN268" s="242" t="str">
        <f>IF(AQ268="x","",IF(AQ268="x",AM268,IF(EOMONTH(I268,0)=31,"",EOMONTH(I268,0))))</f>
        <v/>
      </c>
      <c r="AO268" s="79">
        <f>IFERROR(IF(VLOOKUP(C268,C269:C872,1,0)=0,1,0),1)</f>
        <v>1</v>
      </c>
      <c r="AP268" s="79"/>
      <c r="AQ268" s="243" t="str">
        <f t="shared" si="31"/>
        <v/>
      </c>
      <c r="AR268" s="242" t="b">
        <f>IF(AQ268="x",EOMONTH(I268,0))</f>
        <v>0</v>
      </c>
      <c r="AS268" s="79">
        <f t="shared" si="32"/>
        <v>1</v>
      </c>
      <c r="AT268" s="79">
        <f t="shared" si="33"/>
        <v>1</v>
      </c>
      <c r="AU268" s="79" t="str">
        <f t="shared" si="34"/>
        <v>A</v>
      </c>
      <c r="AV268" s="79">
        <f t="shared" si="35"/>
        <v>1</v>
      </c>
      <c r="AW268" s="79" t="str">
        <f>J268&amp;AU268</f>
        <v>13A</v>
      </c>
      <c r="AX268" s="79">
        <f>IF(COUNTIFS(J:J,"Integral",E:E,E268,H:H,"Ativo")=4,1/4,1/10)</f>
        <v>0.1</v>
      </c>
      <c r="AY268" s="79"/>
      <c r="AZ268" s="79"/>
    </row>
    <row r="269" spans="1:52" ht="15.75" customHeight="1">
      <c r="A269" s="54">
        <v>273</v>
      </c>
      <c r="B269" s="399">
        <v>44999</v>
      </c>
      <c r="C269" s="32" t="s">
        <v>947</v>
      </c>
      <c r="D269" s="32" t="s">
        <v>948</v>
      </c>
      <c r="E269" s="32" t="s">
        <v>949</v>
      </c>
      <c r="F269" s="32" t="s">
        <v>950</v>
      </c>
      <c r="G269" s="33" t="s">
        <v>243</v>
      </c>
      <c r="H269" s="33" t="s">
        <v>244</v>
      </c>
      <c r="I269" s="34">
        <v>45006</v>
      </c>
      <c r="J269" s="33">
        <v>4</v>
      </c>
      <c r="K269" s="35" t="s">
        <v>413</v>
      </c>
      <c r="L269" s="35" t="s">
        <v>413</v>
      </c>
      <c r="M269" s="67" t="s">
        <v>222</v>
      </c>
      <c r="N269" s="33" t="s">
        <v>68</v>
      </c>
      <c r="O269" s="33" t="s">
        <v>11</v>
      </c>
      <c r="P269" s="33" t="s">
        <v>1</v>
      </c>
      <c r="Q269" s="47"/>
      <c r="R269" s="47"/>
      <c r="S269" s="45" t="s">
        <v>222</v>
      </c>
      <c r="T269" s="45"/>
      <c r="U269" s="51">
        <v>44975</v>
      </c>
      <c r="V269" s="48">
        <f t="shared" si="36"/>
        <v>44999</v>
      </c>
      <c r="W269" s="50">
        <f>V269-U269</f>
        <v>24</v>
      </c>
      <c r="X269" s="265">
        <f>Y269*0.91</f>
        <v>280280</v>
      </c>
      <c r="Y269" s="67">
        <v>308000</v>
      </c>
      <c r="Z269" s="67">
        <v>266640</v>
      </c>
      <c r="AA269" s="35" t="s">
        <v>846</v>
      </c>
      <c r="AB269" s="67"/>
      <c r="AC269" s="44">
        <f>ABS(X269/Y269-1)</f>
        <v>8.9999999999999969E-2</v>
      </c>
      <c r="AD269" s="42">
        <v>1.4800000000000001E-2</v>
      </c>
      <c r="AE269" s="41">
        <f t="shared" si="37"/>
        <v>7.5199999999999961E-2</v>
      </c>
      <c r="AF269" s="43">
        <v>0</v>
      </c>
      <c r="AG269" s="40">
        <f>X269*AE269</f>
        <v>21077.05599999999</v>
      </c>
      <c r="AH269" s="40">
        <f>X269-Z269</f>
        <v>13640</v>
      </c>
      <c r="AI269" s="44">
        <f>AH269/X269</f>
        <v>4.8665620094191522E-2</v>
      </c>
      <c r="AJ269" s="44">
        <f t="shared" si="41"/>
        <v>4.8665620094191522E-2</v>
      </c>
      <c r="AK269" s="40">
        <f>AF269*X269</f>
        <v>0</v>
      </c>
      <c r="AL269" s="40">
        <f t="shared" si="38"/>
        <v>13640</v>
      </c>
      <c r="AM269" s="242">
        <f t="shared" si="39"/>
        <v>45016</v>
      </c>
      <c r="AN269" s="242" t="str">
        <f>IF(AQ269="x","",IF(AQ269="x",AM269,IF(EOMONTH(I269,0)=31,"",EOMONTH(I269,0))))</f>
        <v/>
      </c>
      <c r="AO269" s="79">
        <f>IFERROR(IF(VLOOKUP(C269,C270:C874,1,0)=0,1,0),1)</f>
        <v>0</v>
      </c>
      <c r="AP269" s="79"/>
      <c r="AQ269" s="243" t="str">
        <f t="shared" si="31"/>
        <v>x</v>
      </c>
      <c r="AR269" s="242">
        <f>IF(AQ269="x",EOMONTH(I269,0))</f>
        <v>45016</v>
      </c>
      <c r="AS269" s="79">
        <f t="shared" si="32"/>
        <v>1</v>
      </c>
      <c r="AT269" s="79">
        <f t="shared" si="33"/>
        <v>1</v>
      </c>
      <c r="AU269" s="79" t="str">
        <f t="shared" si="34"/>
        <v>B</v>
      </c>
      <c r="AV269" s="79">
        <f t="shared" si="35"/>
        <v>1</v>
      </c>
      <c r="AW269" s="79" t="str">
        <f>J269&amp;AU269</f>
        <v>4B</v>
      </c>
      <c r="AX269" s="79">
        <f>IF(COUNTIFS(J:J,"Integral",E:E,E269,H:H,"Ativo")=4,1/4,1/10)</f>
        <v>0.1</v>
      </c>
      <c r="AY269" s="79"/>
      <c r="AZ269" s="79"/>
    </row>
    <row r="270" spans="1:52" ht="15.75" customHeight="1">
      <c r="A270" s="54">
        <v>274</v>
      </c>
      <c r="B270" s="399">
        <v>44999</v>
      </c>
      <c r="C270" s="32" t="s">
        <v>947</v>
      </c>
      <c r="D270" s="32" t="s">
        <v>951</v>
      </c>
      <c r="E270" s="32" t="s">
        <v>949</v>
      </c>
      <c r="F270" s="32" t="s">
        <v>952</v>
      </c>
      <c r="G270" s="33" t="s">
        <v>243</v>
      </c>
      <c r="H270" s="33" t="s">
        <v>244</v>
      </c>
      <c r="I270" s="34">
        <v>45006</v>
      </c>
      <c r="J270" s="33">
        <v>4</v>
      </c>
      <c r="K270" s="35" t="s">
        <v>413</v>
      </c>
      <c r="L270" s="35" t="s">
        <v>413</v>
      </c>
      <c r="M270" s="67" t="s">
        <v>222</v>
      </c>
      <c r="N270" s="33" t="s">
        <v>68</v>
      </c>
      <c r="O270" s="33" t="s">
        <v>11</v>
      </c>
      <c r="P270" s="33" t="s">
        <v>1</v>
      </c>
      <c r="Q270" s="47"/>
      <c r="R270" s="47"/>
      <c r="S270" s="45" t="s">
        <v>222</v>
      </c>
      <c r="T270" s="45"/>
      <c r="U270" s="51">
        <v>44975</v>
      </c>
      <c r="V270" s="48">
        <f t="shared" si="36"/>
        <v>44999</v>
      </c>
      <c r="W270" s="50">
        <f>V270-U270</f>
        <v>24</v>
      </c>
      <c r="X270" s="265">
        <f>Y270*0.91</f>
        <v>280280</v>
      </c>
      <c r="Y270" s="67">
        <v>308000</v>
      </c>
      <c r="Z270" s="67">
        <v>266640</v>
      </c>
      <c r="AA270" s="35" t="s">
        <v>846</v>
      </c>
      <c r="AB270" s="67"/>
      <c r="AC270" s="44">
        <f>ABS(X270/Y270-1)</f>
        <v>8.9999999999999969E-2</v>
      </c>
      <c r="AD270" s="42">
        <v>1.4800000000000001E-2</v>
      </c>
      <c r="AE270" s="41">
        <f t="shared" si="37"/>
        <v>7.5199999999999961E-2</v>
      </c>
      <c r="AF270" s="43">
        <v>0</v>
      </c>
      <c r="AG270" s="40">
        <f>X270*AE270</f>
        <v>21077.05599999999</v>
      </c>
      <c r="AH270" s="40">
        <f>X270-Z270</f>
        <v>13640</v>
      </c>
      <c r="AI270" s="44">
        <f>AH270/X270</f>
        <v>4.8665620094191522E-2</v>
      </c>
      <c r="AJ270" s="44">
        <f t="shared" si="41"/>
        <v>4.8665620094191522E-2</v>
      </c>
      <c r="AK270" s="40">
        <f>AF270*X270</f>
        <v>0</v>
      </c>
      <c r="AL270" s="40">
        <f t="shared" si="38"/>
        <v>13640</v>
      </c>
      <c r="AM270" s="242">
        <f t="shared" si="39"/>
        <v>45016</v>
      </c>
      <c r="AN270" s="242" t="str">
        <f>IF(AQ270="x","",IF(AQ270="x",AM270,IF(EOMONTH(I270,0)=31,"",EOMONTH(I270,0))))</f>
        <v/>
      </c>
      <c r="AO270" s="79">
        <f>IFERROR(IF(VLOOKUP(C270,C271:C875,1,0)=0,1,0),1)</f>
        <v>1</v>
      </c>
      <c r="AP270" s="79"/>
      <c r="AQ270" s="243" t="str">
        <f t="shared" si="31"/>
        <v>x</v>
      </c>
      <c r="AR270" s="242">
        <f>IF(AQ270="x",EOMONTH(I270,0))</f>
        <v>45016</v>
      </c>
      <c r="AS270" s="79">
        <f t="shared" si="32"/>
        <v>1</v>
      </c>
      <c r="AT270" s="79">
        <f t="shared" si="33"/>
        <v>1</v>
      </c>
      <c r="AU270" s="79" t="str">
        <f t="shared" si="34"/>
        <v>B</v>
      </c>
      <c r="AV270" s="79">
        <f t="shared" si="35"/>
        <v>1</v>
      </c>
      <c r="AW270" s="79" t="str">
        <f>J270&amp;AU270</f>
        <v>4B</v>
      </c>
      <c r="AX270" s="79">
        <f>IF(COUNTIFS(J:J,"Integral",E:E,E270,H:H,"Ativo")=4,1/4,1/10)</f>
        <v>0.1</v>
      </c>
      <c r="AY270" s="79"/>
      <c r="AZ270" s="79"/>
    </row>
    <row r="271" spans="1:52" ht="15.75" customHeight="1">
      <c r="A271" s="54">
        <v>275</v>
      </c>
      <c r="B271" s="399">
        <v>44999</v>
      </c>
      <c r="C271" s="32" t="s">
        <v>953</v>
      </c>
      <c r="D271" s="32" t="s">
        <v>954</v>
      </c>
      <c r="E271" s="32" t="s">
        <v>949</v>
      </c>
      <c r="F271" s="32" t="s">
        <v>955</v>
      </c>
      <c r="G271" s="33" t="s">
        <v>220</v>
      </c>
      <c r="H271" s="33" t="s">
        <v>90</v>
      </c>
      <c r="I271" s="34">
        <v>0</v>
      </c>
      <c r="J271" s="33">
        <v>6</v>
      </c>
      <c r="K271" s="35" t="s">
        <v>245</v>
      </c>
      <c r="L271" s="35" t="s">
        <v>421</v>
      </c>
      <c r="M271" s="67" t="s">
        <v>222</v>
      </c>
      <c r="N271" s="33" t="s">
        <v>68</v>
      </c>
      <c r="O271" s="33" t="s">
        <v>11</v>
      </c>
      <c r="P271" s="33" t="s">
        <v>1</v>
      </c>
      <c r="Q271" s="47"/>
      <c r="R271" s="47"/>
      <c r="S271" s="45" t="s">
        <v>147</v>
      </c>
      <c r="T271" s="45"/>
      <c r="U271" s="46">
        <v>44997</v>
      </c>
      <c r="V271" s="38">
        <f t="shared" si="36"/>
        <v>44999</v>
      </c>
      <c r="W271" s="50">
        <f>V271-U271</f>
        <v>2</v>
      </c>
      <c r="X271" s="261">
        <f>Y271*0.91</f>
        <v>433160</v>
      </c>
      <c r="Y271" s="260">
        <v>476000</v>
      </c>
      <c r="Z271" s="260">
        <v>361000</v>
      </c>
      <c r="AA271" s="56" t="s">
        <v>911</v>
      </c>
      <c r="AB271" s="260"/>
      <c r="AC271" s="44">
        <f>ABS(X271/Y271-1)</f>
        <v>8.9999999999999969E-2</v>
      </c>
      <c r="AD271" s="42">
        <v>9.4299999999999995E-2</v>
      </c>
      <c r="AE271" s="41">
        <f t="shared" si="37"/>
        <v>-4.300000000000026E-3</v>
      </c>
      <c r="AF271" s="43">
        <v>4.3E-3</v>
      </c>
      <c r="AG271" s="40">
        <f>X271*AE271</f>
        <v>-1862.5880000000113</v>
      </c>
      <c r="AH271" s="40">
        <f>Y271-Z271</f>
        <v>115000</v>
      </c>
      <c r="AI271" s="44">
        <f>AH271/X271</f>
        <v>0.26549081170929911</v>
      </c>
      <c r="AJ271" s="44">
        <f t="shared" si="41"/>
        <v>0.26119081170929909</v>
      </c>
      <c r="AK271" s="40">
        <f>AF271*X271</f>
        <v>1862.588</v>
      </c>
      <c r="AL271" s="40">
        <f t="shared" si="38"/>
        <v>113137.412</v>
      </c>
      <c r="AM271" s="242">
        <f t="shared" si="39"/>
        <v>45016</v>
      </c>
      <c r="AN271" s="242" t="str">
        <f>IF(AQ271="x","",IF(AQ271="x",AM271,IF(EOMONTH(I271,0)=31,"",EOMONTH(I271,0))))</f>
        <v/>
      </c>
      <c r="AO271" s="79">
        <f>IFERROR(IF(VLOOKUP(C271,C272:C876,1,0)=0,1,0),1)</f>
        <v>1</v>
      </c>
      <c r="AP271" s="79"/>
      <c r="AQ271" s="243" t="str">
        <f t="shared" si="31"/>
        <v/>
      </c>
      <c r="AR271" s="242" t="b">
        <f>IF(AQ271="x",EOMONTH(I271,0))</f>
        <v>0</v>
      </c>
      <c r="AS271" s="79">
        <f t="shared" si="32"/>
        <v>1</v>
      </c>
      <c r="AT271" s="79">
        <f t="shared" si="33"/>
        <v>1</v>
      </c>
      <c r="AU271" s="79" t="str">
        <f t="shared" si="34"/>
        <v>B</v>
      </c>
      <c r="AV271" s="79">
        <f t="shared" si="35"/>
        <v>0</v>
      </c>
      <c r="AW271" s="79" t="str">
        <f>J271&amp;AU271</f>
        <v>6B</v>
      </c>
      <c r="AX271" s="79">
        <f>IF(COUNTIFS(J:J,"Integral",E:E,E271,H:H,"Ativo")=4,1/4,1/10)</f>
        <v>0.1</v>
      </c>
      <c r="AY271" s="79"/>
      <c r="AZ271" s="79"/>
    </row>
    <row r="272" spans="1:52" ht="15.75" customHeight="1">
      <c r="A272" s="54">
        <v>276</v>
      </c>
      <c r="B272" s="399">
        <v>45001</v>
      </c>
      <c r="C272" s="32" t="s">
        <v>956</v>
      </c>
      <c r="D272" s="32" t="s">
        <v>452</v>
      </c>
      <c r="E272" s="32" t="s">
        <v>448</v>
      </c>
      <c r="F272" s="32" t="s">
        <v>957</v>
      </c>
      <c r="G272" s="33" t="s">
        <v>220</v>
      </c>
      <c r="H272" s="33" t="s">
        <v>90</v>
      </c>
      <c r="I272" s="34">
        <v>0</v>
      </c>
      <c r="J272" s="33">
        <v>13</v>
      </c>
      <c r="K272" s="35" t="s">
        <v>238</v>
      </c>
      <c r="L272" s="35" t="s">
        <v>238</v>
      </c>
      <c r="M272" s="67" t="s">
        <v>222</v>
      </c>
      <c r="N272" s="33" t="s">
        <v>68</v>
      </c>
      <c r="O272" s="33" t="s">
        <v>12</v>
      </c>
      <c r="P272" s="33" t="s">
        <v>1</v>
      </c>
      <c r="Q272" s="47"/>
      <c r="R272" s="47"/>
      <c r="S272" s="45" t="s">
        <v>168</v>
      </c>
      <c r="T272" s="45"/>
      <c r="U272" s="51">
        <v>45001</v>
      </c>
      <c r="V272" s="48">
        <f t="shared" si="36"/>
        <v>45001</v>
      </c>
      <c r="W272" s="50">
        <f>V272-U272</f>
        <v>0</v>
      </c>
      <c r="X272" s="261">
        <f>Y272*0.91</f>
        <v>770770</v>
      </c>
      <c r="Y272" s="260">
        <v>847000</v>
      </c>
      <c r="Z272" s="260">
        <v>847000</v>
      </c>
      <c r="AA272" s="35" t="s">
        <v>887</v>
      </c>
      <c r="AB272" s="260"/>
      <c r="AC272" s="44">
        <f>ABS(X272/Y272-1)</f>
        <v>8.9999999999999969E-2</v>
      </c>
      <c r="AD272" s="42">
        <v>2.1399999999999999E-2</v>
      </c>
      <c r="AE272" s="41">
        <f t="shared" si="37"/>
        <v>6.8599999999999967E-2</v>
      </c>
      <c r="AF272" s="43"/>
      <c r="AG272" s="40">
        <f>X272*AE272</f>
        <v>52874.821999999971</v>
      </c>
      <c r="AH272" s="40">
        <f>Y272-Z272</f>
        <v>0</v>
      </c>
      <c r="AI272" s="44"/>
      <c r="AJ272" s="44"/>
      <c r="AK272" s="40">
        <f>AF272*X272</f>
        <v>0</v>
      </c>
      <c r="AL272" s="40">
        <f t="shared" si="38"/>
        <v>0</v>
      </c>
      <c r="AM272" s="242">
        <f t="shared" si="39"/>
        <v>45016</v>
      </c>
      <c r="AN272" s="242" t="str">
        <f>IF(AQ272="x","",IF(AQ272="x",AM272,IF(EOMONTH(I272,0)=31,"",EOMONTH(I272,0))))</f>
        <v/>
      </c>
      <c r="AO272" s="79">
        <f>IFERROR(IF(VLOOKUP(C272,C273:C877,1,0)=0,1,0),1)</f>
        <v>1</v>
      </c>
      <c r="AP272" s="79"/>
      <c r="AQ272" s="243" t="str">
        <f t="shared" si="31"/>
        <v/>
      </c>
      <c r="AR272" s="242" t="b">
        <f>IF(AQ272="x",EOMONTH(I272,0))</f>
        <v>0</v>
      </c>
      <c r="AS272" s="79">
        <f t="shared" si="32"/>
        <v>1</v>
      </c>
      <c r="AT272" s="79">
        <f t="shared" si="33"/>
        <v>1</v>
      </c>
      <c r="AU272" s="79" t="str">
        <f t="shared" si="34"/>
        <v>B</v>
      </c>
      <c r="AV272" s="79">
        <f t="shared" si="35"/>
        <v>1</v>
      </c>
      <c r="AW272" s="79" t="str">
        <f>J272&amp;AU272</f>
        <v>13B</v>
      </c>
      <c r="AX272" s="79">
        <f>IF(COUNTIFS(J:J,"Integral",E:E,E272,H:H,"Ativo")=4,1/4,1/10)</f>
        <v>0.1</v>
      </c>
      <c r="AY272" s="79"/>
      <c r="AZ272" s="79"/>
    </row>
    <row r="273" spans="1:52" ht="15.75" customHeight="1">
      <c r="A273" s="54">
        <v>277</v>
      </c>
      <c r="B273" s="399">
        <v>45004</v>
      </c>
      <c r="C273" s="32" t="s">
        <v>958</v>
      </c>
      <c r="D273" s="32" t="s">
        <v>959</v>
      </c>
      <c r="E273" s="32" t="s">
        <v>960</v>
      </c>
      <c r="F273" s="32" t="s">
        <v>961</v>
      </c>
      <c r="G273" s="33" t="s">
        <v>220</v>
      </c>
      <c r="H273" s="33" t="s">
        <v>90</v>
      </c>
      <c r="I273" s="34">
        <v>0</v>
      </c>
      <c r="J273" s="33">
        <v>4</v>
      </c>
      <c r="K273" s="35" t="s">
        <v>378</v>
      </c>
      <c r="L273" s="35" t="s">
        <v>238</v>
      </c>
      <c r="M273" s="67" t="s">
        <v>222</v>
      </c>
      <c r="N273" s="33" t="s">
        <v>68</v>
      </c>
      <c r="O273" s="33" t="s">
        <v>12</v>
      </c>
      <c r="P273" s="33" t="s">
        <v>1</v>
      </c>
      <c r="Q273" s="47"/>
      <c r="R273" s="47"/>
      <c r="S273" s="45" t="s">
        <v>143</v>
      </c>
      <c r="T273" s="45"/>
      <c r="U273" s="46">
        <v>45004</v>
      </c>
      <c r="V273" s="38">
        <f t="shared" si="36"/>
        <v>45004</v>
      </c>
      <c r="W273" s="50">
        <f>V273-U273</f>
        <v>0</v>
      </c>
      <c r="X273" s="261">
        <f>Y273*0.91</f>
        <v>254345</v>
      </c>
      <c r="Y273" s="260">
        <v>279500</v>
      </c>
      <c r="Z273" s="260">
        <v>279420</v>
      </c>
      <c r="AA273" s="35" t="s">
        <v>930</v>
      </c>
      <c r="AB273" s="260"/>
      <c r="AC273" s="44">
        <f>ABS(X273/Y273-1)</f>
        <v>8.9999999999999969E-2</v>
      </c>
      <c r="AD273" s="42">
        <v>1.49E-2</v>
      </c>
      <c r="AE273" s="41">
        <f t="shared" si="37"/>
        <v>7.5099999999999972E-2</v>
      </c>
      <c r="AF273" s="43"/>
      <c r="AG273" s="40">
        <f>X273*AE273</f>
        <v>19101.309499999992</v>
      </c>
      <c r="AH273" s="40">
        <f>Y273-Z273</f>
        <v>80</v>
      </c>
      <c r="AI273" s="44">
        <f>AH273/X273</f>
        <v>3.1453340934557391E-4</v>
      </c>
      <c r="AJ273" s="44">
        <f>AI273-AF273</f>
        <v>3.1453340934557391E-4</v>
      </c>
      <c r="AK273" s="40">
        <f>AF273*X273</f>
        <v>0</v>
      </c>
      <c r="AL273" s="40">
        <f t="shared" si="38"/>
        <v>80</v>
      </c>
      <c r="AM273" s="242">
        <f t="shared" si="39"/>
        <v>45016</v>
      </c>
      <c r="AN273" s="242" t="str">
        <f>IF(AQ273="x","",IF(AQ273="x",AM273,IF(EOMONTH(I273,0)=31,"",EOMONTH(I273,0))))</f>
        <v/>
      </c>
      <c r="AO273" s="79">
        <f>IFERROR(IF(VLOOKUP(C273,C274:C878,1,0)=0,1,0),1)</f>
        <v>0</v>
      </c>
      <c r="AP273" s="79"/>
      <c r="AQ273" s="243" t="str">
        <f t="shared" si="31"/>
        <v/>
      </c>
      <c r="AR273" s="242" t="b">
        <f>IF(AQ273="x",EOMONTH(I273,0))</f>
        <v>0</v>
      </c>
      <c r="AS273" s="79">
        <f t="shared" si="32"/>
        <v>1</v>
      </c>
      <c r="AT273" s="79">
        <f t="shared" si="33"/>
        <v>1</v>
      </c>
      <c r="AU273" s="79" t="str">
        <f t="shared" si="34"/>
        <v>B</v>
      </c>
      <c r="AV273" s="79">
        <f t="shared" si="35"/>
        <v>1</v>
      </c>
      <c r="AW273" s="79" t="str">
        <f>J273&amp;AU273</f>
        <v>4B</v>
      </c>
      <c r="AX273" s="79">
        <f>IF(COUNTIFS(J:J,"Integral",E:E,E273,H:H,"Ativo")=4,1/4,1/10)</f>
        <v>0.1</v>
      </c>
      <c r="AY273" s="79"/>
      <c r="AZ273" s="79"/>
    </row>
    <row r="274" spans="1:52" ht="15.75" customHeight="1">
      <c r="A274" s="54">
        <v>278</v>
      </c>
      <c r="B274" s="399">
        <v>45004</v>
      </c>
      <c r="C274" s="32" t="s">
        <v>958</v>
      </c>
      <c r="D274" s="32" t="s">
        <v>962</v>
      </c>
      <c r="E274" s="32" t="s">
        <v>960</v>
      </c>
      <c r="F274" s="32" t="s">
        <v>963</v>
      </c>
      <c r="G274" s="33" t="s">
        <v>220</v>
      </c>
      <c r="H274" s="33" t="s">
        <v>90</v>
      </c>
      <c r="I274" s="34">
        <v>0</v>
      </c>
      <c r="J274" s="33">
        <v>4</v>
      </c>
      <c r="K274" s="35" t="s">
        <v>378</v>
      </c>
      <c r="L274" s="35" t="s">
        <v>238</v>
      </c>
      <c r="M274" s="67" t="s">
        <v>222</v>
      </c>
      <c r="N274" s="33" t="s">
        <v>68</v>
      </c>
      <c r="O274" s="33" t="s">
        <v>12</v>
      </c>
      <c r="P274" s="33" t="s">
        <v>1</v>
      </c>
      <c r="Q274" s="47"/>
      <c r="R274" s="47"/>
      <c r="S274" s="45" t="s">
        <v>143</v>
      </c>
      <c r="T274" s="45"/>
      <c r="U274" s="46">
        <v>45004</v>
      </c>
      <c r="V274" s="38">
        <f t="shared" si="36"/>
        <v>45004</v>
      </c>
      <c r="W274" s="50">
        <f>V274-U274</f>
        <v>0</v>
      </c>
      <c r="X274" s="261">
        <f>Y274*0.91</f>
        <v>254345</v>
      </c>
      <c r="Y274" s="260">
        <v>279500</v>
      </c>
      <c r="Z274" s="260">
        <v>279420</v>
      </c>
      <c r="AA274" s="35" t="s">
        <v>930</v>
      </c>
      <c r="AB274" s="260"/>
      <c r="AC274" s="44">
        <f>ABS(X274/Y274-1)</f>
        <v>8.9999999999999969E-2</v>
      </c>
      <c r="AD274" s="42">
        <v>1.49E-2</v>
      </c>
      <c r="AE274" s="41">
        <f t="shared" si="37"/>
        <v>7.5099999999999972E-2</v>
      </c>
      <c r="AF274" s="43"/>
      <c r="AG274" s="40">
        <f>X274*AE274</f>
        <v>19101.309499999992</v>
      </c>
      <c r="AH274" s="40">
        <f>Y274-Z274</f>
        <v>80</v>
      </c>
      <c r="AI274" s="44">
        <f>AH274/X274</f>
        <v>3.1453340934557391E-4</v>
      </c>
      <c r="AJ274" s="44">
        <f>AI274-AF274</f>
        <v>3.1453340934557391E-4</v>
      </c>
      <c r="AK274" s="40">
        <f>AF274*X274</f>
        <v>0</v>
      </c>
      <c r="AL274" s="40">
        <f t="shared" si="38"/>
        <v>80</v>
      </c>
      <c r="AM274" s="242">
        <f t="shared" si="39"/>
        <v>45016</v>
      </c>
      <c r="AN274" s="242" t="str">
        <f>IF(AQ274="x","",IF(AQ274="x",AM274,IF(EOMONTH(I274,0)=31,"",EOMONTH(I274,0))))</f>
        <v/>
      </c>
      <c r="AO274" s="79">
        <f>IFERROR(IF(VLOOKUP(C274,C275:C879,1,0)=0,1,0),1)</f>
        <v>1</v>
      </c>
      <c r="AP274" s="79"/>
      <c r="AQ274" s="243" t="str">
        <f t="shared" si="31"/>
        <v/>
      </c>
      <c r="AR274" s="242" t="b">
        <f>IF(AQ274="x",EOMONTH(I274,0))</f>
        <v>0</v>
      </c>
      <c r="AS274" s="79">
        <f t="shared" si="32"/>
        <v>1</v>
      </c>
      <c r="AT274" s="79">
        <f t="shared" si="33"/>
        <v>1</v>
      </c>
      <c r="AU274" s="79" t="str">
        <f t="shared" si="34"/>
        <v>B</v>
      </c>
      <c r="AV274" s="79">
        <f t="shared" si="35"/>
        <v>1</v>
      </c>
      <c r="AW274" s="79" t="str">
        <f>J274&amp;AU274</f>
        <v>4B</v>
      </c>
      <c r="AX274" s="79">
        <f>IF(COUNTIFS(J:J,"Integral",E:E,E274,H:H,"Ativo")=4,1/4,1/10)</f>
        <v>0.1</v>
      </c>
      <c r="AY274" s="79"/>
      <c r="AZ274" s="79"/>
    </row>
    <row r="275" spans="1:52" ht="15.75" customHeight="1">
      <c r="A275" s="54">
        <v>279</v>
      </c>
      <c r="B275" s="399">
        <v>45010</v>
      </c>
      <c r="C275" s="32" t="s">
        <v>964</v>
      </c>
      <c r="D275" s="32" t="s">
        <v>965</v>
      </c>
      <c r="E275" s="32" t="s">
        <v>949</v>
      </c>
      <c r="F275" s="32" t="s">
        <v>966</v>
      </c>
      <c r="G275" s="33" t="s">
        <v>220</v>
      </c>
      <c r="H275" s="33" t="s">
        <v>90</v>
      </c>
      <c r="I275" s="34">
        <v>0</v>
      </c>
      <c r="J275" s="33">
        <v>6</v>
      </c>
      <c r="K275" s="35" t="s">
        <v>413</v>
      </c>
      <c r="L275" s="35" t="s">
        <v>413</v>
      </c>
      <c r="M275" s="67" t="s">
        <v>222</v>
      </c>
      <c r="N275" s="33" t="s">
        <v>68</v>
      </c>
      <c r="O275" s="33" t="s">
        <v>12</v>
      </c>
      <c r="P275" s="33" t="s">
        <v>1</v>
      </c>
      <c r="Q275" s="47"/>
      <c r="R275" s="47"/>
      <c r="S275" s="45" t="s">
        <v>143</v>
      </c>
      <c r="T275" s="45"/>
      <c r="U275" s="51">
        <v>45010</v>
      </c>
      <c r="V275" s="48">
        <f t="shared" si="36"/>
        <v>45010</v>
      </c>
      <c r="W275" s="50">
        <f>V275-U275</f>
        <v>0</v>
      </c>
      <c r="X275" s="261">
        <f>Y275*0.91</f>
        <v>433160</v>
      </c>
      <c r="Y275" s="260">
        <v>476000</v>
      </c>
      <c r="Z275" s="260">
        <v>476000</v>
      </c>
      <c r="AA275" s="35" t="s">
        <v>887</v>
      </c>
      <c r="AB275" s="260"/>
      <c r="AC275" s="44">
        <f>ABS(X275/Y275-1)</f>
        <v>8.9999999999999969E-2</v>
      </c>
      <c r="AD275" s="42">
        <v>1.6899999999999998E-2</v>
      </c>
      <c r="AE275" s="41">
        <f t="shared" si="37"/>
        <v>7.3099999999999971E-2</v>
      </c>
      <c r="AF275" s="43"/>
      <c r="AG275" s="40">
        <f>X275*AE275</f>
        <v>31663.995999999988</v>
      </c>
      <c r="AH275" s="40">
        <f>Y275-Z275</f>
        <v>0</v>
      </c>
      <c r="AI275" s="44"/>
      <c r="AJ275" s="44"/>
      <c r="AK275" s="40">
        <f>AF275*X275</f>
        <v>0</v>
      </c>
      <c r="AL275" s="40">
        <f t="shared" si="38"/>
        <v>0</v>
      </c>
      <c r="AM275" s="242">
        <f t="shared" si="39"/>
        <v>45016</v>
      </c>
      <c r="AN275" s="242" t="str">
        <f>IF(AQ275="x","",IF(AQ275="x",AM275,IF(EOMONTH(I275,0)=31,"",EOMONTH(I275,0))))</f>
        <v/>
      </c>
      <c r="AO275" s="79">
        <f>IFERROR(IF(VLOOKUP(C275,C276:C880,1,0)=0,1,0),1)</f>
        <v>1</v>
      </c>
      <c r="AP275" s="79"/>
      <c r="AQ275" s="243" t="str">
        <f t="shared" si="31"/>
        <v/>
      </c>
      <c r="AR275" s="242" t="b">
        <f>IF(AQ275="x",EOMONTH(I275,0))</f>
        <v>0</v>
      </c>
      <c r="AS275" s="79">
        <f t="shared" si="32"/>
        <v>1</v>
      </c>
      <c r="AT275" s="79">
        <f t="shared" si="33"/>
        <v>1</v>
      </c>
      <c r="AU275" s="79" t="str">
        <f t="shared" si="34"/>
        <v>B</v>
      </c>
      <c r="AV275" s="79">
        <f t="shared" si="35"/>
        <v>1</v>
      </c>
      <c r="AW275" s="79" t="str">
        <f>J275&amp;AU275</f>
        <v>6B</v>
      </c>
      <c r="AX275" s="79">
        <f>IF(COUNTIFS(J:J,"Integral",E:E,E275,H:H,"Ativo")=4,1/4,1/10)</f>
        <v>0.1</v>
      </c>
      <c r="AY275" s="79"/>
      <c r="AZ275" s="79"/>
    </row>
    <row r="276" spans="1:52" ht="15.75" customHeight="1">
      <c r="A276" s="54">
        <v>280</v>
      </c>
      <c r="B276" s="399">
        <v>45013</v>
      </c>
      <c r="C276" s="32" t="s">
        <v>967</v>
      </c>
      <c r="D276" s="32" t="s">
        <v>447</v>
      </c>
      <c r="E276" s="32" t="s">
        <v>448</v>
      </c>
      <c r="F276" s="32" t="s">
        <v>968</v>
      </c>
      <c r="G276" s="33" t="s">
        <v>220</v>
      </c>
      <c r="H276" s="33" t="s">
        <v>244</v>
      </c>
      <c r="I276" s="34">
        <v>45043</v>
      </c>
      <c r="J276" s="33">
        <v>13</v>
      </c>
      <c r="K276" s="35" t="s">
        <v>238</v>
      </c>
      <c r="L276" s="35" t="s">
        <v>238</v>
      </c>
      <c r="M276" s="67" t="s">
        <v>222</v>
      </c>
      <c r="N276" s="33" t="s">
        <v>68</v>
      </c>
      <c r="O276" s="33" t="s">
        <v>12</v>
      </c>
      <c r="P276" s="33" t="s">
        <v>1</v>
      </c>
      <c r="Q276" s="47"/>
      <c r="R276" s="47"/>
      <c r="S276" s="45" t="s">
        <v>222</v>
      </c>
      <c r="T276" s="45"/>
      <c r="U276" s="51">
        <v>45013</v>
      </c>
      <c r="V276" s="48">
        <f t="shared" si="36"/>
        <v>45013</v>
      </c>
      <c r="W276" s="50">
        <f>V276-U276</f>
        <v>0</v>
      </c>
      <c r="X276" s="265">
        <f>Y276*0.91</f>
        <v>770770</v>
      </c>
      <c r="Y276" s="67">
        <v>847000</v>
      </c>
      <c r="Z276" s="67">
        <v>847000</v>
      </c>
      <c r="AA276" s="56" t="s">
        <v>911</v>
      </c>
      <c r="AB276" s="67"/>
      <c r="AC276" s="44">
        <f>ABS(X276/Y276-1)</f>
        <v>8.9999999999999969E-2</v>
      </c>
      <c r="AD276" s="42">
        <v>-0.126</v>
      </c>
      <c r="AE276" s="41">
        <f t="shared" si="37"/>
        <v>0.21599999999999997</v>
      </c>
      <c r="AF276" s="43">
        <v>0</v>
      </c>
      <c r="AG276" s="40">
        <f>X276*AE276</f>
        <v>166486.31999999998</v>
      </c>
      <c r="AH276" s="40">
        <f>X276-Z276</f>
        <v>-76230</v>
      </c>
      <c r="AI276" s="44">
        <f>AH276/X276</f>
        <v>-9.8901098901098897E-2</v>
      </c>
      <c r="AJ276" s="44">
        <f>AI276-AF276</f>
        <v>-9.8901098901098897E-2</v>
      </c>
      <c r="AK276" s="40">
        <f>AF276*X276</f>
        <v>0</v>
      </c>
      <c r="AL276" s="40"/>
      <c r="AM276" s="242">
        <f t="shared" si="39"/>
        <v>45016</v>
      </c>
      <c r="AN276" s="242">
        <f>IF(AQ276="x","",IF(AQ276="x",AM276,IF(EOMONTH(I276,0)=31,"",EOMONTH(I276,0))))</f>
        <v>45046</v>
      </c>
      <c r="AO276" s="79">
        <f>IFERROR(IF(VLOOKUP(C276,C277:C881,1,0)=0,1,0),1)</f>
        <v>1</v>
      </c>
      <c r="AP276" s="79"/>
      <c r="AQ276" s="243" t="str">
        <f t="shared" si="31"/>
        <v/>
      </c>
      <c r="AR276" s="242" t="b">
        <f>IF(AQ276="x",EOMONTH(I276,0))</f>
        <v>0</v>
      </c>
      <c r="AS276" s="79">
        <f t="shared" si="32"/>
        <v>0</v>
      </c>
      <c r="AT276" s="79">
        <f t="shared" si="33"/>
        <v>1</v>
      </c>
      <c r="AU276" s="79" t="str">
        <f t="shared" si="34"/>
        <v>B</v>
      </c>
      <c r="AV276" s="79">
        <f t="shared" si="35"/>
        <v>1</v>
      </c>
      <c r="AW276" s="79" t="str">
        <f>J276&amp;AU276</f>
        <v>13B</v>
      </c>
      <c r="AX276" s="79">
        <f>IF(COUNTIFS(J:J,"Integral",E:E,E276,H:H,"Ativo")=4,1/4,1/10)</f>
        <v>0.1</v>
      </c>
      <c r="AY276" s="79"/>
      <c r="AZ276" s="79"/>
    </row>
    <row r="277" spans="1:52" ht="15.75" customHeight="1">
      <c r="A277" s="54">
        <v>281</v>
      </c>
      <c r="B277" s="399">
        <v>45016</v>
      </c>
      <c r="C277" s="32" t="s">
        <v>969</v>
      </c>
      <c r="D277" s="32" t="s">
        <v>970</v>
      </c>
      <c r="E277" s="32" t="s">
        <v>960</v>
      </c>
      <c r="F277" s="32" t="s">
        <v>971</v>
      </c>
      <c r="G277" s="33" t="s">
        <v>220</v>
      </c>
      <c r="H277" s="33" t="s">
        <v>90</v>
      </c>
      <c r="I277" s="34">
        <v>0</v>
      </c>
      <c r="J277" s="33">
        <v>6</v>
      </c>
      <c r="K277" s="35" t="s">
        <v>289</v>
      </c>
      <c r="L277" s="35" t="s">
        <v>413</v>
      </c>
      <c r="M277" s="67" t="s">
        <v>222</v>
      </c>
      <c r="N277" s="33" t="s">
        <v>68</v>
      </c>
      <c r="O277" s="33" t="s">
        <v>10</v>
      </c>
      <c r="P277" s="33" t="s">
        <v>1</v>
      </c>
      <c r="Q277" s="47"/>
      <c r="R277" s="47"/>
      <c r="S277" s="45" t="s">
        <v>147</v>
      </c>
      <c r="T277" s="45"/>
      <c r="U277" s="46">
        <v>44974</v>
      </c>
      <c r="V277" s="38">
        <f t="shared" si="36"/>
        <v>45016</v>
      </c>
      <c r="W277" s="50">
        <f>V277-U277</f>
        <v>42</v>
      </c>
      <c r="X277" s="261">
        <f>Y277*0.91</f>
        <v>393120</v>
      </c>
      <c r="Y277" s="260">
        <v>432000</v>
      </c>
      <c r="Z277" s="260">
        <v>308500</v>
      </c>
      <c r="AA277" s="56" t="s">
        <v>911</v>
      </c>
      <c r="AB277" s="260"/>
      <c r="AC277" s="44">
        <f>ABS(X277/Y277-1)</f>
        <v>8.9999999999999969E-2</v>
      </c>
      <c r="AD277" s="42">
        <v>8.5999999999999993E-2</v>
      </c>
      <c r="AE277" s="41">
        <f t="shared" si="37"/>
        <v>3.9999999999999758E-3</v>
      </c>
      <c r="AF277" s="43"/>
      <c r="AG277" s="40">
        <f>X277*AE277</f>
        <v>1572.4799999999905</v>
      </c>
      <c r="AH277" s="40">
        <f>Y277-Z277</f>
        <v>123500</v>
      </c>
      <c r="AI277" s="44">
        <f>AH277/X277</f>
        <v>0.31415343915343913</v>
      </c>
      <c r="AJ277" s="44">
        <f>AI277-AF277</f>
        <v>0.31415343915343913</v>
      </c>
      <c r="AK277" s="40">
        <f>AF277*X277</f>
        <v>0</v>
      </c>
      <c r="AL277" s="40">
        <f>AH277-AK277</f>
        <v>123500</v>
      </c>
      <c r="AM277" s="242">
        <f t="shared" si="39"/>
        <v>45016</v>
      </c>
      <c r="AN277" s="242" t="str">
        <f>IF(AQ277="x","",IF(AQ277="x",AM277,IF(EOMONTH(I277,0)=31,"",EOMONTH(I277,0))))</f>
        <v/>
      </c>
      <c r="AO277" s="79">
        <f>IFERROR(IF(VLOOKUP(C277,C278:C882,1,0)=0,1,0),1)</f>
        <v>1</v>
      </c>
      <c r="AP277" s="79"/>
      <c r="AQ277" s="243" t="str">
        <f t="shared" si="31"/>
        <v/>
      </c>
      <c r="AR277" s="242" t="b">
        <f>IF(AQ277="x",EOMONTH(I277,0))</f>
        <v>0</v>
      </c>
      <c r="AS277" s="79">
        <f t="shared" si="32"/>
        <v>1</v>
      </c>
      <c r="AT277" s="79">
        <f t="shared" si="33"/>
        <v>1</v>
      </c>
      <c r="AU277" s="79" t="str">
        <f t="shared" si="34"/>
        <v>B</v>
      </c>
      <c r="AV277" s="79">
        <f t="shared" si="35"/>
        <v>1</v>
      </c>
      <c r="AW277" s="79" t="str">
        <f>J277&amp;AU277</f>
        <v>6B</v>
      </c>
      <c r="AX277" s="79">
        <f>IF(COUNTIFS(J:J,"Integral",E:E,E277,H:H,"Ativo")=4,1/4,1/10)</f>
        <v>0.1</v>
      </c>
      <c r="AY277" s="79"/>
      <c r="AZ277" s="79"/>
    </row>
    <row r="278" spans="1:52" ht="15.75" customHeight="1">
      <c r="A278" s="54">
        <v>282</v>
      </c>
      <c r="B278" s="399">
        <v>45016</v>
      </c>
      <c r="C278" s="32" t="s">
        <v>972</v>
      </c>
      <c r="D278" s="32" t="s">
        <v>375</v>
      </c>
      <c r="E278" s="32" t="s">
        <v>376</v>
      </c>
      <c r="F278" s="32" t="s">
        <v>973</v>
      </c>
      <c r="G278" s="33" t="s">
        <v>220</v>
      </c>
      <c r="H278" s="33" t="s">
        <v>244</v>
      </c>
      <c r="I278" s="53">
        <v>45195</v>
      </c>
      <c r="J278" s="33">
        <v>13</v>
      </c>
      <c r="K278" s="35" t="s">
        <v>378</v>
      </c>
      <c r="L278" s="35" t="s">
        <v>600</v>
      </c>
      <c r="M278" s="67" t="s">
        <v>222</v>
      </c>
      <c r="N278" s="33" t="s">
        <v>68</v>
      </c>
      <c r="O278" s="33" t="s">
        <v>12</v>
      </c>
      <c r="P278" s="33" t="s">
        <v>1</v>
      </c>
      <c r="Q278" s="47"/>
      <c r="R278" s="47"/>
      <c r="S278" s="45" t="s">
        <v>143</v>
      </c>
      <c r="T278" s="45"/>
      <c r="U278" s="51">
        <v>44988</v>
      </c>
      <c r="V278" s="48">
        <f t="shared" si="36"/>
        <v>45016</v>
      </c>
      <c r="W278" s="50">
        <f>V278-U278</f>
        <v>28</v>
      </c>
      <c r="X278" s="265">
        <f>Y278*0.91</f>
        <v>1126580</v>
      </c>
      <c r="Y278" s="67">
        <v>1238000</v>
      </c>
      <c r="Z278" s="67">
        <v>1246720</v>
      </c>
      <c r="AA278" s="35">
        <v>0</v>
      </c>
      <c r="AB278" s="67"/>
      <c r="AC278" s="44">
        <f>ABS(X278/Y278-1)</f>
        <v>8.9999999999999969E-2</v>
      </c>
      <c r="AD278" s="42">
        <v>2.98E-2</v>
      </c>
      <c r="AE278" s="41">
        <f t="shared" si="37"/>
        <v>6.0199999999999969E-2</v>
      </c>
      <c r="AF278" s="43"/>
      <c r="AG278" s="40">
        <f>X278*AE278</f>
        <v>67820.115999999965</v>
      </c>
      <c r="AH278" s="40"/>
      <c r="AI278" s="44"/>
      <c r="AJ278" s="44"/>
      <c r="AK278" s="40">
        <f>AF278*X278</f>
        <v>0</v>
      </c>
      <c r="AL278" s="40">
        <f>AH278-AK278</f>
        <v>0</v>
      </c>
      <c r="AM278" s="242">
        <f t="shared" si="39"/>
        <v>45016</v>
      </c>
      <c r="AN278" s="242">
        <f>IF(AQ278="x","",IF(AQ278="x",AM278,IF(EOMONTH(I278,0)=31,"",EOMONTH(I278,0))))</f>
        <v>45199</v>
      </c>
      <c r="AO278" s="79">
        <f>IFERROR(IF(VLOOKUP(C278,C279:C883,1,0)=0,1,0),1)</f>
        <v>1</v>
      </c>
      <c r="AP278" s="79"/>
      <c r="AQ278" s="243" t="str">
        <f t="shared" si="31"/>
        <v/>
      </c>
      <c r="AR278" s="242" t="b">
        <f>IF(AQ278="x",EOMONTH(I278,0))</f>
        <v>0</v>
      </c>
      <c r="AS278" s="79">
        <f t="shared" si="32"/>
        <v>1</v>
      </c>
      <c r="AT278" s="79">
        <f t="shared" si="33"/>
        <v>1</v>
      </c>
      <c r="AU278" s="79" t="str">
        <f t="shared" si="34"/>
        <v>A</v>
      </c>
      <c r="AV278" s="79">
        <f t="shared" si="35"/>
        <v>1</v>
      </c>
      <c r="AW278" s="79" t="str">
        <f>J278&amp;AU278</f>
        <v>13A</v>
      </c>
      <c r="AX278" s="79">
        <f>IF(COUNTIFS(J:J,"Integral",E:E,E278,H:H,"Ativo")=4,1/4,1/10)</f>
        <v>0.1</v>
      </c>
      <c r="AY278" s="79"/>
      <c r="AZ278" s="79"/>
    </row>
    <row r="279" spans="1:52" ht="15.75" customHeight="1">
      <c r="A279" s="54">
        <v>283</v>
      </c>
      <c r="B279" s="400">
        <v>45047</v>
      </c>
      <c r="C279" s="32" t="s">
        <v>974</v>
      </c>
      <c r="D279" s="32" t="s">
        <v>975</v>
      </c>
      <c r="E279" s="32" t="s">
        <v>283</v>
      </c>
      <c r="F279" s="32" t="s">
        <v>976</v>
      </c>
      <c r="G279" s="57" t="s">
        <v>243</v>
      </c>
      <c r="H279" s="33" t="s">
        <v>244</v>
      </c>
      <c r="I279" s="34">
        <v>45054</v>
      </c>
      <c r="J279" s="33">
        <v>6</v>
      </c>
      <c r="K279" s="35" t="s">
        <v>977</v>
      </c>
      <c r="L279" s="35" t="s">
        <v>333</v>
      </c>
      <c r="M279" s="67" t="s">
        <v>222</v>
      </c>
      <c r="N279" s="33" t="s">
        <v>68</v>
      </c>
      <c r="O279" s="33" t="s">
        <v>12</v>
      </c>
      <c r="P279" s="33" t="s">
        <v>1</v>
      </c>
      <c r="Q279" s="47"/>
      <c r="R279" s="47"/>
      <c r="S279" s="45" t="s">
        <v>222</v>
      </c>
      <c r="T279" s="45"/>
      <c r="U279" s="51">
        <v>45021</v>
      </c>
      <c r="V279" s="48">
        <f t="shared" si="36"/>
        <v>45047</v>
      </c>
      <c r="W279" s="50">
        <f>V279-U279</f>
        <v>26</v>
      </c>
      <c r="X279" s="265">
        <f>Y279*0.91</f>
        <v>441350</v>
      </c>
      <c r="Y279" s="67">
        <v>485000</v>
      </c>
      <c r="Z279" s="67">
        <v>483150</v>
      </c>
      <c r="AA279" s="35" t="s">
        <v>846</v>
      </c>
      <c r="AB279" s="67"/>
      <c r="AC279" s="44">
        <f>ABS(X279/Y279-1)</f>
        <v>8.9999999999999969E-2</v>
      </c>
      <c r="AD279" s="42">
        <v>2.2000000000000001E-3</v>
      </c>
      <c r="AE279" s="41">
        <f t="shared" si="37"/>
        <v>8.7799999999999975E-2</v>
      </c>
      <c r="AF279" s="43">
        <v>0</v>
      </c>
      <c r="AG279" s="40">
        <f>X279*AE279</f>
        <v>38750.529999999992</v>
      </c>
      <c r="AH279" s="40">
        <f>X279-Z279</f>
        <v>-41800</v>
      </c>
      <c r="AI279" s="44">
        <f>AH279/X279</f>
        <v>-9.470941429704316E-2</v>
      </c>
      <c r="AJ279" s="44">
        <f t="shared" ref="AJ279:AJ292" si="42">AI279-AF279</f>
        <v>-9.470941429704316E-2</v>
      </c>
      <c r="AK279" s="40">
        <f>AF279*X279</f>
        <v>0</v>
      </c>
      <c r="AL279" s="40"/>
      <c r="AM279" s="242">
        <f t="shared" si="39"/>
        <v>45077</v>
      </c>
      <c r="AN279" s="242" t="str">
        <f>IF(AQ279="x","",IF(AQ279="x",AM279,IF(EOMONTH(I279,0)=31,"",EOMONTH(I279,0))))</f>
        <v/>
      </c>
      <c r="AO279" s="79">
        <f>IFERROR(IF(VLOOKUP(C279,C280:C884,1,0)=0,1,0),1)</f>
        <v>1</v>
      </c>
      <c r="AP279" s="79"/>
      <c r="AQ279" s="243" t="str">
        <f t="shared" si="31"/>
        <v>x</v>
      </c>
      <c r="AR279" s="242">
        <f>IF(AQ279="x",EOMONTH(I279,0))</f>
        <v>45077</v>
      </c>
      <c r="AS279" s="79">
        <f t="shared" si="32"/>
        <v>0</v>
      </c>
      <c r="AT279" s="79">
        <f t="shared" si="33"/>
        <v>1</v>
      </c>
      <c r="AU279" s="79" t="str">
        <f t="shared" si="34"/>
        <v>B</v>
      </c>
      <c r="AV279" s="79">
        <f t="shared" si="35"/>
        <v>1</v>
      </c>
      <c r="AW279" s="79" t="str">
        <f>J279&amp;AU279</f>
        <v>6B</v>
      </c>
      <c r="AX279" s="79">
        <f>IF(COUNTIFS(J:J,"Integral",E:E,E279,H:H,"Ativo")=4,1/4,1/10)</f>
        <v>0.1</v>
      </c>
      <c r="AY279" s="79"/>
      <c r="AZ279" s="79"/>
    </row>
    <row r="280" spans="1:52" ht="15.75" customHeight="1">
      <c r="A280" s="54">
        <v>284</v>
      </c>
      <c r="B280" s="399">
        <v>45023</v>
      </c>
      <c r="C280" s="32" t="s">
        <v>978</v>
      </c>
      <c r="D280" s="32" t="s">
        <v>979</v>
      </c>
      <c r="E280" s="32" t="s">
        <v>283</v>
      </c>
      <c r="F280" s="32" t="s">
        <v>980</v>
      </c>
      <c r="G280" s="33" t="s">
        <v>220</v>
      </c>
      <c r="H280" s="33" t="s">
        <v>337</v>
      </c>
      <c r="I280" s="34">
        <v>45472</v>
      </c>
      <c r="J280" s="33">
        <v>6</v>
      </c>
      <c r="K280" s="35" t="s">
        <v>981</v>
      </c>
      <c r="L280" s="35" t="s">
        <v>981</v>
      </c>
      <c r="M280" s="67" t="s">
        <v>222</v>
      </c>
      <c r="N280" s="33" t="s">
        <v>68</v>
      </c>
      <c r="O280" s="33" t="s">
        <v>11</v>
      </c>
      <c r="P280" s="33" t="s">
        <v>86</v>
      </c>
      <c r="Q280" s="47"/>
      <c r="R280" s="47"/>
      <c r="S280" s="45" t="s">
        <v>147</v>
      </c>
      <c r="T280" s="45"/>
      <c r="U280" s="46">
        <v>45023</v>
      </c>
      <c r="V280" s="38">
        <f t="shared" si="36"/>
        <v>45023</v>
      </c>
      <c r="W280" s="50">
        <f>V280-U280</f>
        <v>0</v>
      </c>
      <c r="X280" s="261">
        <f>Y280*0.91</f>
        <v>441350</v>
      </c>
      <c r="Y280" s="260">
        <v>485000</v>
      </c>
      <c r="Z280" s="260">
        <v>390000</v>
      </c>
      <c r="AA280" s="35">
        <v>0</v>
      </c>
      <c r="AB280" s="260"/>
      <c r="AC280" s="44">
        <f>ABS(X280/Y280-1)</f>
        <v>8.9999999999999969E-2</v>
      </c>
      <c r="AD280" s="42">
        <v>0.11700000000000001</v>
      </c>
      <c r="AE280" s="41">
        <f t="shared" si="37"/>
        <v>-2.7000000000000038E-2</v>
      </c>
      <c r="AF280" s="43">
        <v>2.7E-2</v>
      </c>
      <c r="AG280" s="40">
        <f>IF((X280*AE280)&lt;0,0,(X280*AE280))</f>
        <v>0</v>
      </c>
      <c r="AH280" s="40">
        <f t="shared" ref="AH280:AH292" si="43">Y280-Z280</f>
        <v>95000</v>
      </c>
      <c r="AI280" s="44">
        <f>AH280/X280</f>
        <v>0.21524866885691629</v>
      </c>
      <c r="AJ280" s="44">
        <f t="shared" si="42"/>
        <v>0.1882486688569163</v>
      </c>
      <c r="AK280" s="40">
        <f>AF280*X280</f>
        <v>11916.45</v>
      </c>
      <c r="AL280" s="40">
        <f t="shared" ref="AL280:AL310" si="44">AH280-AK280</f>
        <v>83083.55</v>
      </c>
      <c r="AM280" s="242">
        <f t="shared" si="39"/>
        <v>45046</v>
      </c>
      <c r="AN280" s="242">
        <f>IF(AQ280="x","",IF(AQ280="x",AM280,IF(EOMONTH(I280,0)=31,"",EOMONTH(I280,0))))</f>
        <v>45473</v>
      </c>
      <c r="AO280" s="79">
        <f>IFERROR(IF(VLOOKUP(C280,C281:C884,1,0)=0,1,0),1)</f>
        <v>0</v>
      </c>
      <c r="AP280" s="79"/>
      <c r="AQ280" s="243" t="str">
        <f t="shared" si="31"/>
        <v/>
      </c>
      <c r="AR280" s="242" t="b">
        <f>IF(AQ280="x",EOMONTH(I280,0))</f>
        <v>0</v>
      </c>
      <c r="AS280" s="79">
        <f t="shared" si="32"/>
        <v>1</v>
      </c>
      <c r="AT280" s="79">
        <f t="shared" si="33"/>
        <v>1</v>
      </c>
      <c r="AU280" s="79" t="str">
        <f t="shared" si="34"/>
        <v>B</v>
      </c>
      <c r="AV280" s="79">
        <f t="shared" si="35"/>
        <v>1</v>
      </c>
      <c r="AW280" s="79" t="str">
        <f>J280&amp;AU280</f>
        <v>6B</v>
      </c>
      <c r="AX280" s="79">
        <f>IF(COUNTIFS(J:J,"Integral",E:E,E280,H:H,"Ativo")=4,1/4,1/10)</f>
        <v>0.1</v>
      </c>
      <c r="AY280" s="79"/>
      <c r="AZ280" s="79"/>
    </row>
    <row r="281" spans="1:52" ht="15.75" customHeight="1">
      <c r="A281" s="54">
        <v>285</v>
      </c>
      <c r="B281" s="399">
        <v>45025</v>
      </c>
      <c r="C281" s="32" t="s">
        <v>982</v>
      </c>
      <c r="D281" s="32" t="s">
        <v>983</v>
      </c>
      <c r="E281" s="32" t="s">
        <v>984</v>
      </c>
      <c r="F281" s="32" t="s">
        <v>985</v>
      </c>
      <c r="G281" s="33" t="s">
        <v>220</v>
      </c>
      <c r="H281" s="33" t="s">
        <v>90</v>
      </c>
      <c r="I281" s="34">
        <v>0</v>
      </c>
      <c r="J281" s="33">
        <v>6</v>
      </c>
      <c r="K281" s="35" t="s">
        <v>981</v>
      </c>
      <c r="L281" s="35" t="s">
        <v>981</v>
      </c>
      <c r="M281" s="67" t="s">
        <v>222</v>
      </c>
      <c r="N281" s="33" t="s">
        <v>68</v>
      </c>
      <c r="O281" s="33" t="s">
        <v>10</v>
      </c>
      <c r="P281" s="33" t="s">
        <v>1</v>
      </c>
      <c r="Q281" s="47"/>
      <c r="R281" s="47"/>
      <c r="S281" s="45" t="s">
        <v>160</v>
      </c>
      <c r="T281" s="45"/>
      <c r="U281" s="46">
        <v>45025</v>
      </c>
      <c r="V281" s="38">
        <f t="shared" si="36"/>
        <v>45025</v>
      </c>
      <c r="W281" s="50">
        <f>V281-U281</f>
        <v>0</v>
      </c>
      <c r="X281" s="261">
        <f>Y281*0.91</f>
        <v>343980</v>
      </c>
      <c r="Y281" s="260">
        <v>378000</v>
      </c>
      <c r="Z281" s="260">
        <v>298000</v>
      </c>
      <c r="AA281" s="35" t="s">
        <v>846</v>
      </c>
      <c r="AB281" s="260"/>
      <c r="AC281" s="44">
        <f>ABS(X281/Y281-1)</f>
        <v>8.9999999999999969E-2</v>
      </c>
      <c r="AD281" s="42">
        <v>3.0999999999999999E-3</v>
      </c>
      <c r="AE281" s="41">
        <f t="shared" si="37"/>
        <v>8.6899999999999963E-2</v>
      </c>
      <c r="AF281" s="43"/>
      <c r="AG281" s="40">
        <f>X281*AE281</f>
        <v>29891.861999999986</v>
      </c>
      <c r="AH281" s="40">
        <f t="shared" si="43"/>
        <v>80000</v>
      </c>
      <c r="AI281" s="44">
        <f>AH281/X281</f>
        <v>0.23257166114308972</v>
      </c>
      <c r="AJ281" s="44">
        <f t="shared" si="42"/>
        <v>0.23257166114308972</v>
      </c>
      <c r="AK281" s="40">
        <f>AF281*X281</f>
        <v>0</v>
      </c>
      <c r="AL281" s="40">
        <f t="shared" si="44"/>
        <v>80000</v>
      </c>
      <c r="AM281" s="242">
        <f t="shared" si="39"/>
        <v>45046</v>
      </c>
      <c r="AN281" s="242" t="str">
        <f>IF(AQ281="x","",IF(AQ281="x",AM281,IF(EOMONTH(I281,0)=31,"",EOMONTH(I281,0))))</f>
        <v/>
      </c>
      <c r="AO281" s="79">
        <f>IFERROR(IF(VLOOKUP(C281,C282:C885,1,0)=0,1,0),1)</f>
        <v>1</v>
      </c>
      <c r="AP281" s="79"/>
      <c r="AQ281" s="243" t="str">
        <f t="shared" si="31"/>
        <v/>
      </c>
      <c r="AR281" s="242" t="b">
        <f>IF(AQ281="x",EOMONTH(I281,0))</f>
        <v>0</v>
      </c>
      <c r="AS281" s="79">
        <f t="shared" si="32"/>
        <v>1</v>
      </c>
      <c r="AT281" s="79">
        <f t="shared" si="33"/>
        <v>1</v>
      </c>
      <c r="AU281" s="79" t="str">
        <f t="shared" si="34"/>
        <v>B</v>
      </c>
      <c r="AV281" s="79">
        <f t="shared" si="35"/>
        <v>1</v>
      </c>
      <c r="AW281" s="79" t="str">
        <f>J281&amp;AU281</f>
        <v>6B</v>
      </c>
      <c r="AX281" s="79">
        <f>IF(COUNTIFS(J:J,"Integral",E:E,E281,H:H,"Ativo")=4,1/4,1/10)</f>
        <v>0.1</v>
      </c>
      <c r="AY281" s="79"/>
      <c r="AZ281" s="79"/>
    </row>
    <row r="282" spans="1:52" ht="15.75" customHeight="1">
      <c r="A282" s="54">
        <v>286</v>
      </c>
      <c r="B282" s="399">
        <v>45031</v>
      </c>
      <c r="C282" s="32" t="s">
        <v>986</v>
      </c>
      <c r="D282" s="32" t="s">
        <v>987</v>
      </c>
      <c r="E282" s="32" t="s">
        <v>988</v>
      </c>
      <c r="F282" s="32" t="s">
        <v>989</v>
      </c>
      <c r="G282" s="33" t="s">
        <v>220</v>
      </c>
      <c r="H282" s="33" t="s">
        <v>244</v>
      </c>
      <c r="I282" s="58">
        <v>45257</v>
      </c>
      <c r="J282" s="33" t="s">
        <v>6</v>
      </c>
      <c r="K282" s="35" t="s">
        <v>853</v>
      </c>
      <c r="L282" s="35" t="s">
        <v>421</v>
      </c>
      <c r="M282" s="67" t="s">
        <v>222</v>
      </c>
      <c r="N282" s="33" t="s">
        <v>68</v>
      </c>
      <c r="O282" s="33" t="s">
        <v>12</v>
      </c>
      <c r="P282" s="33" t="s">
        <v>83</v>
      </c>
      <c r="Q282" s="47"/>
      <c r="R282" s="47"/>
      <c r="S282" s="45" t="s">
        <v>143</v>
      </c>
      <c r="T282" s="45"/>
      <c r="U282" s="51">
        <v>45030</v>
      </c>
      <c r="V282" s="48">
        <f t="shared" si="36"/>
        <v>45031</v>
      </c>
      <c r="W282" s="50">
        <f>V282-U282</f>
        <v>1</v>
      </c>
      <c r="X282" s="265">
        <f>Y282*0.91</f>
        <v>722312.5</v>
      </c>
      <c r="Y282" s="67">
        <v>793750</v>
      </c>
      <c r="Z282" s="67">
        <v>745500</v>
      </c>
      <c r="AA282" s="35" t="s">
        <v>846</v>
      </c>
      <c r="AB282" s="67"/>
      <c r="AC282" s="44">
        <f>ABS(X282/Y282-1)</f>
        <v>8.9999999999999969E-2</v>
      </c>
      <c r="AD282" s="42">
        <v>0.1061</v>
      </c>
      <c r="AE282" s="41">
        <f t="shared" si="37"/>
        <v>-1.6100000000000031E-2</v>
      </c>
      <c r="AF282" s="43">
        <v>1.61E-2</v>
      </c>
      <c r="AG282" s="40">
        <f>IF((X282*AE282)&lt;0,0,(X282*AE282))</f>
        <v>0</v>
      </c>
      <c r="AH282" s="40">
        <f t="shared" si="43"/>
        <v>48250</v>
      </c>
      <c r="AI282" s="44">
        <f>AH282/X282</f>
        <v>6.6799342389893573E-2</v>
      </c>
      <c r="AJ282" s="44">
        <f t="shared" si="42"/>
        <v>5.069934238989357E-2</v>
      </c>
      <c r="AK282" s="40">
        <f>AF282*X282</f>
        <v>11629.231249999999</v>
      </c>
      <c r="AL282" s="40">
        <f t="shared" si="44"/>
        <v>36620.768750000003</v>
      </c>
      <c r="AM282" s="242">
        <f t="shared" si="39"/>
        <v>45046</v>
      </c>
      <c r="AN282" s="242">
        <f>IF(AQ282="x","",IF(AQ282="x",AM282,IF(EOMONTH(I282,0)=31,"",EOMONTH(I282,0))))</f>
        <v>45260</v>
      </c>
      <c r="AO282" s="79">
        <f>IFERROR(IF(VLOOKUP(C282,C283:C886,1,0)=0,1,0),1)</f>
        <v>0</v>
      </c>
      <c r="AP282" s="79"/>
      <c r="AQ282" s="243" t="str">
        <f t="shared" si="31"/>
        <v/>
      </c>
      <c r="AR282" s="242" t="b">
        <f>IF(AQ282="x",EOMONTH(I282,0))</f>
        <v>0</v>
      </c>
      <c r="AS282" s="79">
        <f t="shared" si="32"/>
        <v>1</v>
      </c>
      <c r="AT282" s="79">
        <f t="shared" si="33"/>
        <v>1</v>
      </c>
      <c r="AU282" s="79" t="str">
        <f t="shared" si="34"/>
        <v>B</v>
      </c>
      <c r="AV282" s="79">
        <f t="shared" si="35"/>
        <v>1</v>
      </c>
      <c r="AW282" s="79" t="str">
        <f>J282&amp;AU282</f>
        <v>IntegralB</v>
      </c>
      <c r="AX282" s="79">
        <f>IF(COUNTIFS(J:J,"Integral",E:E,E282,H:H,"Ativo")=4,1/4,1/10)</f>
        <v>0.25</v>
      </c>
      <c r="AY282" s="79"/>
      <c r="AZ282" s="79"/>
    </row>
    <row r="283" spans="1:52" ht="15.75" customHeight="1">
      <c r="A283" s="54">
        <v>287</v>
      </c>
      <c r="B283" s="399">
        <v>45031</v>
      </c>
      <c r="C283" s="32" t="s">
        <v>986</v>
      </c>
      <c r="D283" s="32" t="s">
        <v>990</v>
      </c>
      <c r="E283" s="32" t="s">
        <v>988</v>
      </c>
      <c r="F283" s="32" t="s">
        <v>991</v>
      </c>
      <c r="G283" s="33" t="s">
        <v>220</v>
      </c>
      <c r="H283" s="33" t="s">
        <v>244</v>
      </c>
      <c r="I283" s="58">
        <v>45257</v>
      </c>
      <c r="J283" s="33" t="s">
        <v>6</v>
      </c>
      <c r="K283" s="35" t="s">
        <v>853</v>
      </c>
      <c r="L283" s="35" t="s">
        <v>421</v>
      </c>
      <c r="M283" s="67" t="s">
        <v>222</v>
      </c>
      <c r="N283" s="33" t="s">
        <v>68</v>
      </c>
      <c r="O283" s="33" t="s">
        <v>12</v>
      </c>
      <c r="P283" s="33" t="s">
        <v>83</v>
      </c>
      <c r="Q283" s="47"/>
      <c r="R283" s="47"/>
      <c r="S283" s="45" t="s">
        <v>143</v>
      </c>
      <c r="T283" s="45"/>
      <c r="U283" s="51">
        <v>45030</v>
      </c>
      <c r="V283" s="48">
        <f t="shared" si="36"/>
        <v>45031</v>
      </c>
      <c r="W283" s="50">
        <f>V283-U283</f>
        <v>1</v>
      </c>
      <c r="X283" s="265">
        <f>Y283*0.91</f>
        <v>722312.5</v>
      </c>
      <c r="Y283" s="67">
        <v>793750</v>
      </c>
      <c r="Z283" s="67">
        <v>745500</v>
      </c>
      <c r="AA283" s="35" t="s">
        <v>846</v>
      </c>
      <c r="AB283" s="67"/>
      <c r="AC283" s="44">
        <f>ABS(X283/Y283-1)</f>
        <v>8.9999999999999969E-2</v>
      </c>
      <c r="AD283" s="42">
        <v>0.1061</v>
      </c>
      <c r="AE283" s="41">
        <f t="shared" si="37"/>
        <v>-1.6100000000000031E-2</v>
      </c>
      <c r="AF283" s="43">
        <v>1.61E-2</v>
      </c>
      <c r="AG283" s="40">
        <f>IF((X283*AE283)&lt;0,0,(X283*AE283))</f>
        <v>0</v>
      </c>
      <c r="AH283" s="40">
        <f t="shared" si="43"/>
        <v>48250</v>
      </c>
      <c r="AI283" s="44">
        <f>AH283/X283</f>
        <v>6.6799342389893573E-2</v>
      </c>
      <c r="AJ283" s="44">
        <f t="shared" si="42"/>
        <v>5.069934238989357E-2</v>
      </c>
      <c r="AK283" s="40">
        <f>AF283*X283</f>
        <v>11629.231249999999</v>
      </c>
      <c r="AL283" s="40">
        <f t="shared" si="44"/>
        <v>36620.768750000003</v>
      </c>
      <c r="AM283" s="242">
        <f t="shared" si="39"/>
        <v>45046</v>
      </c>
      <c r="AN283" s="242">
        <f>IF(AQ283="x","",IF(AQ283="x",AM283,IF(EOMONTH(I283,0)=31,"",EOMONTH(I283,0))))</f>
        <v>45260</v>
      </c>
      <c r="AO283" s="79">
        <f>IFERROR(IF(VLOOKUP(C283,C284:C887,1,0)=0,1,0),1)</f>
        <v>0</v>
      </c>
      <c r="AP283" s="79"/>
      <c r="AQ283" s="243" t="str">
        <f t="shared" si="31"/>
        <v/>
      </c>
      <c r="AR283" s="242" t="b">
        <f>IF(AQ283="x",EOMONTH(I283,0))</f>
        <v>0</v>
      </c>
      <c r="AS283" s="79">
        <f t="shared" si="32"/>
        <v>1</v>
      </c>
      <c r="AT283" s="79">
        <f t="shared" si="33"/>
        <v>1</v>
      </c>
      <c r="AU283" s="79" t="str">
        <f t="shared" si="34"/>
        <v>B</v>
      </c>
      <c r="AV283" s="79">
        <f t="shared" si="35"/>
        <v>1</v>
      </c>
      <c r="AW283" s="79" t="str">
        <f>J283&amp;AU283</f>
        <v>IntegralB</v>
      </c>
      <c r="AX283" s="79">
        <f>IF(COUNTIFS(J:J,"Integral",E:E,E283,H:H,"Ativo")=4,1/4,1/10)</f>
        <v>0.25</v>
      </c>
      <c r="AY283" s="79"/>
      <c r="AZ283" s="79"/>
    </row>
    <row r="284" spans="1:52" ht="15.75" customHeight="1">
      <c r="A284" s="54">
        <v>288</v>
      </c>
      <c r="B284" s="399">
        <v>45031</v>
      </c>
      <c r="C284" s="32" t="s">
        <v>986</v>
      </c>
      <c r="D284" s="32" t="s">
        <v>992</v>
      </c>
      <c r="E284" s="32" t="s">
        <v>988</v>
      </c>
      <c r="F284" s="32" t="s">
        <v>993</v>
      </c>
      <c r="G284" s="33" t="s">
        <v>220</v>
      </c>
      <c r="H284" s="33" t="s">
        <v>244</v>
      </c>
      <c r="I284" s="58">
        <v>45257</v>
      </c>
      <c r="J284" s="33" t="s">
        <v>6</v>
      </c>
      <c r="K284" s="35" t="s">
        <v>853</v>
      </c>
      <c r="L284" s="35" t="s">
        <v>421</v>
      </c>
      <c r="M284" s="67" t="s">
        <v>222</v>
      </c>
      <c r="N284" s="33" t="s">
        <v>68</v>
      </c>
      <c r="O284" s="33" t="s">
        <v>12</v>
      </c>
      <c r="P284" s="33" t="s">
        <v>83</v>
      </c>
      <c r="Q284" s="47"/>
      <c r="R284" s="47"/>
      <c r="S284" s="45" t="s">
        <v>143</v>
      </c>
      <c r="T284" s="45"/>
      <c r="U284" s="51">
        <v>45030</v>
      </c>
      <c r="V284" s="48">
        <f t="shared" si="36"/>
        <v>45031</v>
      </c>
      <c r="W284" s="50">
        <f>V284-U284</f>
        <v>1</v>
      </c>
      <c r="X284" s="265">
        <f>Y284*0.91</f>
        <v>722312.5</v>
      </c>
      <c r="Y284" s="67">
        <v>793750</v>
      </c>
      <c r="Z284" s="67">
        <v>745500</v>
      </c>
      <c r="AA284" s="35" t="s">
        <v>846</v>
      </c>
      <c r="AB284" s="67"/>
      <c r="AC284" s="44">
        <f>ABS(X284/Y284-1)</f>
        <v>8.9999999999999969E-2</v>
      </c>
      <c r="AD284" s="42">
        <v>0.1061</v>
      </c>
      <c r="AE284" s="41">
        <f t="shared" si="37"/>
        <v>-1.6100000000000031E-2</v>
      </c>
      <c r="AF284" s="43">
        <v>1.61E-2</v>
      </c>
      <c r="AG284" s="40">
        <f>IF((X284*AE284)&lt;0,0,(X284*AE284))</f>
        <v>0</v>
      </c>
      <c r="AH284" s="40">
        <f t="shared" si="43"/>
        <v>48250</v>
      </c>
      <c r="AI284" s="44">
        <f>AH284/X284</f>
        <v>6.6799342389893573E-2</v>
      </c>
      <c r="AJ284" s="44">
        <f t="shared" si="42"/>
        <v>5.069934238989357E-2</v>
      </c>
      <c r="AK284" s="40">
        <f>AF284*X284</f>
        <v>11629.231249999999</v>
      </c>
      <c r="AL284" s="40">
        <f t="shared" si="44"/>
        <v>36620.768750000003</v>
      </c>
      <c r="AM284" s="242">
        <f t="shared" si="39"/>
        <v>45046</v>
      </c>
      <c r="AN284" s="242">
        <f>IF(AQ284="x","",IF(AQ284="x",AM284,IF(EOMONTH(I284,0)=31,"",EOMONTH(I284,0))))</f>
        <v>45260</v>
      </c>
      <c r="AO284" s="79">
        <f>IFERROR(IF(VLOOKUP(C284,C285:C888,1,0)=0,1,0),1)</f>
        <v>0</v>
      </c>
      <c r="AP284" s="79"/>
      <c r="AQ284" s="243" t="str">
        <f t="shared" si="31"/>
        <v/>
      </c>
      <c r="AR284" s="242" t="b">
        <f>IF(AQ284="x",EOMONTH(I284,0))</f>
        <v>0</v>
      </c>
      <c r="AS284" s="79">
        <f t="shared" si="32"/>
        <v>1</v>
      </c>
      <c r="AT284" s="79">
        <f t="shared" si="33"/>
        <v>1</v>
      </c>
      <c r="AU284" s="79" t="str">
        <f t="shared" si="34"/>
        <v>B</v>
      </c>
      <c r="AV284" s="79">
        <f t="shared" si="35"/>
        <v>1</v>
      </c>
      <c r="AW284" s="79" t="str">
        <f>J284&amp;AU284</f>
        <v>IntegralB</v>
      </c>
      <c r="AX284" s="79">
        <f>IF(COUNTIFS(J:J,"Integral",E:E,E284,H:H,"Ativo")=4,1/4,1/10)</f>
        <v>0.25</v>
      </c>
      <c r="AY284" s="79"/>
      <c r="AZ284" s="79"/>
    </row>
    <row r="285" spans="1:52" ht="15.75" customHeight="1">
      <c r="A285" s="54">
        <v>289</v>
      </c>
      <c r="B285" s="399">
        <v>45031</v>
      </c>
      <c r="C285" s="32" t="s">
        <v>986</v>
      </c>
      <c r="D285" s="32" t="s">
        <v>994</v>
      </c>
      <c r="E285" s="32" t="s">
        <v>988</v>
      </c>
      <c r="F285" s="32" t="s">
        <v>995</v>
      </c>
      <c r="G285" s="33" t="s">
        <v>220</v>
      </c>
      <c r="H285" s="33" t="s">
        <v>244</v>
      </c>
      <c r="I285" s="58">
        <v>45257</v>
      </c>
      <c r="J285" s="33" t="s">
        <v>6</v>
      </c>
      <c r="K285" s="35" t="s">
        <v>853</v>
      </c>
      <c r="L285" s="35" t="s">
        <v>421</v>
      </c>
      <c r="M285" s="67" t="s">
        <v>222</v>
      </c>
      <c r="N285" s="33" t="s">
        <v>68</v>
      </c>
      <c r="O285" s="33" t="s">
        <v>12</v>
      </c>
      <c r="P285" s="33" t="s">
        <v>83</v>
      </c>
      <c r="Q285" s="47"/>
      <c r="R285" s="47"/>
      <c r="S285" s="45" t="s">
        <v>143</v>
      </c>
      <c r="T285" s="45"/>
      <c r="U285" s="51">
        <v>45030</v>
      </c>
      <c r="V285" s="48">
        <f t="shared" si="36"/>
        <v>45031</v>
      </c>
      <c r="W285" s="50">
        <f>V285-U285</f>
        <v>1</v>
      </c>
      <c r="X285" s="265">
        <f>Y285*0.91</f>
        <v>722312.5</v>
      </c>
      <c r="Y285" s="67">
        <v>793750</v>
      </c>
      <c r="Z285" s="67">
        <v>745500</v>
      </c>
      <c r="AA285" s="35" t="s">
        <v>846</v>
      </c>
      <c r="AB285" s="67"/>
      <c r="AC285" s="44">
        <f>ABS(X285/Y285-1)</f>
        <v>8.9999999999999969E-2</v>
      </c>
      <c r="AD285" s="42">
        <v>0.1061</v>
      </c>
      <c r="AE285" s="41">
        <f t="shared" si="37"/>
        <v>-1.6100000000000031E-2</v>
      </c>
      <c r="AF285" s="43">
        <v>1.61E-2</v>
      </c>
      <c r="AG285" s="40">
        <f>IF((X285*AE285)&lt;0,0,(X285*AE285))</f>
        <v>0</v>
      </c>
      <c r="AH285" s="40">
        <f t="shared" si="43"/>
        <v>48250</v>
      </c>
      <c r="AI285" s="44">
        <f>AH285/X285</f>
        <v>6.6799342389893573E-2</v>
      </c>
      <c r="AJ285" s="44">
        <f t="shared" si="42"/>
        <v>5.069934238989357E-2</v>
      </c>
      <c r="AK285" s="40">
        <f>AF285*X285</f>
        <v>11629.231249999999</v>
      </c>
      <c r="AL285" s="40">
        <f t="shared" si="44"/>
        <v>36620.768750000003</v>
      </c>
      <c r="AM285" s="242">
        <f t="shared" si="39"/>
        <v>45046</v>
      </c>
      <c r="AN285" s="242">
        <f>IF(AQ285="x","",IF(AQ285="x",AM285,IF(EOMONTH(I285,0)=31,"",EOMONTH(I285,0))))</f>
        <v>45260</v>
      </c>
      <c r="AO285" s="79">
        <f>IFERROR(IF(VLOOKUP(C285,C286:C889,1,0)=0,1,0),1)</f>
        <v>1</v>
      </c>
      <c r="AP285" s="79"/>
      <c r="AQ285" s="243" t="str">
        <f t="shared" si="31"/>
        <v/>
      </c>
      <c r="AR285" s="242" t="b">
        <f>IF(AQ285="x",EOMONTH(I285,0))</f>
        <v>0</v>
      </c>
      <c r="AS285" s="79">
        <f t="shared" si="32"/>
        <v>1</v>
      </c>
      <c r="AT285" s="79">
        <f t="shared" si="33"/>
        <v>1</v>
      </c>
      <c r="AU285" s="79" t="str">
        <f t="shared" si="34"/>
        <v>B</v>
      </c>
      <c r="AV285" s="79">
        <f t="shared" si="35"/>
        <v>1</v>
      </c>
      <c r="AW285" s="79" t="str">
        <f>J285&amp;AU285</f>
        <v>IntegralB</v>
      </c>
      <c r="AX285" s="79">
        <f>IF(COUNTIFS(J:J,"Integral",E:E,E285,H:H,"Ativo")=4,1/4,1/10)</f>
        <v>0.25</v>
      </c>
      <c r="AY285" s="79"/>
      <c r="AZ285" s="79"/>
    </row>
    <row r="286" spans="1:52" ht="15.75" customHeight="1">
      <c r="A286" s="54">
        <v>294</v>
      </c>
      <c r="B286" s="399">
        <v>45037</v>
      </c>
      <c r="C286" s="32" t="s">
        <v>996</v>
      </c>
      <c r="D286" s="32" t="s">
        <v>997</v>
      </c>
      <c r="E286" s="32" t="s">
        <v>960</v>
      </c>
      <c r="F286" s="32" t="s">
        <v>998</v>
      </c>
      <c r="G286" s="33" t="s">
        <v>220</v>
      </c>
      <c r="H286" s="33" t="s">
        <v>90</v>
      </c>
      <c r="I286" s="34">
        <v>0</v>
      </c>
      <c r="J286" s="33">
        <v>6</v>
      </c>
      <c r="K286" s="35" t="s">
        <v>333</v>
      </c>
      <c r="L286" s="35" t="s">
        <v>333</v>
      </c>
      <c r="M286" s="67" t="s">
        <v>222</v>
      </c>
      <c r="N286" s="33" t="s">
        <v>68</v>
      </c>
      <c r="O286" s="33" t="s">
        <v>12</v>
      </c>
      <c r="P286" s="33" t="s">
        <v>1</v>
      </c>
      <c r="Q286" s="47"/>
      <c r="R286" s="47"/>
      <c r="S286" s="45" t="s">
        <v>150</v>
      </c>
      <c r="T286" s="45"/>
      <c r="U286" s="46">
        <v>45037</v>
      </c>
      <c r="V286" s="38">
        <f t="shared" si="36"/>
        <v>45037</v>
      </c>
      <c r="W286" s="50">
        <f>V286-U286</f>
        <v>0</v>
      </c>
      <c r="X286" s="261">
        <f>Y286*0.91</f>
        <v>394030</v>
      </c>
      <c r="Y286" s="260">
        <v>433000</v>
      </c>
      <c r="Z286" s="260">
        <v>405279.76</v>
      </c>
      <c r="AA286" s="35" t="s">
        <v>999</v>
      </c>
      <c r="AB286" s="260"/>
      <c r="AC286" s="44">
        <f>ABS(X286/Y286-1)</f>
        <v>8.9999999999999969E-2</v>
      </c>
      <c r="AD286" s="42">
        <v>7.3499999999999996E-2</v>
      </c>
      <c r="AE286" s="41">
        <f t="shared" si="37"/>
        <v>1.6499999999999973E-2</v>
      </c>
      <c r="AF286" s="43"/>
      <c r="AG286" s="40">
        <f>X286*AE286</f>
        <v>6501.494999999989</v>
      </c>
      <c r="AH286" s="40">
        <f t="shared" si="43"/>
        <v>27720.239999999991</v>
      </c>
      <c r="AI286" s="44">
        <f>AH286/X286</f>
        <v>7.0350582442961176E-2</v>
      </c>
      <c r="AJ286" s="44">
        <f t="shared" si="42"/>
        <v>7.0350582442961176E-2</v>
      </c>
      <c r="AK286" s="40">
        <f>AF286*X286</f>
        <v>0</v>
      </c>
      <c r="AL286" s="40">
        <f t="shared" si="44"/>
        <v>27720.239999999991</v>
      </c>
      <c r="AM286" s="242">
        <f t="shared" si="39"/>
        <v>45046</v>
      </c>
      <c r="AN286" s="242" t="str">
        <f>IF(AQ286="x","",IF(AQ286="x",AM286,IF(EOMONTH(I286,0)=31,"",EOMONTH(I286,0))))</f>
        <v/>
      </c>
      <c r="AO286" s="79">
        <f>IFERROR(IF(VLOOKUP(C286,C287:C890,1,0)=0,1,0),1)</f>
        <v>1</v>
      </c>
      <c r="AP286" s="79"/>
      <c r="AQ286" s="243" t="str">
        <f t="shared" si="31"/>
        <v/>
      </c>
      <c r="AR286" s="242" t="b">
        <f>IF(AQ286="x",EOMONTH(I286,0))</f>
        <v>0</v>
      </c>
      <c r="AS286" s="79">
        <f t="shared" si="32"/>
        <v>1</v>
      </c>
      <c r="AT286" s="79">
        <f t="shared" si="33"/>
        <v>1</v>
      </c>
      <c r="AU286" s="79" t="str">
        <f t="shared" si="34"/>
        <v>B</v>
      </c>
      <c r="AV286" s="79">
        <f t="shared" si="35"/>
        <v>1</v>
      </c>
      <c r="AW286" s="79" t="str">
        <f>J286&amp;AU286</f>
        <v>6B</v>
      </c>
      <c r="AX286" s="79">
        <f>IF(COUNTIFS(J:J,"Integral",E:E,E286,H:H,"Ativo")=4,1/4,1/10)</f>
        <v>0.1</v>
      </c>
      <c r="AY286" s="79"/>
      <c r="AZ286" s="79"/>
    </row>
    <row r="287" spans="1:52" ht="15.75" customHeight="1">
      <c r="A287" s="54">
        <v>295</v>
      </c>
      <c r="B287" s="399">
        <v>45038</v>
      </c>
      <c r="C287" s="32" t="s">
        <v>1000</v>
      </c>
      <c r="D287" s="32" t="s">
        <v>1001</v>
      </c>
      <c r="E287" s="32" t="s">
        <v>984</v>
      </c>
      <c r="F287" s="32" t="s">
        <v>1002</v>
      </c>
      <c r="G287" s="33" t="s">
        <v>220</v>
      </c>
      <c r="H287" s="33" t="s">
        <v>90</v>
      </c>
      <c r="I287" s="34">
        <v>0</v>
      </c>
      <c r="J287" s="33">
        <v>6</v>
      </c>
      <c r="K287" s="35" t="s">
        <v>981</v>
      </c>
      <c r="L287" s="35" t="s">
        <v>981</v>
      </c>
      <c r="M287" s="67" t="s">
        <v>222</v>
      </c>
      <c r="N287" s="33" t="s">
        <v>68</v>
      </c>
      <c r="O287" s="33" t="s">
        <v>11</v>
      </c>
      <c r="P287" s="33" t="s">
        <v>1</v>
      </c>
      <c r="Q287" s="47"/>
      <c r="R287" s="47"/>
      <c r="S287" s="45" t="s">
        <v>143</v>
      </c>
      <c r="T287" s="45"/>
      <c r="U287" s="46">
        <v>45038</v>
      </c>
      <c r="V287" s="38">
        <f t="shared" si="36"/>
        <v>45038</v>
      </c>
      <c r="W287" s="50">
        <f>V287-U287</f>
        <v>0</v>
      </c>
      <c r="X287" s="261">
        <f>Y287*0.91</f>
        <v>401310</v>
      </c>
      <c r="Y287" s="260">
        <v>441000</v>
      </c>
      <c r="Z287" s="260">
        <v>391500</v>
      </c>
      <c r="AA287" s="35" t="s">
        <v>846</v>
      </c>
      <c r="AB287" s="260"/>
      <c r="AC287" s="44">
        <f>ABS(X287/Y287-1)</f>
        <v>8.9999999999999969E-2</v>
      </c>
      <c r="AD287" s="42">
        <v>8.5000000000000006E-3</v>
      </c>
      <c r="AE287" s="41">
        <f t="shared" si="37"/>
        <v>8.1499999999999961E-2</v>
      </c>
      <c r="AF287" s="43"/>
      <c r="AG287" s="40">
        <f>X287*AE287</f>
        <v>32706.764999999985</v>
      </c>
      <c r="AH287" s="40">
        <f t="shared" si="43"/>
        <v>49500</v>
      </c>
      <c r="AI287" s="44">
        <f>AH287/X287</f>
        <v>0.12334604171338866</v>
      </c>
      <c r="AJ287" s="44">
        <f t="shared" si="42"/>
        <v>0.12334604171338866</v>
      </c>
      <c r="AK287" s="40">
        <f>AF287*X287</f>
        <v>0</v>
      </c>
      <c r="AL287" s="40">
        <f t="shared" si="44"/>
        <v>49500</v>
      </c>
      <c r="AM287" s="242">
        <f t="shared" si="39"/>
        <v>45046</v>
      </c>
      <c r="AN287" s="242" t="str">
        <f>IF(AQ287="x","",IF(AQ287="x",AM287,IF(EOMONTH(I287,0)=31,"",EOMONTH(I287,0))))</f>
        <v/>
      </c>
      <c r="AO287" s="79">
        <f>IFERROR(IF(VLOOKUP(C287,C288:C891,1,0)=0,1,0),1)</f>
        <v>1</v>
      </c>
      <c r="AP287" s="79"/>
      <c r="AQ287" s="243" t="str">
        <f t="shared" si="31"/>
        <v/>
      </c>
      <c r="AR287" s="242" t="b">
        <f>IF(AQ287="x",EOMONTH(I287,0))</f>
        <v>0</v>
      </c>
      <c r="AS287" s="79">
        <f t="shared" si="32"/>
        <v>1</v>
      </c>
      <c r="AT287" s="79">
        <f t="shared" si="33"/>
        <v>1</v>
      </c>
      <c r="AU287" s="79" t="str">
        <f t="shared" si="34"/>
        <v>B</v>
      </c>
      <c r="AV287" s="79">
        <f t="shared" si="35"/>
        <v>1</v>
      </c>
      <c r="AW287" s="79" t="str">
        <f>J287&amp;AU287</f>
        <v>6B</v>
      </c>
      <c r="AX287" s="79">
        <f>IF(COUNTIFS(J:J,"Integral",E:E,E287,H:H,"Ativo")=4,1/4,1/10)</f>
        <v>0.1</v>
      </c>
      <c r="AY287" s="79"/>
      <c r="AZ287" s="79"/>
    </row>
    <row r="288" spans="1:52" ht="15.75" customHeight="1">
      <c r="A288" s="54">
        <v>296</v>
      </c>
      <c r="B288" s="399">
        <v>45042</v>
      </c>
      <c r="C288" s="32" t="s">
        <v>1003</v>
      </c>
      <c r="D288" s="32" t="s">
        <v>1004</v>
      </c>
      <c r="E288" s="32" t="s">
        <v>1005</v>
      </c>
      <c r="F288" s="32" t="s">
        <v>1006</v>
      </c>
      <c r="G288" s="33" t="s">
        <v>220</v>
      </c>
      <c r="H288" s="33" t="s">
        <v>90</v>
      </c>
      <c r="I288" s="34">
        <v>0</v>
      </c>
      <c r="J288" s="33" t="s">
        <v>6</v>
      </c>
      <c r="K288" s="35" t="s">
        <v>1007</v>
      </c>
      <c r="L288" s="35" t="s">
        <v>1008</v>
      </c>
      <c r="M288" s="67" t="s">
        <v>222</v>
      </c>
      <c r="N288" s="33" t="s">
        <v>68</v>
      </c>
      <c r="O288" s="33" t="s">
        <v>12</v>
      </c>
      <c r="P288" s="33" t="s">
        <v>1</v>
      </c>
      <c r="Q288" s="47"/>
      <c r="R288" s="47"/>
      <c r="S288" s="45" t="s">
        <v>147</v>
      </c>
      <c r="T288" s="45"/>
      <c r="U288" s="46">
        <v>45041</v>
      </c>
      <c r="V288" s="38">
        <f t="shared" si="36"/>
        <v>45042</v>
      </c>
      <c r="W288" s="50">
        <f>V288-U288</f>
        <v>1</v>
      </c>
      <c r="X288" s="261">
        <f>Y288*0.91</f>
        <v>942077.5</v>
      </c>
      <c r="Y288" s="260">
        <v>1035250</v>
      </c>
      <c r="Z288" s="260">
        <v>949998</v>
      </c>
      <c r="AA288" s="35" t="s">
        <v>999</v>
      </c>
      <c r="AB288" s="260"/>
      <c r="AC288" s="44">
        <f>ABS(X288/Y288-1)</f>
        <v>8.9999999999999969E-2</v>
      </c>
      <c r="AD288" s="42">
        <v>8.5699999999999998E-2</v>
      </c>
      <c r="AE288" s="41">
        <f t="shared" si="37"/>
        <v>4.2999999999999705E-3</v>
      </c>
      <c r="AF288" s="43"/>
      <c r="AG288" s="40">
        <f>X288*AE288</f>
        <v>4050.9332499999723</v>
      </c>
      <c r="AH288" s="40">
        <f t="shared" si="43"/>
        <v>85252</v>
      </c>
      <c r="AI288" s="44">
        <f>AH288/X288</f>
        <v>9.0493616501827079E-2</v>
      </c>
      <c r="AJ288" s="44">
        <f t="shared" si="42"/>
        <v>9.0493616501827079E-2</v>
      </c>
      <c r="AK288" s="40">
        <f>AF288*X288</f>
        <v>0</v>
      </c>
      <c r="AL288" s="40">
        <f t="shared" si="44"/>
        <v>85252</v>
      </c>
      <c r="AM288" s="242">
        <f t="shared" si="39"/>
        <v>45046</v>
      </c>
      <c r="AN288" s="242" t="str">
        <f>IF(AQ288="x","",IF(AQ288="x",AM288,IF(EOMONTH(I288,0)=31,"",EOMONTH(I288,0))))</f>
        <v/>
      </c>
      <c r="AO288" s="79">
        <f>IFERROR(IF(VLOOKUP(C288,C289:C892,1,0)=0,1,0),1)</f>
        <v>0</v>
      </c>
      <c r="AP288" s="79"/>
      <c r="AQ288" s="243" t="str">
        <f t="shared" si="31"/>
        <v/>
      </c>
      <c r="AR288" s="242" t="b">
        <f>IF(AQ288="x",EOMONTH(I288,0))</f>
        <v>0</v>
      </c>
      <c r="AS288" s="79">
        <f t="shared" si="32"/>
        <v>1</v>
      </c>
      <c r="AT288" s="79">
        <f t="shared" si="33"/>
        <v>1</v>
      </c>
      <c r="AU288" s="79" t="str">
        <f t="shared" si="34"/>
        <v>A</v>
      </c>
      <c r="AV288" s="79">
        <f t="shared" si="35"/>
        <v>1</v>
      </c>
      <c r="AW288" s="79" t="str">
        <f>J288&amp;AU288</f>
        <v>IntegralA</v>
      </c>
      <c r="AX288" s="79">
        <f>IF(COUNTIFS(J:J,"Integral",E:E,E288,H:H,"Ativo")=4,1/4,1/10)</f>
        <v>0.25</v>
      </c>
      <c r="AY288" s="79"/>
      <c r="AZ288" s="79"/>
    </row>
    <row r="289" spans="1:52" ht="15.75" customHeight="1">
      <c r="A289" s="54">
        <v>297</v>
      </c>
      <c r="B289" s="399">
        <v>45042</v>
      </c>
      <c r="C289" s="32" t="s">
        <v>1003</v>
      </c>
      <c r="D289" s="32" t="s">
        <v>1009</v>
      </c>
      <c r="E289" s="32" t="s">
        <v>1005</v>
      </c>
      <c r="F289" s="32" t="s">
        <v>1010</v>
      </c>
      <c r="G289" s="33" t="s">
        <v>220</v>
      </c>
      <c r="H289" s="33" t="s">
        <v>90</v>
      </c>
      <c r="I289" s="34">
        <v>0</v>
      </c>
      <c r="J289" s="33" t="s">
        <v>6</v>
      </c>
      <c r="K289" s="35" t="s">
        <v>1007</v>
      </c>
      <c r="L289" s="35" t="s">
        <v>1008</v>
      </c>
      <c r="M289" s="67" t="s">
        <v>222</v>
      </c>
      <c r="N289" s="33" t="s">
        <v>68</v>
      </c>
      <c r="O289" s="33" t="s">
        <v>12</v>
      </c>
      <c r="P289" s="33" t="s">
        <v>1</v>
      </c>
      <c r="Q289" s="47"/>
      <c r="R289" s="47"/>
      <c r="S289" s="45" t="s">
        <v>147</v>
      </c>
      <c r="T289" s="45"/>
      <c r="U289" s="46">
        <v>45041</v>
      </c>
      <c r="V289" s="38">
        <f t="shared" si="36"/>
        <v>45042</v>
      </c>
      <c r="W289" s="50">
        <f>V289-U289</f>
        <v>1</v>
      </c>
      <c r="X289" s="261">
        <f>Y289*0.91</f>
        <v>942077.5</v>
      </c>
      <c r="Y289" s="260">
        <v>1035250</v>
      </c>
      <c r="Z289" s="260">
        <v>949998</v>
      </c>
      <c r="AA289" s="35" t="s">
        <v>999</v>
      </c>
      <c r="AB289" s="260"/>
      <c r="AC289" s="44">
        <f>ABS(X289/Y289-1)</f>
        <v>8.9999999999999969E-2</v>
      </c>
      <c r="AD289" s="42">
        <v>8.5699999999999998E-2</v>
      </c>
      <c r="AE289" s="41">
        <f t="shared" si="37"/>
        <v>4.2999999999999705E-3</v>
      </c>
      <c r="AF289" s="43"/>
      <c r="AG289" s="40">
        <f>X289*AE289</f>
        <v>4050.9332499999723</v>
      </c>
      <c r="AH289" s="40">
        <f t="shared" si="43"/>
        <v>85252</v>
      </c>
      <c r="AI289" s="44">
        <f>AH289/X289</f>
        <v>9.0493616501827079E-2</v>
      </c>
      <c r="AJ289" s="44">
        <f t="shared" si="42"/>
        <v>9.0493616501827079E-2</v>
      </c>
      <c r="AK289" s="40">
        <f>AF289*X289</f>
        <v>0</v>
      </c>
      <c r="AL289" s="40">
        <f t="shared" si="44"/>
        <v>85252</v>
      </c>
      <c r="AM289" s="242">
        <f t="shared" si="39"/>
        <v>45046</v>
      </c>
      <c r="AN289" s="242" t="str">
        <f>IF(AQ289="x","",IF(AQ289="x",AM289,IF(EOMONTH(I289,0)=31,"",EOMONTH(I289,0))))</f>
        <v/>
      </c>
      <c r="AO289" s="79">
        <f>IFERROR(IF(VLOOKUP(C289,C290:C893,1,0)=0,1,0),1)</f>
        <v>0</v>
      </c>
      <c r="AP289" s="79"/>
      <c r="AQ289" s="243" t="str">
        <f t="shared" si="31"/>
        <v/>
      </c>
      <c r="AR289" s="242" t="b">
        <f>IF(AQ289="x",EOMONTH(I289,0))</f>
        <v>0</v>
      </c>
      <c r="AS289" s="79">
        <f t="shared" si="32"/>
        <v>1</v>
      </c>
      <c r="AT289" s="79">
        <f t="shared" si="33"/>
        <v>1</v>
      </c>
      <c r="AU289" s="79" t="str">
        <f t="shared" si="34"/>
        <v>A</v>
      </c>
      <c r="AV289" s="79">
        <f t="shared" si="35"/>
        <v>1</v>
      </c>
      <c r="AW289" s="79" t="str">
        <f>J289&amp;AU289</f>
        <v>IntegralA</v>
      </c>
      <c r="AX289" s="79">
        <f>IF(COUNTIFS(J:J,"Integral",E:E,E289,H:H,"Ativo")=4,1/4,1/10)</f>
        <v>0.25</v>
      </c>
      <c r="AY289" s="79"/>
      <c r="AZ289" s="79"/>
    </row>
    <row r="290" spans="1:52" ht="15.75" customHeight="1">
      <c r="A290" s="54">
        <v>298</v>
      </c>
      <c r="B290" s="399">
        <v>45042</v>
      </c>
      <c r="C290" s="32" t="s">
        <v>1003</v>
      </c>
      <c r="D290" s="32" t="s">
        <v>1011</v>
      </c>
      <c r="E290" s="32" t="s">
        <v>1005</v>
      </c>
      <c r="F290" s="32" t="s">
        <v>1012</v>
      </c>
      <c r="G290" s="33" t="s">
        <v>220</v>
      </c>
      <c r="H290" s="33" t="s">
        <v>90</v>
      </c>
      <c r="I290" s="34">
        <v>0</v>
      </c>
      <c r="J290" s="33" t="s">
        <v>6</v>
      </c>
      <c r="K290" s="35" t="s">
        <v>1007</v>
      </c>
      <c r="L290" s="35" t="s">
        <v>1008</v>
      </c>
      <c r="M290" s="67" t="s">
        <v>222</v>
      </c>
      <c r="N290" s="33" t="s">
        <v>68</v>
      </c>
      <c r="O290" s="33" t="s">
        <v>12</v>
      </c>
      <c r="P290" s="33" t="s">
        <v>1</v>
      </c>
      <c r="Q290" s="47"/>
      <c r="R290" s="47"/>
      <c r="S290" s="45" t="s">
        <v>147</v>
      </c>
      <c r="T290" s="45"/>
      <c r="U290" s="46">
        <v>45041</v>
      </c>
      <c r="V290" s="38">
        <f t="shared" si="36"/>
        <v>45042</v>
      </c>
      <c r="W290" s="50">
        <f>V290-U290</f>
        <v>1</v>
      </c>
      <c r="X290" s="261">
        <f>Y290*0.91</f>
        <v>942077.5</v>
      </c>
      <c r="Y290" s="260">
        <v>1035250</v>
      </c>
      <c r="Z290" s="260">
        <v>949998</v>
      </c>
      <c r="AA290" s="35" t="s">
        <v>999</v>
      </c>
      <c r="AB290" s="260"/>
      <c r="AC290" s="44">
        <f>ABS(X290/Y290-1)</f>
        <v>8.9999999999999969E-2</v>
      </c>
      <c r="AD290" s="42">
        <v>8.5699999999999998E-2</v>
      </c>
      <c r="AE290" s="41">
        <f t="shared" si="37"/>
        <v>4.2999999999999705E-3</v>
      </c>
      <c r="AF290" s="43"/>
      <c r="AG290" s="40">
        <f>X290*AE290</f>
        <v>4050.9332499999723</v>
      </c>
      <c r="AH290" s="40">
        <f t="shared" si="43"/>
        <v>85252</v>
      </c>
      <c r="AI290" s="44">
        <f>AH290/X290</f>
        <v>9.0493616501827079E-2</v>
      </c>
      <c r="AJ290" s="44">
        <f t="shared" si="42"/>
        <v>9.0493616501827079E-2</v>
      </c>
      <c r="AK290" s="40">
        <f>AF290*X290</f>
        <v>0</v>
      </c>
      <c r="AL290" s="40">
        <f t="shared" si="44"/>
        <v>85252</v>
      </c>
      <c r="AM290" s="242">
        <f t="shared" si="39"/>
        <v>45046</v>
      </c>
      <c r="AN290" s="242" t="str">
        <f>IF(AQ290="x","",IF(AQ290="x",AM290,IF(EOMONTH(I290,0)=31,"",EOMONTH(I290,0))))</f>
        <v/>
      </c>
      <c r="AO290" s="79">
        <f>IFERROR(IF(VLOOKUP(C290,C291:C894,1,0)=0,1,0),1)</f>
        <v>0</v>
      </c>
      <c r="AP290" s="79"/>
      <c r="AQ290" s="243" t="str">
        <f t="shared" si="31"/>
        <v/>
      </c>
      <c r="AR290" s="242" t="b">
        <f>IF(AQ290="x",EOMONTH(I290,0))</f>
        <v>0</v>
      </c>
      <c r="AS290" s="79">
        <f t="shared" si="32"/>
        <v>1</v>
      </c>
      <c r="AT290" s="79">
        <f t="shared" si="33"/>
        <v>1</v>
      </c>
      <c r="AU290" s="79" t="str">
        <f t="shared" si="34"/>
        <v>A</v>
      </c>
      <c r="AV290" s="79">
        <f t="shared" si="35"/>
        <v>1</v>
      </c>
      <c r="AW290" s="79" t="str">
        <f>J290&amp;AU290</f>
        <v>IntegralA</v>
      </c>
      <c r="AX290" s="79">
        <f>IF(COUNTIFS(J:J,"Integral",E:E,E290,H:H,"Ativo")=4,1/4,1/10)</f>
        <v>0.25</v>
      </c>
      <c r="AY290" s="79"/>
      <c r="AZ290" s="79"/>
    </row>
    <row r="291" spans="1:52" ht="15.75" customHeight="1">
      <c r="A291" s="54">
        <v>299</v>
      </c>
      <c r="B291" s="399">
        <v>45042</v>
      </c>
      <c r="C291" s="32" t="s">
        <v>1003</v>
      </c>
      <c r="D291" s="32" t="s">
        <v>1013</v>
      </c>
      <c r="E291" s="32" t="s">
        <v>1005</v>
      </c>
      <c r="F291" s="32" t="s">
        <v>1014</v>
      </c>
      <c r="G291" s="33" t="s">
        <v>220</v>
      </c>
      <c r="H291" s="33" t="s">
        <v>90</v>
      </c>
      <c r="I291" s="34">
        <v>0</v>
      </c>
      <c r="J291" s="33" t="s">
        <v>6</v>
      </c>
      <c r="K291" s="35" t="s">
        <v>1007</v>
      </c>
      <c r="L291" s="35" t="s">
        <v>1008</v>
      </c>
      <c r="M291" s="67" t="s">
        <v>222</v>
      </c>
      <c r="N291" s="33" t="s">
        <v>68</v>
      </c>
      <c r="O291" s="33" t="s">
        <v>12</v>
      </c>
      <c r="P291" s="33" t="s">
        <v>1</v>
      </c>
      <c r="Q291" s="47"/>
      <c r="R291" s="47"/>
      <c r="S291" s="45" t="s">
        <v>147</v>
      </c>
      <c r="T291" s="45"/>
      <c r="U291" s="46">
        <v>45041</v>
      </c>
      <c r="V291" s="38">
        <f t="shared" si="36"/>
        <v>45042</v>
      </c>
      <c r="W291" s="50">
        <f>V291-U291</f>
        <v>1</v>
      </c>
      <c r="X291" s="261">
        <f>Y291*0.91</f>
        <v>942077.5</v>
      </c>
      <c r="Y291" s="260">
        <v>1035250</v>
      </c>
      <c r="Z291" s="260">
        <v>949998</v>
      </c>
      <c r="AA291" s="35" t="s">
        <v>999</v>
      </c>
      <c r="AB291" s="260"/>
      <c r="AC291" s="44">
        <f>ABS(X291/Y291-1)</f>
        <v>8.9999999999999969E-2</v>
      </c>
      <c r="AD291" s="42">
        <v>8.5699999999999998E-2</v>
      </c>
      <c r="AE291" s="41">
        <f t="shared" si="37"/>
        <v>4.2999999999999705E-3</v>
      </c>
      <c r="AF291" s="43"/>
      <c r="AG291" s="40">
        <f>X291*AE291</f>
        <v>4050.9332499999723</v>
      </c>
      <c r="AH291" s="40">
        <f t="shared" si="43"/>
        <v>85252</v>
      </c>
      <c r="AI291" s="44">
        <f>AH291/X291</f>
        <v>9.0493616501827079E-2</v>
      </c>
      <c r="AJ291" s="44">
        <f t="shared" si="42"/>
        <v>9.0493616501827079E-2</v>
      </c>
      <c r="AK291" s="40">
        <f>AF291*X291</f>
        <v>0</v>
      </c>
      <c r="AL291" s="40">
        <f t="shared" si="44"/>
        <v>85252</v>
      </c>
      <c r="AM291" s="242">
        <f t="shared" si="39"/>
        <v>45046</v>
      </c>
      <c r="AN291" s="242" t="str">
        <f>IF(AQ291="x","",IF(AQ291="x",AM291,IF(EOMONTH(I291,0)=31,"",EOMONTH(I291,0))))</f>
        <v/>
      </c>
      <c r="AO291" s="79">
        <f>IFERROR(IF(VLOOKUP(C291,C292:C895,1,0)=0,1,0),1)</f>
        <v>1</v>
      </c>
      <c r="AP291" s="79"/>
      <c r="AQ291" s="243" t="str">
        <f t="shared" si="31"/>
        <v/>
      </c>
      <c r="AR291" s="242" t="b">
        <f>IF(AQ291="x",EOMONTH(I291,0))</f>
        <v>0</v>
      </c>
      <c r="AS291" s="79">
        <f t="shared" si="32"/>
        <v>1</v>
      </c>
      <c r="AT291" s="79">
        <f t="shared" si="33"/>
        <v>1</v>
      </c>
      <c r="AU291" s="79" t="str">
        <f t="shared" si="34"/>
        <v>A</v>
      </c>
      <c r="AV291" s="79">
        <f t="shared" si="35"/>
        <v>1</v>
      </c>
      <c r="AW291" s="79" t="str">
        <f>J291&amp;AU291</f>
        <v>IntegralA</v>
      </c>
      <c r="AX291" s="79">
        <f>IF(COUNTIFS(J:J,"Integral",E:E,E291,H:H,"Ativo")=4,1/4,1/10)</f>
        <v>0.25</v>
      </c>
      <c r="AY291" s="79"/>
      <c r="AZ291" s="79"/>
    </row>
    <row r="292" spans="1:52" ht="15.75" customHeight="1">
      <c r="A292" s="54">
        <v>300</v>
      </c>
      <c r="B292" s="401">
        <v>45043</v>
      </c>
      <c r="C292" s="32" t="s">
        <v>1015</v>
      </c>
      <c r="D292" s="32" t="s">
        <v>775</v>
      </c>
      <c r="E292" s="32" t="s">
        <v>776</v>
      </c>
      <c r="F292" s="32" t="s">
        <v>1016</v>
      </c>
      <c r="G292" s="33" t="s">
        <v>220</v>
      </c>
      <c r="H292" s="33" t="s">
        <v>90</v>
      </c>
      <c r="I292" s="34">
        <v>0</v>
      </c>
      <c r="J292" s="33" t="s">
        <v>6</v>
      </c>
      <c r="K292" s="35" t="s">
        <v>327</v>
      </c>
      <c r="L292" s="35" t="s">
        <v>394</v>
      </c>
      <c r="M292" s="67" t="s">
        <v>222</v>
      </c>
      <c r="N292" s="33" t="s">
        <v>68</v>
      </c>
      <c r="O292" s="33" t="s">
        <v>11</v>
      </c>
      <c r="P292" s="33" t="s">
        <v>1</v>
      </c>
      <c r="Q292" s="47" t="s">
        <v>96</v>
      </c>
      <c r="R292" s="47"/>
      <c r="S292" s="45" t="s">
        <v>143</v>
      </c>
      <c r="T292" s="45"/>
      <c r="U292" s="46" t="s">
        <v>222</v>
      </c>
      <c r="V292" s="38">
        <f t="shared" si="36"/>
        <v>45043</v>
      </c>
      <c r="W292" s="50"/>
      <c r="X292" s="261">
        <f>Y292*0.91</f>
        <v>2215850</v>
      </c>
      <c r="Y292" s="260">
        <v>2435000</v>
      </c>
      <c r="Z292" s="260">
        <v>2135000</v>
      </c>
      <c r="AA292" s="35">
        <v>0</v>
      </c>
      <c r="AB292" s="260"/>
      <c r="AC292" s="44">
        <f>ABS(X292/Y292-1)</f>
        <v>8.9999999999999969E-2</v>
      </c>
      <c r="AD292" s="42">
        <v>-3.5000000000000003E-2</v>
      </c>
      <c r="AE292" s="41">
        <f t="shared" si="37"/>
        <v>0.12499999999999997</v>
      </c>
      <c r="AF292" s="43"/>
      <c r="AG292" s="40">
        <f>X292*AE292</f>
        <v>276981.24999999994</v>
      </c>
      <c r="AH292" s="40">
        <f t="shared" si="43"/>
        <v>300000</v>
      </c>
      <c r="AI292" s="44">
        <f>AH292/X292</f>
        <v>0.13538822573730172</v>
      </c>
      <c r="AJ292" s="44">
        <f t="shared" si="42"/>
        <v>0.13538822573730172</v>
      </c>
      <c r="AK292" s="40">
        <f>AF292*X292</f>
        <v>0</v>
      </c>
      <c r="AL292" s="40">
        <f t="shared" si="44"/>
        <v>300000</v>
      </c>
      <c r="AM292" s="242">
        <f t="shared" si="39"/>
        <v>45046</v>
      </c>
      <c r="AN292" s="242" t="str">
        <f>IF(AQ292="x","",IF(AQ292="x",AM292,IF(EOMONTH(I292,0)=31,"",EOMONTH(I292,0))))</f>
        <v/>
      </c>
      <c r="AO292" s="79">
        <f>IFERROR(IF(VLOOKUP(C292,C293:C896,1,0)=0,1,0),1)</f>
        <v>0</v>
      </c>
      <c r="AP292" s="79"/>
      <c r="AQ292" s="243"/>
      <c r="AR292" s="242" t="b">
        <f>IF(AQ292="x",EOMONTH(I292,0))</f>
        <v>0</v>
      </c>
      <c r="AS292" s="79">
        <f t="shared" ref="AS292:AS355" si="45">IF(AH292&lt;0,0,1)</f>
        <v>1</v>
      </c>
      <c r="AT292" s="79">
        <f t="shared" ref="AT292:AT355" si="46">IF(AL292&lt;0,0,1)</f>
        <v>1</v>
      </c>
      <c r="AU292" s="79" t="str">
        <f t="shared" ref="AU292:AU355" si="47">MID(E292,1,1)</f>
        <v>A</v>
      </c>
      <c r="AV292" s="79">
        <f t="shared" si="35"/>
        <v>1</v>
      </c>
      <c r="AW292" s="79" t="str">
        <f>J292&amp;AU292</f>
        <v>IntegralA</v>
      </c>
      <c r="AX292" s="79">
        <f>IF(COUNTIFS(J:J,"Integral",E:E,E292,H:H,"Ativo")=4,1/4,1/10)</f>
        <v>0.25</v>
      </c>
      <c r="AY292" s="79"/>
      <c r="AZ292" s="79"/>
    </row>
    <row r="293" spans="1:52" ht="15.75" customHeight="1">
      <c r="A293" s="54">
        <v>301</v>
      </c>
      <c r="B293" s="401">
        <v>45043</v>
      </c>
      <c r="C293" s="32" t="s">
        <v>1015</v>
      </c>
      <c r="D293" s="32" t="s">
        <v>1017</v>
      </c>
      <c r="E293" s="32" t="s">
        <v>1018</v>
      </c>
      <c r="F293" s="32" t="s">
        <v>1019</v>
      </c>
      <c r="G293" s="33" t="s">
        <v>220</v>
      </c>
      <c r="H293" s="33" t="s">
        <v>90</v>
      </c>
      <c r="I293" s="34">
        <v>0</v>
      </c>
      <c r="J293" s="33">
        <v>52</v>
      </c>
      <c r="K293" s="35" t="s">
        <v>327</v>
      </c>
      <c r="L293" s="35" t="s">
        <v>394</v>
      </c>
      <c r="M293" s="67" t="s">
        <v>222</v>
      </c>
      <c r="N293" s="33" t="s">
        <v>68</v>
      </c>
      <c r="O293" s="33" t="s">
        <v>11</v>
      </c>
      <c r="P293" s="33" t="s">
        <v>1</v>
      </c>
      <c r="Q293" s="47" t="s">
        <v>96</v>
      </c>
      <c r="R293" s="47"/>
      <c r="S293" s="45" t="s">
        <v>143</v>
      </c>
      <c r="T293" s="45"/>
      <c r="U293" s="47" t="s">
        <v>222</v>
      </c>
      <c r="V293" s="48">
        <f t="shared" si="36"/>
        <v>45043</v>
      </c>
      <c r="W293" s="50"/>
      <c r="X293" s="261">
        <v>0</v>
      </c>
      <c r="Y293" s="260">
        <v>0</v>
      </c>
      <c r="Z293" s="260">
        <v>0</v>
      </c>
      <c r="AA293" s="35">
        <v>0</v>
      </c>
      <c r="AB293" s="260"/>
      <c r="AC293" s="44">
        <v>0</v>
      </c>
      <c r="AD293" s="42">
        <v>0</v>
      </c>
      <c r="AE293" s="41"/>
      <c r="AF293" s="43"/>
      <c r="AG293" s="35"/>
      <c r="AH293" s="35"/>
      <c r="AI293" s="35"/>
      <c r="AJ293" s="35"/>
      <c r="AK293" s="35"/>
      <c r="AL293" s="40">
        <f t="shared" si="44"/>
        <v>0</v>
      </c>
      <c r="AM293" s="242">
        <f t="shared" si="39"/>
        <v>45046</v>
      </c>
      <c r="AN293" s="242" t="str">
        <f>IF(AQ293="x","",IF(AQ293="x",AM293,IF(EOMONTH(I293,0)=31,"",EOMONTH(I293,0))))</f>
        <v/>
      </c>
      <c r="AO293" s="79">
        <f>IFERROR(IF(VLOOKUP(C293,C294:C897,1,0)=0,1,0),1)</f>
        <v>0</v>
      </c>
      <c r="AP293" s="79"/>
      <c r="AQ293" s="243"/>
      <c r="AR293" s="242" t="b">
        <f>IF(AQ293="x",EOMONTH(I293,0))</f>
        <v>0</v>
      </c>
      <c r="AS293" s="79">
        <f t="shared" si="45"/>
        <v>1</v>
      </c>
      <c r="AT293" s="79">
        <f t="shared" si="46"/>
        <v>1</v>
      </c>
      <c r="AU293" s="79" t="str">
        <f t="shared" si="47"/>
        <v>V</v>
      </c>
      <c r="AV293" s="79">
        <f t="shared" si="35"/>
        <v>1</v>
      </c>
      <c r="AW293" s="79" t="str">
        <f>J293&amp;AU293</f>
        <v>52V</v>
      </c>
      <c r="AX293" s="79">
        <f>IF(COUNTIFS(J:J,"Integral",E:E,E293,H:H,"Ativo")=4,1/4,1/10)</f>
        <v>0.1</v>
      </c>
      <c r="AY293" s="79"/>
      <c r="AZ293" s="79"/>
    </row>
    <row r="294" spans="1:52" ht="15.75" customHeight="1">
      <c r="A294" s="54">
        <v>302</v>
      </c>
      <c r="B294" s="401">
        <v>45043</v>
      </c>
      <c r="C294" s="32" t="s">
        <v>1015</v>
      </c>
      <c r="D294" s="32" t="s">
        <v>779</v>
      </c>
      <c r="E294" s="32" t="s">
        <v>776</v>
      </c>
      <c r="F294" s="32" t="s">
        <v>1020</v>
      </c>
      <c r="G294" s="33" t="s">
        <v>220</v>
      </c>
      <c r="H294" s="33" t="s">
        <v>90</v>
      </c>
      <c r="I294" s="34">
        <v>0</v>
      </c>
      <c r="J294" s="33" t="s">
        <v>6</v>
      </c>
      <c r="K294" s="35" t="s">
        <v>327</v>
      </c>
      <c r="L294" s="35" t="s">
        <v>394</v>
      </c>
      <c r="M294" s="67" t="s">
        <v>222</v>
      </c>
      <c r="N294" s="33" t="s">
        <v>68</v>
      </c>
      <c r="O294" s="33" t="s">
        <v>11</v>
      </c>
      <c r="P294" s="33" t="s">
        <v>1</v>
      </c>
      <c r="Q294" s="47" t="s">
        <v>96</v>
      </c>
      <c r="R294" s="47"/>
      <c r="S294" s="45" t="s">
        <v>143</v>
      </c>
      <c r="T294" s="45"/>
      <c r="U294" s="46" t="s">
        <v>222</v>
      </c>
      <c r="V294" s="38">
        <f t="shared" si="36"/>
        <v>45043</v>
      </c>
      <c r="W294" s="50"/>
      <c r="X294" s="261">
        <f>Y294*0.91</f>
        <v>2215850</v>
      </c>
      <c r="Y294" s="260">
        <v>2435000</v>
      </c>
      <c r="Z294" s="260">
        <v>2135000</v>
      </c>
      <c r="AA294" s="35">
        <v>0</v>
      </c>
      <c r="AB294" s="260"/>
      <c r="AC294" s="44">
        <f>ABS(X294/Y294-1)</f>
        <v>8.9999999999999969E-2</v>
      </c>
      <c r="AD294" s="42">
        <v>-3.5000000000000003E-2</v>
      </c>
      <c r="AE294" s="41">
        <f t="shared" ref="AE294:AE325" si="48">AC294-AD294</f>
        <v>0.12499999999999997</v>
      </c>
      <c r="AF294" s="43"/>
      <c r="AG294" s="40">
        <f>X294*AE294</f>
        <v>276981.24999999994</v>
      </c>
      <c r="AH294" s="40">
        <f t="shared" ref="AH294:AH357" si="49">Y294-Z294</f>
        <v>300000</v>
      </c>
      <c r="AI294" s="44">
        <f>AH294/X294</f>
        <v>0.13538822573730172</v>
      </c>
      <c r="AJ294" s="44">
        <f t="shared" ref="AJ294:AJ357" si="50">AI294-AF294</f>
        <v>0.13538822573730172</v>
      </c>
      <c r="AK294" s="40">
        <f>AF294*X294</f>
        <v>0</v>
      </c>
      <c r="AL294" s="40">
        <f t="shared" si="44"/>
        <v>300000</v>
      </c>
      <c r="AM294" s="242">
        <f t="shared" si="39"/>
        <v>45046</v>
      </c>
      <c r="AN294" s="242" t="str">
        <f>IF(AQ294="x","",IF(AQ294="x",AM294,IF(EOMONTH(I294,0)=31,"",EOMONTH(I294,0))))</f>
        <v/>
      </c>
      <c r="AO294" s="79">
        <f>IFERROR(IF(VLOOKUP(C294,C295:C898,1,0)=0,1,0),1)</f>
        <v>0</v>
      </c>
      <c r="AP294" s="79"/>
      <c r="AQ294" s="243"/>
      <c r="AR294" s="242" t="b">
        <f>IF(AQ294="x",EOMONTH(I294,0))</f>
        <v>0</v>
      </c>
      <c r="AS294" s="79">
        <f t="shared" si="45"/>
        <v>1</v>
      </c>
      <c r="AT294" s="79">
        <f t="shared" si="46"/>
        <v>1</v>
      </c>
      <c r="AU294" s="79" t="str">
        <f t="shared" si="47"/>
        <v>A</v>
      </c>
      <c r="AV294" s="79">
        <f t="shared" si="35"/>
        <v>1</v>
      </c>
      <c r="AW294" s="79" t="str">
        <f>J294&amp;AU294</f>
        <v>IntegralA</v>
      </c>
      <c r="AX294" s="79">
        <f>IF(COUNTIFS(J:J,"Integral",E:E,E294,H:H,"Ativo")=4,1/4,1/10)</f>
        <v>0.25</v>
      </c>
      <c r="AY294" s="79"/>
      <c r="AZ294" s="79"/>
    </row>
    <row r="295" spans="1:52" ht="15.75" customHeight="1">
      <c r="A295" s="54">
        <v>303</v>
      </c>
      <c r="B295" s="401">
        <v>45043</v>
      </c>
      <c r="C295" s="32" t="s">
        <v>1015</v>
      </c>
      <c r="D295" s="32" t="s">
        <v>781</v>
      </c>
      <c r="E295" s="32" t="s">
        <v>776</v>
      </c>
      <c r="F295" s="32" t="s">
        <v>1021</v>
      </c>
      <c r="G295" s="33" t="s">
        <v>220</v>
      </c>
      <c r="H295" s="33" t="s">
        <v>90</v>
      </c>
      <c r="I295" s="34">
        <v>0</v>
      </c>
      <c r="J295" s="33" t="s">
        <v>6</v>
      </c>
      <c r="K295" s="35" t="s">
        <v>327</v>
      </c>
      <c r="L295" s="35" t="s">
        <v>394</v>
      </c>
      <c r="M295" s="67" t="s">
        <v>222</v>
      </c>
      <c r="N295" s="33" t="s">
        <v>68</v>
      </c>
      <c r="O295" s="33" t="s">
        <v>11</v>
      </c>
      <c r="P295" s="33" t="s">
        <v>1</v>
      </c>
      <c r="Q295" s="47" t="s">
        <v>96</v>
      </c>
      <c r="R295" s="47"/>
      <c r="S295" s="45" t="s">
        <v>143</v>
      </c>
      <c r="T295" s="45"/>
      <c r="U295" s="46" t="s">
        <v>222</v>
      </c>
      <c r="V295" s="38">
        <f t="shared" si="36"/>
        <v>45043</v>
      </c>
      <c r="W295" s="50"/>
      <c r="X295" s="261">
        <f>Y295*0.91</f>
        <v>2215850</v>
      </c>
      <c r="Y295" s="260">
        <v>2435000</v>
      </c>
      <c r="Z295" s="260">
        <v>2135000</v>
      </c>
      <c r="AA295" s="35">
        <v>0</v>
      </c>
      <c r="AB295" s="260"/>
      <c r="AC295" s="44">
        <f>ABS(X295/Y295-1)</f>
        <v>8.9999999999999969E-2</v>
      </c>
      <c r="AD295" s="42">
        <v>-3.5000000000000003E-2</v>
      </c>
      <c r="AE295" s="41">
        <f t="shared" si="48"/>
        <v>0.12499999999999997</v>
      </c>
      <c r="AF295" s="43"/>
      <c r="AG295" s="40">
        <f>X295*AE295</f>
        <v>276981.24999999994</v>
      </c>
      <c r="AH295" s="40">
        <f t="shared" si="49"/>
        <v>300000</v>
      </c>
      <c r="AI295" s="44">
        <f>AH295/X295</f>
        <v>0.13538822573730172</v>
      </c>
      <c r="AJ295" s="44">
        <f t="shared" si="50"/>
        <v>0.13538822573730172</v>
      </c>
      <c r="AK295" s="40">
        <f>AF295*X295</f>
        <v>0</v>
      </c>
      <c r="AL295" s="40">
        <f t="shared" si="44"/>
        <v>300000</v>
      </c>
      <c r="AM295" s="242">
        <f t="shared" si="39"/>
        <v>45046</v>
      </c>
      <c r="AN295" s="242" t="str">
        <f>IF(AQ295="x","",IF(AQ295="x",AM295,IF(EOMONTH(I295,0)=31,"",EOMONTH(I295,0))))</f>
        <v/>
      </c>
      <c r="AO295" s="79">
        <f>IFERROR(IF(VLOOKUP(C295,C296:C899,1,0)=0,1,0),1)</f>
        <v>0</v>
      </c>
      <c r="AP295" s="79"/>
      <c r="AQ295" s="243"/>
      <c r="AR295" s="242" t="b">
        <f>IF(AQ295="x",EOMONTH(I295,0))</f>
        <v>0</v>
      </c>
      <c r="AS295" s="79">
        <f t="shared" si="45"/>
        <v>1</v>
      </c>
      <c r="AT295" s="79">
        <f t="shared" si="46"/>
        <v>1</v>
      </c>
      <c r="AU295" s="79" t="str">
        <f t="shared" si="47"/>
        <v>A</v>
      </c>
      <c r="AV295" s="79">
        <f t="shared" si="35"/>
        <v>1</v>
      </c>
      <c r="AW295" s="79" t="str">
        <f>J295&amp;AU295</f>
        <v>IntegralA</v>
      </c>
      <c r="AX295" s="79">
        <f>IF(COUNTIFS(J:J,"Integral",E:E,E295,H:H,"Ativo")=4,1/4,1/10)</f>
        <v>0.25</v>
      </c>
      <c r="AY295" s="79"/>
      <c r="AZ295" s="79"/>
    </row>
    <row r="296" spans="1:52" ht="15.75" customHeight="1">
      <c r="A296" s="54">
        <v>304</v>
      </c>
      <c r="B296" s="401">
        <v>45043</v>
      </c>
      <c r="C296" s="32" t="s">
        <v>1015</v>
      </c>
      <c r="D296" s="32" t="s">
        <v>783</v>
      </c>
      <c r="E296" s="32" t="s">
        <v>776</v>
      </c>
      <c r="F296" s="32" t="s">
        <v>1022</v>
      </c>
      <c r="G296" s="33" t="s">
        <v>220</v>
      </c>
      <c r="H296" s="33" t="s">
        <v>90</v>
      </c>
      <c r="I296" s="34">
        <v>0</v>
      </c>
      <c r="J296" s="33" t="s">
        <v>6</v>
      </c>
      <c r="K296" s="35" t="s">
        <v>327</v>
      </c>
      <c r="L296" s="35" t="s">
        <v>394</v>
      </c>
      <c r="M296" s="67" t="s">
        <v>222</v>
      </c>
      <c r="N296" s="33" t="s">
        <v>68</v>
      </c>
      <c r="O296" s="33" t="s">
        <v>11</v>
      </c>
      <c r="P296" s="33" t="s">
        <v>1</v>
      </c>
      <c r="Q296" s="47" t="s">
        <v>96</v>
      </c>
      <c r="R296" s="47"/>
      <c r="S296" s="45" t="s">
        <v>143</v>
      </c>
      <c r="T296" s="45"/>
      <c r="U296" s="46" t="s">
        <v>222</v>
      </c>
      <c r="V296" s="38">
        <f t="shared" si="36"/>
        <v>45043</v>
      </c>
      <c r="W296" s="50"/>
      <c r="X296" s="261">
        <f>Y296*0.91</f>
        <v>2215850</v>
      </c>
      <c r="Y296" s="260">
        <v>2435000</v>
      </c>
      <c r="Z296" s="260">
        <v>2135000</v>
      </c>
      <c r="AA296" s="35">
        <v>0</v>
      </c>
      <c r="AB296" s="260"/>
      <c r="AC296" s="44">
        <f>ABS(X296/Y296-1)</f>
        <v>8.9999999999999969E-2</v>
      </c>
      <c r="AD296" s="42">
        <v>-3.5000000000000003E-2</v>
      </c>
      <c r="AE296" s="41">
        <f t="shared" si="48"/>
        <v>0.12499999999999997</v>
      </c>
      <c r="AF296" s="43"/>
      <c r="AG296" s="40">
        <f>X296*AE296</f>
        <v>276981.24999999994</v>
      </c>
      <c r="AH296" s="40">
        <f t="shared" si="49"/>
        <v>300000</v>
      </c>
      <c r="AI296" s="44">
        <f>AH296/X296</f>
        <v>0.13538822573730172</v>
      </c>
      <c r="AJ296" s="44">
        <f t="shared" si="50"/>
        <v>0.13538822573730172</v>
      </c>
      <c r="AK296" s="40">
        <f>AF296*X296</f>
        <v>0</v>
      </c>
      <c r="AL296" s="40">
        <f t="shared" si="44"/>
        <v>300000</v>
      </c>
      <c r="AM296" s="242">
        <f t="shared" si="39"/>
        <v>45046</v>
      </c>
      <c r="AN296" s="242" t="str">
        <f>IF(AQ296="x","",IF(AQ296="x",AM296,IF(EOMONTH(I296,0)=31,"",EOMONTH(I296,0))))</f>
        <v/>
      </c>
      <c r="AO296" s="350">
        <v>1</v>
      </c>
      <c r="AP296" s="350"/>
      <c r="AQ296" s="243"/>
      <c r="AR296" s="242" t="b">
        <f>IF(AQ296="x",EOMONTH(I296,0))</f>
        <v>0</v>
      </c>
      <c r="AS296" s="79">
        <f t="shared" si="45"/>
        <v>1</v>
      </c>
      <c r="AT296" s="79">
        <f t="shared" si="46"/>
        <v>1</v>
      </c>
      <c r="AU296" s="79" t="str">
        <f t="shared" si="47"/>
        <v>A</v>
      </c>
      <c r="AV296" s="79">
        <f t="shared" si="35"/>
        <v>1</v>
      </c>
      <c r="AW296" s="79" t="str">
        <f>J296&amp;AU296</f>
        <v>IntegralA</v>
      </c>
      <c r="AX296" s="79">
        <f>IF(COUNTIFS(J:J,"Integral",E:E,E296,H:H,"Ativo")=4,1/4,1/10)</f>
        <v>0.25</v>
      </c>
      <c r="AY296" s="79"/>
      <c r="AZ296" s="79"/>
    </row>
    <row r="297" spans="1:52" ht="15.75" customHeight="1">
      <c r="A297" s="54">
        <v>305</v>
      </c>
      <c r="B297" s="399">
        <v>45045</v>
      </c>
      <c r="C297" s="32" t="s">
        <v>1023</v>
      </c>
      <c r="D297" s="32" t="s">
        <v>1024</v>
      </c>
      <c r="E297" s="32" t="s">
        <v>700</v>
      </c>
      <c r="F297" s="32" t="s">
        <v>1025</v>
      </c>
      <c r="G297" s="33" t="s">
        <v>220</v>
      </c>
      <c r="H297" s="33" t="s">
        <v>90</v>
      </c>
      <c r="I297" s="34">
        <v>0</v>
      </c>
      <c r="J297" s="33">
        <v>6</v>
      </c>
      <c r="K297" s="35" t="s">
        <v>1026</v>
      </c>
      <c r="L297" s="35" t="s">
        <v>1026</v>
      </c>
      <c r="M297" s="67" t="s">
        <v>222</v>
      </c>
      <c r="N297" s="33" t="s">
        <v>68</v>
      </c>
      <c r="O297" s="33" t="s">
        <v>11</v>
      </c>
      <c r="P297" s="33" t="s">
        <v>1</v>
      </c>
      <c r="Q297" s="47"/>
      <c r="R297" s="47"/>
      <c r="S297" s="45" t="s">
        <v>143</v>
      </c>
      <c r="T297" s="45"/>
      <c r="U297" s="46">
        <v>45045</v>
      </c>
      <c r="V297" s="38">
        <f t="shared" si="36"/>
        <v>45045</v>
      </c>
      <c r="W297" s="50">
        <f>V297-U297</f>
        <v>0</v>
      </c>
      <c r="X297" s="261">
        <f>Y297*0.91</f>
        <v>394030</v>
      </c>
      <c r="Y297" s="260">
        <v>433000</v>
      </c>
      <c r="Z297" s="260">
        <v>369825</v>
      </c>
      <c r="AA297" s="35" t="s">
        <v>1027</v>
      </c>
      <c r="AB297" s="260"/>
      <c r="AC297" s="44">
        <f>ABS(X297/Y297-1)</f>
        <v>8.9999999999999969E-2</v>
      </c>
      <c r="AD297" s="42">
        <v>1.8499999999999999E-2</v>
      </c>
      <c r="AE297" s="41">
        <f t="shared" si="48"/>
        <v>7.1499999999999966E-2</v>
      </c>
      <c r="AF297" s="43"/>
      <c r="AG297" s="40">
        <f>X297*AE297</f>
        <v>28173.144999999986</v>
      </c>
      <c r="AH297" s="40">
        <f t="shared" si="49"/>
        <v>63175</v>
      </c>
      <c r="AI297" s="44">
        <f>AH297/X297</f>
        <v>0.1603304316930183</v>
      </c>
      <c r="AJ297" s="44">
        <f t="shared" si="50"/>
        <v>0.1603304316930183</v>
      </c>
      <c r="AK297" s="40">
        <f>AF297*X297</f>
        <v>0</v>
      </c>
      <c r="AL297" s="40">
        <f t="shared" si="44"/>
        <v>63175</v>
      </c>
      <c r="AM297" s="242">
        <f t="shared" si="39"/>
        <v>45046</v>
      </c>
      <c r="AN297" s="242" t="str">
        <f>IF(AQ297="x","",IF(AQ297="x",AM297,IF(EOMONTH(I297,0)=31,"",EOMONTH(I297,0))))</f>
        <v/>
      </c>
      <c r="AO297" s="79">
        <f>IFERROR(IF(VLOOKUP(C297,C298:C901,1,0)=0,1,0),1)</f>
        <v>1</v>
      </c>
      <c r="AP297" s="79"/>
      <c r="AQ297" s="243" t="str">
        <f t="shared" ref="AQ297:AQ360" si="51">IF(MID(G297,1,15)="NAO ASSINADO","x","")</f>
        <v/>
      </c>
      <c r="AR297" s="242" t="b">
        <f>IF(AQ297="x",EOMONTH(I297,0))</f>
        <v>0</v>
      </c>
      <c r="AS297" s="79">
        <f t="shared" si="45"/>
        <v>1</v>
      </c>
      <c r="AT297" s="79">
        <f t="shared" si="46"/>
        <v>1</v>
      </c>
      <c r="AU297" s="79" t="str">
        <f t="shared" si="47"/>
        <v>B</v>
      </c>
      <c r="AV297" s="79">
        <f t="shared" si="35"/>
        <v>1</v>
      </c>
      <c r="AW297" s="79" t="str">
        <f>J297&amp;AU297</f>
        <v>6B</v>
      </c>
      <c r="AX297" s="79">
        <f>IF(COUNTIFS(J:J,"Integral",E:E,E297,H:H,"Ativo")=4,1/4,1/10)</f>
        <v>0.1</v>
      </c>
      <c r="AY297" s="79"/>
      <c r="AZ297" s="79"/>
    </row>
    <row r="298" spans="1:52" ht="15.75" customHeight="1">
      <c r="A298" s="54">
        <v>306</v>
      </c>
      <c r="B298" s="399">
        <v>45047</v>
      </c>
      <c r="C298" s="32" t="s">
        <v>1028</v>
      </c>
      <c r="D298" s="32" t="s">
        <v>1029</v>
      </c>
      <c r="E298" s="32" t="s">
        <v>1030</v>
      </c>
      <c r="F298" s="32" t="s">
        <v>1031</v>
      </c>
      <c r="G298" s="33" t="s">
        <v>220</v>
      </c>
      <c r="H298" s="33" t="s">
        <v>90</v>
      </c>
      <c r="I298" s="34">
        <v>0</v>
      </c>
      <c r="J298" s="33">
        <v>13</v>
      </c>
      <c r="K298" s="35" t="s">
        <v>378</v>
      </c>
      <c r="L298" s="35" t="s">
        <v>378</v>
      </c>
      <c r="M298" s="67" t="s">
        <v>222</v>
      </c>
      <c r="N298" s="33" t="s">
        <v>68</v>
      </c>
      <c r="O298" s="33" t="s">
        <v>11</v>
      </c>
      <c r="P298" s="33" t="s">
        <v>1</v>
      </c>
      <c r="Q298" s="47"/>
      <c r="R298" s="47"/>
      <c r="S298" s="45" t="s">
        <v>145</v>
      </c>
      <c r="T298" s="45"/>
      <c r="U298" s="46">
        <v>45046</v>
      </c>
      <c r="V298" s="38">
        <f t="shared" si="36"/>
        <v>45047</v>
      </c>
      <c r="W298" s="50">
        <f>V298-U298</f>
        <v>1</v>
      </c>
      <c r="X298" s="261">
        <f>Y298*0.91</f>
        <v>1792700</v>
      </c>
      <c r="Y298" s="260">
        <v>1970000</v>
      </c>
      <c r="Z298" s="260">
        <v>1699500</v>
      </c>
      <c r="AA298" s="35">
        <v>0</v>
      </c>
      <c r="AB298" s="260"/>
      <c r="AC298" s="44">
        <f>ABS(X298/Y298-1)</f>
        <v>8.9999999999999969E-2</v>
      </c>
      <c r="AD298" s="42">
        <v>3.0200000000000001E-2</v>
      </c>
      <c r="AE298" s="41">
        <f t="shared" si="48"/>
        <v>5.9799999999999964E-2</v>
      </c>
      <c r="AF298" s="43"/>
      <c r="AG298" s="40">
        <f>X298*AE298</f>
        <v>107203.45999999993</v>
      </c>
      <c r="AH298" s="40">
        <f t="shared" si="49"/>
        <v>270500</v>
      </c>
      <c r="AI298" s="44">
        <f>AH298/X298</f>
        <v>0.15088971941763821</v>
      </c>
      <c r="AJ298" s="44">
        <f t="shared" si="50"/>
        <v>0.15088971941763821</v>
      </c>
      <c r="AK298" s="40">
        <f>AF298*X298</f>
        <v>0</v>
      </c>
      <c r="AL298" s="40">
        <f t="shared" si="44"/>
        <v>270500</v>
      </c>
      <c r="AM298" s="242">
        <f t="shared" si="39"/>
        <v>45077</v>
      </c>
      <c r="AN298" s="242" t="str">
        <f>IF(AQ298="x","",IF(AQ298="x",AM298,IF(EOMONTH(I298,0)=31,"",EOMONTH(I298,0))))</f>
        <v/>
      </c>
      <c r="AO298" s="79">
        <f>IFERROR(IF(VLOOKUP(C298,C299:C902,1,0)=0,1,0),1)</f>
        <v>1</v>
      </c>
      <c r="AP298" s="79"/>
      <c r="AQ298" s="243" t="str">
        <f t="shared" si="51"/>
        <v/>
      </c>
      <c r="AR298" s="242" t="b">
        <f>IF(AQ298="x",EOMONTH(I298,0))</f>
        <v>0</v>
      </c>
      <c r="AS298" s="79">
        <f t="shared" si="45"/>
        <v>1</v>
      </c>
      <c r="AT298" s="79">
        <f t="shared" si="46"/>
        <v>1</v>
      </c>
      <c r="AU298" s="79" t="str">
        <f t="shared" si="47"/>
        <v>C</v>
      </c>
      <c r="AV298" s="79">
        <f t="shared" si="35"/>
        <v>1</v>
      </c>
      <c r="AW298" s="79" t="str">
        <f>J298&amp;AU298</f>
        <v>13C</v>
      </c>
      <c r="AX298" s="79">
        <f>IF(COUNTIFS(J:J,"Integral",E:E,E298,H:H,"Ativo")=4,1/4,1/10)</f>
        <v>0.1</v>
      </c>
      <c r="AY298" s="79"/>
      <c r="AZ298" s="79"/>
    </row>
    <row r="299" spans="1:52" ht="15.75" customHeight="1">
      <c r="A299" s="54">
        <v>307</v>
      </c>
      <c r="B299" s="399">
        <v>45047</v>
      </c>
      <c r="C299" s="32" t="s">
        <v>1032</v>
      </c>
      <c r="D299" s="32" t="s">
        <v>305</v>
      </c>
      <c r="E299" s="32" t="s">
        <v>306</v>
      </c>
      <c r="F299" s="32" t="s">
        <v>1033</v>
      </c>
      <c r="G299" s="33" t="s">
        <v>220</v>
      </c>
      <c r="H299" s="33" t="s">
        <v>90</v>
      </c>
      <c r="I299" s="34">
        <v>0</v>
      </c>
      <c r="J299" s="33">
        <v>13</v>
      </c>
      <c r="K299" s="35" t="s">
        <v>981</v>
      </c>
      <c r="L299" s="35" t="s">
        <v>977</v>
      </c>
      <c r="M299" s="67" t="s">
        <v>222</v>
      </c>
      <c r="N299" s="33" t="s">
        <v>68</v>
      </c>
      <c r="O299" s="33" t="s">
        <v>12</v>
      </c>
      <c r="P299" s="33" t="s">
        <v>83</v>
      </c>
      <c r="Q299" s="47" t="s">
        <v>97</v>
      </c>
      <c r="R299" s="47"/>
      <c r="S299" s="45" t="s">
        <v>143</v>
      </c>
      <c r="T299" s="45"/>
      <c r="U299" s="46">
        <v>45046</v>
      </c>
      <c r="V299" s="38">
        <f t="shared" si="36"/>
        <v>45047</v>
      </c>
      <c r="W299" s="50">
        <f>V299-U299</f>
        <v>1</v>
      </c>
      <c r="X299" s="261">
        <f>Y299*0.91</f>
        <v>941167.5</v>
      </c>
      <c r="Y299" s="260">
        <v>1034250</v>
      </c>
      <c r="Z299" s="260">
        <v>860000</v>
      </c>
      <c r="AA299" s="35" t="s">
        <v>1034</v>
      </c>
      <c r="AB299" s="260"/>
      <c r="AC299" s="44">
        <f>ABS(X299/Y299-1)</f>
        <v>8.9999999999999969E-2</v>
      </c>
      <c r="AD299" s="42">
        <v>0.1865</v>
      </c>
      <c r="AE299" s="41">
        <f t="shared" si="48"/>
        <v>-9.650000000000003E-2</v>
      </c>
      <c r="AF299" s="43">
        <v>9.6500000000000002E-2</v>
      </c>
      <c r="AG299" s="40">
        <f>IF((X299*AE299)&lt;0,0,(X299*AE299))</f>
        <v>0</v>
      </c>
      <c r="AH299" s="40">
        <f t="shared" si="49"/>
        <v>174250</v>
      </c>
      <c r="AI299" s="44">
        <f>AH299/X299</f>
        <v>0.18514238963840124</v>
      </c>
      <c r="AJ299" s="44">
        <f t="shared" si="50"/>
        <v>8.8642389638401237E-2</v>
      </c>
      <c r="AK299" s="40">
        <f>AF299*X299</f>
        <v>90822.663750000007</v>
      </c>
      <c r="AL299" s="40">
        <f t="shared" si="44"/>
        <v>83427.336249999993</v>
      </c>
      <c r="AM299" s="242">
        <f t="shared" si="39"/>
        <v>45077</v>
      </c>
      <c r="AN299" s="242" t="str">
        <f>IF(AQ299="x","",IF(AQ299="x",AM299,IF(EOMONTH(I299,0)=31,"",EOMONTH(I299,0))))</f>
        <v/>
      </c>
      <c r="AO299" s="79">
        <f>IFERROR(IF(VLOOKUP(C299,C300:C903,1,0)=0,1,0),1)</f>
        <v>1</v>
      </c>
      <c r="AP299" s="79"/>
      <c r="AQ299" s="243" t="str">
        <f t="shared" si="51"/>
        <v/>
      </c>
      <c r="AR299" s="242" t="b">
        <f>IF(AQ299="x",EOMONTH(I299,0))</f>
        <v>0</v>
      </c>
      <c r="AS299" s="79">
        <f t="shared" si="45"/>
        <v>1</v>
      </c>
      <c r="AT299" s="79">
        <f t="shared" si="46"/>
        <v>1</v>
      </c>
      <c r="AU299" s="79" t="str">
        <f t="shared" si="47"/>
        <v>A</v>
      </c>
      <c r="AV299" s="79">
        <f t="shared" si="35"/>
        <v>1</v>
      </c>
      <c r="AW299" s="79" t="str">
        <f>J299&amp;AU299</f>
        <v>13A</v>
      </c>
      <c r="AX299" s="79">
        <f>IF(COUNTIFS(J:J,"Integral",E:E,E299,H:H,"Ativo")=4,1/4,1/10)</f>
        <v>0.1</v>
      </c>
      <c r="AY299" s="79"/>
      <c r="AZ299" s="79"/>
    </row>
    <row r="300" spans="1:52" ht="15.75" customHeight="1">
      <c r="A300" s="54">
        <v>308</v>
      </c>
      <c r="B300" s="399">
        <v>45047</v>
      </c>
      <c r="C300" s="32" t="s">
        <v>1035</v>
      </c>
      <c r="D300" s="32" t="s">
        <v>308</v>
      </c>
      <c r="E300" s="32" t="s">
        <v>306</v>
      </c>
      <c r="F300" s="32" t="s">
        <v>1036</v>
      </c>
      <c r="G300" s="33" t="s">
        <v>220</v>
      </c>
      <c r="H300" s="33" t="s">
        <v>90</v>
      </c>
      <c r="I300" s="34">
        <v>0</v>
      </c>
      <c r="J300" s="33">
        <v>13</v>
      </c>
      <c r="K300" s="35" t="s">
        <v>237</v>
      </c>
      <c r="L300" s="35" t="s">
        <v>274</v>
      </c>
      <c r="M300" s="67" t="s">
        <v>222</v>
      </c>
      <c r="N300" s="33" t="s">
        <v>68</v>
      </c>
      <c r="O300" s="33" t="s">
        <v>12</v>
      </c>
      <c r="P300" s="33" t="s">
        <v>83</v>
      </c>
      <c r="Q300" s="47" t="s">
        <v>97</v>
      </c>
      <c r="R300" s="47"/>
      <c r="S300" s="45" t="s">
        <v>147</v>
      </c>
      <c r="T300" s="45"/>
      <c r="U300" s="46">
        <v>45046</v>
      </c>
      <c r="V300" s="38">
        <f t="shared" si="36"/>
        <v>45047</v>
      </c>
      <c r="W300" s="50">
        <f>V300-U300</f>
        <v>1</v>
      </c>
      <c r="X300" s="261">
        <f>Y300*0.91</f>
        <v>941167.5</v>
      </c>
      <c r="Y300" s="260">
        <v>1034250</v>
      </c>
      <c r="Z300" s="260">
        <v>860000</v>
      </c>
      <c r="AA300" s="35" t="s">
        <v>1027</v>
      </c>
      <c r="AB300" s="260"/>
      <c r="AC300" s="44">
        <f>ABS(X300/Y300-1)</f>
        <v>8.9999999999999969E-2</v>
      </c>
      <c r="AD300" s="42">
        <v>0.1865</v>
      </c>
      <c r="AE300" s="41">
        <f t="shared" si="48"/>
        <v>-9.650000000000003E-2</v>
      </c>
      <c r="AF300" s="43">
        <v>9.6500000000000002E-2</v>
      </c>
      <c r="AG300" s="40">
        <f>IF((X300*AE300)&lt;0,0,(X300*AE300))</f>
        <v>0</v>
      </c>
      <c r="AH300" s="40">
        <f t="shared" si="49"/>
        <v>174250</v>
      </c>
      <c r="AI300" s="44">
        <f>AH300/X300</f>
        <v>0.18514238963840124</v>
      </c>
      <c r="AJ300" s="44">
        <f t="shared" si="50"/>
        <v>8.8642389638401237E-2</v>
      </c>
      <c r="AK300" s="40">
        <f>AF300*X300</f>
        <v>90822.663750000007</v>
      </c>
      <c r="AL300" s="40">
        <f t="shared" si="44"/>
        <v>83427.336249999993</v>
      </c>
      <c r="AM300" s="242">
        <f t="shared" si="39"/>
        <v>45077</v>
      </c>
      <c r="AN300" s="242" t="str">
        <f>IF(AQ300="x","",IF(AQ300="x",AM300,IF(EOMONTH(I300,0)=31,"",EOMONTH(I300,0))))</f>
        <v/>
      </c>
      <c r="AO300" s="79">
        <f>IFERROR(IF(VLOOKUP(C300,C301:C903,1,0)=0,1,0),1)</f>
        <v>0</v>
      </c>
      <c r="AP300" s="79"/>
      <c r="AQ300" s="243" t="str">
        <f t="shared" si="51"/>
        <v/>
      </c>
      <c r="AR300" s="242" t="b">
        <f>IF(AQ300="x",EOMONTH(I300,0))</f>
        <v>0</v>
      </c>
      <c r="AS300" s="79">
        <f t="shared" si="45"/>
        <v>1</v>
      </c>
      <c r="AT300" s="79">
        <f t="shared" si="46"/>
        <v>1</v>
      </c>
      <c r="AU300" s="79" t="str">
        <f t="shared" si="47"/>
        <v>A</v>
      </c>
      <c r="AV300" s="79">
        <f t="shared" si="35"/>
        <v>1</v>
      </c>
      <c r="AW300" s="79" t="str">
        <f>J300&amp;AU300</f>
        <v>13A</v>
      </c>
      <c r="AX300" s="79">
        <f>IF(COUNTIFS(J:J,"Integral",E:E,E300,H:H,"Ativo")=4,1/4,1/10)</f>
        <v>0.1</v>
      </c>
      <c r="AY300" s="79"/>
      <c r="AZ300" s="79"/>
    </row>
    <row r="301" spans="1:52" ht="15.75" customHeight="1">
      <c r="A301" s="54">
        <v>309</v>
      </c>
      <c r="B301" s="399">
        <v>45047</v>
      </c>
      <c r="C301" s="32" t="s">
        <v>1037</v>
      </c>
      <c r="D301" s="32" t="s">
        <v>310</v>
      </c>
      <c r="E301" s="32" t="s">
        <v>306</v>
      </c>
      <c r="F301" s="32" t="s">
        <v>1038</v>
      </c>
      <c r="G301" s="33" t="s">
        <v>220</v>
      </c>
      <c r="H301" s="33" t="s">
        <v>90</v>
      </c>
      <c r="I301" s="34">
        <v>0</v>
      </c>
      <c r="J301" s="33">
        <v>13</v>
      </c>
      <c r="K301" s="35" t="s">
        <v>237</v>
      </c>
      <c r="L301" s="35" t="s">
        <v>274</v>
      </c>
      <c r="M301" s="67" t="s">
        <v>222</v>
      </c>
      <c r="N301" s="33" t="s">
        <v>68</v>
      </c>
      <c r="O301" s="33" t="s">
        <v>12</v>
      </c>
      <c r="P301" s="33" t="s">
        <v>83</v>
      </c>
      <c r="Q301" s="47" t="s">
        <v>97</v>
      </c>
      <c r="R301" s="47"/>
      <c r="S301" s="45" t="s">
        <v>147</v>
      </c>
      <c r="T301" s="45"/>
      <c r="U301" s="46">
        <v>45046</v>
      </c>
      <c r="V301" s="38">
        <f t="shared" si="36"/>
        <v>45047</v>
      </c>
      <c r="W301" s="50">
        <f>V301-U301</f>
        <v>1</v>
      </c>
      <c r="X301" s="261">
        <f>Y301*0.91</f>
        <v>941167.5</v>
      </c>
      <c r="Y301" s="260">
        <v>1034250</v>
      </c>
      <c r="Z301" s="260">
        <v>860000</v>
      </c>
      <c r="AA301" s="35" t="s">
        <v>1027</v>
      </c>
      <c r="AB301" s="260"/>
      <c r="AC301" s="44">
        <f>ABS(X301/Y301-1)</f>
        <v>8.9999999999999969E-2</v>
      </c>
      <c r="AD301" s="42">
        <v>0.1865</v>
      </c>
      <c r="AE301" s="41">
        <f t="shared" si="48"/>
        <v>-9.650000000000003E-2</v>
      </c>
      <c r="AF301" s="43">
        <v>9.6500000000000002E-2</v>
      </c>
      <c r="AG301" s="40">
        <f>IF((X301*AE301)&lt;0,0,(X301*AE301))</f>
        <v>0</v>
      </c>
      <c r="AH301" s="40">
        <f t="shared" si="49"/>
        <v>174250</v>
      </c>
      <c r="AI301" s="44">
        <f>AH301/X301</f>
        <v>0.18514238963840124</v>
      </c>
      <c r="AJ301" s="44">
        <f t="shared" si="50"/>
        <v>8.8642389638401237E-2</v>
      </c>
      <c r="AK301" s="40">
        <f>AF301*X301</f>
        <v>90822.663750000007</v>
      </c>
      <c r="AL301" s="40">
        <f t="shared" si="44"/>
        <v>83427.336249999993</v>
      </c>
      <c r="AM301" s="242">
        <f t="shared" si="39"/>
        <v>45077</v>
      </c>
      <c r="AN301" s="242" t="str">
        <f>IF(AQ301="x","",IF(AQ301="x",AM301,IF(EOMONTH(I301,0)=31,"",EOMONTH(I301,0))))</f>
        <v/>
      </c>
      <c r="AO301" s="79">
        <f>IFERROR(IF(VLOOKUP(C301,C302:C904,1,0)=0,1,0),1)</f>
        <v>1</v>
      </c>
      <c r="AP301" s="79"/>
      <c r="AQ301" s="243" t="str">
        <f t="shared" si="51"/>
        <v/>
      </c>
      <c r="AR301" s="242" t="b">
        <f>IF(AQ301="x",EOMONTH(I301,0))</f>
        <v>0</v>
      </c>
      <c r="AS301" s="79">
        <f t="shared" si="45"/>
        <v>1</v>
      </c>
      <c r="AT301" s="79">
        <f t="shared" si="46"/>
        <v>1</v>
      </c>
      <c r="AU301" s="79" t="str">
        <f t="shared" si="47"/>
        <v>A</v>
      </c>
      <c r="AV301" s="79">
        <f t="shared" si="35"/>
        <v>1</v>
      </c>
      <c r="AW301" s="79" t="str">
        <f>J301&amp;AU301</f>
        <v>13A</v>
      </c>
      <c r="AX301" s="79">
        <f>IF(COUNTIFS(J:J,"Integral",E:E,E301,H:H,"Ativo")=4,1/4,1/10)</f>
        <v>0.1</v>
      </c>
      <c r="AY301" s="79"/>
      <c r="AZ301" s="79"/>
    </row>
    <row r="302" spans="1:52" ht="15.75" customHeight="1">
      <c r="A302" s="54">
        <v>311</v>
      </c>
      <c r="B302" s="399">
        <v>45049</v>
      </c>
      <c r="C302" s="32" t="s">
        <v>1039</v>
      </c>
      <c r="D302" s="32" t="s">
        <v>467</v>
      </c>
      <c r="E302" s="32" t="s">
        <v>468</v>
      </c>
      <c r="F302" s="32" t="s">
        <v>1040</v>
      </c>
      <c r="G302" s="33" t="s">
        <v>220</v>
      </c>
      <c r="H302" s="33" t="s">
        <v>90</v>
      </c>
      <c r="I302" s="34">
        <v>0</v>
      </c>
      <c r="J302" s="33">
        <v>13</v>
      </c>
      <c r="K302" s="35" t="s">
        <v>778</v>
      </c>
      <c r="L302" s="35" t="s">
        <v>333</v>
      </c>
      <c r="M302" s="67" t="s">
        <v>222</v>
      </c>
      <c r="N302" s="33" t="s">
        <v>68</v>
      </c>
      <c r="O302" s="33" t="s">
        <v>11</v>
      </c>
      <c r="P302" s="59" t="s">
        <v>85</v>
      </c>
      <c r="Q302" s="349"/>
      <c r="R302" s="349"/>
      <c r="S302" s="45" t="s">
        <v>147</v>
      </c>
      <c r="T302" s="45"/>
      <c r="U302" s="46">
        <v>45049</v>
      </c>
      <c r="V302" s="38">
        <f t="shared" si="36"/>
        <v>45049</v>
      </c>
      <c r="W302" s="50">
        <f>V302-U302</f>
        <v>0</v>
      </c>
      <c r="X302" s="261">
        <f>Y302*0.91</f>
        <v>785330</v>
      </c>
      <c r="Y302" s="260">
        <v>863000</v>
      </c>
      <c r="Z302" s="260">
        <v>755000</v>
      </c>
      <c r="AA302" s="35">
        <v>0</v>
      </c>
      <c r="AB302" s="260"/>
      <c r="AC302" s="44">
        <f>ABS(X302/Y302-1)</f>
        <v>8.9999999999999969E-2</v>
      </c>
      <c r="AD302" s="42">
        <v>1.4E-2</v>
      </c>
      <c r="AE302" s="41">
        <f t="shared" si="48"/>
        <v>7.599999999999997E-2</v>
      </c>
      <c r="AF302" s="43"/>
      <c r="AG302" s="40">
        <f>IF((X302*AE302)&lt;0,0,(X302*AE302))</f>
        <v>59685.07999999998</v>
      </c>
      <c r="AH302" s="40">
        <f t="shared" si="49"/>
        <v>108000</v>
      </c>
      <c r="AI302" s="44">
        <f>AH302/X302</f>
        <v>0.13752180611972037</v>
      </c>
      <c r="AJ302" s="44">
        <f t="shared" si="50"/>
        <v>0.13752180611972037</v>
      </c>
      <c r="AK302" s="40">
        <f>AF302*X302</f>
        <v>0</v>
      </c>
      <c r="AL302" s="40">
        <f t="shared" si="44"/>
        <v>108000</v>
      </c>
      <c r="AM302" s="242">
        <f t="shared" si="39"/>
        <v>45077</v>
      </c>
      <c r="AN302" s="242" t="str">
        <f>IF(AQ302="x","",IF(AQ302="x",AM302,IF(EOMONTH(I302,0)=31,"",EOMONTH(I302,0))))</f>
        <v/>
      </c>
      <c r="AO302" s="79">
        <f>IFERROR(IF(VLOOKUP(C302,C303:C905,1,0)=0,1,0),1)</f>
        <v>1</v>
      </c>
      <c r="AP302" s="79"/>
      <c r="AQ302" s="243" t="str">
        <f t="shared" si="51"/>
        <v/>
      </c>
      <c r="AR302" s="242" t="b">
        <f>IF(AQ302="x",EOMONTH(I302,0))</f>
        <v>0</v>
      </c>
      <c r="AS302" s="79">
        <f t="shared" si="45"/>
        <v>1</v>
      </c>
      <c r="AT302" s="79">
        <f t="shared" si="46"/>
        <v>1</v>
      </c>
      <c r="AU302" s="79" t="str">
        <f t="shared" si="47"/>
        <v>B</v>
      </c>
      <c r="AV302" s="79">
        <f t="shared" si="35"/>
        <v>1</v>
      </c>
      <c r="AW302" s="79" t="str">
        <f>J302&amp;AU302</f>
        <v>13B</v>
      </c>
      <c r="AX302" s="79">
        <f>IF(COUNTIFS(J:J,"Integral",E:E,E302,H:H,"Ativo")=4,1/4,1/10)</f>
        <v>0.1</v>
      </c>
      <c r="AY302" s="79"/>
      <c r="AZ302" s="79"/>
    </row>
    <row r="303" spans="1:52" ht="15.75" customHeight="1">
      <c r="A303" s="54">
        <v>312</v>
      </c>
      <c r="B303" s="402">
        <v>45049</v>
      </c>
      <c r="C303" s="32" t="s">
        <v>1041</v>
      </c>
      <c r="D303" s="32" t="s">
        <v>1042</v>
      </c>
      <c r="E303" s="32" t="s">
        <v>1043</v>
      </c>
      <c r="F303" s="32" t="s">
        <v>1044</v>
      </c>
      <c r="G303" s="60" t="s">
        <v>220</v>
      </c>
      <c r="H303" s="33" t="s">
        <v>90</v>
      </c>
      <c r="I303" s="34">
        <v>0</v>
      </c>
      <c r="J303" s="33">
        <v>6</v>
      </c>
      <c r="K303" s="35" t="s">
        <v>977</v>
      </c>
      <c r="L303" s="35" t="s">
        <v>977</v>
      </c>
      <c r="M303" s="67" t="s">
        <v>222</v>
      </c>
      <c r="N303" s="33" t="s">
        <v>68</v>
      </c>
      <c r="O303" s="33" t="s">
        <v>12</v>
      </c>
      <c r="P303" s="33" t="s">
        <v>2</v>
      </c>
      <c r="Q303" s="47"/>
      <c r="R303" s="47"/>
      <c r="S303" s="45" t="s">
        <v>145</v>
      </c>
      <c r="T303" s="45"/>
      <c r="U303" s="46">
        <v>45049</v>
      </c>
      <c r="V303" s="38">
        <f t="shared" si="36"/>
        <v>45049</v>
      </c>
      <c r="W303" s="50">
        <f>V303-U303</f>
        <v>0</v>
      </c>
      <c r="X303" s="261">
        <f>Y303*0.91</f>
        <v>394030</v>
      </c>
      <c r="Y303" s="260">
        <v>433000</v>
      </c>
      <c r="Z303" s="260">
        <v>432984</v>
      </c>
      <c r="AA303" s="35" t="s">
        <v>999</v>
      </c>
      <c r="AB303" s="260"/>
      <c r="AC303" s="44">
        <f>ABS(X303/Y303-1)</f>
        <v>8.9999999999999969E-2</v>
      </c>
      <c r="AD303" s="42">
        <v>7.4000000000000003E-3</v>
      </c>
      <c r="AE303" s="41">
        <f t="shared" si="48"/>
        <v>8.2599999999999965E-2</v>
      </c>
      <c r="AF303" s="43"/>
      <c r="AG303" s="40">
        <f>IF((X303*AE303)&lt;0,0,(X303*AE303))</f>
        <v>32546.877999999986</v>
      </c>
      <c r="AH303" s="40">
        <f t="shared" si="49"/>
        <v>16</v>
      </c>
      <c r="AI303" s="44">
        <f>AH303/X303</f>
        <v>4.0606045224982868E-5</v>
      </c>
      <c r="AJ303" s="44">
        <f t="shared" si="50"/>
        <v>4.0606045224982868E-5</v>
      </c>
      <c r="AK303" s="40">
        <f>AF303*X303</f>
        <v>0</v>
      </c>
      <c r="AL303" s="40">
        <f t="shared" si="44"/>
        <v>16</v>
      </c>
      <c r="AM303" s="242">
        <f t="shared" si="39"/>
        <v>45077</v>
      </c>
      <c r="AN303" s="242" t="str">
        <f>IF(AQ303="x","",IF(AQ303="x",AM303,IF(EOMONTH(I303,0)=31,"",EOMONTH(I303,0))))</f>
        <v/>
      </c>
      <c r="AO303" s="79">
        <f>IFERROR(IF(VLOOKUP(C303,C304:C906,1,0)=0,1,0),1)</f>
        <v>1</v>
      </c>
      <c r="AP303" s="79"/>
      <c r="AQ303" s="243" t="str">
        <f t="shared" si="51"/>
        <v/>
      </c>
      <c r="AR303" s="242" t="b">
        <f>IF(AQ303="x",EOMONTH(I303,0))</f>
        <v>0</v>
      </c>
      <c r="AS303" s="79">
        <f t="shared" si="45"/>
        <v>1</v>
      </c>
      <c r="AT303" s="79">
        <f t="shared" si="46"/>
        <v>1</v>
      </c>
      <c r="AU303" s="79" t="str">
        <f t="shared" si="47"/>
        <v>B</v>
      </c>
      <c r="AV303" s="79">
        <f t="shared" si="35"/>
        <v>1</v>
      </c>
      <c r="AW303" s="79" t="str">
        <f>J303&amp;AU303</f>
        <v>6B</v>
      </c>
      <c r="AX303" s="79">
        <f>IF(COUNTIFS(J:J,"Integral",E:E,E303,H:H,"Ativo")=4,1/4,1/10)</f>
        <v>0.1</v>
      </c>
      <c r="AY303" s="79"/>
      <c r="AZ303" s="79"/>
    </row>
    <row r="304" spans="1:52" ht="15.75" customHeight="1">
      <c r="A304" s="54">
        <v>313</v>
      </c>
      <c r="B304" s="399">
        <v>45054</v>
      </c>
      <c r="C304" s="32" t="s">
        <v>1045</v>
      </c>
      <c r="D304" s="32" t="s">
        <v>1046</v>
      </c>
      <c r="E304" s="32" t="s">
        <v>283</v>
      </c>
      <c r="F304" s="32" t="s">
        <v>1047</v>
      </c>
      <c r="G304" s="33" t="s">
        <v>220</v>
      </c>
      <c r="H304" s="33" t="s">
        <v>90</v>
      </c>
      <c r="I304" s="34">
        <v>0</v>
      </c>
      <c r="J304" s="33">
        <v>6</v>
      </c>
      <c r="K304" s="35" t="s">
        <v>981</v>
      </c>
      <c r="L304" s="35" t="s">
        <v>981</v>
      </c>
      <c r="M304" s="67" t="s">
        <v>222</v>
      </c>
      <c r="N304" s="33" t="s">
        <v>68</v>
      </c>
      <c r="O304" s="33" t="s">
        <v>11</v>
      </c>
      <c r="P304" s="33" t="s">
        <v>2</v>
      </c>
      <c r="Q304" s="47"/>
      <c r="R304" s="47"/>
      <c r="S304" s="45" t="s">
        <v>143</v>
      </c>
      <c r="T304" s="45"/>
      <c r="U304" s="46">
        <v>44989</v>
      </c>
      <c r="V304" s="38">
        <f t="shared" si="36"/>
        <v>45054</v>
      </c>
      <c r="W304" s="50">
        <f>V304-U304</f>
        <v>65</v>
      </c>
      <c r="X304" s="261">
        <f>Y304*0.91</f>
        <v>435890</v>
      </c>
      <c r="Y304" s="260">
        <v>479000</v>
      </c>
      <c r="Z304" s="260">
        <v>410000</v>
      </c>
      <c r="AA304" s="35">
        <v>0</v>
      </c>
      <c r="AB304" s="260"/>
      <c r="AC304" s="44">
        <f>ABS(X304/Y304-1)</f>
        <v>8.9999999999999969E-2</v>
      </c>
      <c r="AD304" s="42">
        <v>-1.2699999999999999E-2</v>
      </c>
      <c r="AE304" s="41">
        <f t="shared" si="48"/>
        <v>0.10269999999999997</v>
      </c>
      <c r="AF304" s="43"/>
      <c r="AG304" s="40">
        <f>IF((X304*AE304)&lt;0,0,(X304*AE304))</f>
        <v>44765.902999999991</v>
      </c>
      <c r="AH304" s="40">
        <f t="shared" si="49"/>
        <v>69000</v>
      </c>
      <c r="AI304" s="44">
        <f>AH304/X304</f>
        <v>0.15829681800454243</v>
      </c>
      <c r="AJ304" s="44">
        <f t="shared" si="50"/>
        <v>0.15829681800454243</v>
      </c>
      <c r="AK304" s="40">
        <f>AF304*X304</f>
        <v>0</v>
      </c>
      <c r="AL304" s="40">
        <f t="shared" si="44"/>
        <v>69000</v>
      </c>
      <c r="AM304" s="242">
        <f t="shared" si="39"/>
        <v>45077</v>
      </c>
      <c r="AN304" s="242" t="str">
        <f>IF(AQ304="x","",IF(AQ304="x",AM304,IF(EOMONTH(I304,0)=31,"",EOMONTH(I304,0))))</f>
        <v/>
      </c>
      <c r="AO304" s="79">
        <f>IFERROR(IF(VLOOKUP(C304,C305:C907,1,0)=0,1,0),1)</f>
        <v>1</v>
      </c>
      <c r="AP304" s="79"/>
      <c r="AQ304" s="243" t="str">
        <f t="shared" si="51"/>
        <v/>
      </c>
      <c r="AR304" s="242" t="b">
        <f>IF(AQ304="x",EOMONTH(I304,0))</f>
        <v>0</v>
      </c>
      <c r="AS304" s="79">
        <f t="shared" si="45"/>
        <v>1</v>
      </c>
      <c r="AT304" s="79">
        <f t="shared" si="46"/>
        <v>1</v>
      </c>
      <c r="AU304" s="79" t="str">
        <f t="shared" si="47"/>
        <v>B</v>
      </c>
      <c r="AV304" s="79">
        <f t="shared" si="35"/>
        <v>1</v>
      </c>
      <c r="AW304" s="79" t="str">
        <f>J304&amp;AU304</f>
        <v>6B</v>
      </c>
      <c r="AX304" s="79">
        <f>IF(COUNTIFS(J:J,"Integral",E:E,E304,H:H,"Ativo")=4,1/4,1/10)</f>
        <v>0.1</v>
      </c>
      <c r="AY304" s="79"/>
      <c r="AZ304" s="79"/>
    </row>
    <row r="305" spans="1:52" ht="15.75" customHeight="1">
      <c r="A305" s="54">
        <v>320</v>
      </c>
      <c r="B305" s="402">
        <v>45061</v>
      </c>
      <c r="C305" s="32" t="s">
        <v>1048</v>
      </c>
      <c r="D305" s="32" t="s">
        <v>1049</v>
      </c>
      <c r="E305" s="32" t="s">
        <v>572</v>
      </c>
      <c r="F305" s="32" t="s">
        <v>1050</v>
      </c>
      <c r="G305" s="60" t="s">
        <v>220</v>
      </c>
      <c r="H305" s="33" t="s">
        <v>90</v>
      </c>
      <c r="I305" s="34">
        <v>0</v>
      </c>
      <c r="J305" s="33">
        <v>6</v>
      </c>
      <c r="K305" s="35" t="s">
        <v>394</v>
      </c>
      <c r="L305" s="35" t="s">
        <v>394</v>
      </c>
      <c r="M305" s="67" t="s">
        <v>222</v>
      </c>
      <c r="N305" s="33" t="s">
        <v>68</v>
      </c>
      <c r="O305" s="33" t="s">
        <v>10</v>
      </c>
      <c r="P305" s="33" t="s">
        <v>2</v>
      </c>
      <c r="Q305" s="47"/>
      <c r="R305" s="47"/>
      <c r="S305" s="45" t="s">
        <v>145</v>
      </c>
      <c r="T305" s="45"/>
      <c r="U305" s="61">
        <v>45049</v>
      </c>
      <c r="V305" s="38">
        <f t="shared" si="36"/>
        <v>45061</v>
      </c>
      <c r="W305" s="50">
        <f>V305-U305</f>
        <v>12</v>
      </c>
      <c r="X305" s="261">
        <f>Y305*0.91</f>
        <v>462280</v>
      </c>
      <c r="Y305" s="263">
        <v>508000</v>
      </c>
      <c r="Z305" s="263">
        <v>399000</v>
      </c>
      <c r="AA305" s="35"/>
      <c r="AB305" s="263"/>
      <c r="AC305" s="44">
        <f>ABS(X305/Y305-1)</f>
        <v>8.9999999999999969E-2</v>
      </c>
      <c r="AD305" s="62">
        <v>5.9999999999999995E-4</v>
      </c>
      <c r="AE305" s="41">
        <f t="shared" si="48"/>
        <v>8.9399999999999966E-2</v>
      </c>
      <c r="AF305" s="42"/>
      <c r="AG305" s="40">
        <f>IF((X305*AE305)&lt;0,0,(X305*AE305))</f>
        <v>41327.831999999988</v>
      </c>
      <c r="AH305" s="40">
        <f t="shared" si="49"/>
        <v>109000</v>
      </c>
      <c r="AI305" s="44">
        <f>AH305/X305</f>
        <v>0.23578783421303107</v>
      </c>
      <c r="AJ305" s="44">
        <f t="shared" si="50"/>
        <v>0.23578783421303107</v>
      </c>
      <c r="AK305" s="40">
        <f>AF305*X305</f>
        <v>0</v>
      </c>
      <c r="AL305" s="40">
        <f t="shared" si="44"/>
        <v>109000</v>
      </c>
      <c r="AM305" s="242">
        <f t="shared" si="39"/>
        <v>45077</v>
      </c>
      <c r="AN305" s="242" t="str">
        <f>IF(AQ305="x","",IF(AQ305="x",AM305,IF(EOMONTH(I305,0)=31,"",EOMONTH(I305,0))))</f>
        <v/>
      </c>
      <c r="AO305" s="79">
        <f>IFERROR(IF(VLOOKUP(C305,C306:C908,1,0)=0,1,0),1)</f>
        <v>1</v>
      </c>
      <c r="AP305" s="79"/>
      <c r="AQ305" s="243" t="str">
        <f t="shared" si="51"/>
        <v/>
      </c>
      <c r="AR305" s="242" t="b">
        <f>IF(AQ305="x",EOMONTH(I305,0))</f>
        <v>0</v>
      </c>
      <c r="AS305" s="79">
        <f t="shared" si="45"/>
        <v>1</v>
      </c>
      <c r="AT305" s="79">
        <f t="shared" si="46"/>
        <v>1</v>
      </c>
      <c r="AU305" s="79" t="str">
        <f t="shared" si="47"/>
        <v>B</v>
      </c>
      <c r="AV305" s="79">
        <f t="shared" ref="AV305:AV368" si="52">IF(AG305&lt;0,0,1)</f>
        <v>1</v>
      </c>
      <c r="AW305" s="79" t="str">
        <f>J305&amp;AU305</f>
        <v>6B</v>
      </c>
      <c r="AX305" s="79">
        <f>IF(COUNTIFS(J:J,"Integral",E:E,E305,H:H,"Ativo")=4,1/4,1/10)</f>
        <v>0.1</v>
      </c>
      <c r="AY305" s="79"/>
      <c r="AZ305" s="79"/>
    </row>
    <row r="306" spans="1:52" ht="15.75" customHeight="1">
      <c r="A306" s="54">
        <v>321</v>
      </c>
      <c r="B306" s="403">
        <v>45065</v>
      </c>
      <c r="C306" s="32" t="s">
        <v>1051</v>
      </c>
      <c r="D306" s="32" t="s">
        <v>1052</v>
      </c>
      <c r="E306" s="32" t="s">
        <v>1043</v>
      </c>
      <c r="F306" s="32" t="s">
        <v>1053</v>
      </c>
      <c r="G306" s="60" t="s">
        <v>243</v>
      </c>
      <c r="H306" s="33" t="s">
        <v>244</v>
      </c>
      <c r="I306" s="34">
        <v>45071</v>
      </c>
      <c r="J306" s="33">
        <v>6</v>
      </c>
      <c r="K306" s="35" t="s">
        <v>1054</v>
      </c>
      <c r="L306" s="35" t="s">
        <v>413</v>
      </c>
      <c r="M306" s="67" t="s">
        <v>222</v>
      </c>
      <c r="N306" s="33" t="s">
        <v>68</v>
      </c>
      <c r="O306" s="33" t="s">
        <v>12</v>
      </c>
      <c r="P306" s="33" t="s">
        <v>83</v>
      </c>
      <c r="Q306" s="47"/>
      <c r="R306" s="47"/>
      <c r="S306" s="45" t="s">
        <v>222</v>
      </c>
      <c r="T306" s="45"/>
      <c r="U306" s="63">
        <v>45064</v>
      </c>
      <c r="V306" s="48">
        <f t="shared" si="36"/>
        <v>45065</v>
      </c>
      <c r="W306" s="50">
        <f>V306-U306</f>
        <v>1</v>
      </c>
      <c r="X306" s="265">
        <f>Y306*0.91</f>
        <v>336700</v>
      </c>
      <c r="Y306" s="266">
        <v>370000</v>
      </c>
      <c r="Z306" s="266">
        <v>317200</v>
      </c>
      <c r="AA306" s="35" t="s">
        <v>846</v>
      </c>
      <c r="AB306" s="266"/>
      <c r="AC306" s="44">
        <f>ABS(X306/Y306-1)</f>
        <v>8.9999999999999969E-2</v>
      </c>
      <c r="AD306" s="62">
        <v>6.6600000000000006E-2</v>
      </c>
      <c r="AE306" s="41">
        <f t="shared" si="48"/>
        <v>2.3399999999999962E-2</v>
      </c>
      <c r="AF306" s="42"/>
      <c r="AG306" s="40">
        <f>IF((X306*AE306)&lt;0,0,(X306*AE306))</f>
        <v>7878.779999999987</v>
      </c>
      <c r="AH306" s="40">
        <f t="shared" si="49"/>
        <v>52800</v>
      </c>
      <c r="AI306" s="44">
        <f>AH306/X306</f>
        <v>0.15681615681615682</v>
      </c>
      <c r="AJ306" s="44">
        <f t="shared" si="50"/>
        <v>0.15681615681615682</v>
      </c>
      <c r="AK306" s="40">
        <f>AF306*X306</f>
        <v>0</v>
      </c>
      <c r="AL306" s="40">
        <f t="shared" si="44"/>
        <v>52800</v>
      </c>
      <c r="AM306" s="242">
        <f t="shared" si="39"/>
        <v>45077</v>
      </c>
      <c r="AN306" s="242" t="str">
        <f>IF(AQ306="x","",IF(AQ306="x",AM306,IF(EOMONTH(I306,0)=31,"",EOMONTH(I306,0))))</f>
        <v/>
      </c>
      <c r="AO306" s="79">
        <f>IFERROR(IF(VLOOKUP(C306,C307:C909,1,0)=0,1,0),1)</f>
        <v>1</v>
      </c>
      <c r="AP306" s="79"/>
      <c r="AQ306" s="243" t="str">
        <f t="shared" si="51"/>
        <v>x</v>
      </c>
      <c r="AR306" s="242">
        <f>IF(AQ306="x",EOMONTH(I306,0))</f>
        <v>45077</v>
      </c>
      <c r="AS306" s="79">
        <f t="shared" si="45"/>
        <v>1</v>
      </c>
      <c r="AT306" s="79">
        <f t="shared" si="46"/>
        <v>1</v>
      </c>
      <c r="AU306" s="79" t="str">
        <f t="shared" si="47"/>
        <v>B</v>
      </c>
      <c r="AV306" s="79">
        <f t="shared" si="52"/>
        <v>1</v>
      </c>
      <c r="AW306" s="79" t="str">
        <f>J306&amp;AU306</f>
        <v>6B</v>
      </c>
      <c r="AX306" s="79">
        <f>IF(COUNTIFS(J:J,"Integral",E:E,E306,H:H,"Ativo")=4,1/4,1/10)</f>
        <v>0.1</v>
      </c>
      <c r="AY306" s="79"/>
      <c r="AZ306" s="79"/>
    </row>
    <row r="307" spans="1:52" ht="15.75" customHeight="1">
      <c r="A307" s="54">
        <v>322</v>
      </c>
      <c r="B307" s="403">
        <v>45069</v>
      </c>
      <c r="C307" s="32" t="s">
        <v>1055</v>
      </c>
      <c r="D307" s="32" t="s">
        <v>379</v>
      </c>
      <c r="E307" s="32" t="s">
        <v>376</v>
      </c>
      <c r="F307" s="32" t="s">
        <v>1056</v>
      </c>
      <c r="G307" s="60" t="s">
        <v>220</v>
      </c>
      <c r="H307" s="33" t="s">
        <v>337</v>
      </c>
      <c r="I307" s="34">
        <v>45143</v>
      </c>
      <c r="J307" s="59">
        <v>13</v>
      </c>
      <c r="K307" s="35" t="s">
        <v>289</v>
      </c>
      <c r="L307" s="35" t="s">
        <v>289</v>
      </c>
      <c r="M307" s="67" t="s">
        <v>222</v>
      </c>
      <c r="N307" s="33" t="s">
        <v>68</v>
      </c>
      <c r="O307" s="33" t="s">
        <v>12</v>
      </c>
      <c r="P307" s="33" t="s">
        <v>1</v>
      </c>
      <c r="Q307" s="47"/>
      <c r="R307" s="47"/>
      <c r="S307" s="45" t="s">
        <v>143</v>
      </c>
      <c r="T307" s="45"/>
      <c r="U307" s="61">
        <v>45068</v>
      </c>
      <c r="V307" s="38">
        <f t="shared" si="36"/>
        <v>45069</v>
      </c>
      <c r="W307" s="50">
        <f>V307-U307</f>
        <v>1</v>
      </c>
      <c r="X307" s="265">
        <f>Y307*0.91</f>
        <v>1147510</v>
      </c>
      <c r="Y307" s="266">
        <v>1261000</v>
      </c>
      <c r="Z307" s="266">
        <v>1183000</v>
      </c>
      <c r="AA307" s="35" t="s">
        <v>846</v>
      </c>
      <c r="AB307" s="266"/>
      <c r="AC307" s="44">
        <f>ABS(X307/Y307-1)</f>
        <v>8.9999999999999969E-2</v>
      </c>
      <c r="AD307" s="62">
        <v>0.04</v>
      </c>
      <c r="AE307" s="41">
        <f t="shared" si="48"/>
        <v>4.9999999999999968E-2</v>
      </c>
      <c r="AF307" s="42"/>
      <c r="AG307" s="40">
        <f>IF((X307*AE307)&lt;0,0,(X307*AE307))</f>
        <v>57375.499999999964</v>
      </c>
      <c r="AH307" s="40">
        <f t="shared" si="49"/>
        <v>78000</v>
      </c>
      <c r="AI307" s="44">
        <f>AH307/X307</f>
        <v>6.7973263849552504E-2</v>
      </c>
      <c r="AJ307" s="44">
        <f t="shared" si="50"/>
        <v>6.7973263849552504E-2</v>
      </c>
      <c r="AK307" s="40">
        <f>AF307*X307</f>
        <v>0</v>
      </c>
      <c r="AL307" s="40">
        <f t="shared" si="44"/>
        <v>78000</v>
      </c>
      <c r="AM307" s="242">
        <f t="shared" si="39"/>
        <v>45077</v>
      </c>
      <c r="AN307" s="242">
        <f>IF(AQ307="x","",IF(AQ307="x",AM307,IF(EOMONTH(I307,0)=31,"",EOMONTH(I307,0))))</f>
        <v>45169</v>
      </c>
      <c r="AO307" s="350">
        <v>1</v>
      </c>
      <c r="AP307" s="350"/>
      <c r="AQ307" s="243" t="str">
        <f t="shared" si="51"/>
        <v/>
      </c>
      <c r="AR307" s="242" t="b">
        <f>IF(AQ307="x",EOMONTH(I307,0))</f>
        <v>0</v>
      </c>
      <c r="AS307" s="79">
        <f t="shared" si="45"/>
        <v>1</v>
      </c>
      <c r="AT307" s="79">
        <f t="shared" si="46"/>
        <v>1</v>
      </c>
      <c r="AU307" s="79" t="str">
        <f t="shared" si="47"/>
        <v>A</v>
      </c>
      <c r="AV307" s="79">
        <f t="shared" si="52"/>
        <v>1</v>
      </c>
      <c r="AW307" s="79" t="str">
        <f>J307&amp;AU307</f>
        <v>13A</v>
      </c>
      <c r="AX307" s="79">
        <f>IF(COUNTIFS(J:J,"Integral",E:E,E307,H:H,"Ativo")=4,1/4,1/10)</f>
        <v>0.1</v>
      </c>
      <c r="AY307" s="79"/>
      <c r="AZ307" s="79"/>
    </row>
    <row r="308" spans="1:52" ht="15.75" customHeight="1">
      <c r="A308" s="54">
        <v>323</v>
      </c>
      <c r="B308" s="401">
        <v>45070</v>
      </c>
      <c r="C308" s="32" t="s">
        <v>1057</v>
      </c>
      <c r="D308" s="32" t="s">
        <v>1058</v>
      </c>
      <c r="E308" s="32" t="s">
        <v>1043</v>
      </c>
      <c r="F308" s="32" t="s">
        <v>1059</v>
      </c>
      <c r="G308" s="60" t="s">
        <v>220</v>
      </c>
      <c r="H308" s="33" t="s">
        <v>90</v>
      </c>
      <c r="I308" s="34"/>
      <c r="J308" s="33">
        <v>6</v>
      </c>
      <c r="K308" s="35" t="s">
        <v>977</v>
      </c>
      <c r="L308" s="35" t="s">
        <v>977</v>
      </c>
      <c r="M308" s="67" t="s">
        <v>222</v>
      </c>
      <c r="N308" s="33" t="s">
        <v>68</v>
      </c>
      <c r="O308" s="33" t="s">
        <v>11</v>
      </c>
      <c r="P308" s="33" t="s">
        <v>85</v>
      </c>
      <c r="Q308" s="47"/>
      <c r="R308" s="47"/>
      <c r="S308" s="45" t="s">
        <v>147</v>
      </c>
      <c r="T308" s="45"/>
      <c r="U308" s="61">
        <v>45055</v>
      </c>
      <c r="V308" s="38">
        <f t="shared" si="36"/>
        <v>45070</v>
      </c>
      <c r="W308" s="50">
        <f>V308-U308</f>
        <v>15</v>
      </c>
      <c r="X308" s="261">
        <f>Y308*0.91</f>
        <v>336700</v>
      </c>
      <c r="Y308" s="263">
        <v>370000</v>
      </c>
      <c r="Z308" s="263">
        <v>328000</v>
      </c>
      <c r="AA308" s="35"/>
      <c r="AB308" s="263"/>
      <c r="AC308" s="44">
        <f>ABS(X308/Y308-1)</f>
        <v>8.9999999999999969E-2</v>
      </c>
      <c r="AD308" s="62">
        <v>-5.4899999999999997E-2</v>
      </c>
      <c r="AE308" s="41">
        <f t="shared" si="48"/>
        <v>0.14489999999999997</v>
      </c>
      <c r="AF308" s="42"/>
      <c r="AG308" s="40">
        <f>IF((X308*AE308)&lt;0,0,(X308*AE308))</f>
        <v>48787.829999999994</v>
      </c>
      <c r="AH308" s="40">
        <f t="shared" si="49"/>
        <v>42000</v>
      </c>
      <c r="AI308" s="44">
        <f>AH308/X308</f>
        <v>0.12474012474012475</v>
      </c>
      <c r="AJ308" s="44">
        <f t="shared" si="50"/>
        <v>0.12474012474012475</v>
      </c>
      <c r="AK308" s="40">
        <f>AF308*X308</f>
        <v>0</v>
      </c>
      <c r="AL308" s="40">
        <f t="shared" si="44"/>
        <v>42000</v>
      </c>
      <c r="AM308" s="242">
        <f t="shared" si="39"/>
        <v>45077</v>
      </c>
      <c r="AN308" s="242" t="str">
        <f>IF(AQ308="x","",IF(AQ308="x",AM308,IF(EOMONTH(I308,0)=31,"",EOMONTH(I308,0))))</f>
        <v/>
      </c>
      <c r="AO308" s="79">
        <f>IFERROR(IF(VLOOKUP(C308,C309:C911,1,0)=0,1,0),1)</f>
        <v>1</v>
      </c>
      <c r="AP308" s="79"/>
      <c r="AQ308" s="243" t="str">
        <f t="shared" si="51"/>
        <v/>
      </c>
      <c r="AR308" s="242" t="b">
        <f>IF(AQ308="x",EOMONTH(I308,0))</f>
        <v>0</v>
      </c>
      <c r="AS308" s="79">
        <f t="shared" si="45"/>
        <v>1</v>
      </c>
      <c r="AT308" s="79">
        <f t="shared" si="46"/>
        <v>1</v>
      </c>
      <c r="AU308" s="79" t="str">
        <f t="shared" si="47"/>
        <v>B</v>
      </c>
      <c r="AV308" s="79">
        <f t="shared" si="52"/>
        <v>1</v>
      </c>
      <c r="AW308" s="79" t="str">
        <f>J308&amp;AU308</f>
        <v>6B</v>
      </c>
      <c r="AX308" s="79">
        <f>IF(COUNTIFS(J:J,"Integral",E:E,E308,H:H,"Ativo")=4,1/4,1/10)</f>
        <v>0.1</v>
      </c>
      <c r="AY308" s="79"/>
      <c r="AZ308" s="79"/>
    </row>
    <row r="309" spans="1:52" ht="15.75" customHeight="1">
      <c r="A309" s="54">
        <v>324</v>
      </c>
      <c r="B309" s="403">
        <v>45071</v>
      </c>
      <c r="C309" s="32" t="s">
        <v>1060</v>
      </c>
      <c r="D309" s="32" t="s">
        <v>1061</v>
      </c>
      <c r="E309" s="32" t="s">
        <v>1043</v>
      </c>
      <c r="F309" s="32" t="s">
        <v>1062</v>
      </c>
      <c r="G309" s="60" t="s">
        <v>220</v>
      </c>
      <c r="H309" s="33" t="s">
        <v>90</v>
      </c>
      <c r="I309" s="34"/>
      <c r="J309" s="33">
        <v>6</v>
      </c>
      <c r="K309" s="35" t="s">
        <v>394</v>
      </c>
      <c r="L309" s="35" t="s">
        <v>394</v>
      </c>
      <c r="M309" s="67" t="s">
        <v>222</v>
      </c>
      <c r="N309" s="33" t="s">
        <v>68</v>
      </c>
      <c r="O309" s="33" t="s">
        <v>11</v>
      </c>
      <c r="P309" s="33" t="s">
        <v>2</v>
      </c>
      <c r="Q309" s="47"/>
      <c r="R309" s="47"/>
      <c r="S309" s="45" t="s">
        <v>147</v>
      </c>
      <c r="T309" s="45"/>
      <c r="U309" s="61">
        <v>45060</v>
      </c>
      <c r="V309" s="38">
        <f t="shared" si="36"/>
        <v>45071</v>
      </c>
      <c r="W309" s="50">
        <f>V309-U309</f>
        <v>11</v>
      </c>
      <c r="X309" s="261">
        <f>Y309*0.91</f>
        <v>336700</v>
      </c>
      <c r="Y309" s="263">
        <v>370000</v>
      </c>
      <c r="Z309" s="263">
        <v>299976</v>
      </c>
      <c r="AA309" s="35"/>
      <c r="AB309" s="263"/>
      <c r="AC309" s="44">
        <f>ABS(X309/Y309-1)</f>
        <v>8.9999999999999969E-2</v>
      </c>
      <c r="AD309" s="62">
        <v>5.8099999999999999E-2</v>
      </c>
      <c r="AE309" s="41">
        <f t="shared" si="48"/>
        <v>3.189999999999997E-2</v>
      </c>
      <c r="AF309" s="42"/>
      <c r="AG309" s="40">
        <f>IF((X309*AE309)&lt;0,0,(X309*AE309))</f>
        <v>10740.72999999999</v>
      </c>
      <c r="AH309" s="40">
        <f t="shared" si="49"/>
        <v>70024</v>
      </c>
      <c r="AI309" s="44">
        <f>AH309/X309</f>
        <v>0.20797148797148798</v>
      </c>
      <c r="AJ309" s="44">
        <f t="shared" si="50"/>
        <v>0.20797148797148798</v>
      </c>
      <c r="AK309" s="40">
        <f>AF309*X309</f>
        <v>0</v>
      </c>
      <c r="AL309" s="40">
        <f t="shared" si="44"/>
        <v>70024</v>
      </c>
      <c r="AM309" s="242">
        <f t="shared" si="39"/>
        <v>45077</v>
      </c>
      <c r="AN309" s="242" t="str">
        <f>IF(AQ309="x","",IF(AQ309="x",AM309,IF(EOMONTH(I309,0)=31,"",EOMONTH(I309,0))))</f>
        <v/>
      </c>
      <c r="AO309" s="79">
        <f>IFERROR(IF(VLOOKUP(C309,C310:C912,1,0)=0,1,0),1)</f>
        <v>1</v>
      </c>
      <c r="AP309" s="79"/>
      <c r="AQ309" s="243" t="str">
        <f t="shared" si="51"/>
        <v/>
      </c>
      <c r="AR309" s="242" t="b">
        <f>IF(AQ309="x",EOMONTH(I309,0))</f>
        <v>0</v>
      </c>
      <c r="AS309" s="79">
        <f t="shared" si="45"/>
        <v>1</v>
      </c>
      <c r="AT309" s="79">
        <f t="shared" si="46"/>
        <v>1</v>
      </c>
      <c r="AU309" s="79" t="str">
        <f t="shared" si="47"/>
        <v>B</v>
      </c>
      <c r="AV309" s="79">
        <f t="shared" si="52"/>
        <v>1</v>
      </c>
      <c r="AW309" s="79" t="str">
        <f>J309&amp;AU309</f>
        <v>6B</v>
      </c>
      <c r="AX309" s="79">
        <f>IF(COUNTIFS(J:J,"Integral",E:E,E309,H:H,"Ativo")=4,1/4,1/10)</f>
        <v>0.1</v>
      </c>
      <c r="AY309" s="79"/>
      <c r="AZ309" s="79"/>
    </row>
    <row r="310" spans="1:52" ht="15.75" customHeight="1">
      <c r="A310" s="54">
        <v>325</v>
      </c>
      <c r="B310" s="403">
        <v>45072</v>
      </c>
      <c r="C310" s="32" t="s">
        <v>1063</v>
      </c>
      <c r="D310" s="32" t="s">
        <v>1064</v>
      </c>
      <c r="E310" s="32" t="s">
        <v>1065</v>
      </c>
      <c r="F310" s="32" t="s">
        <v>1066</v>
      </c>
      <c r="G310" s="60" t="s">
        <v>220</v>
      </c>
      <c r="H310" s="33" t="s">
        <v>90</v>
      </c>
      <c r="I310" s="34"/>
      <c r="J310" s="33">
        <v>6</v>
      </c>
      <c r="K310" s="35" t="s">
        <v>612</v>
      </c>
      <c r="L310" s="35" t="s">
        <v>612</v>
      </c>
      <c r="M310" s="67" t="s">
        <v>222</v>
      </c>
      <c r="N310" s="33" t="s">
        <v>68</v>
      </c>
      <c r="O310" s="33" t="s">
        <v>11</v>
      </c>
      <c r="P310" s="33" t="s">
        <v>2</v>
      </c>
      <c r="Q310" s="47"/>
      <c r="R310" s="47"/>
      <c r="S310" s="45" t="s">
        <v>145</v>
      </c>
      <c r="T310" s="45"/>
      <c r="U310" s="61">
        <v>45071</v>
      </c>
      <c r="V310" s="38">
        <f t="shared" si="36"/>
        <v>45072</v>
      </c>
      <c r="W310" s="50">
        <f>V310-U310</f>
        <v>1</v>
      </c>
      <c r="X310" s="261">
        <f>Y310*0.91</f>
        <v>370370</v>
      </c>
      <c r="Y310" s="263">
        <v>407000</v>
      </c>
      <c r="Z310" s="263">
        <v>380840</v>
      </c>
      <c r="AA310" s="35"/>
      <c r="AB310" s="263"/>
      <c r="AC310" s="44">
        <f>ABS(X310/Y310-1)</f>
        <v>8.9999999999999969E-2</v>
      </c>
      <c r="AD310" s="62">
        <v>1.2500000000000001E-2</v>
      </c>
      <c r="AE310" s="41">
        <f t="shared" si="48"/>
        <v>7.7499999999999972E-2</v>
      </c>
      <c r="AF310" s="42"/>
      <c r="AG310" s="40">
        <f>IF((X310*AE310)&lt;0,0,(X310*AE310))</f>
        <v>28703.674999999988</v>
      </c>
      <c r="AH310" s="40">
        <f t="shared" si="49"/>
        <v>26160</v>
      </c>
      <c r="AI310" s="44">
        <f>AH310/X310</f>
        <v>7.0632070632070637E-2</v>
      </c>
      <c r="AJ310" s="44">
        <f t="shared" si="50"/>
        <v>7.0632070632070637E-2</v>
      </c>
      <c r="AK310" s="40">
        <f>AF310*X310</f>
        <v>0</v>
      </c>
      <c r="AL310" s="40">
        <f t="shared" si="44"/>
        <v>26160</v>
      </c>
      <c r="AM310" s="242">
        <f t="shared" si="39"/>
        <v>45077</v>
      </c>
      <c r="AN310" s="242" t="str">
        <f>IF(AQ310="x","",IF(AQ310="x",AM310,IF(EOMONTH(I310,0)=31,"",EOMONTH(I310,0))))</f>
        <v/>
      </c>
      <c r="AO310" s="79">
        <f>IFERROR(IF(VLOOKUP(C310,C311:C913,1,0)=0,1,0),1)</f>
        <v>1</v>
      </c>
      <c r="AP310" s="79"/>
      <c r="AQ310" s="243" t="str">
        <f t="shared" si="51"/>
        <v/>
      </c>
      <c r="AR310" s="242" t="b">
        <f>IF(AQ310="x",EOMONTH(I310,0))</f>
        <v>0</v>
      </c>
      <c r="AS310" s="79">
        <f t="shared" si="45"/>
        <v>1</v>
      </c>
      <c r="AT310" s="79">
        <f t="shared" si="46"/>
        <v>1</v>
      </c>
      <c r="AU310" s="79" t="str">
        <f t="shared" si="47"/>
        <v>B</v>
      </c>
      <c r="AV310" s="79">
        <f t="shared" si="52"/>
        <v>1</v>
      </c>
      <c r="AW310" s="79" t="str">
        <f>J310&amp;AU310</f>
        <v>6B</v>
      </c>
      <c r="AX310" s="79">
        <f>IF(COUNTIFS(J:J,"Integral",E:E,E310,H:H,"Ativo")=4,1/4,1/10)</f>
        <v>0.1</v>
      </c>
      <c r="AY310" s="79"/>
      <c r="AZ310" s="79"/>
    </row>
    <row r="311" spans="1:52" ht="15.75" customHeight="1">
      <c r="A311" s="54">
        <v>326</v>
      </c>
      <c r="B311" s="401">
        <v>45072</v>
      </c>
      <c r="C311" s="32" t="s">
        <v>1067</v>
      </c>
      <c r="D311" s="32" t="s">
        <v>1068</v>
      </c>
      <c r="E311" s="32" t="s">
        <v>1065</v>
      </c>
      <c r="F311" s="32" t="s">
        <v>1069</v>
      </c>
      <c r="G311" s="60" t="s">
        <v>220</v>
      </c>
      <c r="H311" s="33" t="s">
        <v>90</v>
      </c>
      <c r="I311" s="34"/>
      <c r="J311" s="33">
        <v>6</v>
      </c>
      <c r="K311" s="35" t="s">
        <v>413</v>
      </c>
      <c r="L311" s="35" t="s">
        <v>413</v>
      </c>
      <c r="M311" s="67" t="s">
        <v>222</v>
      </c>
      <c r="N311" s="33" t="s">
        <v>68</v>
      </c>
      <c r="O311" s="33" t="s">
        <v>12</v>
      </c>
      <c r="P311" s="33" t="s">
        <v>1</v>
      </c>
      <c r="Q311" s="47"/>
      <c r="R311" s="47"/>
      <c r="S311" s="45" t="s">
        <v>143</v>
      </c>
      <c r="T311" s="45"/>
      <c r="U311" s="61">
        <v>45070</v>
      </c>
      <c r="V311" s="38">
        <f t="shared" si="36"/>
        <v>45072</v>
      </c>
      <c r="W311" s="50">
        <f>V311-U311</f>
        <v>2</v>
      </c>
      <c r="X311" s="261">
        <f>Y311*0.91</f>
        <v>370370</v>
      </c>
      <c r="Y311" s="263">
        <v>407000</v>
      </c>
      <c r="Z311" s="263">
        <v>407000.5</v>
      </c>
      <c r="AA311" s="35" t="s">
        <v>1027</v>
      </c>
      <c r="AB311" s="263"/>
      <c r="AC311" s="44">
        <f>ABS(X311/Y311-1)</f>
        <v>8.9999999999999969E-2</v>
      </c>
      <c r="AD311" s="62">
        <v>8.5000000000000006E-3</v>
      </c>
      <c r="AE311" s="41">
        <f t="shared" si="48"/>
        <v>8.1499999999999961E-2</v>
      </c>
      <c r="AF311" s="42"/>
      <c r="AG311" s="40">
        <f>IF((X311*AE311)&lt;0,0,(X311*AE311))</f>
        <v>30185.154999999984</v>
      </c>
      <c r="AH311" s="40">
        <f t="shared" si="49"/>
        <v>-0.5</v>
      </c>
      <c r="AI311" s="44">
        <f>AH311/X311</f>
        <v>-1.35000135000135E-6</v>
      </c>
      <c r="AJ311" s="44">
        <f t="shared" si="50"/>
        <v>-1.35000135000135E-6</v>
      </c>
      <c r="AK311" s="40">
        <f>AF311*X311</f>
        <v>0</v>
      </c>
      <c r="AL311" s="40"/>
      <c r="AM311" s="242">
        <f t="shared" si="39"/>
        <v>45077</v>
      </c>
      <c r="AN311" s="242" t="str">
        <f>IF(AQ311="x","",IF(AQ311="x",AM311,IF(EOMONTH(I311,0)=31,"",EOMONTH(I311,0))))</f>
        <v/>
      </c>
      <c r="AO311" s="79">
        <f>IFERROR(IF(VLOOKUP(C311,C312:C914,1,0)=0,1,0),1)</f>
        <v>0</v>
      </c>
      <c r="AP311" s="79"/>
      <c r="AQ311" s="243" t="str">
        <f t="shared" si="51"/>
        <v/>
      </c>
      <c r="AR311" s="242" t="b">
        <f>IF(AQ311="x",EOMONTH(I311,0))</f>
        <v>0</v>
      </c>
      <c r="AS311" s="79">
        <f t="shared" si="45"/>
        <v>0</v>
      </c>
      <c r="AT311" s="79">
        <f t="shared" si="46"/>
        <v>1</v>
      </c>
      <c r="AU311" s="79" t="str">
        <f t="shared" si="47"/>
        <v>B</v>
      </c>
      <c r="AV311" s="79">
        <f t="shared" si="52"/>
        <v>1</v>
      </c>
      <c r="AW311" s="79" t="str">
        <f>J311&amp;AU311</f>
        <v>6B</v>
      </c>
      <c r="AX311" s="79">
        <f>IF(COUNTIFS(J:J,"Integral",E:E,E311,H:H,"Ativo")=4,1/4,1/10)</f>
        <v>0.1</v>
      </c>
      <c r="AY311" s="79"/>
      <c r="AZ311" s="79"/>
    </row>
    <row r="312" spans="1:52" ht="15.75" customHeight="1">
      <c r="A312" s="54">
        <v>327</v>
      </c>
      <c r="B312" s="401">
        <v>45072</v>
      </c>
      <c r="C312" s="32" t="s">
        <v>1067</v>
      </c>
      <c r="D312" s="32" t="s">
        <v>1070</v>
      </c>
      <c r="E312" s="32" t="s">
        <v>1065</v>
      </c>
      <c r="F312" s="32" t="s">
        <v>1071</v>
      </c>
      <c r="G312" s="60" t="s">
        <v>220</v>
      </c>
      <c r="H312" s="33" t="s">
        <v>90</v>
      </c>
      <c r="I312" s="34"/>
      <c r="J312" s="33">
        <v>6</v>
      </c>
      <c r="K312" s="35" t="s">
        <v>413</v>
      </c>
      <c r="L312" s="35" t="s">
        <v>413</v>
      </c>
      <c r="M312" s="67" t="s">
        <v>222</v>
      </c>
      <c r="N312" s="33" t="s">
        <v>68</v>
      </c>
      <c r="O312" s="33" t="s">
        <v>12</v>
      </c>
      <c r="P312" s="33" t="s">
        <v>1</v>
      </c>
      <c r="Q312" s="47"/>
      <c r="R312" s="47"/>
      <c r="S312" s="45" t="s">
        <v>143</v>
      </c>
      <c r="T312" s="45"/>
      <c r="U312" s="61">
        <v>45070</v>
      </c>
      <c r="V312" s="38">
        <f t="shared" si="36"/>
        <v>45072</v>
      </c>
      <c r="W312" s="50">
        <f>V312-U312</f>
        <v>2</v>
      </c>
      <c r="X312" s="261">
        <f>Y312*0.91</f>
        <v>370370</v>
      </c>
      <c r="Y312" s="263">
        <v>407000</v>
      </c>
      <c r="Z312" s="263">
        <v>407000.5</v>
      </c>
      <c r="AA312" s="35" t="s">
        <v>1027</v>
      </c>
      <c r="AB312" s="263"/>
      <c r="AC312" s="44">
        <f>ABS(X312/Y312-1)</f>
        <v>8.9999999999999969E-2</v>
      </c>
      <c r="AD312" s="62">
        <v>8.5000000000000006E-3</v>
      </c>
      <c r="AE312" s="41">
        <f t="shared" si="48"/>
        <v>8.1499999999999961E-2</v>
      </c>
      <c r="AF312" s="42"/>
      <c r="AG312" s="40">
        <f>IF((X312*AE312)&lt;0,0,(X312*AE312))</f>
        <v>30185.154999999984</v>
      </c>
      <c r="AH312" s="40">
        <f t="shared" si="49"/>
        <v>-0.5</v>
      </c>
      <c r="AI312" s="44">
        <f>AH312/X312</f>
        <v>-1.35000135000135E-6</v>
      </c>
      <c r="AJ312" s="44">
        <f t="shared" si="50"/>
        <v>-1.35000135000135E-6</v>
      </c>
      <c r="AK312" s="40">
        <f>AF312*X312</f>
        <v>0</v>
      </c>
      <c r="AL312" s="40"/>
      <c r="AM312" s="242">
        <f t="shared" si="39"/>
        <v>45077</v>
      </c>
      <c r="AN312" s="242" t="str">
        <f>IF(AQ312="x","",IF(AQ312="x",AM312,IF(EOMONTH(I312,0)=31,"",EOMONTH(I312,0))))</f>
        <v/>
      </c>
      <c r="AO312" s="79">
        <f>IFERROR(IF(VLOOKUP(C312,C313:C914,1,0)=0,1,0),1)</f>
        <v>1</v>
      </c>
      <c r="AP312" s="79"/>
      <c r="AQ312" s="243" t="str">
        <f t="shared" si="51"/>
        <v/>
      </c>
      <c r="AR312" s="242" t="b">
        <f>IF(AQ312="x",EOMONTH(I312,0))</f>
        <v>0</v>
      </c>
      <c r="AS312" s="79">
        <f t="shared" si="45"/>
        <v>0</v>
      </c>
      <c r="AT312" s="79">
        <f t="shared" si="46"/>
        <v>1</v>
      </c>
      <c r="AU312" s="79" t="str">
        <f t="shared" si="47"/>
        <v>B</v>
      </c>
      <c r="AV312" s="79">
        <f t="shared" si="52"/>
        <v>1</v>
      </c>
      <c r="AW312" s="79" t="str">
        <f>J312&amp;AU312</f>
        <v>6B</v>
      </c>
      <c r="AX312" s="79">
        <f>IF(COUNTIFS(J:J,"Integral",E:E,E312,H:H,"Ativo")=4,1/4,1/10)</f>
        <v>0.1</v>
      </c>
      <c r="AY312" s="79"/>
      <c r="AZ312" s="79"/>
    </row>
    <row r="313" spans="1:52" ht="15.75" customHeight="1">
      <c r="A313" s="54">
        <v>328</v>
      </c>
      <c r="B313" s="401">
        <v>45074</v>
      </c>
      <c r="C313" s="32" t="s">
        <v>1072</v>
      </c>
      <c r="D313" s="32" t="s">
        <v>1073</v>
      </c>
      <c r="E313" s="32" t="s">
        <v>572</v>
      </c>
      <c r="F313" s="32" t="s">
        <v>1074</v>
      </c>
      <c r="G313" s="60" t="s">
        <v>220</v>
      </c>
      <c r="H313" s="33" t="s">
        <v>90</v>
      </c>
      <c r="I313" s="34"/>
      <c r="J313" s="33">
        <v>6</v>
      </c>
      <c r="K313" s="35" t="s">
        <v>1007</v>
      </c>
      <c r="L313" s="35" t="s">
        <v>1007</v>
      </c>
      <c r="M313" s="67" t="s">
        <v>222</v>
      </c>
      <c r="N313" s="33" t="s">
        <v>68</v>
      </c>
      <c r="O313" s="33" t="s">
        <v>10</v>
      </c>
      <c r="P313" s="33" t="s">
        <v>2</v>
      </c>
      <c r="Q313" s="47"/>
      <c r="R313" s="47"/>
      <c r="S313" s="45" t="s">
        <v>145</v>
      </c>
      <c r="T313" s="45"/>
      <c r="U313" s="61">
        <v>45056</v>
      </c>
      <c r="V313" s="38">
        <f t="shared" si="36"/>
        <v>45074</v>
      </c>
      <c r="W313" s="50">
        <f>V313-U313</f>
        <v>18</v>
      </c>
      <c r="X313" s="261">
        <f>Y313*0.91</f>
        <v>399490</v>
      </c>
      <c r="Y313" s="263">
        <v>439000</v>
      </c>
      <c r="Z313" s="263">
        <v>335000</v>
      </c>
      <c r="AA313" s="35"/>
      <c r="AB313" s="263"/>
      <c r="AC313" s="44">
        <f>ABS(X313/Y313-1)</f>
        <v>8.9999999999999969E-2</v>
      </c>
      <c r="AD313" s="62">
        <v>2.9100000000000001E-2</v>
      </c>
      <c r="AE313" s="41">
        <f t="shared" si="48"/>
        <v>6.0899999999999968E-2</v>
      </c>
      <c r="AF313" s="42"/>
      <c r="AG313" s="40">
        <f>IF((X313*AE313)&lt;0,0,(X313*AE313))</f>
        <v>24328.940999999988</v>
      </c>
      <c r="AH313" s="40">
        <f t="shared" si="49"/>
        <v>104000</v>
      </c>
      <c r="AI313" s="44">
        <f>AH313/X313</f>
        <v>0.26033192320208265</v>
      </c>
      <c r="AJ313" s="44">
        <f t="shared" si="50"/>
        <v>0.26033192320208265</v>
      </c>
      <c r="AK313" s="40">
        <f>AF313*X313</f>
        <v>0</v>
      </c>
      <c r="AL313" s="40">
        <f>AH313-AK313</f>
        <v>104000</v>
      </c>
      <c r="AM313" s="242">
        <f t="shared" si="39"/>
        <v>45077</v>
      </c>
      <c r="AN313" s="242" t="str">
        <f>IF(AQ313="x","",IF(AQ313="x",AM313,IF(EOMONTH(I313,0)=31,"",EOMONTH(I313,0))))</f>
        <v/>
      </c>
      <c r="AO313" s="79">
        <f>IFERROR(IF(VLOOKUP(C313,C314:C915,1,0)=0,1,0),1)</f>
        <v>0</v>
      </c>
      <c r="AP313" s="79"/>
      <c r="AQ313" s="243" t="str">
        <f t="shared" si="51"/>
        <v/>
      </c>
      <c r="AR313" s="242" t="b">
        <f>IF(AQ313="x",EOMONTH(I313,0))</f>
        <v>0</v>
      </c>
      <c r="AS313" s="79">
        <f t="shared" si="45"/>
        <v>1</v>
      </c>
      <c r="AT313" s="79">
        <f t="shared" si="46"/>
        <v>1</v>
      </c>
      <c r="AU313" s="79" t="str">
        <f t="shared" si="47"/>
        <v>B</v>
      </c>
      <c r="AV313" s="79">
        <f t="shared" si="52"/>
        <v>1</v>
      </c>
      <c r="AW313" s="79" t="str">
        <f>J313&amp;AU313</f>
        <v>6B</v>
      </c>
      <c r="AX313" s="79">
        <f>IF(COUNTIFS(J:J,"Integral",E:E,E313,H:H,"Ativo")=4,1/4,1/10)</f>
        <v>0.1</v>
      </c>
      <c r="AY313" s="79"/>
      <c r="AZ313" s="79"/>
    </row>
    <row r="314" spans="1:52" ht="15.75" customHeight="1">
      <c r="A314" s="54">
        <v>329</v>
      </c>
      <c r="B314" s="401">
        <v>45076</v>
      </c>
      <c r="C314" s="32" t="s">
        <v>1075</v>
      </c>
      <c r="D314" s="32" t="s">
        <v>1052</v>
      </c>
      <c r="E314" s="32" t="s">
        <v>1043</v>
      </c>
      <c r="F314" s="32" t="s">
        <v>1076</v>
      </c>
      <c r="G314" s="60" t="s">
        <v>220</v>
      </c>
      <c r="H314" s="33" t="s">
        <v>90</v>
      </c>
      <c r="I314" s="34"/>
      <c r="J314" s="33">
        <v>6</v>
      </c>
      <c r="K314" s="35" t="s">
        <v>1077</v>
      </c>
      <c r="L314" s="35" t="s">
        <v>1077</v>
      </c>
      <c r="M314" s="67" t="s">
        <v>222</v>
      </c>
      <c r="N314" s="33" t="s">
        <v>68</v>
      </c>
      <c r="O314" s="33" t="s">
        <v>12</v>
      </c>
      <c r="P314" s="33" t="s">
        <v>1</v>
      </c>
      <c r="Q314" s="47"/>
      <c r="R314" s="47"/>
      <c r="S314" s="45" t="s">
        <v>145</v>
      </c>
      <c r="T314" s="45"/>
      <c r="U314" s="61">
        <v>45073</v>
      </c>
      <c r="V314" s="38">
        <f t="shared" si="36"/>
        <v>45076</v>
      </c>
      <c r="W314" s="50">
        <f>V314-U314</f>
        <v>3</v>
      </c>
      <c r="X314" s="261">
        <f>Y314*0.91</f>
        <v>336700</v>
      </c>
      <c r="Y314" s="263">
        <v>370000</v>
      </c>
      <c r="Z314" s="263">
        <v>370010</v>
      </c>
      <c r="AA314" s="35" t="s">
        <v>1078</v>
      </c>
      <c r="AB314" s="263"/>
      <c r="AC314" s="44">
        <f>ABS(X314/Y314-1)</f>
        <v>8.9999999999999969E-2</v>
      </c>
      <c r="AD314" s="62">
        <v>-8.6999999999999994E-3</v>
      </c>
      <c r="AE314" s="41">
        <f t="shared" si="48"/>
        <v>9.8699999999999968E-2</v>
      </c>
      <c r="AF314" s="42"/>
      <c r="AG314" s="40">
        <f>IF((X314*AE314)&lt;0,0,(X314*AE314))</f>
        <v>33232.289999999986</v>
      </c>
      <c r="AH314" s="40">
        <f t="shared" si="49"/>
        <v>-10</v>
      </c>
      <c r="AI314" s="44">
        <f>AH314/X314</f>
        <v>-2.9700029700029701E-5</v>
      </c>
      <c r="AJ314" s="44">
        <f t="shared" si="50"/>
        <v>-2.9700029700029701E-5</v>
      </c>
      <c r="AK314" s="40">
        <f>AF314*X314</f>
        <v>0</v>
      </c>
      <c r="AL314" s="40"/>
      <c r="AM314" s="242">
        <f t="shared" si="39"/>
        <v>45077</v>
      </c>
      <c r="AN314" s="242" t="str">
        <f>IF(AQ314="x","",IF(AQ314="x",AM314,IF(EOMONTH(I314,0)=31,"",EOMONTH(I314,0))))</f>
        <v/>
      </c>
      <c r="AO314" s="79">
        <f>IFERROR(IF(VLOOKUP(C314,C315:C916,1,0)=0,1,0),1)</f>
        <v>1</v>
      </c>
      <c r="AP314" s="79"/>
      <c r="AQ314" s="243" t="str">
        <f t="shared" si="51"/>
        <v/>
      </c>
      <c r="AR314" s="242" t="b">
        <f>IF(AQ314="x",EOMONTH(I314,0))</f>
        <v>0</v>
      </c>
      <c r="AS314" s="79">
        <f t="shared" si="45"/>
        <v>0</v>
      </c>
      <c r="AT314" s="79">
        <f t="shared" si="46"/>
        <v>1</v>
      </c>
      <c r="AU314" s="79" t="str">
        <f t="shared" si="47"/>
        <v>B</v>
      </c>
      <c r="AV314" s="79">
        <f t="shared" si="52"/>
        <v>1</v>
      </c>
      <c r="AW314" s="79" t="str">
        <f>J314&amp;AU314</f>
        <v>6B</v>
      </c>
      <c r="AX314" s="79">
        <f>IF(COUNTIFS(J:J,"Integral",E:E,E314,H:H,"Ativo")=4,1/4,1/10)</f>
        <v>0.1</v>
      </c>
      <c r="AY314" s="79"/>
      <c r="AZ314" s="79"/>
    </row>
    <row r="315" spans="1:52" ht="15.75" customHeight="1">
      <c r="A315" s="54">
        <v>330</v>
      </c>
      <c r="B315" s="401">
        <v>45076</v>
      </c>
      <c r="C315" s="32" t="s">
        <v>1079</v>
      </c>
      <c r="D315" s="32" t="s">
        <v>1080</v>
      </c>
      <c r="E315" s="32" t="s">
        <v>572</v>
      </c>
      <c r="F315" s="32" t="s">
        <v>1081</v>
      </c>
      <c r="G315" s="60" t="s">
        <v>220</v>
      </c>
      <c r="H315" s="33" t="s">
        <v>90</v>
      </c>
      <c r="I315" s="34"/>
      <c r="J315" s="33">
        <v>6</v>
      </c>
      <c r="K315" s="35" t="s">
        <v>977</v>
      </c>
      <c r="L315" s="35" t="s">
        <v>977</v>
      </c>
      <c r="M315" s="67" t="s">
        <v>222</v>
      </c>
      <c r="N315" s="33" t="s">
        <v>68</v>
      </c>
      <c r="O315" s="33" t="s">
        <v>11</v>
      </c>
      <c r="P315" s="33" t="s">
        <v>1</v>
      </c>
      <c r="Q315" s="47"/>
      <c r="R315" s="47"/>
      <c r="S315" s="45" t="s">
        <v>147</v>
      </c>
      <c r="T315" s="45"/>
      <c r="U315" s="61">
        <v>45044</v>
      </c>
      <c r="V315" s="38">
        <f t="shared" si="36"/>
        <v>45076</v>
      </c>
      <c r="W315" s="50">
        <f>V315-U315</f>
        <v>32</v>
      </c>
      <c r="X315" s="261">
        <f>Y315*0.91</f>
        <v>399490</v>
      </c>
      <c r="Y315" s="263">
        <v>439000</v>
      </c>
      <c r="Z315" s="263">
        <v>393000</v>
      </c>
      <c r="AA315" s="35"/>
      <c r="AB315" s="263"/>
      <c r="AC315" s="44">
        <f>ABS(X315/Y315-1)</f>
        <v>8.9999999999999969E-2</v>
      </c>
      <c r="AD315" s="62">
        <v>8.6999999999999994E-3</v>
      </c>
      <c r="AE315" s="41">
        <f t="shared" si="48"/>
        <v>8.129999999999997E-2</v>
      </c>
      <c r="AF315" s="42"/>
      <c r="AG315" s="40">
        <f>IF((X315*AE315)&lt;0,0,(X315*AE315))</f>
        <v>32478.536999999989</v>
      </c>
      <c r="AH315" s="40">
        <f t="shared" si="49"/>
        <v>46000</v>
      </c>
      <c r="AI315" s="44">
        <f>AH315/X315</f>
        <v>0.11514681218553656</v>
      </c>
      <c r="AJ315" s="44">
        <f t="shared" si="50"/>
        <v>0.11514681218553656</v>
      </c>
      <c r="AK315" s="40">
        <f>AF315*X315</f>
        <v>0</v>
      </c>
      <c r="AL315" s="40">
        <f>AH315-AK315</f>
        <v>46000</v>
      </c>
      <c r="AM315" s="242">
        <f t="shared" si="39"/>
        <v>45077</v>
      </c>
      <c r="AN315" s="242" t="str">
        <f>IF(AQ315="x","",IF(AQ315="x",AM315,IF(EOMONTH(I315,0)=31,"",EOMONTH(I315,0))))</f>
        <v/>
      </c>
      <c r="AO315" s="79">
        <f>IFERROR(IF(VLOOKUP(C315,C316:C917,1,0)=0,1,0),1)</f>
        <v>1</v>
      </c>
      <c r="AP315" s="79"/>
      <c r="AQ315" s="243" t="str">
        <f t="shared" si="51"/>
        <v/>
      </c>
      <c r="AR315" s="242" t="b">
        <f>IF(AQ315="x",EOMONTH(I315,0))</f>
        <v>0</v>
      </c>
      <c r="AS315" s="79">
        <f t="shared" si="45"/>
        <v>1</v>
      </c>
      <c r="AT315" s="79">
        <f t="shared" si="46"/>
        <v>1</v>
      </c>
      <c r="AU315" s="79" t="str">
        <f t="shared" si="47"/>
        <v>B</v>
      </c>
      <c r="AV315" s="79">
        <f t="shared" si="52"/>
        <v>1</v>
      </c>
      <c r="AW315" s="79" t="str">
        <f>J315&amp;AU315</f>
        <v>6B</v>
      </c>
      <c r="AX315" s="79">
        <f>IF(COUNTIFS(J:J,"Integral",E:E,E315,H:H,"Ativo")=4,1/4,1/10)</f>
        <v>0.1</v>
      </c>
      <c r="AY315" s="79"/>
      <c r="AZ315" s="79"/>
    </row>
    <row r="316" spans="1:52" ht="15.75" customHeight="1">
      <c r="A316" s="54">
        <v>331</v>
      </c>
      <c r="B316" s="401">
        <v>45077</v>
      </c>
      <c r="C316" s="32" t="s">
        <v>1082</v>
      </c>
      <c r="D316" s="32" t="s">
        <v>1083</v>
      </c>
      <c r="E316" s="32" t="s">
        <v>572</v>
      </c>
      <c r="F316" s="32" t="s">
        <v>1084</v>
      </c>
      <c r="G316" s="60" t="s">
        <v>220</v>
      </c>
      <c r="H316" s="33" t="s">
        <v>90</v>
      </c>
      <c r="I316" s="34"/>
      <c r="J316" s="33">
        <v>6</v>
      </c>
      <c r="K316" s="35" t="s">
        <v>977</v>
      </c>
      <c r="L316" s="35" t="s">
        <v>977</v>
      </c>
      <c r="M316" s="67" t="s">
        <v>222</v>
      </c>
      <c r="N316" s="33" t="s">
        <v>68</v>
      </c>
      <c r="O316" s="33" t="s">
        <v>11</v>
      </c>
      <c r="P316" s="33" t="s">
        <v>1</v>
      </c>
      <c r="Q316" s="47"/>
      <c r="R316" s="47"/>
      <c r="S316" s="45" t="s">
        <v>147</v>
      </c>
      <c r="T316" s="45"/>
      <c r="U316" s="61">
        <v>45077</v>
      </c>
      <c r="V316" s="38">
        <f t="shared" si="36"/>
        <v>45077</v>
      </c>
      <c r="W316" s="50">
        <f>V316-U316</f>
        <v>0</v>
      </c>
      <c r="X316" s="261">
        <f>Y316*0.91</f>
        <v>399490</v>
      </c>
      <c r="Y316" s="263">
        <v>439000</v>
      </c>
      <c r="Z316" s="263">
        <v>370000</v>
      </c>
      <c r="AA316" s="35"/>
      <c r="AB316" s="263"/>
      <c r="AC316" s="44">
        <f>ABS(X316/Y316-1)</f>
        <v>8.9999999999999969E-2</v>
      </c>
      <c r="AD316" s="62">
        <v>4.8500000000000001E-2</v>
      </c>
      <c r="AE316" s="41">
        <f t="shared" si="48"/>
        <v>4.1499999999999967E-2</v>
      </c>
      <c r="AF316" s="42"/>
      <c r="AG316" s="40">
        <f>IF((X316*AE316)&lt;0,0,(X316*AE316))</f>
        <v>16578.834999999988</v>
      </c>
      <c r="AH316" s="40">
        <f t="shared" si="49"/>
        <v>69000</v>
      </c>
      <c r="AI316" s="44">
        <f>AH316/X316</f>
        <v>0.17272021827830483</v>
      </c>
      <c r="AJ316" s="44">
        <f t="shared" si="50"/>
        <v>0.17272021827830483</v>
      </c>
      <c r="AK316" s="40">
        <f>AF316*X316</f>
        <v>0</v>
      </c>
      <c r="AL316" s="40">
        <f>AH316-AK316</f>
        <v>69000</v>
      </c>
      <c r="AM316" s="242">
        <f t="shared" si="39"/>
        <v>45077</v>
      </c>
      <c r="AN316" s="242" t="str">
        <f>IF(AQ316="x","",IF(AQ316="x",AM316,IF(EOMONTH(I316,0)=31,"",EOMONTH(I316,0))))</f>
        <v/>
      </c>
      <c r="AO316" s="79">
        <f>IFERROR(IF(VLOOKUP(C316,C317:C918,1,0)=0,1,0),1)</f>
        <v>1</v>
      </c>
      <c r="AP316" s="79"/>
      <c r="AQ316" s="243" t="str">
        <f t="shared" si="51"/>
        <v/>
      </c>
      <c r="AR316" s="242" t="b">
        <f>IF(AQ316="x",EOMONTH(I316,0))</f>
        <v>0</v>
      </c>
      <c r="AS316" s="79">
        <f t="shared" si="45"/>
        <v>1</v>
      </c>
      <c r="AT316" s="79">
        <f t="shared" si="46"/>
        <v>1</v>
      </c>
      <c r="AU316" s="79" t="str">
        <f t="shared" si="47"/>
        <v>B</v>
      </c>
      <c r="AV316" s="79">
        <f t="shared" si="52"/>
        <v>1</v>
      </c>
      <c r="AW316" s="79" t="str">
        <f>J316&amp;AU316</f>
        <v>6B</v>
      </c>
      <c r="AX316" s="79">
        <f>IF(COUNTIFS(J:J,"Integral",E:E,E316,H:H,"Ativo")=4,1/4,1/10)</f>
        <v>0.1</v>
      </c>
      <c r="AY316" s="79"/>
      <c r="AZ316" s="79"/>
    </row>
    <row r="317" spans="1:52" ht="15.75" customHeight="1">
      <c r="A317" s="54">
        <v>332</v>
      </c>
      <c r="B317" s="401">
        <v>45077</v>
      </c>
      <c r="C317" s="32" t="s">
        <v>1085</v>
      </c>
      <c r="D317" s="32" t="s">
        <v>1086</v>
      </c>
      <c r="E317" s="32" t="s">
        <v>1043</v>
      </c>
      <c r="F317" s="32" t="s">
        <v>1087</v>
      </c>
      <c r="G317" s="60" t="s">
        <v>220</v>
      </c>
      <c r="H317" s="33" t="s">
        <v>90</v>
      </c>
      <c r="I317" s="34"/>
      <c r="J317" s="33">
        <v>6</v>
      </c>
      <c r="K317" s="35" t="s">
        <v>1007</v>
      </c>
      <c r="L317" s="35" t="s">
        <v>1007</v>
      </c>
      <c r="M317" s="67" t="s">
        <v>222</v>
      </c>
      <c r="N317" s="33" t="s">
        <v>68</v>
      </c>
      <c r="O317" s="33" t="s">
        <v>12</v>
      </c>
      <c r="P317" s="33" t="s">
        <v>1</v>
      </c>
      <c r="Q317" s="47"/>
      <c r="R317" s="47"/>
      <c r="S317" s="45" t="s">
        <v>145</v>
      </c>
      <c r="T317" s="45"/>
      <c r="U317" s="61">
        <v>45072</v>
      </c>
      <c r="V317" s="38">
        <f t="shared" si="36"/>
        <v>45077</v>
      </c>
      <c r="W317" s="50">
        <f>V317-U317</f>
        <v>5</v>
      </c>
      <c r="X317" s="261">
        <f>Y317*0.91</f>
        <v>336700</v>
      </c>
      <c r="Y317" s="263">
        <v>370000</v>
      </c>
      <c r="Z317" s="263">
        <v>370000.2</v>
      </c>
      <c r="AA317" s="56" t="s">
        <v>911</v>
      </c>
      <c r="AB317" s="263"/>
      <c r="AC317" s="44">
        <f>ABS(X317/Y317-1)</f>
        <v>8.9999999999999969E-2</v>
      </c>
      <c r="AD317" s="62">
        <v>1.61E-2</v>
      </c>
      <c r="AE317" s="41">
        <f t="shared" si="48"/>
        <v>7.3899999999999966E-2</v>
      </c>
      <c r="AF317" s="42"/>
      <c r="AG317" s="40">
        <f>IF((X317*AE317)&lt;0,0,(X317*AE317))</f>
        <v>24882.12999999999</v>
      </c>
      <c r="AH317" s="40">
        <f t="shared" si="49"/>
        <v>-0.20000000001164153</v>
      </c>
      <c r="AI317" s="44">
        <f>AH317/X317</f>
        <v>-5.9400059403516943E-7</v>
      </c>
      <c r="AJ317" s="44">
        <f t="shared" si="50"/>
        <v>-5.9400059403516943E-7</v>
      </c>
      <c r="AK317" s="40">
        <f>AF317*X317</f>
        <v>0</v>
      </c>
      <c r="AL317" s="40"/>
      <c r="AM317" s="242">
        <f t="shared" si="39"/>
        <v>45077</v>
      </c>
      <c r="AN317" s="242" t="str">
        <f>IF(AQ317="x","",IF(AQ317="x",AM317,IF(EOMONTH(I317,0)=31,"",EOMONTH(I317,0))))</f>
        <v/>
      </c>
      <c r="AO317" s="79">
        <f>IFERROR(IF(VLOOKUP(C317,C318:C919,1,0)=0,1,0),1)</f>
        <v>1</v>
      </c>
      <c r="AP317" s="79"/>
      <c r="AQ317" s="243" t="str">
        <f t="shared" si="51"/>
        <v/>
      </c>
      <c r="AR317" s="242" t="b">
        <f>IF(AQ317="x",EOMONTH(I317,0))</f>
        <v>0</v>
      </c>
      <c r="AS317" s="79">
        <f t="shared" si="45"/>
        <v>0</v>
      </c>
      <c r="AT317" s="79">
        <f t="shared" si="46"/>
        <v>1</v>
      </c>
      <c r="AU317" s="79" t="str">
        <f t="shared" si="47"/>
        <v>B</v>
      </c>
      <c r="AV317" s="79">
        <f t="shared" si="52"/>
        <v>1</v>
      </c>
      <c r="AW317" s="79" t="str">
        <f>J317&amp;AU317</f>
        <v>6B</v>
      </c>
      <c r="AX317" s="79">
        <f>IF(COUNTIFS(J:J,"Integral",E:E,E317,H:H,"Ativo")=4,1/4,1/10)</f>
        <v>0.1</v>
      </c>
      <c r="AY317" s="79"/>
      <c r="AZ317" s="79"/>
    </row>
    <row r="318" spans="1:52" ht="15.75" customHeight="1">
      <c r="A318" s="54">
        <v>333</v>
      </c>
      <c r="B318" s="401">
        <v>45078</v>
      </c>
      <c r="C318" s="32" t="s">
        <v>1088</v>
      </c>
      <c r="D318" s="32" t="s">
        <v>1089</v>
      </c>
      <c r="E318" s="32" t="s">
        <v>1043</v>
      </c>
      <c r="F318" s="32" t="s">
        <v>1090</v>
      </c>
      <c r="G318" s="60" t="s">
        <v>220</v>
      </c>
      <c r="H318" s="33" t="s">
        <v>90</v>
      </c>
      <c r="I318" s="34"/>
      <c r="J318" s="33">
        <v>6</v>
      </c>
      <c r="K318" s="35" t="s">
        <v>221</v>
      </c>
      <c r="L318" s="35" t="s">
        <v>221</v>
      </c>
      <c r="M318" s="67" t="s">
        <v>222</v>
      </c>
      <c r="N318" s="33" t="s">
        <v>72</v>
      </c>
      <c r="O318" s="33" t="s">
        <v>11</v>
      </c>
      <c r="P318" s="33" t="s">
        <v>72</v>
      </c>
      <c r="Q318" s="47"/>
      <c r="R318" s="47"/>
      <c r="S318" s="45" t="s">
        <v>147</v>
      </c>
      <c r="T318" s="45"/>
      <c r="U318" s="61" t="s">
        <v>222</v>
      </c>
      <c r="V318" s="38">
        <f t="shared" si="36"/>
        <v>45078</v>
      </c>
      <c r="W318" s="50"/>
      <c r="X318" s="261">
        <f>Y318*0.91</f>
        <v>336700</v>
      </c>
      <c r="Y318" s="263">
        <v>370000</v>
      </c>
      <c r="Z318" s="263">
        <v>286200</v>
      </c>
      <c r="AA318" s="35"/>
      <c r="AB318" s="263"/>
      <c r="AC318" s="44">
        <f>ABS(X318/Y318-1)</f>
        <v>8.9999999999999969E-2</v>
      </c>
      <c r="AD318" s="62">
        <v>0.17960000000000001</v>
      </c>
      <c r="AE318" s="41">
        <f t="shared" si="48"/>
        <v>-8.9600000000000041E-2</v>
      </c>
      <c r="AF318" s="42">
        <v>8.9599999999999999E-2</v>
      </c>
      <c r="AG318" s="40">
        <f>IF((X318*AE318)&lt;0,0,(X318*AE318))</f>
        <v>0</v>
      </c>
      <c r="AH318" s="40">
        <f t="shared" si="49"/>
        <v>83800</v>
      </c>
      <c r="AI318" s="44">
        <f>AH318/X318</f>
        <v>0.24888624888624888</v>
      </c>
      <c r="AJ318" s="44">
        <f t="shared" si="50"/>
        <v>0.15928624888624887</v>
      </c>
      <c r="AK318" s="40">
        <f>AF318*X318</f>
        <v>30168.32</v>
      </c>
      <c r="AL318" s="40">
        <f>AH318-AK318</f>
        <v>53631.68</v>
      </c>
      <c r="AM318" s="242">
        <f t="shared" si="39"/>
        <v>45107</v>
      </c>
      <c r="AN318" s="242" t="str">
        <f>IF(AQ318="x","",IF(AQ318="x",AM318,IF(EOMONTH(I318,0)=31,"",EOMONTH(I318,0))))</f>
        <v/>
      </c>
      <c r="AO318" s="79">
        <f>IFERROR(IF(VLOOKUP(C318,C319:C920,1,0)=0,1,0),1)</f>
        <v>1</v>
      </c>
      <c r="AP318" s="79"/>
      <c r="AQ318" s="243" t="str">
        <f t="shared" si="51"/>
        <v/>
      </c>
      <c r="AR318" s="242" t="b">
        <f>IF(AQ318="x",EOMONTH(I318,0))</f>
        <v>0</v>
      </c>
      <c r="AS318" s="79">
        <f t="shared" si="45"/>
        <v>1</v>
      </c>
      <c r="AT318" s="79">
        <f t="shared" si="46"/>
        <v>1</v>
      </c>
      <c r="AU318" s="79" t="str">
        <f t="shared" si="47"/>
        <v>B</v>
      </c>
      <c r="AV318" s="79">
        <f t="shared" si="52"/>
        <v>1</v>
      </c>
      <c r="AW318" s="79" t="str">
        <f>J318&amp;AU318</f>
        <v>6B</v>
      </c>
      <c r="AX318" s="79">
        <f>IF(COUNTIFS(J:J,"Integral",E:E,E318,H:H,"Ativo")=4,1/4,1/10)</f>
        <v>0.1</v>
      </c>
      <c r="AY318" s="79"/>
      <c r="AZ318" s="79"/>
    </row>
    <row r="319" spans="1:52" ht="15.75" customHeight="1">
      <c r="A319" s="54">
        <v>335</v>
      </c>
      <c r="B319" s="403">
        <v>45081</v>
      </c>
      <c r="C319" s="32" t="s">
        <v>1091</v>
      </c>
      <c r="D319" s="32" t="s">
        <v>1092</v>
      </c>
      <c r="E319" s="32" t="s">
        <v>984</v>
      </c>
      <c r="F319" s="32" t="s">
        <v>1093</v>
      </c>
      <c r="G319" s="60" t="s">
        <v>220</v>
      </c>
      <c r="H319" s="33" t="s">
        <v>244</v>
      </c>
      <c r="I319" s="34">
        <v>45253</v>
      </c>
      <c r="J319" s="33">
        <v>6</v>
      </c>
      <c r="K319" s="35" t="s">
        <v>1094</v>
      </c>
      <c r="L319" s="35" t="s">
        <v>1094</v>
      </c>
      <c r="M319" s="67" t="s">
        <v>222</v>
      </c>
      <c r="N319" s="33" t="s">
        <v>68</v>
      </c>
      <c r="O319" s="33" t="s">
        <v>12</v>
      </c>
      <c r="P319" s="33" t="s">
        <v>1</v>
      </c>
      <c r="Q319" s="47"/>
      <c r="R319" s="47"/>
      <c r="S319" s="45" t="s">
        <v>143</v>
      </c>
      <c r="T319" s="45"/>
      <c r="U319" s="63">
        <v>45081</v>
      </c>
      <c r="V319" s="48">
        <f t="shared" si="36"/>
        <v>45081</v>
      </c>
      <c r="W319" s="50">
        <f>V319-U319</f>
        <v>0</v>
      </c>
      <c r="X319" s="265">
        <f>Y319*0.91</f>
        <v>343980</v>
      </c>
      <c r="Y319" s="266">
        <v>378000</v>
      </c>
      <c r="Z319" s="266">
        <v>379000</v>
      </c>
      <c r="AA319" s="35"/>
      <c r="AB319" s="266"/>
      <c r="AC319" s="44">
        <f>ABS(X319/Y319-1)</f>
        <v>8.9999999999999969E-2</v>
      </c>
      <c r="AD319" s="62">
        <v>2.93E-2</v>
      </c>
      <c r="AE319" s="41">
        <f t="shared" si="48"/>
        <v>6.0699999999999969E-2</v>
      </c>
      <c r="AF319" s="42"/>
      <c r="AG319" s="40">
        <f>IF((X319*AE319)&lt;0,0,(X319*AE319))</f>
        <v>20879.585999999988</v>
      </c>
      <c r="AH319" s="40">
        <f t="shared" si="49"/>
        <v>-1000</v>
      </c>
      <c r="AI319" s="44">
        <f>AH319/X319</f>
        <v>-2.9071457642886214E-3</v>
      </c>
      <c r="AJ319" s="44">
        <f t="shared" si="50"/>
        <v>-2.9071457642886214E-3</v>
      </c>
      <c r="AK319" s="40">
        <f>AF319*X319</f>
        <v>0</v>
      </c>
      <c r="AL319" s="40"/>
      <c r="AM319" s="242">
        <f t="shared" si="39"/>
        <v>45107</v>
      </c>
      <c r="AN319" s="242">
        <f>IF(AQ319="x","",IF(AQ319="x",AM319,IF(EOMONTH(I319,0)=31,"",EOMONTH(I319,0))))</f>
        <v>45260</v>
      </c>
      <c r="AO319" s="79">
        <f>IFERROR(IF(VLOOKUP(C319,C320:C921,1,0)=0,1,0),1)</f>
        <v>1</v>
      </c>
      <c r="AP319" s="79"/>
      <c r="AQ319" s="243" t="str">
        <f t="shared" si="51"/>
        <v/>
      </c>
      <c r="AR319" s="242" t="b">
        <f>IF(AQ319="x",EOMONTH(I319,0))</f>
        <v>0</v>
      </c>
      <c r="AS319" s="79">
        <f t="shared" si="45"/>
        <v>0</v>
      </c>
      <c r="AT319" s="79">
        <f t="shared" si="46"/>
        <v>1</v>
      </c>
      <c r="AU319" s="79" t="str">
        <f t="shared" si="47"/>
        <v>B</v>
      </c>
      <c r="AV319" s="79">
        <f t="shared" si="52"/>
        <v>1</v>
      </c>
      <c r="AW319" s="79" t="str">
        <f>J319&amp;AU319</f>
        <v>6B</v>
      </c>
      <c r="AX319" s="79">
        <f>IF(COUNTIFS(J:J,"Integral",E:E,E319,H:H,"Ativo")=4,1/4,1/10)</f>
        <v>0.1</v>
      </c>
      <c r="AY319" s="79"/>
      <c r="AZ319" s="79"/>
    </row>
    <row r="320" spans="1:52" ht="15.75" customHeight="1">
      <c r="A320" s="54">
        <v>336</v>
      </c>
      <c r="B320" s="403">
        <v>45081</v>
      </c>
      <c r="C320" s="32" t="s">
        <v>1095</v>
      </c>
      <c r="D320" s="32" t="s">
        <v>1096</v>
      </c>
      <c r="E320" s="32" t="s">
        <v>984</v>
      </c>
      <c r="F320" s="32" t="s">
        <v>1097</v>
      </c>
      <c r="G320" s="60" t="s">
        <v>243</v>
      </c>
      <c r="H320" s="33" t="s">
        <v>244</v>
      </c>
      <c r="I320" s="34">
        <v>45090</v>
      </c>
      <c r="J320" s="33">
        <v>6</v>
      </c>
      <c r="K320" s="35" t="s">
        <v>378</v>
      </c>
      <c r="L320" s="35" t="s">
        <v>378</v>
      </c>
      <c r="M320" s="67" t="s">
        <v>222</v>
      </c>
      <c r="N320" s="33" t="s">
        <v>68</v>
      </c>
      <c r="O320" s="33" t="s">
        <v>11</v>
      </c>
      <c r="P320" s="33" t="s">
        <v>1</v>
      </c>
      <c r="Q320" s="47"/>
      <c r="R320" s="47"/>
      <c r="S320" s="45" t="s">
        <v>222</v>
      </c>
      <c r="T320" s="45"/>
      <c r="U320" s="63">
        <v>45081</v>
      </c>
      <c r="V320" s="48">
        <f t="shared" si="36"/>
        <v>45081</v>
      </c>
      <c r="W320" s="50">
        <f>V320-U320</f>
        <v>0</v>
      </c>
      <c r="X320" s="265">
        <f>Y320*0.91</f>
        <v>343980</v>
      </c>
      <c r="Y320" s="266">
        <v>378000</v>
      </c>
      <c r="Z320" s="266">
        <v>316360</v>
      </c>
      <c r="AA320" s="35" t="s">
        <v>1078</v>
      </c>
      <c r="AB320" s="266"/>
      <c r="AC320" s="44">
        <f>ABS(X320/Y320-1)</f>
        <v>8.9999999999999969E-2</v>
      </c>
      <c r="AD320" s="62">
        <v>7.1999999999999998E-3</v>
      </c>
      <c r="AE320" s="41">
        <f t="shared" si="48"/>
        <v>8.2799999999999971E-2</v>
      </c>
      <c r="AF320" s="42"/>
      <c r="AG320" s="40">
        <f>IF((X320*AE320)&lt;0,0,(X320*AE320))</f>
        <v>28481.543999999991</v>
      </c>
      <c r="AH320" s="40">
        <f t="shared" si="49"/>
        <v>61640</v>
      </c>
      <c r="AI320" s="44">
        <f>AH320/X320</f>
        <v>0.17919646491075061</v>
      </c>
      <c r="AJ320" s="44">
        <f t="shared" si="50"/>
        <v>0.17919646491075061</v>
      </c>
      <c r="AK320" s="40">
        <f>AF320*X320</f>
        <v>0</v>
      </c>
      <c r="AL320" s="40">
        <f t="shared" ref="AL320:AL338" si="53">AH320-AK320</f>
        <v>61640</v>
      </c>
      <c r="AM320" s="242">
        <f t="shared" si="39"/>
        <v>45107</v>
      </c>
      <c r="AN320" s="242" t="str">
        <f>IF(AQ320="x","",IF(AQ320="x",AM320,IF(EOMONTH(I320,0)=31,"",EOMONTH(I320,0))))</f>
        <v/>
      </c>
      <c r="AO320" s="79">
        <f>IFERROR(IF(VLOOKUP(C320,C321:C922,1,0)=0,1,0),1)</f>
        <v>1</v>
      </c>
      <c r="AP320" s="79"/>
      <c r="AQ320" s="243" t="str">
        <f t="shared" si="51"/>
        <v>x</v>
      </c>
      <c r="AR320" s="242">
        <f>IF(AQ320="x",EOMONTH(I320,0))</f>
        <v>45107</v>
      </c>
      <c r="AS320" s="79">
        <f t="shared" si="45"/>
        <v>1</v>
      </c>
      <c r="AT320" s="79">
        <f t="shared" si="46"/>
        <v>1</v>
      </c>
      <c r="AU320" s="79" t="str">
        <f t="shared" si="47"/>
        <v>B</v>
      </c>
      <c r="AV320" s="79">
        <f t="shared" si="52"/>
        <v>1</v>
      </c>
      <c r="AW320" s="79" t="str">
        <f>J320&amp;AU320</f>
        <v>6B</v>
      </c>
      <c r="AX320" s="79">
        <f>IF(COUNTIFS(J:J,"Integral",E:E,E320,H:H,"Ativo")=4,1/4,1/10)</f>
        <v>0.1</v>
      </c>
      <c r="AY320" s="79"/>
      <c r="AZ320" s="79"/>
    </row>
    <row r="321" spans="1:52" ht="15.75" customHeight="1">
      <c r="A321" s="54">
        <v>337</v>
      </c>
      <c r="B321" s="403">
        <v>45084</v>
      </c>
      <c r="C321" s="32" t="s">
        <v>1098</v>
      </c>
      <c r="D321" s="32" t="s">
        <v>1099</v>
      </c>
      <c r="E321" s="32" t="s">
        <v>984</v>
      </c>
      <c r="F321" s="32" t="s">
        <v>1100</v>
      </c>
      <c r="G321" s="60" t="s">
        <v>220</v>
      </c>
      <c r="H321" s="33" t="s">
        <v>90</v>
      </c>
      <c r="I321" s="34"/>
      <c r="J321" s="33">
        <v>6</v>
      </c>
      <c r="K321" s="35" t="s">
        <v>1101</v>
      </c>
      <c r="L321" s="35" t="s">
        <v>1101</v>
      </c>
      <c r="M321" s="67" t="s">
        <v>222</v>
      </c>
      <c r="N321" s="33" t="s">
        <v>68</v>
      </c>
      <c r="O321" s="33" t="s">
        <v>10</v>
      </c>
      <c r="P321" s="33" t="s">
        <v>1</v>
      </c>
      <c r="Q321" s="47"/>
      <c r="R321" s="47"/>
      <c r="S321" s="45" t="s">
        <v>145</v>
      </c>
      <c r="T321" s="45"/>
      <c r="U321" s="61">
        <v>45081</v>
      </c>
      <c r="V321" s="38">
        <f t="shared" si="36"/>
        <v>45084</v>
      </c>
      <c r="W321" s="50">
        <f>V321-U321</f>
        <v>3</v>
      </c>
      <c r="X321" s="261">
        <f>Y321*0.91</f>
        <v>343980</v>
      </c>
      <c r="Y321" s="263">
        <v>378000</v>
      </c>
      <c r="Z321" s="263">
        <v>269000</v>
      </c>
      <c r="AA321" s="35" t="s">
        <v>1078</v>
      </c>
      <c r="AB321" s="263"/>
      <c r="AC321" s="44">
        <f>ABS(X321/Y321-1)</f>
        <v>8.9999999999999969E-2</v>
      </c>
      <c r="AD321" s="62">
        <v>0.1041</v>
      </c>
      <c r="AE321" s="41">
        <f t="shared" si="48"/>
        <v>-1.4100000000000029E-2</v>
      </c>
      <c r="AF321" s="42">
        <v>1.41E-2</v>
      </c>
      <c r="AG321" s="40">
        <f>IF((X321*AE321)&lt;0,0,(X321*AE321))</f>
        <v>0</v>
      </c>
      <c r="AH321" s="40">
        <f t="shared" si="49"/>
        <v>109000</v>
      </c>
      <c r="AI321" s="44">
        <f>AH321/X321</f>
        <v>0.31687888830745975</v>
      </c>
      <c r="AJ321" s="44">
        <f t="shared" si="50"/>
        <v>0.30277888830745975</v>
      </c>
      <c r="AK321" s="40">
        <f>AF321*X321</f>
        <v>4850.1179999999995</v>
      </c>
      <c r="AL321" s="40">
        <f t="shared" si="53"/>
        <v>104149.882</v>
      </c>
      <c r="AM321" s="242">
        <f t="shared" si="39"/>
        <v>45107</v>
      </c>
      <c r="AN321" s="242" t="str">
        <f>IF(AQ321="x","",IF(AQ321="x",AM321,IF(EOMONTH(I321,0)=31,"",EOMONTH(I321,0))))</f>
        <v/>
      </c>
      <c r="AO321" s="79">
        <f>IFERROR(IF(VLOOKUP(C321,C322:C922,1,0)=0,1,0),1)</f>
        <v>1</v>
      </c>
      <c r="AP321" s="79"/>
      <c r="AQ321" s="243" t="str">
        <f t="shared" si="51"/>
        <v/>
      </c>
      <c r="AR321" s="242" t="b">
        <f>IF(AQ321="x",EOMONTH(I321,0))</f>
        <v>0</v>
      </c>
      <c r="AS321" s="79">
        <f t="shared" si="45"/>
        <v>1</v>
      </c>
      <c r="AT321" s="79">
        <f t="shared" si="46"/>
        <v>1</v>
      </c>
      <c r="AU321" s="79" t="str">
        <f t="shared" si="47"/>
        <v>B</v>
      </c>
      <c r="AV321" s="79">
        <f t="shared" si="52"/>
        <v>1</v>
      </c>
      <c r="AW321" s="79" t="str">
        <f>J321&amp;AU321</f>
        <v>6B</v>
      </c>
      <c r="AX321" s="79">
        <f>IF(COUNTIFS(J:J,"Integral",E:E,E321,H:H,"Ativo")=4,1/4,1/10)</f>
        <v>0.1</v>
      </c>
      <c r="AY321" s="79"/>
      <c r="AZ321" s="79"/>
    </row>
    <row r="322" spans="1:52" ht="15.75" customHeight="1">
      <c r="A322" s="54">
        <v>338</v>
      </c>
      <c r="B322" s="403">
        <v>45087</v>
      </c>
      <c r="C322" s="32" t="s">
        <v>1102</v>
      </c>
      <c r="D322" s="32" t="s">
        <v>1103</v>
      </c>
      <c r="E322" s="32" t="s">
        <v>944</v>
      </c>
      <c r="F322" s="32" t="s">
        <v>1104</v>
      </c>
      <c r="G322" s="60" t="s">
        <v>220</v>
      </c>
      <c r="H322" s="33" t="s">
        <v>90</v>
      </c>
      <c r="I322" s="34"/>
      <c r="J322" s="59">
        <v>13</v>
      </c>
      <c r="K322" s="35" t="s">
        <v>289</v>
      </c>
      <c r="L322" s="35" t="s">
        <v>289</v>
      </c>
      <c r="M322" s="67" t="s">
        <v>222</v>
      </c>
      <c r="N322" s="33" t="s">
        <v>68</v>
      </c>
      <c r="O322" s="33" t="s">
        <v>11</v>
      </c>
      <c r="P322" s="33" t="s">
        <v>1</v>
      </c>
      <c r="Q322" s="47"/>
      <c r="R322" s="47"/>
      <c r="S322" s="45" t="s">
        <v>143</v>
      </c>
      <c r="T322" s="45"/>
      <c r="U322" s="61">
        <v>45086</v>
      </c>
      <c r="V322" s="38">
        <f t="shared" ref="V322:V385" si="54">B322</f>
        <v>45087</v>
      </c>
      <c r="W322" s="50">
        <f>V322-U322</f>
        <v>1</v>
      </c>
      <c r="X322" s="261">
        <f>Y322*0.91</f>
        <v>1537900</v>
      </c>
      <c r="Y322" s="263">
        <v>1690000</v>
      </c>
      <c r="Z322" s="263">
        <v>1250008</v>
      </c>
      <c r="AA322" s="35" t="s">
        <v>999</v>
      </c>
      <c r="AB322" s="263"/>
      <c r="AC322" s="44">
        <f>ABS(X322/Y322-1)</f>
        <v>8.9999999999999969E-2</v>
      </c>
      <c r="AD322" s="62">
        <v>0.13950000000000001</v>
      </c>
      <c r="AE322" s="41">
        <f t="shared" si="48"/>
        <v>-4.9500000000000044E-2</v>
      </c>
      <c r="AF322" s="42">
        <v>4.9500000000000002E-2</v>
      </c>
      <c r="AG322" s="40">
        <f>IF((X322*AE322)&lt;0,0,(X322*AE322))</f>
        <v>0</v>
      </c>
      <c r="AH322" s="40">
        <f t="shared" si="49"/>
        <v>439992</v>
      </c>
      <c r="AI322" s="44">
        <f>AH322/X322</f>
        <v>0.28609922621756939</v>
      </c>
      <c r="AJ322" s="44">
        <f t="shared" si="50"/>
        <v>0.2365992262175694</v>
      </c>
      <c r="AK322" s="40">
        <f>AF322*X322</f>
        <v>76126.05</v>
      </c>
      <c r="AL322" s="40">
        <f t="shared" si="53"/>
        <v>363865.95</v>
      </c>
      <c r="AM322" s="242">
        <f t="shared" ref="AM322:AM385" si="55">IFERROR(EOMONTH(B322,0),"Pendente")</f>
        <v>45107</v>
      </c>
      <c r="AN322" s="242" t="str">
        <f>IF(AQ322="x","",IF(AQ322="x",AM322,IF(EOMONTH(I322,0)=31,"",EOMONTH(I322,0))))</f>
        <v/>
      </c>
      <c r="AO322" s="79">
        <f>IFERROR(IF(VLOOKUP(C322,C323:C923,1,0)=0,1,0),1)</f>
        <v>0</v>
      </c>
      <c r="AP322" s="79"/>
      <c r="AQ322" s="243" t="str">
        <f t="shared" si="51"/>
        <v/>
      </c>
      <c r="AR322" s="242" t="b">
        <f>IF(AQ322="x",EOMONTH(I322,0))</f>
        <v>0</v>
      </c>
      <c r="AS322" s="79">
        <f t="shared" si="45"/>
        <v>1</v>
      </c>
      <c r="AT322" s="79">
        <f t="shared" si="46"/>
        <v>1</v>
      </c>
      <c r="AU322" s="79" t="str">
        <f t="shared" si="47"/>
        <v>A</v>
      </c>
      <c r="AV322" s="79">
        <f t="shared" si="52"/>
        <v>1</v>
      </c>
      <c r="AW322" s="79" t="str">
        <f>J322&amp;AU322</f>
        <v>13A</v>
      </c>
      <c r="AX322" s="79">
        <f>IF(COUNTIFS(J:J,"Integral",E:E,E322,H:H,"Ativo")=4,1/4,1/10)</f>
        <v>0.1</v>
      </c>
      <c r="AY322" s="79"/>
      <c r="AZ322" s="79"/>
    </row>
    <row r="323" spans="1:52" ht="15.75" customHeight="1">
      <c r="A323" s="54">
        <v>339</v>
      </c>
      <c r="B323" s="403">
        <v>45087</v>
      </c>
      <c r="C323" s="32" t="s">
        <v>1102</v>
      </c>
      <c r="D323" s="32" t="s">
        <v>1105</v>
      </c>
      <c r="E323" s="32" t="s">
        <v>944</v>
      </c>
      <c r="F323" s="32" t="s">
        <v>1106</v>
      </c>
      <c r="G323" s="60" t="s">
        <v>220</v>
      </c>
      <c r="H323" s="33" t="s">
        <v>90</v>
      </c>
      <c r="I323" s="34"/>
      <c r="J323" s="59">
        <v>13</v>
      </c>
      <c r="K323" s="35" t="s">
        <v>289</v>
      </c>
      <c r="L323" s="35" t="s">
        <v>289</v>
      </c>
      <c r="M323" s="67" t="s">
        <v>222</v>
      </c>
      <c r="N323" s="33" t="s">
        <v>68</v>
      </c>
      <c r="O323" s="33" t="s">
        <v>11</v>
      </c>
      <c r="P323" s="33" t="s">
        <v>1</v>
      </c>
      <c r="Q323" s="47"/>
      <c r="R323" s="47"/>
      <c r="S323" s="45" t="s">
        <v>143</v>
      </c>
      <c r="T323" s="45"/>
      <c r="U323" s="61">
        <v>45086</v>
      </c>
      <c r="V323" s="38">
        <f t="shared" si="54"/>
        <v>45087</v>
      </c>
      <c r="W323" s="50">
        <f>V323-U323</f>
        <v>1</v>
      </c>
      <c r="X323" s="261">
        <f>Y323*0.91</f>
        <v>1537900</v>
      </c>
      <c r="Y323" s="263">
        <v>1690000</v>
      </c>
      <c r="Z323" s="263">
        <v>1250008</v>
      </c>
      <c r="AA323" s="35" t="s">
        <v>999</v>
      </c>
      <c r="AB323" s="263"/>
      <c r="AC323" s="44">
        <f>ABS(X323/Y323-1)</f>
        <v>8.9999999999999969E-2</v>
      </c>
      <c r="AD323" s="62">
        <v>0.13950000000000001</v>
      </c>
      <c r="AE323" s="41">
        <f t="shared" si="48"/>
        <v>-4.9500000000000044E-2</v>
      </c>
      <c r="AF323" s="42">
        <v>4.9500000000000002E-2</v>
      </c>
      <c r="AG323" s="40">
        <f>IF((X323*AE323)&lt;0,0,(X323*AE323))</f>
        <v>0</v>
      </c>
      <c r="AH323" s="40">
        <f t="shared" si="49"/>
        <v>439992</v>
      </c>
      <c r="AI323" s="44">
        <f>AH323/X323</f>
        <v>0.28609922621756939</v>
      </c>
      <c r="AJ323" s="44">
        <f t="shared" si="50"/>
        <v>0.2365992262175694</v>
      </c>
      <c r="AK323" s="40">
        <f>AF323*X323</f>
        <v>76126.05</v>
      </c>
      <c r="AL323" s="40">
        <f t="shared" si="53"/>
        <v>363865.95</v>
      </c>
      <c r="AM323" s="242">
        <f t="shared" si="55"/>
        <v>45107</v>
      </c>
      <c r="AN323" s="242" t="str">
        <f>IF(AQ323="x","",IF(AQ323="x",AM323,IF(EOMONTH(I323,0)=31,"",EOMONTH(I323,0))))</f>
        <v/>
      </c>
      <c r="AO323" s="79">
        <f>IFERROR(IF(VLOOKUP(C323,C324:C924,1,0)=0,1,0),1)</f>
        <v>1</v>
      </c>
      <c r="AP323" s="79"/>
      <c r="AQ323" s="243" t="str">
        <f t="shared" si="51"/>
        <v/>
      </c>
      <c r="AR323" s="242" t="b">
        <f>IF(AQ323="x",EOMONTH(I323,0))</f>
        <v>0</v>
      </c>
      <c r="AS323" s="79">
        <f t="shared" si="45"/>
        <v>1</v>
      </c>
      <c r="AT323" s="79">
        <f t="shared" si="46"/>
        <v>1</v>
      </c>
      <c r="AU323" s="79" t="str">
        <f t="shared" si="47"/>
        <v>A</v>
      </c>
      <c r="AV323" s="79">
        <f t="shared" si="52"/>
        <v>1</v>
      </c>
      <c r="AW323" s="79" t="str">
        <f>J323&amp;AU323</f>
        <v>13A</v>
      </c>
      <c r="AX323" s="79">
        <f>IF(COUNTIFS(J:J,"Integral",E:E,E323,H:H,"Ativo")=4,1/4,1/10)</f>
        <v>0.1</v>
      </c>
      <c r="AY323" s="79"/>
      <c r="AZ323" s="79"/>
    </row>
    <row r="324" spans="1:52" ht="15.75" customHeight="1">
      <c r="A324" s="54">
        <v>340</v>
      </c>
      <c r="B324" s="403">
        <v>45087</v>
      </c>
      <c r="C324" s="32" t="s">
        <v>1107</v>
      </c>
      <c r="D324" s="32" t="s">
        <v>1108</v>
      </c>
      <c r="E324" s="32" t="s">
        <v>984</v>
      </c>
      <c r="F324" s="32" t="s">
        <v>1109</v>
      </c>
      <c r="G324" s="60" t="s">
        <v>220</v>
      </c>
      <c r="H324" s="33" t="s">
        <v>90</v>
      </c>
      <c r="I324" s="34"/>
      <c r="J324" s="33">
        <v>6</v>
      </c>
      <c r="K324" s="35" t="s">
        <v>274</v>
      </c>
      <c r="L324" s="35" t="s">
        <v>274</v>
      </c>
      <c r="M324" s="67" t="s">
        <v>222</v>
      </c>
      <c r="N324" s="33" t="s">
        <v>68</v>
      </c>
      <c r="O324" s="33" t="s">
        <v>11</v>
      </c>
      <c r="P324" s="33" t="s">
        <v>1</v>
      </c>
      <c r="Q324" s="47"/>
      <c r="R324" s="47"/>
      <c r="S324" s="45" t="s">
        <v>161</v>
      </c>
      <c r="T324" s="45"/>
      <c r="U324" s="61">
        <v>45087</v>
      </c>
      <c r="V324" s="38">
        <f t="shared" si="54"/>
        <v>45087</v>
      </c>
      <c r="W324" s="50">
        <f>V324-U324</f>
        <v>0</v>
      </c>
      <c r="X324" s="261">
        <f>Y324*0.91</f>
        <v>343980</v>
      </c>
      <c r="Y324" s="263">
        <v>378000</v>
      </c>
      <c r="Z324" s="263">
        <v>336800</v>
      </c>
      <c r="AA324" s="35" t="s">
        <v>1027</v>
      </c>
      <c r="AB324" s="263"/>
      <c r="AC324" s="44">
        <f>ABS(X324/Y324-1)</f>
        <v>8.9999999999999969E-2</v>
      </c>
      <c r="AD324" s="62">
        <v>2.6700000000000002E-2</v>
      </c>
      <c r="AE324" s="41">
        <f t="shared" si="48"/>
        <v>6.3299999999999967E-2</v>
      </c>
      <c r="AF324" s="42"/>
      <c r="AG324" s="40">
        <f>IF((X324*AE324)&lt;0,0,(X324*AE324))</f>
        <v>21773.93399999999</v>
      </c>
      <c r="AH324" s="40">
        <f t="shared" si="49"/>
        <v>41200</v>
      </c>
      <c r="AI324" s="44">
        <f>AH324/X324</f>
        <v>0.1197744054886912</v>
      </c>
      <c r="AJ324" s="44">
        <f t="shared" si="50"/>
        <v>0.1197744054886912</v>
      </c>
      <c r="AK324" s="40">
        <f>AF324*X324</f>
        <v>0</v>
      </c>
      <c r="AL324" s="40">
        <f t="shared" si="53"/>
        <v>41200</v>
      </c>
      <c r="AM324" s="242">
        <f t="shared" si="55"/>
        <v>45107</v>
      </c>
      <c r="AN324" s="242" t="str">
        <f>IF(AQ324="x","",IF(AQ324="x",AM324,IF(EOMONTH(I324,0)=31,"",EOMONTH(I324,0))))</f>
        <v/>
      </c>
      <c r="AO324" s="79">
        <f>IFERROR(IF(VLOOKUP(C324,C325:C925,1,0)=0,1,0),1)</f>
        <v>1</v>
      </c>
      <c r="AP324" s="79"/>
      <c r="AQ324" s="243" t="str">
        <f t="shared" si="51"/>
        <v/>
      </c>
      <c r="AR324" s="242" t="b">
        <f>IF(AQ324="x",EOMONTH(I324,0))</f>
        <v>0</v>
      </c>
      <c r="AS324" s="79">
        <f t="shared" si="45"/>
        <v>1</v>
      </c>
      <c r="AT324" s="79">
        <f t="shared" si="46"/>
        <v>1</v>
      </c>
      <c r="AU324" s="79" t="str">
        <f t="shared" si="47"/>
        <v>B</v>
      </c>
      <c r="AV324" s="79">
        <f t="shared" si="52"/>
        <v>1</v>
      </c>
      <c r="AW324" s="79" t="str">
        <f>J324&amp;AU324</f>
        <v>6B</v>
      </c>
      <c r="AX324" s="79">
        <f>IF(COUNTIFS(J:J,"Integral",E:E,E324,H:H,"Ativo")=4,1/4,1/10)</f>
        <v>0.1</v>
      </c>
      <c r="AY324" s="79"/>
      <c r="AZ324" s="79"/>
    </row>
    <row r="325" spans="1:52" ht="15.75" customHeight="1">
      <c r="A325" s="54">
        <v>342</v>
      </c>
      <c r="B325" s="403">
        <v>45087</v>
      </c>
      <c r="C325" s="32" t="s">
        <v>1110</v>
      </c>
      <c r="D325" s="32" t="s">
        <v>1111</v>
      </c>
      <c r="E325" s="32" t="s">
        <v>1065</v>
      </c>
      <c r="F325" s="32" t="s">
        <v>1112</v>
      </c>
      <c r="G325" s="60" t="s">
        <v>220</v>
      </c>
      <c r="H325" s="33" t="s">
        <v>244</v>
      </c>
      <c r="I325" s="34">
        <v>45148</v>
      </c>
      <c r="J325" s="33">
        <v>6</v>
      </c>
      <c r="K325" s="35" t="s">
        <v>274</v>
      </c>
      <c r="L325" s="35" t="s">
        <v>274</v>
      </c>
      <c r="M325" s="67" t="s">
        <v>222</v>
      </c>
      <c r="N325" s="33" t="s">
        <v>68</v>
      </c>
      <c r="O325" s="33" t="s">
        <v>12</v>
      </c>
      <c r="P325" s="33" t="s">
        <v>1</v>
      </c>
      <c r="Q325" s="47"/>
      <c r="R325" s="47"/>
      <c r="S325" s="45" t="s">
        <v>143</v>
      </c>
      <c r="T325" s="45"/>
      <c r="U325" s="63">
        <v>45087</v>
      </c>
      <c r="V325" s="48">
        <f t="shared" si="54"/>
        <v>45087</v>
      </c>
      <c r="W325" s="50">
        <f>V325-U325</f>
        <v>0</v>
      </c>
      <c r="X325" s="265">
        <f>Y325*0.91</f>
        <v>371280</v>
      </c>
      <c r="Y325" s="266">
        <v>408000</v>
      </c>
      <c r="Z325" s="266">
        <v>386080</v>
      </c>
      <c r="AA325" s="35" t="s">
        <v>1027</v>
      </c>
      <c r="AB325" s="266"/>
      <c r="AC325" s="44">
        <f>ABS(X325/Y325-1)</f>
        <v>8.9999999999999969E-2</v>
      </c>
      <c r="AD325" s="62">
        <v>3.9600000000000003E-2</v>
      </c>
      <c r="AE325" s="41">
        <f t="shared" si="48"/>
        <v>5.0399999999999966E-2</v>
      </c>
      <c r="AF325" s="42"/>
      <c r="AG325" s="40">
        <f>IF((X325*AE325)&lt;0,0,(X325*AE325))</f>
        <v>18712.511999999988</v>
      </c>
      <c r="AH325" s="40">
        <f t="shared" si="49"/>
        <v>21920</v>
      </c>
      <c r="AI325" s="44">
        <f>AH325/X325</f>
        <v>5.9039000215470802E-2</v>
      </c>
      <c r="AJ325" s="44">
        <f t="shared" si="50"/>
        <v>5.9039000215470802E-2</v>
      </c>
      <c r="AK325" s="40">
        <f>AF325*X325</f>
        <v>0</v>
      </c>
      <c r="AL325" s="40">
        <f t="shared" si="53"/>
        <v>21920</v>
      </c>
      <c r="AM325" s="242">
        <f t="shared" si="55"/>
        <v>45107</v>
      </c>
      <c r="AN325" s="242">
        <f>IF(AQ325="x","",IF(AQ325="x",AM325,IF(EOMONTH(I325,0)=31,"",EOMONTH(I325,0))))</f>
        <v>45169</v>
      </c>
      <c r="AO325" s="79">
        <f>IFERROR(IF(VLOOKUP(C325,C326:C926,1,0)=0,1,0),1)</f>
        <v>1</v>
      </c>
      <c r="AP325" s="79"/>
      <c r="AQ325" s="243" t="str">
        <f t="shared" si="51"/>
        <v/>
      </c>
      <c r="AR325" s="242" t="b">
        <f>IF(AQ325="x",EOMONTH(I325,0))</f>
        <v>0</v>
      </c>
      <c r="AS325" s="79">
        <f t="shared" si="45"/>
        <v>1</v>
      </c>
      <c r="AT325" s="79">
        <f t="shared" si="46"/>
        <v>1</v>
      </c>
      <c r="AU325" s="79" t="str">
        <f t="shared" si="47"/>
        <v>B</v>
      </c>
      <c r="AV325" s="79">
        <f t="shared" si="52"/>
        <v>1</v>
      </c>
      <c r="AW325" s="79" t="str">
        <f>J325&amp;AU325</f>
        <v>6B</v>
      </c>
      <c r="AX325" s="79">
        <f>IF(COUNTIFS(J:J,"Integral",E:E,E325,H:H,"Ativo")=4,1/4,1/10)</f>
        <v>0.1</v>
      </c>
      <c r="AY325" s="79"/>
      <c r="AZ325" s="79"/>
    </row>
    <row r="326" spans="1:52" ht="15.75" customHeight="1">
      <c r="A326" s="54">
        <v>343</v>
      </c>
      <c r="B326" s="403">
        <v>45090</v>
      </c>
      <c r="C326" s="32" t="s">
        <v>1113</v>
      </c>
      <c r="D326" s="32" t="s">
        <v>1114</v>
      </c>
      <c r="E326" s="32" t="s">
        <v>572</v>
      </c>
      <c r="F326" s="32" t="s">
        <v>1115</v>
      </c>
      <c r="G326" s="60" t="s">
        <v>220</v>
      </c>
      <c r="H326" s="33" t="s">
        <v>90</v>
      </c>
      <c r="I326" s="34"/>
      <c r="J326" s="33">
        <v>6</v>
      </c>
      <c r="K326" s="35" t="s">
        <v>977</v>
      </c>
      <c r="L326" s="35" t="s">
        <v>981</v>
      </c>
      <c r="M326" s="67" t="s">
        <v>222</v>
      </c>
      <c r="N326" s="33" t="s">
        <v>68</v>
      </c>
      <c r="O326" s="33" t="s">
        <v>10</v>
      </c>
      <c r="P326" s="33" t="s">
        <v>2</v>
      </c>
      <c r="Q326" s="47"/>
      <c r="R326" s="47"/>
      <c r="S326" s="45" t="s">
        <v>143</v>
      </c>
      <c r="T326" s="45"/>
      <c r="U326" s="61">
        <v>45090</v>
      </c>
      <c r="V326" s="38">
        <f t="shared" si="54"/>
        <v>45090</v>
      </c>
      <c r="W326" s="50">
        <f>V326-U326</f>
        <v>0</v>
      </c>
      <c r="X326" s="261">
        <f>Y326*0.91</f>
        <v>401310</v>
      </c>
      <c r="Y326" s="263">
        <v>441000</v>
      </c>
      <c r="Z326" s="263">
        <v>360000</v>
      </c>
      <c r="AA326" s="35"/>
      <c r="AB326" s="263"/>
      <c r="AC326" s="44">
        <f>ABS(X326/Y326-1)</f>
        <v>8.9999999999999969E-2</v>
      </c>
      <c r="AD326" s="62">
        <v>2.64E-2</v>
      </c>
      <c r="AE326" s="41">
        <f t="shared" ref="AE326:AE357" si="56">AC326-AD326</f>
        <v>6.3599999999999962E-2</v>
      </c>
      <c r="AF326" s="42"/>
      <c r="AG326" s="40">
        <f>IF((X326*AE326)&lt;0,0,(X326*AE326))</f>
        <v>25523.315999999984</v>
      </c>
      <c r="AH326" s="40">
        <f t="shared" si="49"/>
        <v>81000</v>
      </c>
      <c r="AI326" s="44">
        <f>AH326/X326</f>
        <v>0.20183897734918144</v>
      </c>
      <c r="AJ326" s="44">
        <f t="shared" si="50"/>
        <v>0.20183897734918144</v>
      </c>
      <c r="AK326" s="40">
        <f>AF326*X326</f>
        <v>0</v>
      </c>
      <c r="AL326" s="40">
        <f t="shared" si="53"/>
        <v>81000</v>
      </c>
      <c r="AM326" s="242">
        <f t="shared" si="55"/>
        <v>45107</v>
      </c>
      <c r="AN326" s="242" t="str">
        <f>IF(AQ326="x","",IF(AQ326="x",AM326,IF(EOMONTH(I326,0)=31,"",EOMONTH(I326,0))))</f>
        <v/>
      </c>
      <c r="AO326" s="79">
        <f>IFERROR(IF(VLOOKUP(C326,C327:C927,1,0)=0,1,0),1)</f>
        <v>1</v>
      </c>
      <c r="AP326" s="79"/>
      <c r="AQ326" s="243" t="str">
        <f t="shared" si="51"/>
        <v/>
      </c>
      <c r="AR326" s="242" t="b">
        <f>IF(AQ326="x",EOMONTH(I326,0))</f>
        <v>0</v>
      </c>
      <c r="AS326" s="79">
        <f t="shared" si="45"/>
        <v>1</v>
      </c>
      <c r="AT326" s="79">
        <f t="shared" si="46"/>
        <v>1</v>
      </c>
      <c r="AU326" s="79" t="str">
        <f t="shared" si="47"/>
        <v>B</v>
      </c>
      <c r="AV326" s="79">
        <f t="shared" si="52"/>
        <v>1</v>
      </c>
      <c r="AW326" s="79" t="str">
        <f>J326&amp;AU326</f>
        <v>6B</v>
      </c>
      <c r="AX326" s="79">
        <f>IF(COUNTIFS(J:J,"Integral",E:E,E326,H:H,"Ativo")=4,1/4,1/10)</f>
        <v>0.1</v>
      </c>
      <c r="AY326" s="79"/>
      <c r="AZ326" s="79"/>
    </row>
    <row r="327" spans="1:52" ht="15.75" customHeight="1">
      <c r="A327" s="54">
        <v>344</v>
      </c>
      <c r="B327" s="403">
        <v>45092</v>
      </c>
      <c r="C327" s="32" t="s">
        <v>1116</v>
      </c>
      <c r="D327" s="32" t="s">
        <v>1117</v>
      </c>
      <c r="E327" s="32" t="s">
        <v>1118</v>
      </c>
      <c r="F327" s="32" t="s">
        <v>1119</v>
      </c>
      <c r="G327" s="60" t="s">
        <v>220</v>
      </c>
      <c r="H327" s="33" t="s">
        <v>90</v>
      </c>
      <c r="I327" s="34"/>
      <c r="J327" s="33">
        <v>6</v>
      </c>
      <c r="K327" s="35" t="s">
        <v>333</v>
      </c>
      <c r="L327" s="35" t="s">
        <v>333</v>
      </c>
      <c r="M327" s="67" t="s">
        <v>222</v>
      </c>
      <c r="N327" s="33" t="s">
        <v>68</v>
      </c>
      <c r="O327" s="33" t="s">
        <v>12</v>
      </c>
      <c r="P327" s="33" t="s">
        <v>1</v>
      </c>
      <c r="Q327" s="47"/>
      <c r="R327" s="47"/>
      <c r="S327" s="45" t="s">
        <v>149</v>
      </c>
      <c r="T327" s="45"/>
      <c r="U327" s="61">
        <v>45092</v>
      </c>
      <c r="V327" s="38">
        <f t="shared" si="54"/>
        <v>45092</v>
      </c>
      <c r="W327" s="50">
        <f>V327-U327</f>
        <v>0</v>
      </c>
      <c r="X327" s="261">
        <f>Y327*0.91</f>
        <v>343980</v>
      </c>
      <c r="Y327" s="263">
        <v>378000</v>
      </c>
      <c r="Z327" s="263">
        <v>360792</v>
      </c>
      <c r="AA327" s="35" t="s">
        <v>1078</v>
      </c>
      <c r="AB327" s="263"/>
      <c r="AC327" s="44">
        <f>ABS(X327/Y327-1)</f>
        <v>8.9999999999999969E-2</v>
      </c>
      <c r="AD327" s="62">
        <v>1.54E-2</v>
      </c>
      <c r="AE327" s="41">
        <f t="shared" si="56"/>
        <v>7.4599999999999972E-2</v>
      </c>
      <c r="AF327" s="42"/>
      <c r="AG327" s="40">
        <f>IF((X327*AE327)&lt;0,0,(X327*AE327))</f>
        <v>25660.907999999989</v>
      </c>
      <c r="AH327" s="40">
        <f t="shared" si="49"/>
        <v>17208</v>
      </c>
      <c r="AI327" s="44">
        <f>AH327/X327</f>
        <v>5.0026164311878597E-2</v>
      </c>
      <c r="AJ327" s="44">
        <f t="shared" si="50"/>
        <v>5.0026164311878597E-2</v>
      </c>
      <c r="AK327" s="40">
        <f>AF327*X327</f>
        <v>0</v>
      </c>
      <c r="AL327" s="40">
        <f t="shared" si="53"/>
        <v>17208</v>
      </c>
      <c r="AM327" s="242">
        <f t="shared" si="55"/>
        <v>45107</v>
      </c>
      <c r="AN327" s="242" t="str">
        <f>IF(AQ327="x","",IF(AQ327="x",AM327,IF(EOMONTH(I327,0)=31,"",EOMONTH(I327,0))))</f>
        <v/>
      </c>
      <c r="AO327" s="79">
        <f>IFERROR(IF(VLOOKUP(C327,C328:C928,1,0)=0,1,0),1)</f>
        <v>1</v>
      </c>
      <c r="AP327" s="79"/>
      <c r="AQ327" s="243" t="str">
        <f t="shared" si="51"/>
        <v/>
      </c>
      <c r="AR327" s="242" t="b">
        <f>IF(AQ327="x",EOMONTH(I327,0))</f>
        <v>0</v>
      </c>
      <c r="AS327" s="79">
        <f t="shared" si="45"/>
        <v>1</v>
      </c>
      <c r="AT327" s="79">
        <f t="shared" si="46"/>
        <v>1</v>
      </c>
      <c r="AU327" s="79" t="str">
        <f t="shared" si="47"/>
        <v>B</v>
      </c>
      <c r="AV327" s="79">
        <f t="shared" si="52"/>
        <v>1</v>
      </c>
      <c r="AW327" s="79" t="str">
        <f>J327&amp;AU327</f>
        <v>6B</v>
      </c>
      <c r="AX327" s="79">
        <f>IF(COUNTIFS(J:J,"Integral",E:E,E327,H:H,"Ativo")=4,1/4,1/10)</f>
        <v>0.1</v>
      </c>
      <c r="AY327" s="79"/>
      <c r="AZ327" s="79"/>
    </row>
    <row r="328" spans="1:52" ht="15.75" customHeight="1">
      <c r="A328" s="54">
        <v>345</v>
      </c>
      <c r="B328" s="403">
        <v>45092</v>
      </c>
      <c r="C328" s="32" t="s">
        <v>1120</v>
      </c>
      <c r="D328" s="32" t="s">
        <v>1121</v>
      </c>
      <c r="E328" s="32" t="s">
        <v>807</v>
      </c>
      <c r="F328" s="32" t="s">
        <v>1122</v>
      </c>
      <c r="G328" s="60" t="s">
        <v>220</v>
      </c>
      <c r="H328" s="33" t="s">
        <v>90</v>
      </c>
      <c r="I328" s="34"/>
      <c r="J328" s="33">
        <v>4</v>
      </c>
      <c r="K328" s="35" t="s">
        <v>221</v>
      </c>
      <c r="L328" s="35" t="s">
        <v>221</v>
      </c>
      <c r="M328" s="67" t="s">
        <v>222</v>
      </c>
      <c r="N328" s="33" t="s">
        <v>72</v>
      </c>
      <c r="O328" s="33" t="s">
        <v>10</v>
      </c>
      <c r="P328" s="33" t="s">
        <v>72</v>
      </c>
      <c r="Q328" s="47" t="s">
        <v>96</v>
      </c>
      <c r="R328" s="47"/>
      <c r="S328" s="45" t="s">
        <v>143</v>
      </c>
      <c r="T328" s="45"/>
      <c r="U328" s="64" t="s">
        <v>222</v>
      </c>
      <c r="V328" s="48">
        <f t="shared" si="54"/>
        <v>45092</v>
      </c>
      <c r="W328" s="50"/>
      <c r="X328" s="261">
        <f>Y328*0.91</f>
        <v>209300</v>
      </c>
      <c r="Y328" s="263">
        <v>230000</v>
      </c>
      <c r="Z328" s="263">
        <v>230000</v>
      </c>
      <c r="AA328" s="35"/>
      <c r="AB328" s="263"/>
      <c r="AC328" s="44">
        <f>ABS(X328/Y328-1)</f>
        <v>8.9999999999999969E-2</v>
      </c>
      <c r="AD328" s="62"/>
      <c r="AE328" s="41">
        <f t="shared" si="56"/>
        <v>8.9999999999999969E-2</v>
      </c>
      <c r="AF328" s="42"/>
      <c r="AG328" s="40">
        <f>IF((X328*AE328)&lt;0,0,(X328*AE328))</f>
        <v>18836.999999999993</v>
      </c>
      <c r="AH328" s="65">
        <f t="shared" si="49"/>
        <v>0</v>
      </c>
      <c r="AI328" s="66">
        <f>AH328/X328</f>
        <v>0</v>
      </c>
      <c r="AJ328" s="66">
        <f t="shared" si="50"/>
        <v>0</v>
      </c>
      <c r="AK328" s="65">
        <f>AF328*X328</f>
        <v>0</v>
      </c>
      <c r="AL328" s="40">
        <f t="shared" si="53"/>
        <v>0</v>
      </c>
      <c r="AM328" s="242">
        <f t="shared" si="55"/>
        <v>45107</v>
      </c>
      <c r="AN328" s="242" t="str">
        <f>IF(AQ328="x","",IF(AQ328="x",AM328,IF(EOMONTH(I328,0)=31,"",EOMONTH(I328,0))))</f>
        <v/>
      </c>
      <c r="AO328" s="79">
        <f>IFERROR(IF(VLOOKUP(C328,C329:C929,1,0)=0,1,0),1)</f>
        <v>1</v>
      </c>
      <c r="AP328" s="79"/>
      <c r="AQ328" s="243" t="str">
        <f t="shared" si="51"/>
        <v/>
      </c>
      <c r="AR328" s="242" t="b">
        <f>IF(AQ328="x",EOMONTH(I328,0))</f>
        <v>0</v>
      </c>
      <c r="AS328" s="79">
        <f t="shared" si="45"/>
        <v>1</v>
      </c>
      <c r="AT328" s="79">
        <f t="shared" si="46"/>
        <v>1</v>
      </c>
      <c r="AU328" s="79" t="str">
        <f t="shared" si="47"/>
        <v>B</v>
      </c>
      <c r="AV328" s="79">
        <f t="shared" si="52"/>
        <v>1</v>
      </c>
      <c r="AW328" s="79" t="str">
        <f>J328&amp;AU328</f>
        <v>4B</v>
      </c>
      <c r="AX328" s="79">
        <f>IF(COUNTIFS(J:J,"Integral",E:E,E328,H:H,"Ativo")=4,1/4,1/10)</f>
        <v>0.1</v>
      </c>
      <c r="AY328" s="79"/>
      <c r="AZ328" s="79"/>
    </row>
    <row r="329" spans="1:52" ht="15.75" customHeight="1">
      <c r="A329" s="54">
        <v>347</v>
      </c>
      <c r="B329" s="403">
        <v>45094</v>
      </c>
      <c r="C329" s="32" t="s">
        <v>1123</v>
      </c>
      <c r="D329" s="32" t="s">
        <v>312</v>
      </c>
      <c r="E329" s="32" t="s">
        <v>306</v>
      </c>
      <c r="F329" s="32" t="s">
        <v>1124</v>
      </c>
      <c r="G329" s="60" t="s">
        <v>220</v>
      </c>
      <c r="H329" s="33" t="s">
        <v>90</v>
      </c>
      <c r="I329" s="34"/>
      <c r="J329" s="33">
        <v>13</v>
      </c>
      <c r="K329" s="35" t="s">
        <v>981</v>
      </c>
      <c r="L329" s="35" t="s">
        <v>981</v>
      </c>
      <c r="M329" s="67" t="s">
        <v>222</v>
      </c>
      <c r="N329" s="33" t="s">
        <v>68</v>
      </c>
      <c r="O329" s="33" t="s">
        <v>11</v>
      </c>
      <c r="P329" s="33" t="s">
        <v>83</v>
      </c>
      <c r="Q329" s="47" t="s">
        <v>97</v>
      </c>
      <c r="R329" s="47"/>
      <c r="S329" s="45" t="s">
        <v>147</v>
      </c>
      <c r="T329" s="45"/>
      <c r="U329" s="46">
        <v>45082</v>
      </c>
      <c r="V329" s="38">
        <f t="shared" si="54"/>
        <v>45094</v>
      </c>
      <c r="W329" s="50">
        <f>V329-U329</f>
        <v>12</v>
      </c>
      <c r="X329" s="261">
        <f>Y329*0.91</f>
        <v>941167.5</v>
      </c>
      <c r="Y329" s="260">
        <v>1034250</v>
      </c>
      <c r="Z329" s="263">
        <v>996000</v>
      </c>
      <c r="AA329" s="35"/>
      <c r="AB329" s="263"/>
      <c r="AC329" s="44">
        <f>ABS(X329/Y329-1)</f>
        <v>8.9999999999999969E-2</v>
      </c>
      <c r="AD329" s="62">
        <v>-5.2999999999999999E-2</v>
      </c>
      <c r="AE329" s="41">
        <f t="shared" si="56"/>
        <v>0.14299999999999996</v>
      </c>
      <c r="AF329" s="42"/>
      <c r="AG329" s="40">
        <f>IF((X329*AE329)&lt;0,0,(X329*AE329))</f>
        <v>134586.95249999996</v>
      </c>
      <c r="AH329" s="65">
        <f t="shared" si="49"/>
        <v>38250</v>
      </c>
      <c r="AI329" s="66">
        <f>AH329/X329</f>
        <v>4.0641012359649051E-2</v>
      </c>
      <c r="AJ329" s="66">
        <f t="shared" si="50"/>
        <v>4.0641012359649051E-2</v>
      </c>
      <c r="AK329" s="65">
        <f>AF329*X329</f>
        <v>0</v>
      </c>
      <c r="AL329" s="40">
        <f t="shared" si="53"/>
        <v>38250</v>
      </c>
      <c r="AM329" s="242">
        <f t="shared" si="55"/>
        <v>45107</v>
      </c>
      <c r="AN329" s="242" t="str">
        <f>IF(AQ329="x","",IF(AQ329="x",AM329,IF(EOMONTH(I329,0)=31,"",EOMONTH(I329,0))))</f>
        <v/>
      </c>
      <c r="AO329" s="79">
        <f>IFERROR(IF(VLOOKUP(C329,C330:C930,1,0)=0,1,0),1)</f>
        <v>1</v>
      </c>
      <c r="AP329" s="79"/>
      <c r="AQ329" s="243" t="str">
        <f t="shared" si="51"/>
        <v/>
      </c>
      <c r="AR329" s="242" t="b">
        <f>IF(AQ329="x",EOMONTH(I329,0))</f>
        <v>0</v>
      </c>
      <c r="AS329" s="79">
        <f t="shared" si="45"/>
        <v>1</v>
      </c>
      <c r="AT329" s="79">
        <f t="shared" si="46"/>
        <v>1</v>
      </c>
      <c r="AU329" s="79" t="str">
        <f t="shared" si="47"/>
        <v>A</v>
      </c>
      <c r="AV329" s="79">
        <f t="shared" si="52"/>
        <v>1</v>
      </c>
      <c r="AW329" s="79" t="str">
        <f>J329&amp;AU329</f>
        <v>13A</v>
      </c>
      <c r="AX329" s="79">
        <f>IF(COUNTIFS(J:J,"Integral",E:E,E329,H:H,"Ativo")=4,1/4,1/10)</f>
        <v>0.1</v>
      </c>
      <c r="AY329" s="79"/>
      <c r="AZ329" s="79"/>
    </row>
    <row r="330" spans="1:52" ht="15.75" customHeight="1">
      <c r="A330" s="54">
        <v>348</v>
      </c>
      <c r="B330" s="403">
        <v>45096</v>
      </c>
      <c r="C330" s="32" t="s">
        <v>1125</v>
      </c>
      <c r="D330" s="32" t="s">
        <v>1126</v>
      </c>
      <c r="E330" s="32" t="s">
        <v>249</v>
      </c>
      <c r="F330" s="32" t="s">
        <v>1127</v>
      </c>
      <c r="G330" s="60" t="s">
        <v>220</v>
      </c>
      <c r="H330" s="33" t="s">
        <v>90</v>
      </c>
      <c r="I330" s="34"/>
      <c r="J330" s="33">
        <v>13</v>
      </c>
      <c r="K330" s="35" t="s">
        <v>378</v>
      </c>
      <c r="L330" s="35" t="s">
        <v>378</v>
      </c>
      <c r="M330" s="67" t="s">
        <v>222</v>
      </c>
      <c r="N330" s="33" t="s">
        <v>68</v>
      </c>
      <c r="O330" s="33" t="s">
        <v>12</v>
      </c>
      <c r="P330" s="33" t="s">
        <v>85</v>
      </c>
      <c r="Q330" s="47"/>
      <c r="R330" s="47"/>
      <c r="S330" s="45" t="s">
        <v>147</v>
      </c>
      <c r="T330" s="45"/>
      <c r="U330" s="46">
        <v>45088</v>
      </c>
      <c r="V330" s="38">
        <f t="shared" si="54"/>
        <v>45096</v>
      </c>
      <c r="W330" s="50">
        <f>V330-U330</f>
        <v>8</v>
      </c>
      <c r="X330" s="261">
        <f>Y330*0.91</f>
        <v>1397760</v>
      </c>
      <c r="Y330" s="260">
        <v>1536000</v>
      </c>
      <c r="Z330" s="263">
        <v>1441000</v>
      </c>
      <c r="AA330" s="35" t="s">
        <v>999</v>
      </c>
      <c r="AB330" s="263"/>
      <c r="AC330" s="44">
        <f>ABS(X330/Y330-1)</f>
        <v>8.9999999999999969E-2</v>
      </c>
      <c r="AD330" s="62">
        <v>3.6999999999999998E-2</v>
      </c>
      <c r="AE330" s="41">
        <f t="shared" si="56"/>
        <v>5.2999999999999971E-2</v>
      </c>
      <c r="AF330" s="42"/>
      <c r="AG330" s="40">
        <f>IF((X330*AE330)&lt;0,0,(X330*AE330))</f>
        <v>74081.279999999955</v>
      </c>
      <c r="AH330" s="65">
        <f t="shared" si="49"/>
        <v>95000</v>
      </c>
      <c r="AI330" s="66">
        <f>AH330/X330</f>
        <v>6.7965888278388273E-2</v>
      </c>
      <c r="AJ330" s="66">
        <f t="shared" si="50"/>
        <v>6.7965888278388273E-2</v>
      </c>
      <c r="AK330" s="65">
        <f>AF330*X330</f>
        <v>0</v>
      </c>
      <c r="AL330" s="40">
        <f t="shared" si="53"/>
        <v>95000</v>
      </c>
      <c r="AM330" s="242">
        <f t="shared" si="55"/>
        <v>45107</v>
      </c>
      <c r="AN330" s="242" t="str">
        <f>IF(AQ330="x","",IF(AQ330="x",AM330,IF(EOMONTH(I330,0)=31,"",EOMONTH(I330,0))))</f>
        <v/>
      </c>
      <c r="AO330" s="79">
        <f>IFERROR(IF(VLOOKUP(C330,C331:C931,1,0)=0,1,0),1)</f>
        <v>1</v>
      </c>
      <c r="AP330" s="79"/>
      <c r="AQ330" s="243" t="str">
        <f t="shared" si="51"/>
        <v/>
      </c>
      <c r="AR330" s="242" t="b">
        <f>IF(AQ330="x",EOMONTH(I330,0))</f>
        <v>0</v>
      </c>
      <c r="AS330" s="79">
        <f t="shared" si="45"/>
        <v>1</v>
      </c>
      <c r="AT330" s="79">
        <f t="shared" si="46"/>
        <v>1</v>
      </c>
      <c r="AU330" s="79" t="str">
        <f t="shared" si="47"/>
        <v>A</v>
      </c>
      <c r="AV330" s="79">
        <f t="shared" si="52"/>
        <v>1</v>
      </c>
      <c r="AW330" s="79" t="str">
        <f>J330&amp;AU330</f>
        <v>13A</v>
      </c>
      <c r="AX330" s="79">
        <f>IF(COUNTIFS(J:J,"Integral",E:E,E330,H:H,"Ativo")=4,1/4,1/10)</f>
        <v>0.1</v>
      </c>
      <c r="AY330" s="79"/>
      <c r="AZ330" s="79"/>
    </row>
    <row r="331" spans="1:52" ht="15.75" customHeight="1">
      <c r="A331" s="54">
        <v>349</v>
      </c>
      <c r="B331" s="403">
        <v>45096</v>
      </c>
      <c r="C331" s="32" t="s">
        <v>1128</v>
      </c>
      <c r="D331" s="32" t="s">
        <v>1129</v>
      </c>
      <c r="E331" s="32" t="s">
        <v>1130</v>
      </c>
      <c r="F331" s="32" t="s">
        <v>1131</v>
      </c>
      <c r="G331" s="60" t="s">
        <v>220</v>
      </c>
      <c r="H331" s="33" t="s">
        <v>90</v>
      </c>
      <c r="I331" s="34"/>
      <c r="J331" s="33">
        <v>6</v>
      </c>
      <c r="K331" s="35" t="s">
        <v>981</v>
      </c>
      <c r="L331" s="35" t="s">
        <v>981</v>
      </c>
      <c r="M331" s="67" t="s">
        <v>222</v>
      </c>
      <c r="N331" s="33" t="s">
        <v>68</v>
      </c>
      <c r="O331" s="33" t="s">
        <v>12</v>
      </c>
      <c r="P331" s="33" t="s">
        <v>86</v>
      </c>
      <c r="Q331" s="47" t="s">
        <v>97</v>
      </c>
      <c r="R331" s="47"/>
      <c r="S331" s="45" t="s">
        <v>147</v>
      </c>
      <c r="T331" s="45"/>
      <c r="U331" s="46">
        <v>45085</v>
      </c>
      <c r="V331" s="38">
        <f t="shared" si="54"/>
        <v>45096</v>
      </c>
      <c r="W331" s="50">
        <f>V331-U331</f>
        <v>11</v>
      </c>
      <c r="X331" s="261">
        <f>Y331*0.91</f>
        <v>365820</v>
      </c>
      <c r="Y331" s="260">
        <v>402000</v>
      </c>
      <c r="Z331" s="263">
        <v>366700</v>
      </c>
      <c r="AA331" s="35"/>
      <c r="AB331" s="263"/>
      <c r="AC331" s="44">
        <f>ABS(X331/Y331-1)</f>
        <v>8.9999999999999969E-2</v>
      </c>
      <c r="AD331" s="62">
        <v>8.4099999999999994E-2</v>
      </c>
      <c r="AE331" s="41">
        <f t="shared" si="56"/>
        <v>5.8999999999999747E-3</v>
      </c>
      <c r="AF331" s="42"/>
      <c r="AG331" s="40">
        <f>IF((X331*AE331)&lt;0,0,(X331*AE331))</f>
        <v>2158.3379999999906</v>
      </c>
      <c r="AH331" s="65">
        <f t="shared" si="49"/>
        <v>35300</v>
      </c>
      <c r="AI331" s="66">
        <f>AH331/X331</f>
        <v>9.6495544256738286E-2</v>
      </c>
      <c r="AJ331" s="66">
        <f t="shared" si="50"/>
        <v>9.6495544256738286E-2</v>
      </c>
      <c r="AK331" s="65">
        <f>AF331*X331</f>
        <v>0</v>
      </c>
      <c r="AL331" s="40">
        <f t="shared" si="53"/>
        <v>35300</v>
      </c>
      <c r="AM331" s="242">
        <f t="shared" si="55"/>
        <v>45107</v>
      </c>
      <c r="AN331" s="242" t="str">
        <f>IF(AQ331="x","",IF(AQ331="x",AM331,IF(EOMONTH(I331,0)=31,"",EOMONTH(I331,0))))</f>
        <v/>
      </c>
      <c r="AO331" s="79">
        <f>IFERROR(IF(VLOOKUP(C331,C332:C932,1,0)=0,1,0),1)</f>
        <v>1</v>
      </c>
      <c r="AP331" s="79"/>
      <c r="AQ331" s="243" t="str">
        <f t="shared" si="51"/>
        <v/>
      </c>
      <c r="AR331" s="242" t="b">
        <f>IF(AQ331="x",EOMONTH(I331,0))</f>
        <v>0</v>
      </c>
      <c r="AS331" s="79">
        <f t="shared" si="45"/>
        <v>1</v>
      </c>
      <c r="AT331" s="79">
        <f t="shared" si="46"/>
        <v>1</v>
      </c>
      <c r="AU331" s="79" t="str">
        <f t="shared" si="47"/>
        <v>B</v>
      </c>
      <c r="AV331" s="79">
        <f t="shared" si="52"/>
        <v>1</v>
      </c>
      <c r="AW331" s="79" t="str">
        <f>J331&amp;AU331</f>
        <v>6B</v>
      </c>
      <c r="AX331" s="79">
        <f>IF(COUNTIFS(J:J,"Integral",E:E,E331,H:H,"Ativo")=4,1/4,1/10)</f>
        <v>0.1</v>
      </c>
      <c r="AY331" s="79"/>
      <c r="AZ331" s="79"/>
    </row>
    <row r="332" spans="1:52" ht="15.75" customHeight="1">
      <c r="A332" s="54">
        <v>350</v>
      </c>
      <c r="B332" s="403">
        <v>45097</v>
      </c>
      <c r="C332" s="32" t="s">
        <v>1132</v>
      </c>
      <c r="D332" s="32" t="s">
        <v>395</v>
      </c>
      <c r="E332" s="32" t="s">
        <v>376</v>
      </c>
      <c r="F332" s="32" t="s">
        <v>1133</v>
      </c>
      <c r="G332" s="60" t="s">
        <v>220</v>
      </c>
      <c r="H332" s="33" t="s">
        <v>90</v>
      </c>
      <c r="I332" s="34"/>
      <c r="J332" s="33">
        <v>13</v>
      </c>
      <c r="K332" s="35" t="s">
        <v>981</v>
      </c>
      <c r="L332" s="35" t="s">
        <v>981</v>
      </c>
      <c r="M332" s="67" t="s">
        <v>222</v>
      </c>
      <c r="N332" s="33" t="s">
        <v>68</v>
      </c>
      <c r="O332" s="33" t="s">
        <v>12</v>
      </c>
      <c r="P332" s="33" t="s">
        <v>85</v>
      </c>
      <c r="Q332" s="47"/>
      <c r="R332" s="47"/>
      <c r="S332" s="45" t="s">
        <v>147</v>
      </c>
      <c r="T332" s="45"/>
      <c r="U332" s="46">
        <v>45085</v>
      </c>
      <c r="V332" s="38">
        <f t="shared" si="54"/>
        <v>45097</v>
      </c>
      <c r="W332" s="50">
        <f>V332-U332</f>
        <v>12</v>
      </c>
      <c r="X332" s="261">
        <f>Y332*0.91</f>
        <v>1152060</v>
      </c>
      <c r="Y332" s="260">
        <v>1266000</v>
      </c>
      <c r="Z332" s="263">
        <v>1184000</v>
      </c>
      <c r="AA332" s="35"/>
      <c r="AB332" s="263"/>
      <c r="AC332" s="44">
        <f>ABS(X332/Y332-1)</f>
        <v>8.9999999999999969E-2</v>
      </c>
      <c r="AD332" s="62">
        <v>4.6899999999999997E-2</v>
      </c>
      <c r="AE332" s="41">
        <f t="shared" si="56"/>
        <v>4.3099999999999972E-2</v>
      </c>
      <c r="AF332" s="42"/>
      <c r="AG332" s="40">
        <f>IF((X332*AE332)&lt;0,0,(X332*AE332))</f>
        <v>49653.785999999971</v>
      </c>
      <c r="AH332" s="65">
        <f t="shared" si="49"/>
        <v>82000</v>
      </c>
      <c r="AI332" s="66">
        <f>AH332/X332</f>
        <v>7.1176848428033263E-2</v>
      </c>
      <c r="AJ332" s="66">
        <f t="shared" si="50"/>
        <v>7.1176848428033263E-2</v>
      </c>
      <c r="AK332" s="65">
        <f>AF332*X332</f>
        <v>0</v>
      </c>
      <c r="AL332" s="40">
        <f t="shared" si="53"/>
        <v>82000</v>
      </c>
      <c r="AM332" s="242">
        <f t="shared" si="55"/>
        <v>45107</v>
      </c>
      <c r="AN332" s="242" t="str">
        <f>IF(AQ332="x","",IF(AQ332="x",AM332,IF(EOMONTH(I332,0)=31,"",EOMONTH(I332,0))))</f>
        <v/>
      </c>
      <c r="AO332" s="79">
        <f>IFERROR(IF(VLOOKUP(C332,C333:C933,1,0)=0,1,0),1)</f>
        <v>1</v>
      </c>
      <c r="AP332" s="79"/>
      <c r="AQ332" s="243" t="str">
        <f t="shared" si="51"/>
        <v/>
      </c>
      <c r="AR332" s="242" t="b">
        <f>IF(AQ332="x",EOMONTH(I332,0))</f>
        <v>0</v>
      </c>
      <c r="AS332" s="79">
        <f t="shared" si="45"/>
        <v>1</v>
      </c>
      <c r="AT332" s="79">
        <f t="shared" si="46"/>
        <v>1</v>
      </c>
      <c r="AU332" s="79" t="str">
        <f t="shared" si="47"/>
        <v>A</v>
      </c>
      <c r="AV332" s="79">
        <f t="shared" si="52"/>
        <v>1</v>
      </c>
      <c r="AW332" s="79" t="str">
        <f>J332&amp;AU332</f>
        <v>13A</v>
      </c>
      <c r="AX332" s="79">
        <f>IF(COUNTIFS(J:J,"Integral",E:E,E332,H:H,"Ativo")=4,1/4,1/10)</f>
        <v>0.1</v>
      </c>
      <c r="AY332" s="79"/>
      <c r="AZ332" s="79"/>
    </row>
    <row r="333" spans="1:52" ht="15.75" customHeight="1">
      <c r="A333" s="54">
        <v>351</v>
      </c>
      <c r="B333" s="403">
        <v>45099</v>
      </c>
      <c r="C333" s="32" t="s">
        <v>1134</v>
      </c>
      <c r="D333" s="32" t="s">
        <v>1135</v>
      </c>
      <c r="E333" s="32" t="s">
        <v>1118</v>
      </c>
      <c r="F333" s="32" t="s">
        <v>1136</v>
      </c>
      <c r="G333" s="60" t="s">
        <v>220</v>
      </c>
      <c r="H333" s="33" t="s">
        <v>90</v>
      </c>
      <c r="I333" s="34"/>
      <c r="J333" s="33">
        <v>6</v>
      </c>
      <c r="K333" s="35" t="s">
        <v>378</v>
      </c>
      <c r="L333" s="35" t="s">
        <v>378</v>
      </c>
      <c r="M333" s="67" t="s">
        <v>222</v>
      </c>
      <c r="N333" s="33" t="s">
        <v>68</v>
      </c>
      <c r="O333" s="33" t="s">
        <v>12</v>
      </c>
      <c r="P333" s="33" t="s">
        <v>1</v>
      </c>
      <c r="Q333" s="47"/>
      <c r="R333" s="47"/>
      <c r="S333" s="45" t="s">
        <v>153</v>
      </c>
      <c r="T333" s="45"/>
      <c r="U333" s="51">
        <v>45073</v>
      </c>
      <c r="V333" s="48">
        <f t="shared" si="54"/>
        <v>45099</v>
      </c>
      <c r="W333" s="50">
        <f>V333-U333</f>
        <v>26</v>
      </c>
      <c r="X333" s="261">
        <f>Y333*0.91</f>
        <v>343980</v>
      </c>
      <c r="Y333" s="260">
        <v>378000</v>
      </c>
      <c r="Z333" s="263">
        <v>378000</v>
      </c>
      <c r="AA333" s="35"/>
      <c r="AB333" s="263"/>
      <c r="AC333" s="44">
        <f>ABS(X333/Y333-1)</f>
        <v>8.9999999999999969E-2</v>
      </c>
      <c r="AD333" s="62">
        <v>1.6500000000000001E-2</v>
      </c>
      <c r="AE333" s="41">
        <f t="shared" si="56"/>
        <v>7.3499999999999968E-2</v>
      </c>
      <c r="AF333" s="42"/>
      <c r="AG333" s="40">
        <f>IF((X333*AE333)&lt;0,0,(X333*AE333))</f>
        <v>25282.529999999988</v>
      </c>
      <c r="AH333" s="65">
        <f t="shared" si="49"/>
        <v>0</v>
      </c>
      <c r="AI333" s="66">
        <f>AH333/X333</f>
        <v>0</v>
      </c>
      <c r="AJ333" s="66">
        <f t="shared" si="50"/>
        <v>0</v>
      </c>
      <c r="AK333" s="65">
        <f>AF333*X333</f>
        <v>0</v>
      </c>
      <c r="AL333" s="40">
        <f t="shared" si="53"/>
        <v>0</v>
      </c>
      <c r="AM333" s="242">
        <f t="shared" si="55"/>
        <v>45107</v>
      </c>
      <c r="AN333" s="242" t="str">
        <f>IF(AQ333="x","",IF(AQ333="x",AM333,IF(EOMONTH(I333,0)=31,"",EOMONTH(I333,0))))</f>
        <v/>
      </c>
      <c r="AO333" s="79">
        <f>IFERROR(IF(VLOOKUP(C333,C334:C933,1,0)=0,1,0),1)</f>
        <v>0</v>
      </c>
      <c r="AP333" s="79"/>
      <c r="AQ333" s="243" t="str">
        <f t="shared" si="51"/>
        <v/>
      </c>
      <c r="AR333" s="242" t="b">
        <f>IF(AQ333="x",EOMONTH(I333,0))</f>
        <v>0</v>
      </c>
      <c r="AS333" s="79">
        <f t="shared" si="45"/>
        <v>1</v>
      </c>
      <c r="AT333" s="79">
        <f t="shared" si="46"/>
        <v>1</v>
      </c>
      <c r="AU333" s="79" t="str">
        <f t="shared" si="47"/>
        <v>B</v>
      </c>
      <c r="AV333" s="79">
        <f t="shared" si="52"/>
        <v>1</v>
      </c>
      <c r="AW333" s="79" t="str">
        <f>J333&amp;AU333</f>
        <v>6B</v>
      </c>
      <c r="AX333" s="79">
        <f>IF(COUNTIFS(J:J,"Integral",E:E,E333,H:H,"Ativo")=4,1/4,1/10)</f>
        <v>0.1</v>
      </c>
      <c r="AY333" s="79"/>
      <c r="AZ333" s="79"/>
    </row>
    <row r="334" spans="1:52" ht="15.75" customHeight="1">
      <c r="A334" s="54">
        <v>352</v>
      </c>
      <c r="B334" s="403">
        <v>45099</v>
      </c>
      <c r="C334" s="32" t="s">
        <v>1134</v>
      </c>
      <c r="D334" s="32" t="s">
        <v>1137</v>
      </c>
      <c r="E334" s="32" t="s">
        <v>1118</v>
      </c>
      <c r="F334" s="32" t="s">
        <v>1138</v>
      </c>
      <c r="G334" s="60" t="s">
        <v>220</v>
      </c>
      <c r="H334" s="33" t="s">
        <v>90</v>
      </c>
      <c r="I334" s="34"/>
      <c r="J334" s="33">
        <v>6</v>
      </c>
      <c r="K334" s="35" t="s">
        <v>378</v>
      </c>
      <c r="L334" s="35" t="s">
        <v>378</v>
      </c>
      <c r="M334" s="67" t="s">
        <v>222</v>
      </c>
      <c r="N334" s="33" t="s">
        <v>68</v>
      </c>
      <c r="O334" s="33" t="s">
        <v>12</v>
      </c>
      <c r="P334" s="33" t="s">
        <v>1</v>
      </c>
      <c r="Q334" s="47"/>
      <c r="R334" s="47"/>
      <c r="S334" s="45" t="s">
        <v>153</v>
      </c>
      <c r="T334" s="45"/>
      <c r="U334" s="51">
        <v>45073</v>
      </c>
      <c r="V334" s="48">
        <f t="shared" si="54"/>
        <v>45099</v>
      </c>
      <c r="W334" s="50">
        <f>V334-U334</f>
        <v>26</v>
      </c>
      <c r="X334" s="261">
        <f>Y334*0.91</f>
        <v>343980</v>
      </c>
      <c r="Y334" s="260">
        <v>378000</v>
      </c>
      <c r="Z334" s="263">
        <v>378000</v>
      </c>
      <c r="AA334" s="35"/>
      <c r="AB334" s="263"/>
      <c r="AC334" s="44">
        <f>ABS(X334/Y334-1)</f>
        <v>8.9999999999999969E-2</v>
      </c>
      <c r="AD334" s="62">
        <v>1.6500000000000001E-2</v>
      </c>
      <c r="AE334" s="41">
        <f t="shared" si="56"/>
        <v>7.3499999999999968E-2</v>
      </c>
      <c r="AF334" s="42"/>
      <c r="AG334" s="40">
        <f>IF((X334*AE334)&lt;0,0,(X334*AE334))</f>
        <v>25282.529999999988</v>
      </c>
      <c r="AH334" s="65">
        <f t="shared" si="49"/>
        <v>0</v>
      </c>
      <c r="AI334" s="66">
        <f>AH334/X334</f>
        <v>0</v>
      </c>
      <c r="AJ334" s="66">
        <f t="shared" si="50"/>
        <v>0</v>
      </c>
      <c r="AK334" s="65">
        <f>AF334*X334</f>
        <v>0</v>
      </c>
      <c r="AL334" s="40">
        <f t="shared" si="53"/>
        <v>0</v>
      </c>
      <c r="AM334" s="242">
        <f t="shared" si="55"/>
        <v>45107</v>
      </c>
      <c r="AN334" s="242" t="str">
        <f>IF(AQ334="x","",IF(AQ334="x",AM334,IF(EOMONTH(I334,0)=31,"",EOMONTH(I334,0))))</f>
        <v/>
      </c>
      <c r="AO334" s="79">
        <f>IFERROR(IF(VLOOKUP(C334,C335:C934,1,0)=0,1,0),1)</f>
        <v>1</v>
      </c>
      <c r="AP334" s="79"/>
      <c r="AQ334" s="243" t="str">
        <f t="shared" si="51"/>
        <v/>
      </c>
      <c r="AR334" s="242" t="b">
        <f>IF(AQ334="x",EOMONTH(I334,0))</f>
        <v>0</v>
      </c>
      <c r="AS334" s="79">
        <f t="shared" si="45"/>
        <v>1</v>
      </c>
      <c r="AT334" s="79">
        <f t="shared" si="46"/>
        <v>1</v>
      </c>
      <c r="AU334" s="79" t="str">
        <f t="shared" si="47"/>
        <v>B</v>
      </c>
      <c r="AV334" s="79">
        <f t="shared" si="52"/>
        <v>1</v>
      </c>
      <c r="AW334" s="79" t="str">
        <f>J334&amp;AU334</f>
        <v>6B</v>
      </c>
      <c r="AX334" s="79">
        <f>IF(COUNTIFS(J:J,"Integral",E:E,E334,H:H,"Ativo")=4,1/4,1/10)</f>
        <v>0.1</v>
      </c>
      <c r="AY334" s="79"/>
      <c r="AZ334" s="79"/>
    </row>
    <row r="335" spans="1:52" ht="15.75" customHeight="1">
      <c r="A335" s="54">
        <v>353</v>
      </c>
      <c r="B335" s="403">
        <v>45100</v>
      </c>
      <c r="C335" s="32" t="s">
        <v>1139</v>
      </c>
      <c r="D335" s="32" t="s">
        <v>1140</v>
      </c>
      <c r="E335" s="32" t="s">
        <v>1118</v>
      </c>
      <c r="F335" s="32" t="s">
        <v>1141</v>
      </c>
      <c r="G335" s="60" t="s">
        <v>220</v>
      </c>
      <c r="H335" s="33" t="s">
        <v>90</v>
      </c>
      <c r="I335" s="34"/>
      <c r="J335" s="33">
        <v>6</v>
      </c>
      <c r="K335" s="35" t="s">
        <v>394</v>
      </c>
      <c r="L335" s="35" t="s">
        <v>394</v>
      </c>
      <c r="M335" s="67" t="s">
        <v>222</v>
      </c>
      <c r="N335" s="33" t="s">
        <v>68</v>
      </c>
      <c r="O335" s="33" t="s">
        <v>12</v>
      </c>
      <c r="P335" s="33" t="s">
        <v>2</v>
      </c>
      <c r="Q335" s="47"/>
      <c r="R335" s="47"/>
      <c r="S335" s="45" t="s">
        <v>147</v>
      </c>
      <c r="T335" s="45"/>
      <c r="U335" s="51">
        <v>45088</v>
      </c>
      <c r="V335" s="48">
        <f t="shared" si="54"/>
        <v>45100</v>
      </c>
      <c r="W335" s="50">
        <f>V335-U335</f>
        <v>12</v>
      </c>
      <c r="X335" s="261">
        <f>Y335*0.91</f>
        <v>343980</v>
      </c>
      <c r="Y335" s="260">
        <v>378000</v>
      </c>
      <c r="Z335" s="263">
        <v>378000</v>
      </c>
      <c r="AA335" s="35"/>
      <c r="AB335" s="263"/>
      <c r="AC335" s="44">
        <f>ABS(X335/Y335-1)</f>
        <v>8.9999999999999969E-2</v>
      </c>
      <c r="AD335" s="62">
        <v>1.44E-2</v>
      </c>
      <c r="AE335" s="41">
        <f t="shared" si="56"/>
        <v>7.5599999999999973E-2</v>
      </c>
      <c r="AF335" s="42"/>
      <c r="AG335" s="40">
        <f>IF((X335*AE335)&lt;0,0,(X335*AE335))</f>
        <v>26004.887999999992</v>
      </c>
      <c r="AH335" s="65">
        <f t="shared" si="49"/>
        <v>0</v>
      </c>
      <c r="AI335" s="66">
        <f>AH335/X335</f>
        <v>0</v>
      </c>
      <c r="AJ335" s="66">
        <f t="shared" si="50"/>
        <v>0</v>
      </c>
      <c r="AK335" s="65">
        <f>AF335*X335</f>
        <v>0</v>
      </c>
      <c r="AL335" s="40">
        <f t="shared" si="53"/>
        <v>0</v>
      </c>
      <c r="AM335" s="242">
        <f t="shared" si="55"/>
        <v>45107</v>
      </c>
      <c r="AN335" s="242" t="str">
        <f>IF(AQ335="x","",IF(AQ335="x",AM335,IF(EOMONTH(I335,0)=31,"",EOMONTH(I335,0))))</f>
        <v/>
      </c>
      <c r="AO335" s="79">
        <f>IFERROR(IF(VLOOKUP(C335,C336:C936,1,0)=0,1,0),1)</f>
        <v>1</v>
      </c>
      <c r="AP335" s="79"/>
      <c r="AQ335" s="243" t="str">
        <f t="shared" si="51"/>
        <v/>
      </c>
      <c r="AR335" s="242" t="b">
        <f>IF(AQ335="x",EOMONTH(I335,0))</f>
        <v>0</v>
      </c>
      <c r="AS335" s="79">
        <f t="shared" si="45"/>
        <v>1</v>
      </c>
      <c r="AT335" s="79">
        <f t="shared" si="46"/>
        <v>1</v>
      </c>
      <c r="AU335" s="79" t="str">
        <f t="shared" si="47"/>
        <v>B</v>
      </c>
      <c r="AV335" s="79">
        <f t="shared" si="52"/>
        <v>1</v>
      </c>
      <c r="AW335" s="79" t="str">
        <f>J335&amp;AU335</f>
        <v>6B</v>
      </c>
      <c r="AX335" s="79">
        <f>IF(COUNTIFS(J:J,"Integral",E:E,E335,H:H,"Ativo")=4,1/4,1/10)</f>
        <v>0.1</v>
      </c>
      <c r="AY335" s="79"/>
      <c r="AZ335" s="79"/>
    </row>
    <row r="336" spans="1:52" ht="15.75" customHeight="1">
      <c r="A336" s="54">
        <v>354</v>
      </c>
      <c r="B336" s="403">
        <v>45101</v>
      </c>
      <c r="C336" s="32" t="s">
        <v>1142</v>
      </c>
      <c r="D336" s="32" t="s">
        <v>1143</v>
      </c>
      <c r="E336" s="32" t="s">
        <v>1144</v>
      </c>
      <c r="F336" s="32" t="s">
        <v>1145</v>
      </c>
      <c r="G336" s="60" t="s">
        <v>220</v>
      </c>
      <c r="H336" s="33" t="s">
        <v>244</v>
      </c>
      <c r="I336" s="34">
        <v>45258</v>
      </c>
      <c r="J336" s="33">
        <v>6</v>
      </c>
      <c r="K336" s="35" t="s">
        <v>237</v>
      </c>
      <c r="L336" s="35" t="s">
        <v>237</v>
      </c>
      <c r="M336" s="67" t="s">
        <v>222</v>
      </c>
      <c r="N336" s="33" t="s">
        <v>68</v>
      </c>
      <c r="O336" s="33" t="s">
        <v>12</v>
      </c>
      <c r="P336" s="33" t="s">
        <v>2</v>
      </c>
      <c r="Q336" s="47"/>
      <c r="R336" s="47"/>
      <c r="S336" s="45" t="s">
        <v>165</v>
      </c>
      <c r="T336" s="45"/>
      <c r="U336" s="51">
        <v>45100</v>
      </c>
      <c r="V336" s="48">
        <f t="shared" si="54"/>
        <v>45101</v>
      </c>
      <c r="W336" s="50">
        <f>V336-U336</f>
        <v>1</v>
      </c>
      <c r="X336" s="265">
        <f>Y336*0.91</f>
        <v>401310</v>
      </c>
      <c r="Y336" s="67">
        <v>441000</v>
      </c>
      <c r="Z336" s="266">
        <v>441000</v>
      </c>
      <c r="AA336" s="35"/>
      <c r="AB336" s="266"/>
      <c r="AC336" s="44">
        <f>ABS(X336/Y336-1)</f>
        <v>8.9999999999999969E-2</v>
      </c>
      <c r="AD336" s="62">
        <v>0.03</v>
      </c>
      <c r="AE336" s="41">
        <f t="shared" si="56"/>
        <v>5.999999999999997E-2</v>
      </c>
      <c r="AF336" s="42"/>
      <c r="AG336" s="40">
        <f>IF((X336*AE336)&lt;0,0,(X336*AE336))</f>
        <v>24078.599999999988</v>
      </c>
      <c r="AH336" s="65">
        <f t="shared" si="49"/>
        <v>0</v>
      </c>
      <c r="AI336" s="66">
        <f>AH336/X336</f>
        <v>0</v>
      </c>
      <c r="AJ336" s="66">
        <f t="shared" si="50"/>
        <v>0</v>
      </c>
      <c r="AK336" s="65">
        <f>AF336*X336</f>
        <v>0</v>
      </c>
      <c r="AL336" s="40">
        <f t="shared" si="53"/>
        <v>0</v>
      </c>
      <c r="AM336" s="242">
        <f t="shared" si="55"/>
        <v>45107</v>
      </c>
      <c r="AN336" s="242">
        <f>IF(AQ336="x","",IF(AQ336="x",AM336,IF(EOMONTH(I336,0)=31,"",EOMONTH(I336,0))))</f>
        <v>45260</v>
      </c>
      <c r="AO336" s="79">
        <f>IFERROR(IF(VLOOKUP(C336,C337:C937,1,0)=0,1,0),1)</f>
        <v>1</v>
      </c>
      <c r="AP336" s="79"/>
      <c r="AQ336" s="243" t="str">
        <f t="shared" si="51"/>
        <v/>
      </c>
      <c r="AR336" s="242" t="b">
        <f>IF(AQ336="x",EOMONTH(I336,0))</f>
        <v>0</v>
      </c>
      <c r="AS336" s="79">
        <f t="shared" si="45"/>
        <v>1</v>
      </c>
      <c r="AT336" s="79">
        <f t="shared" si="46"/>
        <v>1</v>
      </c>
      <c r="AU336" s="79" t="str">
        <f t="shared" si="47"/>
        <v>B</v>
      </c>
      <c r="AV336" s="79">
        <f t="shared" si="52"/>
        <v>1</v>
      </c>
      <c r="AW336" s="79" t="str">
        <f>J336&amp;AU336</f>
        <v>6B</v>
      </c>
      <c r="AX336" s="79">
        <f>IF(COUNTIFS(J:J,"Integral",E:E,E336,H:H,"Ativo")=4,1/4,1/10)</f>
        <v>0.1</v>
      </c>
      <c r="AY336" s="79"/>
      <c r="AZ336" s="79"/>
    </row>
    <row r="337" spans="1:52" ht="17.25" customHeight="1">
      <c r="A337" s="54">
        <v>355</v>
      </c>
      <c r="B337" s="403">
        <v>45102</v>
      </c>
      <c r="C337" s="32" t="s">
        <v>1146</v>
      </c>
      <c r="D337" s="32" t="s">
        <v>1147</v>
      </c>
      <c r="E337" s="32" t="s">
        <v>1144</v>
      </c>
      <c r="F337" s="32" t="s">
        <v>1148</v>
      </c>
      <c r="G337" s="60" t="s">
        <v>220</v>
      </c>
      <c r="H337" s="33" t="s">
        <v>244</v>
      </c>
      <c r="I337" s="34">
        <v>45127</v>
      </c>
      <c r="J337" s="33">
        <v>6</v>
      </c>
      <c r="K337" s="56" t="s">
        <v>1149</v>
      </c>
      <c r="L337" s="56" t="s">
        <v>1149</v>
      </c>
      <c r="M337" s="67" t="s">
        <v>222</v>
      </c>
      <c r="N337" s="33" t="s">
        <v>68</v>
      </c>
      <c r="O337" s="33" t="s">
        <v>11</v>
      </c>
      <c r="P337" s="33" t="s">
        <v>1</v>
      </c>
      <c r="Q337" s="47"/>
      <c r="R337" s="47"/>
      <c r="S337" s="45" t="s">
        <v>222</v>
      </c>
      <c r="T337" s="45"/>
      <c r="U337" s="51">
        <v>45102</v>
      </c>
      <c r="V337" s="48">
        <f t="shared" si="54"/>
        <v>45102</v>
      </c>
      <c r="W337" s="50">
        <f>V337-U337</f>
        <v>0</v>
      </c>
      <c r="X337" s="265">
        <f>Y337*0.91</f>
        <v>401310</v>
      </c>
      <c r="Y337" s="67">
        <v>441000</v>
      </c>
      <c r="Z337" s="266">
        <v>400000</v>
      </c>
      <c r="AA337" s="35" t="s">
        <v>1150</v>
      </c>
      <c r="AB337" s="266"/>
      <c r="AC337" s="44">
        <f>ABS(X337/Y337-1)</f>
        <v>8.9999999999999969E-2</v>
      </c>
      <c r="AD337" s="62">
        <v>7.4000000000000003E-3</v>
      </c>
      <c r="AE337" s="41">
        <f t="shared" si="56"/>
        <v>8.2599999999999965E-2</v>
      </c>
      <c r="AF337" s="42"/>
      <c r="AG337" s="40">
        <f>IF((X337*AE337)&lt;0,0,(X337*AE337))</f>
        <v>33148.205999999984</v>
      </c>
      <c r="AH337" s="65">
        <f t="shared" si="49"/>
        <v>41000</v>
      </c>
      <c r="AI337" s="66">
        <f>AH337/X337</f>
        <v>0.10216540828785727</v>
      </c>
      <c r="AJ337" s="66">
        <f t="shared" si="50"/>
        <v>0.10216540828785727</v>
      </c>
      <c r="AK337" s="65">
        <f>AF337*X337</f>
        <v>0</v>
      </c>
      <c r="AL337" s="40">
        <f t="shared" si="53"/>
        <v>41000</v>
      </c>
      <c r="AM337" s="242">
        <f t="shared" si="55"/>
        <v>45107</v>
      </c>
      <c r="AN337" s="242">
        <f>IF(AQ337="x","",IF(AQ337="x",AM337,IF(EOMONTH(I337,0)=31,"",EOMONTH(I337,0))))</f>
        <v>45138</v>
      </c>
      <c r="AO337" s="79">
        <f>IFERROR(IF(VLOOKUP(C337,C338:C938,1,0)=0,1,0),1)</f>
        <v>1</v>
      </c>
      <c r="AP337" s="79"/>
      <c r="AQ337" s="243" t="str">
        <f t="shared" si="51"/>
        <v/>
      </c>
      <c r="AR337" s="242" t="b">
        <f>IF(AQ337="x",EOMONTH(I337,0))</f>
        <v>0</v>
      </c>
      <c r="AS337" s="79">
        <f t="shared" si="45"/>
        <v>1</v>
      </c>
      <c r="AT337" s="79">
        <f t="shared" si="46"/>
        <v>1</v>
      </c>
      <c r="AU337" s="79" t="str">
        <f t="shared" si="47"/>
        <v>B</v>
      </c>
      <c r="AV337" s="79">
        <f t="shared" si="52"/>
        <v>1</v>
      </c>
      <c r="AW337" s="79" t="str">
        <f>J337&amp;AU337</f>
        <v>6B</v>
      </c>
      <c r="AX337" s="79">
        <f>IF(COUNTIFS(J:J,"Integral",E:E,E337,H:H,"Ativo")=4,1/4,1/10)</f>
        <v>0.1</v>
      </c>
      <c r="AY337" s="79"/>
      <c r="AZ337" s="79"/>
    </row>
    <row r="338" spans="1:52" ht="17.25" customHeight="1">
      <c r="A338" s="54">
        <v>356</v>
      </c>
      <c r="B338" s="403">
        <v>45102</v>
      </c>
      <c r="C338" s="32" t="s">
        <v>1151</v>
      </c>
      <c r="D338" s="32" t="s">
        <v>1152</v>
      </c>
      <c r="E338" s="32" t="s">
        <v>1118</v>
      </c>
      <c r="F338" s="32" t="s">
        <v>1153</v>
      </c>
      <c r="G338" s="60" t="s">
        <v>220</v>
      </c>
      <c r="H338" s="33" t="s">
        <v>90</v>
      </c>
      <c r="I338" s="34"/>
      <c r="J338" s="33">
        <v>6</v>
      </c>
      <c r="K338" s="56" t="s">
        <v>1154</v>
      </c>
      <c r="L338" s="56" t="s">
        <v>274</v>
      </c>
      <c r="M338" s="67" t="s">
        <v>222</v>
      </c>
      <c r="N338" s="33" t="s">
        <v>68</v>
      </c>
      <c r="O338" s="33" t="s">
        <v>12</v>
      </c>
      <c r="P338" s="33" t="s">
        <v>1</v>
      </c>
      <c r="Q338" s="47"/>
      <c r="R338" s="47"/>
      <c r="S338" s="45" t="s">
        <v>145</v>
      </c>
      <c r="T338" s="45"/>
      <c r="U338" s="51">
        <v>45102</v>
      </c>
      <c r="V338" s="38">
        <f t="shared" si="54"/>
        <v>45102</v>
      </c>
      <c r="W338" s="50">
        <f>V338-U338</f>
        <v>0</v>
      </c>
      <c r="X338" s="261">
        <f>Y338*0.91</f>
        <v>343980</v>
      </c>
      <c r="Y338" s="260">
        <v>378000</v>
      </c>
      <c r="Z338" s="263">
        <v>357400</v>
      </c>
      <c r="AA338" s="35" t="s">
        <v>1027</v>
      </c>
      <c r="AB338" s="263"/>
      <c r="AC338" s="44">
        <f>ABS(X338/Y338-1)</f>
        <v>8.9999999999999969E-2</v>
      </c>
      <c r="AD338" s="62">
        <v>2.3400000000000001E-2</v>
      </c>
      <c r="AE338" s="41">
        <f t="shared" si="56"/>
        <v>6.6599999999999965E-2</v>
      </c>
      <c r="AF338" s="42"/>
      <c r="AG338" s="40">
        <f>IF((X338*AE338)&lt;0,0,(X338*AE338))</f>
        <v>22909.067999999988</v>
      </c>
      <c r="AH338" s="65">
        <f t="shared" si="49"/>
        <v>20600</v>
      </c>
      <c r="AI338" s="66">
        <f>AH338/X338</f>
        <v>5.98872027443456E-2</v>
      </c>
      <c r="AJ338" s="66">
        <f t="shared" si="50"/>
        <v>5.98872027443456E-2</v>
      </c>
      <c r="AK338" s="65">
        <f>AF338*X338</f>
        <v>0</v>
      </c>
      <c r="AL338" s="40">
        <f t="shared" si="53"/>
        <v>20600</v>
      </c>
      <c r="AM338" s="242">
        <f t="shared" si="55"/>
        <v>45107</v>
      </c>
      <c r="AN338" s="242" t="str">
        <f>IF(AQ338="x","",IF(AQ338="x",AM338,IF(EOMONTH(I338,0)=31,"",EOMONTH(I338,0))))</f>
        <v/>
      </c>
      <c r="AO338" s="79">
        <f>IFERROR(IF(VLOOKUP(C338,C339:C939,1,0)=0,1,0),1)</f>
        <v>1</v>
      </c>
      <c r="AP338" s="79"/>
      <c r="AQ338" s="243" t="str">
        <f t="shared" si="51"/>
        <v/>
      </c>
      <c r="AR338" s="242" t="b">
        <f>IF(AQ338="x",EOMONTH(I338,0))</f>
        <v>0</v>
      </c>
      <c r="AS338" s="79">
        <f t="shared" si="45"/>
        <v>1</v>
      </c>
      <c r="AT338" s="79">
        <f t="shared" si="46"/>
        <v>1</v>
      </c>
      <c r="AU338" s="79" t="str">
        <f t="shared" si="47"/>
        <v>B</v>
      </c>
      <c r="AV338" s="79">
        <f t="shared" si="52"/>
        <v>1</v>
      </c>
      <c r="AW338" s="79" t="str">
        <f>J338&amp;AU338</f>
        <v>6B</v>
      </c>
      <c r="AX338" s="79">
        <f>IF(COUNTIFS(J:J,"Integral",E:E,E338,H:H,"Ativo")=4,1/4,1/10)</f>
        <v>0.1</v>
      </c>
      <c r="AY338" s="79"/>
      <c r="AZ338" s="79"/>
    </row>
    <row r="339" spans="1:52" ht="17.25" customHeight="1">
      <c r="A339" s="54">
        <v>357</v>
      </c>
      <c r="B339" s="403">
        <v>45103</v>
      </c>
      <c r="C339" s="32" t="s">
        <v>1155</v>
      </c>
      <c r="D339" s="32" t="s">
        <v>1156</v>
      </c>
      <c r="E339" s="32" t="s">
        <v>1065</v>
      </c>
      <c r="F339" s="32" t="s">
        <v>1157</v>
      </c>
      <c r="G339" s="60" t="s">
        <v>220</v>
      </c>
      <c r="H339" s="33" t="s">
        <v>90</v>
      </c>
      <c r="I339" s="34"/>
      <c r="J339" s="33">
        <v>6</v>
      </c>
      <c r="K339" s="56" t="s">
        <v>394</v>
      </c>
      <c r="L339" s="56" t="s">
        <v>394</v>
      </c>
      <c r="M339" s="67" t="s">
        <v>222</v>
      </c>
      <c r="N339" s="33" t="s">
        <v>68</v>
      </c>
      <c r="O339" s="33" t="s">
        <v>12</v>
      </c>
      <c r="P339" s="33" t="s">
        <v>2</v>
      </c>
      <c r="Q339" s="47"/>
      <c r="R339" s="47"/>
      <c r="S339" s="45" t="s">
        <v>168</v>
      </c>
      <c r="T339" s="45"/>
      <c r="U339" s="51">
        <v>45083</v>
      </c>
      <c r="V339" s="48">
        <f t="shared" si="54"/>
        <v>45103</v>
      </c>
      <c r="W339" s="50">
        <f>V339-U339</f>
        <v>20</v>
      </c>
      <c r="X339" s="261">
        <f>Y339*0.91</f>
        <v>371280</v>
      </c>
      <c r="Y339" s="260">
        <v>408000</v>
      </c>
      <c r="Z339" s="263">
        <v>408000.3</v>
      </c>
      <c r="AA339" s="35"/>
      <c r="AB339" s="263"/>
      <c r="AC339" s="44">
        <f>ABS(X339/Y339-1)</f>
        <v>8.9999999999999969E-2</v>
      </c>
      <c r="AD339" s="62">
        <v>1.2E-2</v>
      </c>
      <c r="AE339" s="41">
        <f t="shared" si="56"/>
        <v>7.7999999999999972E-2</v>
      </c>
      <c r="AF339" s="42"/>
      <c r="AG339" s="40">
        <f>IF((X339*AE339)&lt;0,0,(X339*AE339))</f>
        <v>28959.839999999989</v>
      </c>
      <c r="AH339" s="65">
        <f t="shared" si="49"/>
        <v>-0.29999999998835847</v>
      </c>
      <c r="AI339" s="66">
        <f>AH339/X339</f>
        <v>-8.0801551386651172E-7</v>
      </c>
      <c r="AJ339" s="66">
        <f t="shared" si="50"/>
        <v>-8.0801551386651172E-7</v>
      </c>
      <c r="AK339" s="65">
        <f>AF339*X339</f>
        <v>0</v>
      </c>
      <c r="AL339" s="40">
        <v>0</v>
      </c>
      <c r="AM339" s="242">
        <f t="shared" si="55"/>
        <v>45107</v>
      </c>
      <c r="AN339" s="242" t="str">
        <f>IF(AQ339="x","",IF(AQ339="x",AM339,IF(EOMONTH(I339,0)=31,"",EOMONTH(I339,0))))</f>
        <v/>
      </c>
      <c r="AO339" s="79">
        <f>IFERROR(IF(VLOOKUP(C339,C340:C940,1,0)=0,1,0),1)</f>
        <v>1</v>
      </c>
      <c r="AP339" s="79"/>
      <c r="AQ339" s="243" t="str">
        <f t="shared" si="51"/>
        <v/>
      </c>
      <c r="AR339" s="242" t="b">
        <f>IF(AQ339="x",EOMONTH(I339,0))</f>
        <v>0</v>
      </c>
      <c r="AS339" s="79">
        <f t="shared" si="45"/>
        <v>0</v>
      </c>
      <c r="AT339" s="79">
        <f t="shared" si="46"/>
        <v>1</v>
      </c>
      <c r="AU339" s="79" t="str">
        <f t="shared" si="47"/>
        <v>B</v>
      </c>
      <c r="AV339" s="79">
        <f t="shared" si="52"/>
        <v>1</v>
      </c>
      <c r="AW339" s="79" t="str">
        <f>J339&amp;AU339</f>
        <v>6B</v>
      </c>
      <c r="AX339" s="79">
        <f>IF(COUNTIFS(J:J,"Integral",E:E,E339,H:H,"Ativo")=4,1/4,1/10)</f>
        <v>0.1</v>
      </c>
      <c r="AY339" s="79"/>
      <c r="AZ339" s="79"/>
    </row>
    <row r="340" spans="1:52" ht="17.25" customHeight="1">
      <c r="A340" s="54">
        <v>358</v>
      </c>
      <c r="B340" s="403">
        <v>45108</v>
      </c>
      <c r="C340" s="32" t="s">
        <v>1158</v>
      </c>
      <c r="D340" s="32" t="s">
        <v>1159</v>
      </c>
      <c r="E340" s="32" t="s">
        <v>1130</v>
      </c>
      <c r="F340" s="32" t="s">
        <v>1160</v>
      </c>
      <c r="G340" s="60" t="s">
        <v>243</v>
      </c>
      <c r="H340" s="33" t="s">
        <v>244</v>
      </c>
      <c r="I340" s="34">
        <v>45108</v>
      </c>
      <c r="J340" s="33">
        <v>6</v>
      </c>
      <c r="K340" s="56" t="s">
        <v>273</v>
      </c>
      <c r="L340" s="56" t="s">
        <v>273</v>
      </c>
      <c r="M340" s="386" t="s">
        <v>222</v>
      </c>
      <c r="N340" s="33" t="s">
        <v>68</v>
      </c>
      <c r="O340" s="33" t="s">
        <v>12</v>
      </c>
      <c r="P340" s="33" t="s">
        <v>2</v>
      </c>
      <c r="Q340" s="47"/>
      <c r="R340" s="47"/>
      <c r="S340" s="45" t="s">
        <v>222</v>
      </c>
      <c r="T340" s="45"/>
      <c r="U340" s="51">
        <v>45104</v>
      </c>
      <c r="V340" s="48">
        <f t="shared" si="54"/>
        <v>45108</v>
      </c>
      <c r="W340" s="50">
        <f>V340-U340</f>
        <v>4</v>
      </c>
      <c r="X340" s="265">
        <f>Y340*0.91</f>
        <v>365820</v>
      </c>
      <c r="Y340" s="67">
        <v>402000</v>
      </c>
      <c r="Z340" s="266">
        <v>402000.1</v>
      </c>
      <c r="AA340" s="35"/>
      <c r="AB340" s="266"/>
      <c r="AC340" s="44">
        <f>ABS(X340/Y340-1)</f>
        <v>8.9999999999999969E-2</v>
      </c>
      <c r="AD340" s="62">
        <v>0</v>
      </c>
      <c r="AE340" s="41">
        <f t="shared" si="56"/>
        <v>8.9999999999999969E-2</v>
      </c>
      <c r="AF340" s="42"/>
      <c r="AG340" s="40">
        <f>IF((X340*AE340)&lt;0,0,(X340*AE340))</f>
        <v>32923.799999999988</v>
      </c>
      <c r="AH340" s="65">
        <f t="shared" si="49"/>
        <v>-9.9999999976716936E-2</v>
      </c>
      <c r="AI340" s="66">
        <f>AH340/X340</f>
        <v>-2.7335848225005996E-7</v>
      </c>
      <c r="AJ340" s="66">
        <f t="shared" si="50"/>
        <v>-2.7335848225005996E-7</v>
      </c>
      <c r="AK340" s="65">
        <f>AF340*X340</f>
        <v>0</v>
      </c>
      <c r="AL340" s="40">
        <f t="shared" ref="AL340:AL403" si="57">AH340-AK340</f>
        <v>-9.9999999976716936E-2</v>
      </c>
      <c r="AM340" s="242">
        <f t="shared" si="55"/>
        <v>45138</v>
      </c>
      <c r="AN340" s="242" t="str">
        <f>IF(AQ340="x","",IF(AQ340="x",AM340,IF(EOMONTH(I340,0)=31,"",EOMONTH(I340,0))))</f>
        <v/>
      </c>
      <c r="AO340" s="79">
        <f>IFERROR(IF(VLOOKUP(C340,C341:C941,1,0)=0,1,0),1)</f>
        <v>1</v>
      </c>
      <c r="AP340" s="79"/>
      <c r="AQ340" s="243" t="str">
        <f t="shared" si="51"/>
        <v>x</v>
      </c>
      <c r="AR340" s="242">
        <f>IF(AQ340="x",EOMONTH(I340,0))</f>
        <v>45138</v>
      </c>
      <c r="AS340" s="79">
        <f t="shared" si="45"/>
        <v>0</v>
      </c>
      <c r="AT340" s="79">
        <f t="shared" si="46"/>
        <v>0</v>
      </c>
      <c r="AU340" s="79" t="str">
        <f t="shared" si="47"/>
        <v>B</v>
      </c>
      <c r="AV340" s="79">
        <f t="shared" si="52"/>
        <v>1</v>
      </c>
      <c r="AW340" s="79" t="str">
        <f>J340&amp;AU340</f>
        <v>6B</v>
      </c>
      <c r="AX340" s="79">
        <f>IF(COUNTIFS(J:J,"Integral",E:E,E340,H:H,"Ativo")=4,1/4,1/10)</f>
        <v>0.1</v>
      </c>
      <c r="AY340" s="79"/>
      <c r="AZ340" s="79"/>
    </row>
    <row r="341" spans="1:52" ht="17.25" customHeight="1">
      <c r="A341" s="54">
        <v>359</v>
      </c>
      <c r="B341" s="403">
        <v>45105</v>
      </c>
      <c r="C341" s="32" t="s">
        <v>1161</v>
      </c>
      <c r="D341" s="32" t="s">
        <v>1162</v>
      </c>
      <c r="E341" s="32" t="s">
        <v>1163</v>
      </c>
      <c r="F341" s="32" t="s">
        <v>1164</v>
      </c>
      <c r="G341" s="60" t="s">
        <v>220</v>
      </c>
      <c r="H341" s="33" t="s">
        <v>90</v>
      </c>
      <c r="I341" s="34"/>
      <c r="J341" s="33">
        <v>6</v>
      </c>
      <c r="K341" s="56" t="s">
        <v>1165</v>
      </c>
      <c r="L341" s="56" t="s">
        <v>1165</v>
      </c>
      <c r="M341" s="67" t="s">
        <v>222</v>
      </c>
      <c r="N341" s="33" t="s">
        <v>68</v>
      </c>
      <c r="O341" s="33" t="s">
        <v>12</v>
      </c>
      <c r="P341" s="33" t="s">
        <v>1</v>
      </c>
      <c r="Q341" s="47"/>
      <c r="R341" s="47"/>
      <c r="S341" s="45" t="s">
        <v>147</v>
      </c>
      <c r="T341" s="45"/>
      <c r="U341" s="46">
        <v>45105</v>
      </c>
      <c r="V341" s="38">
        <f t="shared" si="54"/>
        <v>45105</v>
      </c>
      <c r="W341" s="50">
        <f>V341-U341</f>
        <v>0</v>
      </c>
      <c r="X341" s="261">
        <f>Y341*0.91</f>
        <v>343980</v>
      </c>
      <c r="Y341" s="260">
        <v>378000</v>
      </c>
      <c r="Z341" s="263">
        <v>371065</v>
      </c>
      <c r="AA341" s="35" t="s">
        <v>887</v>
      </c>
      <c r="AB341" s="263"/>
      <c r="AC341" s="44">
        <f>ABS(X341/Y341-1)</f>
        <v>8.9999999999999969E-2</v>
      </c>
      <c r="AD341" s="62">
        <v>3.1800000000000002E-2</v>
      </c>
      <c r="AE341" s="41">
        <f t="shared" si="56"/>
        <v>5.8199999999999967E-2</v>
      </c>
      <c r="AF341" s="42"/>
      <c r="AG341" s="40">
        <f>IF((X341*AE341)&lt;0,0,(X341*AE341))</f>
        <v>20019.635999999988</v>
      </c>
      <c r="AH341" s="65">
        <f t="shared" si="49"/>
        <v>6935</v>
      </c>
      <c r="AI341" s="66">
        <f>AH341/X341</f>
        <v>2.0161055875341588E-2</v>
      </c>
      <c r="AJ341" s="66">
        <f t="shared" si="50"/>
        <v>2.0161055875341588E-2</v>
      </c>
      <c r="AK341" s="65">
        <f>AF341*X341</f>
        <v>0</v>
      </c>
      <c r="AL341" s="40">
        <f t="shared" si="57"/>
        <v>6935</v>
      </c>
      <c r="AM341" s="242">
        <f t="shared" si="55"/>
        <v>45107</v>
      </c>
      <c r="AN341" s="242" t="str">
        <f>IF(AQ341="x","",IF(AQ341="x",AM341,IF(EOMONTH(I341,0)=31,"",EOMONTH(I341,0))))</f>
        <v/>
      </c>
      <c r="AO341" s="79">
        <f>IFERROR(IF(VLOOKUP(C341,C342:C942,1,0)=0,1,0),1)</f>
        <v>1</v>
      </c>
      <c r="AP341" s="79"/>
      <c r="AQ341" s="243" t="str">
        <f t="shared" si="51"/>
        <v/>
      </c>
      <c r="AR341" s="242" t="b">
        <f>IF(AQ341="x",EOMONTH(I341,0))</f>
        <v>0</v>
      </c>
      <c r="AS341" s="79">
        <f t="shared" si="45"/>
        <v>1</v>
      </c>
      <c r="AT341" s="79">
        <f t="shared" si="46"/>
        <v>1</v>
      </c>
      <c r="AU341" s="79" t="str">
        <f t="shared" si="47"/>
        <v>B</v>
      </c>
      <c r="AV341" s="79">
        <f t="shared" si="52"/>
        <v>1</v>
      </c>
      <c r="AW341" s="79" t="str">
        <f>J341&amp;AU341</f>
        <v>6B</v>
      </c>
      <c r="AX341" s="79">
        <f>IF(COUNTIFS(J:J,"Integral",E:E,E341,H:H,"Ativo")=4,1/4,1/10)</f>
        <v>0.1</v>
      </c>
      <c r="AY341" s="79"/>
      <c r="AZ341" s="79"/>
    </row>
    <row r="342" spans="1:52" ht="17.25" customHeight="1">
      <c r="A342" s="54">
        <v>360</v>
      </c>
      <c r="B342" s="403">
        <v>45107</v>
      </c>
      <c r="C342" s="32" t="s">
        <v>334</v>
      </c>
      <c r="D342" s="32" t="s">
        <v>1166</v>
      </c>
      <c r="E342" s="32" t="s">
        <v>1167</v>
      </c>
      <c r="F342" s="32" t="s">
        <v>1168</v>
      </c>
      <c r="G342" s="60" t="s">
        <v>220</v>
      </c>
      <c r="H342" s="33" t="s">
        <v>90</v>
      </c>
      <c r="I342" s="34"/>
      <c r="J342" s="33" t="s">
        <v>6</v>
      </c>
      <c r="K342" s="56" t="s">
        <v>333</v>
      </c>
      <c r="L342" s="35" t="s">
        <v>333</v>
      </c>
      <c r="M342" s="67" t="s">
        <v>222</v>
      </c>
      <c r="N342" s="33" t="s">
        <v>68</v>
      </c>
      <c r="O342" s="33" t="s">
        <v>12</v>
      </c>
      <c r="P342" s="33" t="s">
        <v>1</v>
      </c>
      <c r="Q342" s="47" t="s">
        <v>84</v>
      </c>
      <c r="R342" s="47"/>
      <c r="S342" s="45" t="s">
        <v>162</v>
      </c>
      <c r="T342" s="45"/>
      <c r="U342" s="46">
        <v>44816</v>
      </c>
      <c r="V342" s="38">
        <f t="shared" si="54"/>
        <v>45107</v>
      </c>
      <c r="W342" s="50">
        <f>V342-U342</f>
        <v>291</v>
      </c>
      <c r="X342" s="261">
        <f>Y342*0.91</f>
        <v>1102010</v>
      </c>
      <c r="Y342" s="260">
        <v>1211000</v>
      </c>
      <c r="Z342" s="263">
        <v>1042440</v>
      </c>
      <c r="AA342" s="35"/>
      <c r="AB342" s="263"/>
      <c r="AC342" s="44">
        <f>ABS(X342/Y342-1)</f>
        <v>8.9999999999999969E-2</v>
      </c>
      <c r="AD342" s="62">
        <v>0.1174</v>
      </c>
      <c r="AE342" s="41">
        <f t="shared" si="56"/>
        <v>-2.7400000000000035E-2</v>
      </c>
      <c r="AF342" s="42">
        <v>2.7400000000000001E-2</v>
      </c>
      <c r="AG342" s="40">
        <f>IF((X342*AE342)&lt;0,0,(X342*AE342))</f>
        <v>0</v>
      </c>
      <c r="AH342" s="65">
        <f t="shared" si="49"/>
        <v>168560</v>
      </c>
      <c r="AI342" s="66">
        <f>AH342/X342</f>
        <v>0.15295686971987549</v>
      </c>
      <c r="AJ342" s="66">
        <f t="shared" si="50"/>
        <v>0.12555686971987548</v>
      </c>
      <c r="AK342" s="65">
        <f>AF342*X342</f>
        <v>30195.074000000001</v>
      </c>
      <c r="AL342" s="40">
        <f t="shared" si="57"/>
        <v>138364.92600000001</v>
      </c>
      <c r="AM342" s="242">
        <f t="shared" si="55"/>
        <v>45107</v>
      </c>
      <c r="AN342" s="242" t="str">
        <f>IF(AQ342="x","",IF(AQ342="x",AM342,IF(EOMONTH(I342,0)=31,"",EOMONTH(I342,0))))</f>
        <v/>
      </c>
      <c r="AO342" s="79">
        <f>IFERROR(IF(VLOOKUP(C342,C343:C943,1,0)=0,1,0),1)</f>
        <v>0</v>
      </c>
      <c r="AP342" s="79"/>
      <c r="AQ342" s="243" t="str">
        <f t="shared" si="51"/>
        <v/>
      </c>
      <c r="AR342" s="242" t="b">
        <f>IF(AQ342="x",EOMONTH(I342,0))</f>
        <v>0</v>
      </c>
      <c r="AS342" s="79">
        <f t="shared" si="45"/>
        <v>1</v>
      </c>
      <c r="AT342" s="79">
        <f t="shared" si="46"/>
        <v>1</v>
      </c>
      <c r="AU342" s="79" t="str">
        <f t="shared" si="47"/>
        <v>A</v>
      </c>
      <c r="AV342" s="79">
        <f t="shared" si="52"/>
        <v>1</v>
      </c>
      <c r="AW342" s="79" t="str">
        <f>J342&amp;AU342</f>
        <v>IntegralA</v>
      </c>
      <c r="AX342" s="79">
        <f>IF(COUNTIFS(J:J,"Integral",E:E,E342,H:H,"Ativo")=4,1/4,1/10)</f>
        <v>0.25</v>
      </c>
      <c r="AY342" s="79"/>
      <c r="AZ342" s="79"/>
    </row>
    <row r="343" spans="1:52" ht="17.25" customHeight="1">
      <c r="A343" s="54">
        <v>361</v>
      </c>
      <c r="B343" s="403">
        <v>45107</v>
      </c>
      <c r="C343" s="32" t="s">
        <v>334</v>
      </c>
      <c r="D343" s="32" t="s">
        <v>1169</v>
      </c>
      <c r="E343" s="32" t="s">
        <v>1167</v>
      </c>
      <c r="F343" s="32" t="s">
        <v>1170</v>
      </c>
      <c r="G343" s="60" t="s">
        <v>220</v>
      </c>
      <c r="H343" s="33" t="s">
        <v>90</v>
      </c>
      <c r="I343" s="34"/>
      <c r="J343" s="33" t="s">
        <v>6</v>
      </c>
      <c r="K343" s="56" t="s">
        <v>333</v>
      </c>
      <c r="L343" s="35" t="s">
        <v>333</v>
      </c>
      <c r="M343" s="67" t="s">
        <v>222</v>
      </c>
      <c r="N343" s="33" t="s">
        <v>68</v>
      </c>
      <c r="O343" s="33" t="s">
        <v>12</v>
      </c>
      <c r="P343" s="33" t="s">
        <v>1</v>
      </c>
      <c r="Q343" s="47" t="s">
        <v>84</v>
      </c>
      <c r="R343" s="47"/>
      <c r="S343" s="45" t="s">
        <v>162</v>
      </c>
      <c r="T343" s="45"/>
      <c r="U343" s="46">
        <v>44816</v>
      </c>
      <c r="V343" s="38">
        <f t="shared" si="54"/>
        <v>45107</v>
      </c>
      <c r="W343" s="50">
        <f>V343-U343</f>
        <v>291</v>
      </c>
      <c r="X343" s="261">
        <f>Y343*0.91</f>
        <v>1102010</v>
      </c>
      <c r="Y343" s="260">
        <v>1211000</v>
      </c>
      <c r="Z343" s="263">
        <v>1042440</v>
      </c>
      <c r="AA343" s="35"/>
      <c r="AB343" s="263"/>
      <c r="AC343" s="44">
        <f>ABS(X343/Y343-1)</f>
        <v>8.9999999999999969E-2</v>
      </c>
      <c r="AD343" s="62">
        <v>0.1174</v>
      </c>
      <c r="AE343" s="41">
        <f t="shared" si="56"/>
        <v>-2.7400000000000035E-2</v>
      </c>
      <c r="AF343" s="42">
        <v>2.7400000000000001E-2</v>
      </c>
      <c r="AG343" s="40">
        <f>IF((X343*AE343)&lt;0,0,(X343*AE343))</f>
        <v>0</v>
      </c>
      <c r="AH343" s="65">
        <f t="shared" si="49"/>
        <v>168560</v>
      </c>
      <c r="AI343" s="66">
        <f>AH343/X343</f>
        <v>0.15295686971987549</v>
      </c>
      <c r="AJ343" s="66">
        <f t="shared" si="50"/>
        <v>0.12555686971987548</v>
      </c>
      <c r="AK343" s="65">
        <f>AF343*X343</f>
        <v>30195.074000000001</v>
      </c>
      <c r="AL343" s="40">
        <f t="shared" si="57"/>
        <v>138364.92600000001</v>
      </c>
      <c r="AM343" s="242">
        <f t="shared" si="55"/>
        <v>45107</v>
      </c>
      <c r="AN343" s="242" t="str">
        <f>IF(AQ343="x","",IF(AQ343="x",AM343,IF(EOMONTH(I343,0)=31,"",EOMONTH(I343,0))))</f>
        <v/>
      </c>
      <c r="AO343" s="79">
        <f>IFERROR(IF(VLOOKUP(C343,C344:C944,1,0)=0,1,0),1)</f>
        <v>0</v>
      </c>
      <c r="AP343" s="79"/>
      <c r="AQ343" s="243" t="str">
        <f t="shared" si="51"/>
        <v/>
      </c>
      <c r="AR343" s="242" t="b">
        <f>IF(AQ343="x",EOMONTH(I343,0))</f>
        <v>0</v>
      </c>
      <c r="AS343" s="79">
        <f t="shared" si="45"/>
        <v>1</v>
      </c>
      <c r="AT343" s="79">
        <f t="shared" si="46"/>
        <v>1</v>
      </c>
      <c r="AU343" s="79" t="str">
        <f t="shared" si="47"/>
        <v>A</v>
      </c>
      <c r="AV343" s="79">
        <f t="shared" si="52"/>
        <v>1</v>
      </c>
      <c r="AW343" s="79" t="str">
        <f>J343&amp;AU343</f>
        <v>IntegralA</v>
      </c>
      <c r="AX343" s="79">
        <f>IF(COUNTIFS(J:J,"Integral",E:E,E343,H:H,"Ativo")=4,1/4,1/10)</f>
        <v>0.25</v>
      </c>
      <c r="AY343" s="79"/>
      <c r="AZ343" s="79"/>
    </row>
    <row r="344" spans="1:52" ht="17.25" customHeight="1">
      <c r="A344" s="54">
        <v>362</v>
      </c>
      <c r="B344" s="403">
        <v>45107</v>
      </c>
      <c r="C344" s="32" t="s">
        <v>334</v>
      </c>
      <c r="D344" s="32" t="s">
        <v>1171</v>
      </c>
      <c r="E344" s="32" t="s">
        <v>1167</v>
      </c>
      <c r="F344" s="32" t="s">
        <v>1172</v>
      </c>
      <c r="G344" s="60" t="s">
        <v>220</v>
      </c>
      <c r="H344" s="33" t="s">
        <v>90</v>
      </c>
      <c r="I344" s="34"/>
      <c r="J344" s="33" t="s">
        <v>6</v>
      </c>
      <c r="K344" s="56" t="s">
        <v>333</v>
      </c>
      <c r="L344" s="35" t="s">
        <v>333</v>
      </c>
      <c r="M344" s="67" t="s">
        <v>222</v>
      </c>
      <c r="N344" s="33" t="s">
        <v>68</v>
      </c>
      <c r="O344" s="33" t="s">
        <v>12</v>
      </c>
      <c r="P344" s="33" t="s">
        <v>1</v>
      </c>
      <c r="Q344" s="47" t="s">
        <v>84</v>
      </c>
      <c r="R344" s="47"/>
      <c r="S344" s="45" t="s">
        <v>162</v>
      </c>
      <c r="T344" s="45"/>
      <c r="U344" s="46">
        <v>44816</v>
      </c>
      <c r="V344" s="38">
        <f t="shared" si="54"/>
        <v>45107</v>
      </c>
      <c r="W344" s="50">
        <f>V344-U344</f>
        <v>291</v>
      </c>
      <c r="X344" s="261">
        <f>Y344*0.91</f>
        <v>1102010</v>
      </c>
      <c r="Y344" s="260">
        <v>1211000</v>
      </c>
      <c r="Z344" s="263">
        <v>1042440</v>
      </c>
      <c r="AA344" s="35"/>
      <c r="AB344" s="263"/>
      <c r="AC344" s="44">
        <f>ABS(X344/Y344-1)</f>
        <v>8.9999999999999969E-2</v>
      </c>
      <c r="AD344" s="62">
        <v>0.1174</v>
      </c>
      <c r="AE344" s="41">
        <f t="shared" si="56"/>
        <v>-2.7400000000000035E-2</v>
      </c>
      <c r="AF344" s="42">
        <v>2.7400000000000001E-2</v>
      </c>
      <c r="AG344" s="40">
        <f>IF((X344*AE344)&lt;0,0,(X344*AE344))</f>
        <v>0</v>
      </c>
      <c r="AH344" s="65">
        <f t="shared" si="49"/>
        <v>168560</v>
      </c>
      <c r="AI344" s="66">
        <f>AH344/X344</f>
        <v>0.15295686971987549</v>
      </c>
      <c r="AJ344" s="66">
        <f t="shared" si="50"/>
        <v>0.12555686971987548</v>
      </c>
      <c r="AK344" s="65">
        <f>AF344*X344</f>
        <v>30195.074000000001</v>
      </c>
      <c r="AL344" s="40">
        <f t="shared" si="57"/>
        <v>138364.92600000001</v>
      </c>
      <c r="AM344" s="242">
        <f t="shared" si="55"/>
        <v>45107</v>
      </c>
      <c r="AN344" s="242" t="str">
        <f>IF(AQ344="x","",IF(AQ344="x",AM344,IF(EOMONTH(I344,0)=31,"",EOMONTH(I344,0))))</f>
        <v/>
      </c>
      <c r="AO344" s="79">
        <f>IFERROR(IF(VLOOKUP(C344,C345:C945,1,0)=0,1,0),1)</f>
        <v>0</v>
      </c>
      <c r="AP344" s="79"/>
      <c r="AQ344" s="243" t="str">
        <f t="shared" si="51"/>
        <v/>
      </c>
      <c r="AR344" s="242" t="b">
        <f>IF(AQ344="x",EOMONTH(I344,0))</f>
        <v>0</v>
      </c>
      <c r="AS344" s="79">
        <f t="shared" si="45"/>
        <v>1</v>
      </c>
      <c r="AT344" s="79">
        <f t="shared" si="46"/>
        <v>1</v>
      </c>
      <c r="AU344" s="79" t="str">
        <f t="shared" si="47"/>
        <v>A</v>
      </c>
      <c r="AV344" s="79">
        <f t="shared" si="52"/>
        <v>1</v>
      </c>
      <c r="AW344" s="79" t="str">
        <f>J344&amp;AU344</f>
        <v>IntegralA</v>
      </c>
      <c r="AX344" s="79">
        <f>IF(COUNTIFS(J:J,"Integral",E:E,E344,H:H,"Ativo")=4,1/4,1/10)</f>
        <v>0.25</v>
      </c>
      <c r="AY344" s="79"/>
      <c r="AZ344" s="79"/>
    </row>
    <row r="345" spans="1:52" ht="17.25" customHeight="1">
      <c r="A345" s="54">
        <v>363</v>
      </c>
      <c r="B345" s="403">
        <v>45107</v>
      </c>
      <c r="C345" s="32" t="s">
        <v>334</v>
      </c>
      <c r="D345" s="32" t="s">
        <v>1173</v>
      </c>
      <c r="E345" s="32" t="s">
        <v>1167</v>
      </c>
      <c r="F345" s="32" t="s">
        <v>1174</v>
      </c>
      <c r="G345" s="60" t="s">
        <v>220</v>
      </c>
      <c r="H345" s="33" t="s">
        <v>90</v>
      </c>
      <c r="I345" s="34"/>
      <c r="J345" s="33" t="s">
        <v>6</v>
      </c>
      <c r="K345" s="56" t="s">
        <v>333</v>
      </c>
      <c r="L345" s="35" t="s">
        <v>333</v>
      </c>
      <c r="M345" s="67" t="s">
        <v>222</v>
      </c>
      <c r="N345" s="33" t="s">
        <v>68</v>
      </c>
      <c r="O345" s="33" t="s">
        <v>12</v>
      </c>
      <c r="P345" s="33" t="s">
        <v>1</v>
      </c>
      <c r="Q345" s="47" t="s">
        <v>84</v>
      </c>
      <c r="R345" s="47"/>
      <c r="S345" s="45" t="s">
        <v>162</v>
      </c>
      <c r="T345" s="45"/>
      <c r="U345" s="46">
        <v>44816</v>
      </c>
      <c r="V345" s="38">
        <f t="shared" si="54"/>
        <v>45107</v>
      </c>
      <c r="W345" s="50">
        <f>V345-U345</f>
        <v>291</v>
      </c>
      <c r="X345" s="261">
        <f>Y345*0.91</f>
        <v>1102010</v>
      </c>
      <c r="Y345" s="260">
        <v>1211000</v>
      </c>
      <c r="Z345" s="263">
        <v>1042440</v>
      </c>
      <c r="AA345" s="35"/>
      <c r="AB345" s="263"/>
      <c r="AC345" s="44">
        <f>ABS(X345/Y345-1)</f>
        <v>8.9999999999999969E-2</v>
      </c>
      <c r="AD345" s="62">
        <v>0.1174</v>
      </c>
      <c r="AE345" s="41">
        <f t="shared" si="56"/>
        <v>-2.7400000000000035E-2</v>
      </c>
      <c r="AF345" s="42">
        <v>2.7400000000000001E-2</v>
      </c>
      <c r="AG345" s="40">
        <f>IF((X345*AE345)&lt;0,0,(X345*AE345))</f>
        <v>0</v>
      </c>
      <c r="AH345" s="65">
        <f t="shared" si="49"/>
        <v>168560</v>
      </c>
      <c r="AI345" s="66">
        <f>AH345/X345</f>
        <v>0.15295686971987549</v>
      </c>
      <c r="AJ345" s="66">
        <f t="shared" si="50"/>
        <v>0.12555686971987548</v>
      </c>
      <c r="AK345" s="65">
        <f>AF345*X345</f>
        <v>30195.074000000001</v>
      </c>
      <c r="AL345" s="40">
        <f t="shared" si="57"/>
        <v>138364.92600000001</v>
      </c>
      <c r="AM345" s="242">
        <f t="shared" si="55"/>
        <v>45107</v>
      </c>
      <c r="AN345" s="242" t="str">
        <f>IF(AQ345="x","",IF(AQ345="x",AM345,IF(EOMONTH(I345,0)=31,"",EOMONTH(I345,0))))</f>
        <v/>
      </c>
      <c r="AO345" s="79">
        <f>IFERROR(IF(VLOOKUP(C345,C346:C946,1,0)=0,1,0),1)</f>
        <v>1</v>
      </c>
      <c r="AP345" s="79"/>
      <c r="AQ345" s="243" t="str">
        <f t="shared" si="51"/>
        <v/>
      </c>
      <c r="AR345" s="242" t="b">
        <f>IF(AQ345="x",EOMONTH(I345,0))</f>
        <v>0</v>
      </c>
      <c r="AS345" s="79">
        <f t="shared" si="45"/>
        <v>1</v>
      </c>
      <c r="AT345" s="79">
        <f t="shared" si="46"/>
        <v>1</v>
      </c>
      <c r="AU345" s="79" t="str">
        <f t="shared" si="47"/>
        <v>A</v>
      </c>
      <c r="AV345" s="79">
        <f t="shared" si="52"/>
        <v>1</v>
      </c>
      <c r="AW345" s="79" t="str">
        <f>J345&amp;AU345</f>
        <v>IntegralA</v>
      </c>
      <c r="AX345" s="79">
        <f>IF(COUNTIFS(J:J,"Integral",E:E,E345,H:H,"Ativo")=4,1/4,1/10)</f>
        <v>0.25</v>
      </c>
      <c r="AY345" s="79"/>
      <c r="AZ345" s="79"/>
    </row>
    <row r="346" spans="1:52" ht="17.25" customHeight="1">
      <c r="A346" s="54">
        <v>364</v>
      </c>
      <c r="B346" s="403">
        <v>45107</v>
      </c>
      <c r="C346" s="32" t="s">
        <v>1175</v>
      </c>
      <c r="D346" s="32" t="s">
        <v>1176</v>
      </c>
      <c r="E346" s="32" t="s">
        <v>1130</v>
      </c>
      <c r="F346" s="32" t="s">
        <v>1177</v>
      </c>
      <c r="G346" s="60" t="s">
        <v>220</v>
      </c>
      <c r="H346" s="33" t="s">
        <v>90</v>
      </c>
      <c r="I346" s="34"/>
      <c r="J346" s="33">
        <v>6</v>
      </c>
      <c r="K346" s="56" t="s">
        <v>1094</v>
      </c>
      <c r="L346" s="56" t="s">
        <v>289</v>
      </c>
      <c r="M346" s="67" t="s">
        <v>222</v>
      </c>
      <c r="N346" s="33" t="s">
        <v>68</v>
      </c>
      <c r="O346" s="33" t="s">
        <v>10</v>
      </c>
      <c r="P346" s="33" t="s">
        <v>1</v>
      </c>
      <c r="Q346" s="47"/>
      <c r="R346" s="47"/>
      <c r="S346" s="45" t="s">
        <v>149</v>
      </c>
      <c r="T346" s="45"/>
      <c r="U346" s="46">
        <v>45103</v>
      </c>
      <c r="V346" s="38">
        <f t="shared" si="54"/>
        <v>45107</v>
      </c>
      <c r="W346" s="50">
        <f>V346-U346</f>
        <v>4</v>
      </c>
      <c r="X346" s="261">
        <f>Y346*0.91</f>
        <v>365820</v>
      </c>
      <c r="Y346" s="260">
        <v>402000</v>
      </c>
      <c r="Z346" s="263">
        <v>310000</v>
      </c>
      <c r="AA346" s="35" t="s">
        <v>1027</v>
      </c>
      <c r="AB346" s="263"/>
      <c r="AC346" s="44">
        <f>ABS(X346/Y346-1)</f>
        <v>8.9999999999999969E-2</v>
      </c>
      <c r="AD346" s="62">
        <v>1.8800000000000001E-2</v>
      </c>
      <c r="AE346" s="41">
        <f t="shared" si="56"/>
        <v>7.1199999999999972E-2</v>
      </c>
      <c r="AF346" s="42"/>
      <c r="AG346" s="40">
        <f>IF((X346*AE346)&lt;0,0,(X346*AE346))</f>
        <v>26046.383999999991</v>
      </c>
      <c r="AH346" s="65">
        <f t="shared" si="49"/>
        <v>92000</v>
      </c>
      <c r="AI346" s="66">
        <f>AH346/X346</f>
        <v>0.25148980372860968</v>
      </c>
      <c r="AJ346" s="66">
        <f t="shared" si="50"/>
        <v>0.25148980372860968</v>
      </c>
      <c r="AK346" s="65">
        <f>AF346*X346</f>
        <v>0</v>
      </c>
      <c r="AL346" s="40">
        <f t="shared" si="57"/>
        <v>92000</v>
      </c>
      <c r="AM346" s="242">
        <f t="shared" si="55"/>
        <v>45107</v>
      </c>
      <c r="AN346" s="242" t="str">
        <f>IF(AQ346="x","",IF(AQ346="x",AM346,IF(EOMONTH(I346,0)=31,"",EOMONTH(I346,0))))</f>
        <v/>
      </c>
      <c r="AO346" s="79">
        <f>IFERROR(IF(VLOOKUP(C346,C347:C947,1,0)=0,1,0),1)</f>
        <v>1</v>
      </c>
      <c r="AP346" s="79"/>
      <c r="AQ346" s="243" t="str">
        <f t="shared" si="51"/>
        <v/>
      </c>
      <c r="AR346" s="242" t="b">
        <f>IF(AQ346="x",EOMONTH(I346,0))</f>
        <v>0</v>
      </c>
      <c r="AS346" s="79">
        <f t="shared" si="45"/>
        <v>1</v>
      </c>
      <c r="AT346" s="79">
        <f t="shared" si="46"/>
        <v>1</v>
      </c>
      <c r="AU346" s="79" t="str">
        <f t="shared" si="47"/>
        <v>B</v>
      </c>
      <c r="AV346" s="79">
        <f t="shared" si="52"/>
        <v>1</v>
      </c>
      <c r="AW346" s="79" t="str">
        <f>J346&amp;AU346</f>
        <v>6B</v>
      </c>
      <c r="AX346" s="79">
        <f>IF(COUNTIFS(J:J,"Integral",E:E,E346,H:H,"Ativo")=4,1/4,1/10)</f>
        <v>0.1</v>
      </c>
      <c r="AY346" s="79"/>
      <c r="AZ346" s="79"/>
    </row>
    <row r="347" spans="1:52" ht="17.25" customHeight="1">
      <c r="A347" s="54">
        <v>365</v>
      </c>
      <c r="B347" s="403">
        <v>45107</v>
      </c>
      <c r="C347" s="32" t="s">
        <v>1178</v>
      </c>
      <c r="D347" s="32" t="s">
        <v>1179</v>
      </c>
      <c r="E347" s="32" t="s">
        <v>1163</v>
      </c>
      <c r="F347" s="32" t="s">
        <v>1180</v>
      </c>
      <c r="G347" s="60" t="s">
        <v>220</v>
      </c>
      <c r="H347" s="33" t="s">
        <v>244</v>
      </c>
      <c r="I347" s="34">
        <v>45108</v>
      </c>
      <c r="J347" s="33">
        <v>6</v>
      </c>
      <c r="K347" s="56" t="s">
        <v>289</v>
      </c>
      <c r="L347" s="56" t="s">
        <v>289</v>
      </c>
      <c r="M347" s="67" t="s">
        <v>222</v>
      </c>
      <c r="N347" s="33" t="s">
        <v>68</v>
      </c>
      <c r="O347" s="33" t="s">
        <v>12</v>
      </c>
      <c r="P347" s="33" t="s">
        <v>1</v>
      </c>
      <c r="Q347" s="47"/>
      <c r="R347" s="47"/>
      <c r="S347" s="45" t="s">
        <v>222</v>
      </c>
      <c r="T347" s="45"/>
      <c r="U347" s="51">
        <v>45107</v>
      </c>
      <c r="V347" s="48">
        <f t="shared" si="54"/>
        <v>45107</v>
      </c>
      <c r="W347" s="50">
        <f>V347-U347</f>
        <v>0</v>
      </c>
      <c r="X347" s="265">
        <f>Y347*0.91</f>
        <v>343980</v>
      </c>
      <c r="Y347" s="67">
        <v>378000</v>
      </c>
      <c r="Z347" s="266">
        <v>378000</v>
      </c>
      <c r="AA347" s="56" t="s">
        <v>911</v>
      </c>
      <c r="AB347" s="266"/>
      <c r="AC347" s="44">
        <f>ABS(X347/Y347-1)</f>
        <v>8.9999999999999969E-2</v>
      </c>
      <c r="AD347" s="62">
        <v>1E-3</v>
      </c>
      <c r="AE347" s="41">
        <f t="shared" si="56"/>
        <v>8.8999999999999968E-2</v>
      </c>
      <c r="AF347" s="42"/>
      <c r="AG347" s="40">
        <f>IF((X347*AE347)&lt;0,0,(X347*AE347))</f>
        <v>30614.21999999999</v>
      </c>
      <c r="AH347" s="65">
        <f t="shared" si="49"/>
        <v>0</v>
      </c>
      <c r="AI347" s="66">
        <f>AH347/X347</f>
        <v>0</v>
      </c>
      <c r="AJ347" s="66">
        <f t="shared" si="50"/>
        <v>0</v>
      </c>
      <c r="AK347" s="65">
        <f>AF347*X347</f>
        <v>0</v>
      </c>
      <c r="AL347" s="40">
        <f t="shared" si="57"/>
        <v>0</v>
      </c>
      <c r="AM347" s="242">
        <f t="shared" si="55"/>
        <v>45107</v>
      </c>
      <c r="AN347" s="242">
        <f>IF(AQ347="x","",IF(AQ347="x",AM347,IF(EOMONTH(I347,0)=31,"",EOMONTH(I347,0))))</f>
        <v>45138</v>
      </c>
      <c r="AO347" s="79">
        <f>IFERROR(IF(VLOOKUP(C347,C348:C948,1,0)=0,1,0),1)</f>
        <v>1</v>
      </c>
      <c r="AP347" s="79"/>
      <c r="AQ347" s="243" t="str">
        <f t="shared" si="51"/>
        <v/>
      </c>
      <c r="AR347" s="242" t="b">
        <f>IF(AQ347="x",EOMONTH(I347,0))</f>
        <v>0</v>
      </c>
      <c r="AS347" s="79">
        <f t="shared" si="45"/>
        <v>1</v>
      </c>
      <c r="AT347" s="79">
        <f t="shared" si="46"/>
        <v>1</v>
      </c>
      <c r="AU347" s="79" t="str">
        <f t="shared" si="47"/>
        <v>B</v>
      </c>
      <c r="AV347" s="79">
        <f t="shared" si="52"/>
        <v>1</v>
      </c>
      <c r="AW347" s="79" t="str">
        <f>J347&amp;AU347</f>
        <v>6B</v>
      </c>
      <c r="AX347" s="79">
        <f>IF(COUNTIFS(J:J,"Integral",E:E,E347,H:H,"Ativo")=4,1/4,1/10)</f>
        <v>0.1</v>
      </c>
      <c r="AY347" s="79"/>
      <c r="AZ347" s="79"/>
    </row>
    <row r="348" spans="1:52" ht="17.25" customHeight="1">
      <c r="A348" s="54">
        <v>367</v>
      </c>
      <c r="B348" s="403">
        <v>45111</v>
      </c>
      <c r="C348" s="32" t="s">
        <v>1181</v>
      </c>
      <c r="D348" s="32" t="s">
        <v>1182</v>
      </c>
      <c r="E348" s="32" t="s">
        <v>1163</v>
      </c>
      <c r="F348" s="32" t="s">
        <v>1183</v>
      </c>
      <c r="G348" s="60" t="s">
        <v>220</v>
      </c>
      <c r="H348" s="33" t="s">
        <v>90</v>
      </c>
      <c r="I348" s="34"/>
      <c r="J348" s="33">
        <v>6</v>
      </c>
      <c r="K348" s="56" t="s">
        <v>981</v>
      </c>
      <c r="L348" s="56" t="s">
        <v>977</v>
      </c>
      <c r="M348" s="386" t="s">
        <v>222</v>
      </c>
      <c r="N348" s="33" t="s">
        <v>68</v>
      </c>
      <c r="O348" s="33" t="s">
        <v>10</v>
      </c>
      <c r="P348" s="33" t="s">
        <v>2</v>
      </c>
      <c r="Q348" s="47"/>
      <c r="R348" s="47"/>
      <c r="S348" s="45" t="s">
        <v>157</v>
      </c>
      <c r="T348" s="45"/>
      <c r="U348" s="46">
        <v>45109</v>
      </c>
      <c r="V348" s="38">
        <f t="shared" si="54"/>
        <v>45111</v>
      </c>
      <c r="W348" s="50">
        <f>V348-U348</f>
        <v>2</v>
      </c>
      <c r="X348" s="261">
        <f>Y348*0.91</f>
        <v>346710</v>
      </c>
      <c r="Y348" s="260">
        <v>381000</v>
      </c>
      <c r="Z348" s="263">
        <v>298000</v>
      </c>
      <c r="AA348" s="56"/>
      <c r="AB348" s="263"/>
      <c r="AC348" s="44">
        <f>ABS(X348/Y348-1)</f>
        <v>8.9999999999999969E-2</v>
      </c>
      <c r="AD348" s="62">
        <v>-2.8000000000000001E-2</v>
      </c>
      <c r="AE348" s="41">
        <f t="shared" si="56"/>
        <v>0.11799999999999997</v>
      </c>
      <c r="AF348" s="42"/>
      <c r="AG348" s="40">
        <f>IF((X348*AE348)&lt;0,0,(X348*AE348))</f>
        <v>40911.779999999992</v>
      </c>
      <c r="AH348" s="65">
        <f t="shared" si="49"/>
        <v>83000</v>
      </c>
      <c r="AI348" s="66">
        <f>AH348/X348</f>
        <v>0.23939315277897955</v>
      </c>
      <c r="AJ348" s="66">
        <f t="shared" si="50"/>
        <v>0.23939315277897955</v>
      </c>
      <c r="AK348" s="65">
        <f>AF348*X348</f>
        <v>0</v>
      </c>
      <c r="AL348" s="40">
        <f t="shared" si="57"/>
        <v>83000</v>
      </c>
      <c r="AM348" s="242">
        <f t="shared" si="55"/>
        <v>45138</v>
      </c>
      <c r="AN348" s="242" t="str">
        <f>IF(AQ348="x","",IF(AQ348="x",AM348,IF(EOMONTH(I348,0)=31,"",EOMONTH(I348,0))))</f>
        <v/>
      </c>
      <c r="AO348" s="79">
        <f>IFERROR(IF(VLOOKUP(C348,C349:C949,1,0)=0,1,0),1)</f>
        <v>1</v>
      </c>
      <c r="AP348" s="79"/>
      <c r="AQ348" s="243" t="str">
        <f t="shared" si="51"/>
        <v/>
      </c>
      <c r="AR348" s="242" t="b">
        <f>IF(AQ348="x",EOMONTH(I348,0))</f>
        <v>0</v>
      </c>
      <c r="AS348" s="79">
        <f t="shared" si="45"/>
        <v>1</v>
      </c>
      <c r="AT348" s="79">
        <f t="shared" si="46"/>
        <v>1</v>
      </c>
      <c r="AU348" s="79" t="str">
        <f t="shared" si="47"/>
        <v>B</v>
      </c>
      <c r="AV348" s="79">
        <f t="shared" si="52"/>
        <v>1</v>
      </c>
      <c r="AW348" s="79" t="str">
        <f>J348&amp;AU348</f>
        <v>6B</v>
      </c>
      <c r="AX348" s="79">
        <f>IF(COUNTIFS(J:J,"Integral",E:E,E348,H:H,"Ativo")=4,1/4,1/10)</f>
        <v>0.1</v>
      </c>
      <c r="AY348" s="79"/>
      <c r="AZ348" s="79"/>
    </row>
    <row r="349" spans="1:52" ht="17.25" customHeight="1">
      <c r="A349" s="54">
        <v>368</v>
      </c>
      <c r="B349" s="403">
        <v>45115</v>
      </c>
      <c r="C349" s="32" t="s">
        <v>1184</v>
      </c>
      <c r="D349" s="32" t="s">
        <v>1185</v>
      </c>
      <c r="E349" s="32" t="s">
        <v>1130</v>
      </c>
      <c r="F349" s="32" t="s">
        <v>1186</v>
      </c>
      <c r="G349" s="60" t="s">
        <v>220</v>
      </c>
      <c r="H349" s="33" t="s">
        <v>90</v>
      </c>
      <c r="I349" s="34"/>
      <c r="J349" s="33">
        <v>6</v>
      </c>
      <c r="K349" s="56" t="s">
        <v>274</v>
      </c>
      <c r="L349" s="56" t="s">
        <v>274</v>
      </c>
      <c r="M349" s="386" t="s">
        <v>222</v>
      </c>
      <c r="N349" s="33" t="s">
        <v>68</v>
      </c>
      <c r="O349" s="33" t="s">
        <v>10</v>
      </c>
      <c r="P349" s="33" t="s">
        <v>1</v>
      </c>
      <c r="Q349" s="47"/>
      <c r="R349" s="47"/>
      <c r="S349" s="45" t="s">
        <v>147</v>
      </c>
      <c r="T349" s="45"/>
      <c r="U349" s="46">
        <v>45113</v>
      </c>
      <c r="V349" s="38">
        <f t="shared" si="54"/>
        <v>45115</v>
      </c>
      <c r="W349" s="50">
        <f>V349-U349</f>
        <v>2</v>
      </c>
      <c r="X349" s="261">
        <f>Y349*0.91</f>
        <v>368550</v>
      </c>
      <c r="Y349" s="260">
        <v>405000</v>
      </c>
      <c r="Z349" s="263">
        <v>300000</v>
      </c>
      <c r="AA349" s="35" t="s">
        <v>1150</v>
      </c>
      <c r="AB349" s="263"/>
      <c r="AC349" s="44">
        <f>ABS(X349/Y349-1)</f>
        <v>8.9999999999999969E-2</v>
      </c>
      <c r="AD349" s="62">
        <v>2.64E-2</v>
      </c>
      <c r="AE349" s="41">
        <f t="shared" si="56"/>
        <v>6.3599999999999962E-2</v>
      </c>
      <c r="AF349" s="42"/>
      <c r="AG349" s="40">
        <f>IF((X349*AE349)&lt;0,0,(X349*AE349))</f>
        <v>23439.779999999984</v>
      </c>
      <c r="AH349" s="65">
        <f t="shared" si="49"/>
        <v>105000</v>
      </c>
      <c r="AI349" s="66">
        <f>AH349/X349</f>
        <v>0.28490028490028491</v>
      </c>
      <c r="AJ349" s="66">
        <f t="shared" si="50"/>
        <v>0.28490028490028491</v>
      </c>
      <c r="AK349" s="65">
        <f>AF349*X349</f>
        <v>0</v>
      </c>
      <c r="AL349" s="40">
        <f t="shared" si="57"/>
        <v>105000</v>
      </c>
      <c r="AM349" s="242">
        <f t="shared" si="55"/>
        <v>45138</v>
      </c>
      <c r="AN349" s="242" t="str">
        <f>IF(AQ349="x","",IF(AQ349="x",AM349,IF(EOMONTH(I349,0)=31,"",EOMONTH(I349,0))))</f>
        <v/>
      </c>
      <c r="AO349" s="79">
        <f>IFERROR(IF(VLOOKUP(C349,C350:C950,1,0)=0,1,0),1)</f>
        <v>1</v>
      </c>
      <c r="AP349" s="79"/>
      <c r="AQ349" s="243" t="str">
        <f t="shared" si="51"/>
        <v/>
      </c>
      <c r="AR349" s="242" t="b">
        <f>IF(AQ349="x",EOMONTH(I349,0))</f>
        <v>0</v>
      </c>
      <c r="AS349" s="79">
        <f t="shared" si="45"/>
        <v>1</v>
      </c>
      <c r="AT349" s="79">
        <f t="shared" si="46"/>
        <v>1</v>
      </c>
      <c r="AU349" s="79" t="str">
        <f t="shared" si="47"/>
        <v>B</v>
      </c>
      <c r="AV349" s="79">
        <f t="shared" si="52"/>
        <v>1</v>
      </c>
      <c r="AW349" s="79" t="str">
        <f>J349&amp;AU349</f>
        <v>6B</v>
      </c>
      <c r="AX349" s="79">
        <f>IF(COUNTIFS(J:J,"Integral",E:E,E349,H:H,"Ativo")=4,1/4,1/10)</f>
        <v>0.1</v>
      </c>
      <c r="AY349" s="79"/>
      <c r="AZ349" s="79"/>
    </row>
    <row r="350" spans="1:52" ht="15.75" customHeight="1">
      <c r="A350" s="54">
        <v>369</v>
      </c>
      <c r="B350" s="403">
        <v>45115</v>
      </c>
      <c r="C350" s="32" t="s">
        <v>1187</v>
      </c>
      <c r="D350" s="32" t="s">
        <v>1188</v>
      </c>
      <c r="E350" s="32" t="s">
        <v>1065</v>
      </c>
      <c r="F350" s="32" t="s">
        <v>1189</v>
      </c>
      <c r="G350" s="60" t="s">
        <v>220</v>
      </c>
      <c r="H350" s="33" t="s">
        <v>90</v>
      </c>
      <c r="I350" s="34"/>
      <c r="J350" s="33">
        <v>6</v>
      </c>
      <c r="K350" s="56" t="s">
        <v>274</v>
      </c>
      <c r="L350" s="56" t="s">
        <v>274</v>
      </c>
      <c r="M350" s="386" t="s">
        <v>222</v>
      </c>
      <c r="N350" s="33" t="s">
        <v>68</v>
      </c>
      <c r="O350" s="33" t="s">
        <v>10</v>
      </c>
      <c r="P350" s="33" t="s">
        <v>1</v>
      </c>
      <c r="Q350" s="47"/>
      <c r="R350" s="47"/>
      <c r="S350" s="45" t="s">
        <v>147</v>
      </c>
      <c r="T350" s="45"/>
      <c r="U350" s="46">
        <v>45113</v>
      </c>
      <c r="V350" s="38">
        <f t="shared" si="54"/>
        <v>45115</v>
      </c>
      <c r="W350" s="50">
        <f>V350-U350</f>
        <v>2</v>
      </c>
      <c r="X350" s="261">
        <f>Y350*0.91</f>
        <v>374920</v>
      </c>
      <c r="Y350" s="260">
        <v>412000</v>
      </c>
      <c r="Z350" s="263">
        <v>305000</v>
      </c>
      <c r="AA350" s="35" t="s">
        <v>1150</v>
      </c>
      <c r="AB350" s="263"/>
      <c r="AC350" s="44">
        <f>ABS(X350/Y350-1)</f>
        <v>8.9999999999999969E-2</v>
      </c>
      <c r="AD350" s="62">
        <v>2.7E-2</v>
      </c>
      <c r="AE350" s="41">
        <f t="shared" si="56"/>
        <v>6.2999999999999973E-2</v>
      </c>
      <c r="AF350" s="42"/>
      <c r="AG350" s="40">
        <f>IF((X350*AE350)&lt;0,0,(X350*AE350))</f>
        <v>23619.959999999988</v>
      </c>
      <c r="AH350" s="65">
        <f t="shared" si="49"/>
        <v>107000</v>
      </c>
      <c r="AI350" s="66">
        <f>AH350/X350</f>
        <v>0.28539421743305238</v>
      </c>
      <c r="AJ350" s="66">
        <f t="shared" si="50"/>
        <v>0.28539421743305238</v>
      </c>
      <c r="AK350" s="65">
        <f>AF350*X350</f>
        <v>0</v>
      </c>
      <c r="AL350" s="40">
        <f t="shared" si="57"/>
        <v>107000</v>
      </c>
      <c r="AM350" s="242">
        <f t="shared" si="55"/>
        <v>45138</v>
      </c>
      <c r="AN350" s="242" t="str">
        <f>IF(AQ350="x","",IF(AQ350="x",AM350,IF(EOMONTH(I350,0)=31,"",EOMONTH(I350,0))))</f>
        <v/>
      </c>
      <c r="AO350" s="79">
        <f>IFERROR(IF(VLOOKUP(C350,C351:C951,1,0)=0,1,0),1)</f>
        <v>1</v>
      </c>
      <c r="AP350" s="79"/>
      <c r="AQ350" s="243" t="str">
        <f t="shared" si="51"/>
        <v/>
      </c>
      <c r="AR350" s="242" t="b">
        <f>IF(AQ350="x",EOMONTH(I350,0))</f>
        <v>0</v>
      </c>
      <c r="AS350" s="79">
        <f t="shared" si="45"/>
        <v>1</v>
      </c>
      <c r="AT350" s="79">
        <f t="shared" si="46"/>
        <v>1</v>
      </c>
      <c r="AU350" s="79" t="str">
        <f t="shared" si="47"/>
        <v>B</v>
      </c>
      <c r="AV350" s="79">
        <f t="shared" si="52"/>
        <v>1</v>
      </c>
      <c r="AW350" s="79" t="str">
        <f>J350&amp;AU350</f>
        <v>6B</v>
      </c>
      <c r="AX350" s="79">
        <f>IF(COUNTIFS(J:J,"Integral",E:E,E350,H:H,"Ativo")=4,1/4,1/10)</f>
        <v>0.1</v>
      </c>
      <c r="AY350" s="79"/>
      <c r="AZ350" s="79"/>
    </row>
    <row r="351" spans="1:52" ht="15.75" customHeight="1">
      <c r="A351" s="54">
        <v>370</v>
      </c>
      <c r="B351" s="403">
        <v>45116</v>
      </c>
      <c r="C351" s="32" t="s">
        <v>1190</v>
      </c>
      <c r="D351" s="32" t="s">
        <v>1191</v>
      </c>
      <c r="E351" s="32" t="s">
        <v>1163</v>
      </c>
      <c r="F351" s="32" t="s">
        <v>1192</v>
      </c>
      <c r="G351" s="60" t="s">
        <v>220</v>
      </c>
      <c r="H351" s="33" t="s">
        <v>90</v>
      </c>
      <c r="I351" s="34"/>
      <c r="J351" s="33">
        <v>6</v>
      </c>
      <c r="K351" s="56" t="s">
        <v>1149</v>
      </c>
      <c r="L351" s="56" t="s">
        <v>378</v>
      </c>
      <c r="M351" s="386" t="s">
        <v>222</v>
      </c>
      <c r="N351" s="33" t="s">
        <v>68</v>
      </c>
      <c r="O351" s="33" t="s">
        <v>12</v>
      </c>
      <c r="P351" s="33" t="s">
        <v>1</v>
      </c>
      <c r="Q351" s="47"/>
      <c r="R351" s="47"/>
      <c r="S351" s="45" t="s">
        <v>147</v>
      </c>
      <c r="T351" s="45"/>
      <c r="U351" s="46">
        <v>45116</v>
      </c>
      <c r="V351" s="38">
        <f t="shared" si="54"/>
        <v>45116</v>
      </c>
      <c r="W351" s="50">
        <f>V351-U351</f>
        <v>0</v>
      </c>
      <c r="X351" s="261">
        <f>Y351*0.91</f>
        <v>346710</v>
      </c>
      <c r="Y351" s="260">
        <v>381000</v>
      </c>
      <c r="Z351" s="263">
        <v>372500</v>
      </c>
      <c r="AA351" s="35"/>
      <c r="AB351" s="263"/>
      <c r="AC351" s="44">
        <f>ABS(X351/Y351-1)</f>
        <v>8.9999999999999969E-2</v>
      </c>
      <c r="AD351" s="62">
        <v>5.9999999999999995E-4</v>
      </c>
      <c r="AE351" s="41">
        <f t="shared" si="56"/>
        <v>8.9399999999999966E-2</v>
      </c>
      <c r="AF351" s="42"/>
      <c r="AG351" s="40">
        <f>IF((X351*AE351)&lt;0,0,(X351*AE351))</f>
        <v>30995.873999999989</v>
      </c>
      <c r="AH351" s="65">
        <f t="shared" si="49"/>
        <v>8500</v>
      </c>
      <c r="AI351" s="66">
        <f>AH351/X351</f>
        <v>2.4516166248449715E-2</v>
      </c>
      <c r="AJ351" s="66">
        <f t="shared" si="50"/>
        <v>2.4516166248449715E-2</v>
      </c>
      <c r="AK351" s="65">
        <f>AF351*X351</f>
        <v>0</v>
      </c>
      <c r="AL351" s="40">
        <f t="shared" si="57"/>
        <v>8500</v>
      </c>
      <c r="AM351" s="242">
        <f t="shared" si="55"/>
        <v>45138</v>
      </c>
      <c r="AN351" s="242" t="str">
        <f>IF(AQ351="x","",IF(AQ351="x",AM351,IF(EOMONTH(I351,0)=31,"",EOMONTH(I351,0))))</f>
        <v/>
      </c>
      <c r="AO351" s="79">
        <f>IFERROR(IF(VLOOKUP(C351,C352:C952,1,0)=0,1,0),1)</f>
        <v>1</v>
      </c>
      <c r="AP351" s="79"/>
      <c r="AQ351" s="243" t="str">
        <f t="shared" si="51"/>
        <v/>
      </c>
      <c r="AR351" s="242" t="b">
        <f>IF(AQ351="x",EOMONTH(I351,0))</f>
        <v>0</v>
      </c>
      <c r="AS351" s="79">
        <f t="shared" si="45"/>
        <v>1</v>
      </c>
      <c r="AT351" s="79">
        <f t="shared" si="46"/>
        <v>1</v>
      </c>
      <c r="AU351" s="79" t="str">
        <f t="shared" si="47"/>
        <v>B</v>
      </c>
      <c r="AV351" s="79">
        <f t="shared" si="52"/>
        <v>1</v>
      </c>
      <c r="AW351" s="79" t="str">
        <f>J351&amp;AU351</f>
        <v>6B</v>
      </c>
      <c r="AX351" s="79">
        <f>IF(COUNTIFS(J:J,"Integral",E:E,E351,H:H,"Ativo")=4,1/4,1/10)</f>
        <v>0.1</v>
      </c>
      <c r="AY351" s="79"/>
      <c r="AZ351" s="79"/>
    </row>
    <row r="352" spans="1:52" ht="15.75" customHeight="1">
      <c r="A352" s="54">
        <v>371</v>
      </c>
      <c r="B352" s="403">
        <v>45116</v>
      </c>
      <c r="C352" s="32" t="s">
        <v>1193</v>
      </c>
      <c r="D352" s="32" t="s">
        <v>1194</v>
      </c>
      <c r="E352" s="32" t="s">
        <v>1130</v>
      </c>
      <c r="F352" s="32" t="s">
        <v>1195</v>
      </c>
      <c r="G352" s="60" t="s">
        <v>220</v>
      </c>
      <c r="H352" s="33" t="s">
        <v>90</v>
      </c>
      <c r="I352" s="34"/>
      <c r="J352" s="33">
        <v>6</v>
      </c>
      <c r="K352" s="56" t="s">
        <v>273</v>
      </c>
      <c r="L352" s="56" t="s">
        <v>273</v>
      </c>
      <c r="M352" s="386" t="s">
        <v>222</v>
      </c>
      <c r="N352" s="33" t="s">
        <v>68</v>
      </c>
      <c r="O352" s="33" t="s">
        <v>12</v>
      </c>
      <c r="P352" s="33" t="s">
        <v>2</v>
      </c>
      <c r="Q352" s="47"/>
      <c r="R352" s="47"/>
      <c r="S352" s="45" t="s">
        <v>147</v>
      </c>
      <c r="T352" s="45"/>
      <c r="U352" s="46">
        <v>45045</v>
      </c>
      <c r="V352" s="38">
        <f t="shared" si="54"/>
        <v>45116</v>
      </c>
      <c r="W352" s="50">
        <f>V352-U352</f>
        <v>71</v>
      </c>
      <c r="X352" s="261">
        <f>Y352*0.91</f>
        <v>368550</v>
      </c>
      <c r="Y352" s="260">
        <v>405000</v>
      </c>
      <c r="Z352" s="263">
        <v>385366.63</v>
      </c>
      <c r="AA352" s="35"/>
      <c r="AB352" s="263"/>
      <c r="AC352" s="44">
        <f>ABS(X352/Y352-1)</f>
        <v>8.9999999999999969E-2</v>
      </c>
      <c r="AD352" s="62">
        <v>7.6899999999999996E-2</v>
      </c>
      <c r="AE352" s="41">
        <f t="shared" si="56"/>
        <v>1.3099999999999973E-2</v>
      </c>
      <c r="AF352" s="42"/>
      <c r="AG352" s="40">
        <f>IF((X352*AE352)&lt;0,0,(X352*AE352))</f>
        <v>4828.0049999999901</v>
      </c>
      <c r="AH352" s="65">
        <f t="shared" si="49"/>
        <v>19633.369999999995</v>
      </c>
      <c r="AI352" s="66">
        <f>AH352/X352</f>
        <v>5.327193053859719E-2</v>
      </c>
      <c r="AJ352" s="66">
        <f t="shared" si="50"/>
        <v>5.327193053859719E-2</v>
      </c>
      <c r="AK352" s="65">
        <f>AF352*X352</f>
        <v>0</v>
      </c>
      <c r="AL352" s="40">
        <f t="shared" si="57"/>
        <v>19633.369999999995</v>
      </c>
      <c r="AM352" s="242">
        <f t="shared" si="55"/>
        <v>45138</v>
      </c>
      <c r="AN352" s="242" t="str">
        <f>IF(AQ352="x","",IF(AQ352="x",AM352,IF(EOMONTH(I352,0)=31,"",EOMONTH(I352,0))))</f>
        <v/>
      </c>
      <c r="AO352" s="79">
        <f>IFERROR(IF(VLOOKUP(C352,C353:C953,1,0)=0,1,0),1)</f>
        <v>1</v>
      </c>
      <c r="AP352" s="79"/>
      <c r="AQ352" s="243" t="str">
        <f t="shared" si="51"/>
        <v/>
      </c>
      <c r="AR352" s="242" t="b">
        <f>IF(AQ352="x",EOMONTH(I352,0))</f>
        <v>0</v>
      </c>
      <c r="AS352" s="79">
        <f t="shared" si="45"/>
        <v>1</v>
      </c>
      <c r="AT352" s="79">
        <f t="shared" si="46"/>
        <v>1</v>
      </c>
      <c r="AU352" s="79" t="str">
        <f t="shared" si="47"/>
        <v>B</v>
      </c>
      <c r="AV352" s="79">
        <f t="shared" si="52"/>
        <v>1</v>
      </c>
      <c r="AW352" s="79" t="str">
        <f>J352&amp;AU352</f>
        <v>6B</v>
      </c>
      <c r="AX352" s="79">
        <f>IF(COUNTIFS(J:J,"Integral",E:E,E352,H:H,"Ativo")=4,1/4,1/10)</f>
        <v>0.1</v>
      </c>
      <c r="AY352" s="79"/>
      <c r="AZ352" s="79"/>
    </row>
    <row r="353" spans="1:52" ht="15.75" customHeight="1">
      <c r="A353" s="54">
        <v>373</v>
      </c>
      <c r="B353" s="403">
        <v>45119</v>
      </c>
      <c r="C353" s="32" t="s">
        <v>1196</v>
      </c>
      <c r="D353" s="32" t="s">
        <v>1197</v>
      </c>
      <c r="E353" s="32" t="s">
        <v>1163</v>
      </c>
      <c r="F353" s="32" t="s">
        <v>1198</v>
      </c>
      <c r="G353" s="60" t="s">
        <v>220</v>
      </c>
      <c r="H353" s="33" t="s">
        <v>90</v>
      </c>
      <c r="I353" s="34"/>
      <c r="J353" s="33">
        <v>6</v>
      </c>
      <c r="K353" s="56" t="s">
        <v>1007</v>
      </c>
      <c r="L353" s="56" t="s">
        <v>413</v>
      </c>
      <c r="M353" s="386" t="s">
        <v>222</v>
      </c>
      <c r="N353" s="33" t="s">
        <v>68</v>
      </c>
      <c r="O353" s="33" t="s">
        <v>11</v>
      </c>
      <c r="P353" s="33" t="s">
        <v>1</v>
      </c>
      <c r="Q353" s="47"/>
      <c r="R353" s="47"/>
      <c r="S353" s="45" t="s">
        <v>147</v>
      </c>
      <c r="T353" s="45"/>
      <c r="U353" s="46">
        <v>45112</v>
      </c>
      <c r="V353" s="38">
        <f t="shared" si="54"/>
        <v>45119</v>
      </c>
      <c r="W353" s="50">
        <f>V353-U353</f>
        <v>7</v>
      </c>
      <c r="X353" s="261">
        <f>Y353*0.91</f>
        <v>346710</v>
      </c>
      <c r="Y353" s="260">
        <v>381000</v>
      </c>
      <c r="Z353" s="263">
        <v>290000</v>
      </c>
      <c r="AA353" s="35" t="s">
        <v>999</v>
      </c>
      <c r="AB353" s="263"/>
      <c r="AC353" s="44">
        <f>ABS(X353/Y353-1)</f>
        <v>8.9999999999999969E-2</v>
      </c>
      <c r="AD353" s="62">
        <v>6.4199999999999993E-2</v>
      </c>
      <c r="AE353" s="41">
        <f t="shared" si="56"/>
        <v>2.5799999999999976E-2</v>
      </c>
      <c r="AF353" s="42"/>
      <c r="AG353" s="40">
        <f>IF((X353*AE353)&lt;0,0,(X353*AE353))</f>
        <v>8945.1179999999913</v>
      </c>
      <c r="AH353" s="65">
        <f t="shared" si="49"/>
        <v>91000</v>
      </c>
      <c r="AI353" s="66">
        <f>AH353/X353</f>
        <v>0.26246719160104987</v>
      </c>
      <c r="AJ353" s="66">
        <f t="shared" si="50"/>
        <v>0.26246719160104987</v>
      </c>
      <c r="AK353" s="65">
        <f>AF353*X353</f>
        <v>0</v>
      </c>
      <c r="AL353" s="40">
        <f t="shared" si="57"/>
        <v>91000</v>
      </c>
      <c r="AM353" s="242">
        <f t="shared" si="55"/>
        <v>45138</v>
      </c>
      <c r="AN353" s="242" t="str">
        <f>IF(AQ353="x","",IF(AQ353="x",AM353,IF(EOMONTH(I353,0)=31,"",EOMONTH(I353,0))))</f>
        <v/>
      </c>
      <c r="AO353" s="79">
        <f>IFERROR(IF(VLOOKUP(C353,C354:C954,1,0)=0,1,0),1)</f>
        <v>1</v>
      </c>
      <c r="AP353" s="79"/>
      <c r="AQ353" s="243" t="str">
        <f t="shared" si="51"/>
        <v/>
      </c>
      <c r="AR353" s="242" t="b">
        <f>IF(AQ353="x",EOMONTH(I353,0))</f>
        <v>0</v>
      </c>
      <c r="AS353" s="79">
        <f t="shared" si="45"/>
        <v>1</v>
      </c>
      <c r="AT353" s="79">
        <f t="shared" si="46"/>
        <v>1</v>
      </c>
      <c r="AU353" s="79" t="str">
        <f t="shared" si="47"/>
        <v>B</v>
      </c>
      <c r="AV353" s="79">
        <f t="shared" si="52"/>
        <v>1</v>
      </c>
      <c r="AW353" s="79" t="str">
        <f>J353&amp;AU353</f>
        <v>6B</v>
      </c>
      <c r="AX353" s="79">
        <f>IF(COUNTIFS(J:J,"Integral",E:E,E353,H:H,"Ativo")=4,1/4,1/10)</f>
        <v>0.1</v>
      </c>
      <c r="AY353" s="79"/>
      <c r="AZ353" s="79"/>
    </row>
    <row r="354" spans="1:52" ht="15.75" customHeight="1">
      <c r="A354" s="54">
        <v>374</v>
      </c>
      <c r="B354" s="403">
        <v>45121</v>
      </c>
      <c r="C354" s="32" t="s">
        <v>1199</v>
      </c>
      <c r="D354" s="32" t="s">
        <v>1200</v>
      </c>
      <c r="E354" s="32" t="s">
        <v>1144</v>
      </c>
      <c r="F354" s="32" t="s">
        <v>1201</v>
      </c>
      <c r="G354" s="60" t="s">
        <v>220</v>
      </c>
      <c r="H354" s="33" t="s">
        <v>90</v>
      </c>
      <c r="I354" s="34"/>
      <c r="J354" s="33">
        <v>6</v>
      </c>
      <c r="K354" s="56" t="s">
        <v>1165</v>
      </c>
      <c r="L354" s="56" t="s">
        <v>1165</v>
      </c>
      <c r="M354" s="386" t="s">
        <v>222</v>
      </c>
      <c r="N354" s="33" t="s">
        <v>68</v>
      </c>
      <c r="O354" s="33" t="s">
        <v>12</v>
      </c>
      <c r="P354" s="33" t="s">
        <v>2</v>
      </c>
      <c r="Q354" s="47"/>
      <c r="R354" s="47"/>
      <c r="S354" s="45" t="s">
        <v>163</v>
      </c>
      <c r="T354" s="45"/>
      <c r="U354" s="46">
        <v>45112</v>
      </c>
      <c r="V354" s="38">
        <f t="shared" si="54"/>
        <v>45121</v>
      </c>
      <c r="W354" s="50">
        <f>V354-U354</f>
        <v>9</v>
      </c>
      <c r="X354" s="261">
        <f>Y354*0.91</f>
        <v>404950</v>
      </c>
      <c r="Y354" s="260">
        <v>445000</v>
      </c>
      <c r="Z354" s="263">
        <v>428000</v>
      </c>
      <c r="AA354" s="35"/>
      <c r="AB354" s="263"/>
      <c r="AC354" s="44">
        <f>ABS(X354/Y354-1)</f>
        <v>8.9999999999999969E-2</v>
      </c>
      <c r="AD354" s="62">
        <v>1.8700000000000001E-2</v>
      </c>
      <c r="AE354" s="41">
        <f t="shared" si="56"/>
        <v>7.1299999999999975E-2</v>
      </c>
      <c r="AF354" s="42"/>
      <c r="AG354" s="40">
        <f>IF((X354*AE354)&lt;0,0,(X354*AE354))</f>
        <v>28872.93499999999</v>
      </c>
      <c r="AH354" s="65">
        <f t="shared" si="49"/>
        <v>17000</v>
      </c>
      <c r="AI354" s="66">
        <f>AH354/X354</f>
        <v>4.1980491418693665E-2</v>
      </c>
      <c r="AJ354" s="66">
        <f t="shared" si="50"/>
        <v>4.1980491418693665E-2</v>
      </c>
      <c r="AK354" s="65">
        <f>AF354*X354</f>
        <v>0</v>
      </c>
      <c r="AL354" s="40">
        <f t="shared" si="57"/>
        <v>17000</v>
      </c>
      <c r="AM354" s="242">
        <f t="shared" si="55"/>
        <v>45138</v>
      </c>
      <c r="AN354" s="242" t="str">
        <f>IF(AQ354="x","",IF(AQ354="x",AM354,IF(EOMONTH(I354,0)=31,"",EOMONTH(I354,0))))</f>
        <v/>
      </c>
      <c r="AO354" s="79">
        <f>IFERROR(IF(VLOOKUP(C354,C355:C955,1,0)=0,1,0),1)</f>
        <v>1</v>
      </c>
      <c r="AP354" s="79"/>
      <c r="AQ354" s="243" t="str">
        <f t="shared" si="51"/>
        <v/>
      </c>
      <c r="AR354" s="242" t="b">
        <f>IF(AQ354="x",EOMONTH(I354,0))</f>
        <v>0</v>
      </c>
      <c r="AS354" s="79">
        <f t="shared" si="45"/>
        <v>1</v>
      </c>
      <c r="AT354" s="79">
        <f t="shared" si="46"/>
        <v>1</v>
      </c>
      <c r="AU354" s="79" t="str">
        <f t="shared" si="47"/>
        <v>B</v>
      </c>
      <c r="AV354" s="79">
        <f t="shared" si="52"/>
        <v>1</v>
      </c>
      <c r="AW354" s="79" t="str">
        <f>J354&amp;AU354</f>
        <v>6B</v>
      </c>
      <c r="AX354" s="79">
        <f>IF(COUNTIFS(J:J,"Integral",E:E,E354,H:H,"Ativo")=4,1/4,1/10)</f>
        <v>0.1</v>
      </c>
      <c r="AY354" s="79"/>
      <c r="AZ354" s="79"/>
    </row>
    <row r="355" spans="1:52" ht="15.75" customHeight="1">
      <c r="A355" s="54">
        <v>375</v>
      </c>
      <c r="B355" s="403">
        <v>45122</v>
      </c>
      <c r="C355" s="32" t="s">
        <v>1202</v>
      </c>
      <c r="D355" s="32" t="s">
        <v>1203</v>
      </c>
      <c r="E355" s="32" t="s">
        <v>1144</v>
      </c>
      <c r="F355" s="32" t="s">
        <v>1204</v>
      </c>
      <c r="G355" s="60" t="s">
        <v>220</v>
      </c>
      <c r="H355" s="33" t="s">
        <v>90</v>
      </c>
      <c r="I355" s="34"/>
      <c r="J355" s="33">
        <v>6</v>
      </c>
      <c r="K355" s="56" t="s">
        <v>378</v>
      </c>
      <c r="L355" s="56" t="s">
        <v>378</v>
      </c>
      <c r="M355" s="386" t="s">
        <v>222</v>
      </c>
      <c r="N355" s="33" t="s">
        <v>68</v>
      </c>
      <c r="O355" s="33" t="s">
        <v>12</v>
      </c>
      <c r="P355" s="33" t="s">
        <v>1</v>
      </c>
      <c r="Q355" s="47"/>
      <c r="R355" s="47"/>
      <c r="S355" s="45" t="s">
        <v>147</v>
      </c>
      <c r="T355" s="45"/>
      <c r="U355" s="46">
        <v>45122</v>
      </c>
      <c r="V355" s="38">
        <f t="shared" si="54"/>
        <v>45122</v>
      </c>
      <c r="W355" s="50">
        <f>V355-U355</f>
        <v>0</v>
      </c>
      <c r="X355" s="261">
        <f>Y355*0.91</f>
        <v>404950</v>
      </c>
      <c r="Y355" s="260">
        <v>445000</v>
      </c>
      <c r="Z355" s="263">
        <v>444600</v>
      </c>
      <c r="AA355" s="35" t="s">
        <v>1205</v>
      </c>
      <c r="AB355" s="263"/>
      <c r="AC355" s="44">
        <f>ABS(X355/Y355-1)</f>
        <v>8.9999999999999969E-2</v>
      </c>
      <c r="AD355" s="62">
        <v>2.3800000000000002E-2</v>
      </c>
      <c r="AE355" s="41">
        <f t="shared" si="56"/>
        <v>6.6199999999999967E-2</v>
      </c>
      <c r="AF355" s="42"/>
      <c r="AG355" s="40">
        <f>IF((X355*AE355)&lt;0,0,(X355*AE355))</f>
        <v>26807.689999999988</v>
      </c>
      <c r="AH355" s="65">
        <f t="shared" si="49"/>
        <v>400</v>
      </c>
      <c r="AI355" s="66">
        <f>AH355/X355</f>
        <v>9.8777626867514517E-4</v>
      </c>
      <c r="AJ355" s="66">
        <f t="shared" si="50"/>
        <v>9.8777626867514517E-4</v>
      </c>
      <c r="AK355" s="65">
        <f>AF355*X355</f>
        <v>0</v>
      </c>
      <c r="AL355" s="40">
        <f t="shared" si="57"/>
        <v>400</v>
      </c>
      <c r="AM355" s="242">
        <f t="shared" si="55"/>
        <v>45138</v>
      </c>
      <c r="AN355" s="242" t="str">
        <f>IF(AQ355="x","",IF(AQ355="x",AM355,IF(EOMONTH(I355,0)=31,"",EOMONTH(I355,0))))</f>
        <v/>
      </c>
      <c r="AO355" s="79">
        <f>IFERROR(IF(VLOOKUP(C355,C356:C956,1,0)=0,1,0),1)</f>
        <v>1</v>
      </c>
      <c r="AP355" s="79"/>
      <c r="AQ355" s="243" t="str">
        <f t="shared" si="51"/>
        <v/>
      </c>
      <c r="AR355" s="242" t="b">
        <f>IF(AQ355="x",EOMONTH(I355,0))</f>
        <v>0</v>
      </c>
      <c r="AS355" s="79">
        <f t="shared" si="45"/>
        <v>1</v>
      </c>
      <c r="AT355" s="79">
        <f t="shared" si="46"/>
        <v>1</v>
      </c>
      <c r="AU355" s="79" t="str">
        <f t="shared" si="47"/>
        <v>B</v>
      </c>
      <c r="AV355" s="79">
        <f t="shared" si="52"/>
        <v>1</v>
      </c>
      <c r="AW355" s="79" t="str">
        <f>J355&amp;AU355</f>
        <v>6B</v>
      </c>
      <c r="AX355" s="79">
        <f>IF(COUNTIFS(J:J,"Integral",E:E,E355,H:H,"Ativo")=4,1/4,1/10)</f>
        <v>0.1</v>
      </c>
      <c r="AY355" s="79"/>
      <c r="AZ355" s="79"/>
    </row>
    <row r="356" spans="1:52" ht="15.75" customHeight="1">
      <c r="A356" s="54">
        <v>376</v>
      </c>
      <c r="B356" s="403">
        <v>45124</v>
      </c>
      <c r="C356" s="32" t="s">
        <v>1206</v>
      </c>
      <c r="D356" s="32" t="s">
        <v>1207</v>
      </c>
      <c r="E356" s="32" t="s">
        <v>1208</v>
      </c>
      <c r="F356" s="32" t="s">
        <v>1209</v>
      </c>
      <c r="G356" s="60" t="s">
        <v>220</v>
      </c>
      <c r="H356" s="33" t="s">
        <v>90</v>
      </c>
      <c r="I356" s="34"/>
      <c r="J356" s="33">
        <v>6</v>
      </c>
      <c r="K356" s="56" t="s">
        <v>1149</v>
      </c>
      <c r="L356" s="56" t="s">
        <v>1149</v>
      </c>
      <c r="M356" s="386" t="s">
        <v>222</v>
      </c>
      <c r="N356" s="33" t="s">
        <v>68</v>
      </c>
      <c r="O356" s="33" t="s">
        <v>11</v>
      </c>
      <c r="P356" s="33" t="s">
        <v>1</v>
      </c>
      <c r="Q356" s="47"/>
      <c r="R356" s="47"/>
      <c r="S356" s="45" t="s">
        <v>157</v>
      </c>
      <c r="T356" s="45"/>
      <c r="U356" s="46">
        <v>45110</v>
      </c>
      <c r="V356" s="38">
        <f t="shared" si="54"/>
        <v>45124</v>
      </c>
      <c r="W356" s="50">
        <f>V356-U356</f>
        <v>14</v>
      </c>
      <c r="X356" s="261">
        <f>Y356*0.91</f>
        <v>346710</v>
      </c>
      <c r="Y356" s="260">
        <v>381000</v>
      </c>
      <c r="Z356" s="263">
        <v>336392</v>
      </c>
      <c r="AA356" s="35" t="s">
        <v>1210</v>
      </c>
      <c r="AB356" s="263"/>
      <c r="AC356" s="44">
        <f>ABS(X356/Y356-1)</f>
        <v>8.9999999999999969E-2</v>
      </c>
      <c r="AD356" s="62">
        <v>3.3399999999999999E-2</v>
      </c>
      <c r="AE356" s="41">
        <f t="shared" si="56"/>
        <v>5.659999999999997E-2</v>
      </c>
      <c r="AF356" s="42"/>
      <c r="AG356" s="40">
        <f>IF((X356*AE356)&lt;0,0,(X356*AE356))</f>
        <v>19623.785999999989</v>
      </c>
      <c r="AH356" s="65">
        <f t="shared" si="49"/>
        <v>44608</v>
      </c>
      <c r="AI356" s="66">
        <f>AH356/X356</f>
        <v>0.1286608404718641</v>
      </c>
      <c r="AJ356" s="66">
        <f t="shared" si="50"/>
        <v>0.1286608404718641</v>
      </c>
      <c r="AK356" s="65">
        <f>AF356*X356</f>
        <v>0</v>
      </c>
      <c r="AL356" s="40">
        <f t="shared" si="57"/>
        <v>44608</v>
      </c>
      <c r="AM356" s="242">
        <f t="shared" si="55"/>
        <v>45138</v>
      </c>
      <c r="AN356" s="242" t="str">
        <f>IF(AQ356="x","",IF(AQ356="x",AM356,IF(EOMONTH(I356,0)=31,"",EOMONTH(I356,0))))</f>
        <v/>
      </c>
      <c r="AO356" s="79">
        <f>IFERROR(IF(VLOOKUP(C356,C357:C957,1,0)=0,1,0),1)</f>
        <v>1</v>
      </c>
      <c r="AP356" s="79"/>
      <c r="AQ356" s="243" t="str">
        <f t="shared" si="51"/>
        <v/>
      </c>
      <c r="AR356" s="242" t="b">
        <f>IF(AQ356="x",EOMONTH(I356,0))</f>
        <v>0</v>
      </c>
      <c r="AS356" s="79">
        <f t="shared" ref="AS356:AS419" si="58">IF(AH356&lt;0,0,1)</f>
        <v>1</v>
      </c>
      <c r="AT356" s="79">
        <f t="shared" ref="AT356:AT419" si="59">IF(AL356&lt;0,0,1)</f>
        <v>1</v>
      </c>
      <c r="AU356" s="79" t="str">
        <f t="shared" ref="AU356:AU419" si="60">MID(E356,1,1)</f>
        <v>B</v>
      </c>
      <c r="AV356" s="79">
        <f t="shared" si="52"/>
        <v>1</v>
      </c>
      <c r="AW356" s="79" t="str">
        <f>J356&amp;AU356</f>
        <v>6B</v>
      </c>
      <c r="AX356" s="79">
        <f>IF(COUNTIFS(J:J,"Integral",E:E,E356,H:H,"Ativo")=4,1/4,1/10)</f>
        <v>0.1</v>
      </c>
      <c r="AY356" s="79"/>
      <c r="AZ356" s="79"/>
    </row>
    <row r="357" spans="1:52" ht="15.75" customHeight="1">
      <c r="A357" s="54">
        <v>377</v>
      </c>
      <c r="B357" s="403">
        <v>45124</v>
      </c>
      <c r="C357" s="32" t="s">
        <v>1211</v>
      </c>
      <c r="D357" s="32" t="s">
        <v>1212</v>
      </c>
      <c r="E357" s="32" t="s">
        <v>1208</v>
      </c>
      <c r="F357" s="32" t="s">
        <v>1213</v>
      </c>
      <c r="G357" s="60" t="s">
        <v>220</v>
      </c>
      <c r="H357" s="33" t="s">
        <v>90</v>
      </c>
      <c r="I357" s="34"/>
      <c r="J357" s="33">
        <v>6</v>
      </c>
      <c r="K357" s="56" t="s">
        <v>394</v>
      </c>
      <c r="L357" s="56" t="s">
        <v>394</v>
      </c>
      <c r="M357" s="386" t="s">
        <v>222</v>
      </c>
      <c r="N357" s="33" t="s">
        <v>68</v>
      </c>
      <c r="O357" s="33" t="s">
        <v>10</v>
      </c>
      <c r="P357" s="33" t="s">
        <v>2</v>
      </c>
      <c r="Q357" s="47"/>
      <c r="R357" s="47"/>
      <c r="S357" s="45" t="s">
        <v>147</v>
      </c>
      <c r="T357" s="45"/>
      <c r="U357" s="46">
        <v>45108</v>
      </c>
      <c r="V357" s="38">
        <f t="shared" si="54"/>
        <v>45124</v>
      </c>
      <c r="W357" s="50">
        <f>V357-U357</f>
        <v>16</v>
      </c>
      <c r="X357" s="261">
        <f>Y357*0.91</f>
        <v>346710</v>
      </c>
      <c r="Y357" s="260">
        <v>381000</v>
      </c>
      <c r="Z357" s="263">
        <v>281500</v>
      </c>
      <c r="AA357" s="35"/>
      <c r="AB357" s="263"/>
      <c r="AC357" s="44">
        <f>ABS(X357/Y357-1)</f>
        <v>8.9999999999999969E-2</v>
      </c>
      <c r="AD357" s="62">
        <v>2.9899999999999999E-2</v>
      </c>
      <c r="AE357" s="41">
        <f t="shared" si="56"/>
        <v>6.0099999999999973E-2</v>
      </c>
      <c r="AF357" s="42"/>
      <c r="AG357" s="40">
        <f>IF((X357*AE357)&lt;0,0,(X357*AE357))</f>
        <v>20837.27099999999</v>
      </c>
      <c r="AH357" s="65">
        <f t="shared" si="49"/>
        <v>99500</v>
      </c>
      <c r="AI357" s="66">
        <f>AH357/X357</f>
        <v>0.28698335784949958</v>
      </c>
      <c r="AJ357" s="66">
        <f t="shared" si="50"/>
        <v>0.28698335784949958</v>
      </c>
      <c r="AK357" s="65">
        <f>AF357*X357</f>
        <v>0</v>
      </c>
      <c r="AL357" s="40">
        <f t="shared" si="57"/>
        <v>99500</v>
      </c>
      <c r="AM357" s="242">
        <f t="shared" si="55"/>
        <v>45138</v>
      </c>
      <c r="AN357" s="242" t="str">
        <f>IF(AQ357="x","",IF(AQ357="x",AM357,IF(EOMONTH(I357,0)=31,"",EOMONTH(I357,0))))</f>
        <v/>
      </c>
      <c r="AO357" s="79">
        <f>IFERROR(IF(VLOOKUP(C357,C358:C958,1,0)=0,1,0),1)</f>
        <v>1</v>
      </c>
      <c r="AP357" s="79"/>
      <c r="AQ357" s="243" t="str">
        <f t="shared" si="51"/>
        <v/>
      </c>
      <c r="AR357" s="242" t="b">
        <f>IF(AQ357="x",EOMONTH(I357,0))</f>
        <v>0</v>
      </c>
      <c r="AS357" s="79">
        <f t="shared" si="58"/>
        <v>1</v>
      </c>
      <c r="AT357" s="79">
        <f t="shared" si="59"/>
        <v>1</v>
      </c>
      <c r="AU357" s="79" t="str">
        <f t="shared" si="60"/>
        <v>B</v>
      </c>
      <c r="AV357" s="79">
        <f t="shared" si="52"/>
        <v>1</v>
      </c>
      <c r="AW357" s="79" t="str">
        <f>J357&amp;AU357</f>
        <v>6B</v>
      </c>
      <c r="AX357" s="79">
        <f>IF(COUNTIFS(J:J,"Integral",E:E,E357,H:H,"Ativo")=4,1/4,1/10)</f>
        <v>0.1</v>
      </c>
      <c r="AY357" s="79"/>
      <c r="AZ357" s="79"/>
    </row>
    <row r="358" spans="1:52" ht="15.75" customHeight="1">
      <c r="A358" s="54">
        <v>378</v>
      </c>
      <c r="B358" s="403">
        <v>45125</v>
      </c>
      <c r="C358" s="32" t="s">
        <v>1214</v>
      </c>
      <c r="D358" s="32" t="s">
        <v>1215</v>
      </c>
      <c r="E358" s="32" t="s">
        <v>1208</v>
      </c>
      <c r="F358" s="32" t="s">
        <v>1216</v>
      </c>
      <c r="G358" s="60" t="s">
        <v>220</v>
      </c>
      <c r="H358" s="33" t="s">
        <v>90</v>
      </c>
      <c r="I358" s="34"/>
      <c r="J358" s="33">
        <v>6</v>
      </c>
      <c r="K358" s="56" t="s">
        <v>1026</v>
      </c>
      <c r="L358" s="56" t="s">
        <v>378</v>
      </c>
      <c r="M358" s="386" t="s">
        <v>222</v>
      </c>
      <c r="N358" s="33" t="s">
        <v>68</v>
      </c>
      <c r="O358" s="33" t="s">
        <v>11</v>
      </c>
      <c r="P358" s="33" t="s">
        <v>1</v>
      </c>
      <c r="Q358" s="47"/>
      <c r="R358" s="47"/>
      <c r="S358" s="45" t="s">
        <v>143</v>
      </c>
      <c r="T358" s="45"/>
      <c r="U358" s="46">
        <v>45122</v>
      </c>
      <c r="V358" s="38">
        <f t="shared" si="54"/>
        <v>45125</v>
      </c>
      <c r="W358" s="50">
        <f>V358-U358</f>
        <v>3</v>
      </c>
      <c r="X358" s="261">
        <f>Y358*0.91</f>
        <v>346710</v>
      </c>
      <c r="Y358" s="260">
        <v>381000</v>
      </c>
      <c r="Z358" s="263">
        <v>263000</v>
      </c>
      <c r="AA358" s="35" t="s">
        <v>999</v>
      </c>
      <c r="AB358" s="263"/>
      <c r="AC358" s="44">
        <f>ABS(X358/Y358-1)</f>
        <v>8.9999999999999969E-2</v>
      </c>
      <c r="AD358" s="62">
        <v>0.1215</v>
      </c>
      <c r="AE358" s="41">
        <f t="shared" ref="AE358:AE389" si="61">AC358-AD358</f>
        <v>-3.1500000000000028E-2</v>
      </c>
      <c r="AF358" s="42">
        <v>3.15E-2</v>
      </c>
      <c r="AG358" s="40">
        <f>IF((X358*AE358)&lt;0,0,(X358*AE358))</f>
        <v>0</v>
      </c>
      <c r="AH358" s="65">
        <f t="shared" ref="AH358:AH421" si="62">Y358-Z358</f>
        <v>118000</v>
      </c>
      <c r="AI358" s="66">
        <f>AH358/X358</f>
        <v>0.34034207262553717</v>
      </c>
      <c r="AJ358" s="66">
        <f t="shared" ref="AJ358:AJ421" si="63">AI358-AF358</f>
        <v>0.3088420726255372</v>
      </c>
      <c r="AK358" s="65">
        <f>AF358*X358</f>
        <v>10921.365</v>
      </c>
      <c r="AL358" s="40">
        <f t="shared" si="57"/>
        <v>107078.63499999999</v>
      </c>
      <c r="AM358" s="242">
        <f t="shared" si="55"/>
        <v>45138</v>
      </c>
      <c r="AN358" s="242" t="str">
        <f>IF(AQ358="x","",IF(AQ358="x",AM358,IF(EOMONTH(I358,0)=31,"",EOMONTH(I358,0))))</f>
        <v/>
      </c>
      <c r="AO358" s="79">
        <f>IFERROR(IF(VLOOKUP(C358,C359:C959,1,0)=0,1,0),1)</f>
        <v>1</v>
      </c>
      <c r="AP358" s="79"/>
      <c r="AQ358" s="243" t="str">
        <f t="shared" si="51"/>
        <v/>
      </c>
      <c r="AR358" s="242" t="b">
        <f>IF(AQ358="x",EOMONTH(I358,0))</f>
        <v>0</v>
      </c>
      <c r="AS358" s="79">
        <f t="shared" si="58"/>
        <v>1</v>
      </c>
      <c r="AT358" s="79">
        <f t="shared" si="59"/>
        <v>1</v>
      </c>
      <c r="AU358" s="79" t="str">
        <f t="shared" si="60"/>
        <v>B</v>
      </c>
      <c r="AV358" s="79">
        <f t="shared" si="52"/>
        <v>1</v>
      </c>
      <c r="AW358" s="79" t="str">
        <f>J358&amp;AU358</f>
        <v>6B</v>
      </c>
      <c r="AX358" s="79">
        <f>IF(COUNTIFS(J:J,"Integral",E:E,E358,H:H,"Ativo")=4,1/4,1/10)</f>
        <v>0.1</v>
      </c>
      <c r="AY358" s="79"/>
      <c r="AZ358" s="79"/>
    </row>
    <row r="359" spans="1:52" ht="15.75" customHeight="1">
      <c r="A359" s="54">
        <v>379</v>
      </c>
      <c r="B359" s="403">
        <v>45129</v>
      </c>
      <c r="C359" s="32" t="s">
        <v>1217</v>
      </c>
      <c r="D359" s="32" t="s">
        <v>1218</v>
      </c>
      <c r="E359" s="32" t="s">
        <v>1219</v>
      </c>
      <c r="F359" s="32" t="s">
        <v>1220</v>
      </c>
      <c r="G359" s="60" t="s">
        <v>220</v>
      </c>
      <c r="H359" s="33" t="s">
        <v>90</v>
      </c>
      <c r="I359" s="34"/>
      <c r="J359" s="33" t="s">
        <v>6</v>
      </c>
      <c r="K359" s="56" t="s">
        <v>1154</v>
      </c>
      <c r="L359" s="56" t="s">
        <v>1154</v>
      </c>
      <c r="M359" s="386" t="s">
        <v>222</v>
      </c>
      <c r="N359" s="33" t="s">
        <v>68</v>
      </c>
      <c r="O359" s="33" t="s">
        <v>12</v>
      </c>
      <c r="P359" s="33" t="s">
        <v>1</v>
      </c>
      <c r="Q359" s="47"/>
      <c r="R359" s="47"/>
      <c r="S359" s="45" t="s">
        <v>163</v>
      </c>
      <c r="T359" s="45"/>
      <c r="U359" s="46">
        <v>45129</v>
      </c>
      <c r="V359" s="38">
        <f t="shared" si="54"/>
        <v>45129</v>
      </c>
      <c r="W359" s="50">
        <f>V359-U359</f>
        <v>0</v>
      </c>
      <c r="X359" s="261">
        <f>Y359*0.91</f>
        <v>1763352.5</v>
      </c>
      <c r="Y359" s="260">
        <v>1937750</v>
      </c>
      <c r="Z359" s="263">
        <v>1825000</v>
      </c>
      <c r="AA359" s="35" t="s">
        <v>1150</v>
      </c>
      <c r="AB359" s="263"/>
      <c r="AC359" s="44">
        <f>ABS(X359/Y359-1)</f>
        <v>8.9999999999999969E-2</v>
      </c>
      <c r="AD359" s="62">
        <v>3.8300000000000001E-2</v>
      </c>
      <c r="AE359" s="41">
        <f t="shared" si="61"/>
        <v>5.1699999999999968E-2</v>
      </c>
      <c r="AF359" s="42"/>
      <c r="AG359" s="40">
        <f>IF((X359*AE359)&lt;0,0,(X359*AE359))</f>
        <v>91165.324249999947</v>
      </c>
      <c r="AH359" s="65">
        <f t="shared" si="62"/>
        <v>112750</v>
      </c>
      <c r="AI359" s="66">
        <f>AH359/X359</f>
        <v>6.3940703858133871E-2</v>
      </c>
      <c r="AJ359" s="66">
        <f t="shared" si="63"/>
        <v>6.3940703858133871E-2</v>
      </c>
      <c r="AK359" s="65">
        <f>AF359*X359</f>
        <v>0</v>
      </c>
      <c r="AL359" s="40">
        <f t="shared" si="57"/>
        <v>112750</v>
      </c>
      <c r="AM359" s="242">
        <f t="shared" si="55"/>
        <v>45138</v>
      </c>
      <c r="AN359" s="242" t="str">
        <f>IF(AQ359="x","",IF(AQ359="x",AM359,IF(EOMONTH(I359,0)=31,"",EOMONTH(I359,0))))</f>
        <v/>
      </c>
      <c r="AO359" s="79">
        <f>IFERROR(IF(VLOOKUP(C359,C360:C960,1,0)=0,1,0),1)</f>
        <v>0</v>
      </c>
      <c r="AP359" s="79"/>
      <c r="AQ359" s="243" t="str">
        <f t="shared" si="51"/>
        <v/>
      </c>
      <c r="AR359" s="242" t="b">
        <f>IF(AQ359="x",EOMONTH(I359,0))</f>
        <v>0</v>
      </c>
      <c r="AS359" s="79">
        <f t="shared" si="58"/>
        <v>1</v>
      </c>
      <c r="AT359" s="79">
        <f t="shared" si="59"/>
        <v>1</v>
      </c>
      <c r="AU359" s="79" t="str">
        <f t="shared" si="60"/>
        <v>A</v>
      </c>
      <c r="AV359" s="79">
        <f t="shared" si="52"/>
        <v>1</v>
      </c>
      <c r="AW359" s="79" t="str">
        <f>J359&amp;AU359</f>
        <v>IntegralA</v>
      </c>
      <c r="AX359" s="79">
        <f>IF(COUNTIFS(J:J,"Integral",E:E,E359,H:H,"Ativo")=4,1/4,1/10)</f>
        <v>0.25</v>
      </c>
      <c r="AY359" s="79"/>
      <c r="AZ359" s="79"/>
    </row>
    <row r="360" spans="1:52" ht="15.75" customHeight="1">
      <c r="A360" s="54">
        <v>380</v>
      </c>
      <c r="B360" s="403">
        <v>45129</v>
      </c>
      <c r="C360" s="32" t="s">
        <v>1217</v>
      </c>
      <c r="D360" s="32" t="s">
        <v>1221</v>
      </c>
      <c r="E360" s="32" t="s">
        <v>1219</v>
      </c>
      <c r="F360" s="32" t="s">
        <v>1222</v>
      </c>
      <c r="G360" s="60" t="s">
        <v>220</v>
      </c>
      <c r="H360" s="33" t="s">
        <v>90</v>
      </c>
      <c r="I360" s="34"/>
      <c r="J360" s="33" t="s">
        <v>6</v>
      </c>
      <c r="K360" s="56" t="s">
        <v>1154</v>
      </c>
      <c r="L360" s="56" t="s">
        <v>1154</v>
      </c>
      <c r="M360" s="386" t="s">
        <v>222</v>
      </c>
      <c r="N360" s="33" t="s">
        <v>68</v>
      </c>
      <c r="O360" s="33" t="s">
        <v>12</v>
      </c>
      <c r="P360" s="33" t="s">
        <v>1</v>
      </c>
      <c r="Q360" s="47"/>
      <c r="R360" s="47"/>
      <c r="S360" s="45" t="s">
        <v>163</v>
      </c>
      <c r="T360" s="45"/>
      <c r="U360" s="46">
        <v>45129</v>
      </c>
      <c r="V360" s="38">
        <f t="shared" si="54"/>
        <v>45129</v>
      </c>
      <c r="W360" s="50">
        <f>V360-U360</f>
        <v>0</v>
      </c>
      <c r="X360" s="261">
        <f>Y360*0.91</f>
        <v>1763352.5</v>
      </c>
      <c r="Y360" s="260">
        <v>1937750</v>
      </c>
      <c r="Z360" s="263">
        <v>1825000</v>
      </c>
      <c r="AA360" s="35" t="s">
        <v>1150</v>
      </c>
      <c r="AB360" s="263"/>
      <c r="AC360" s="44">
        <f>ABS(X360/Y360-1)</f>
        <v>8.9999999999999969E-2</v>
      </c>
      <c r="AD360" s="62">
        <v>3.8300000000000001E-2</v>
      </c>
      <c r="AE360" s="41">
        <f t="shared" si="61"/>
        <v>5.1699999999999968E-2</v>
      </c>
      <c r="AF360" s="42"/>
      <c r="AG360" s="40">
        <f>IF((X360*AE360)&lt;0,0,(X360*AE360))</f>
        <v>91165.324249999947</v>
      </c>
      <c r="AH360" s="65">
        <f t="shared" si="62"/>
        <v>112750</v>
      </c>
      <c r="AI360" s="66">
        <f>AH360/X360</f>
        <v>6.3940703858133871E-2</v>
      </c>
      <c r="AJ360" s="66">
        <f t="shared" si="63"/>
        <v>6.3940703858133871E-2</v>
      </c>
      <c r="AK360" s="65">
        <f>AF360*X360</f>
        <v>0</v>
      </c>
      <c r="AL360" s="40">
        <f t="shared" si="57"/>
        <v>112750</v>
      </c>
      <c r="AM360" s="242">
        <f t="shared" si="55"/>
        <v>45138</v>
      </c>
      <c r="AN360" s="242" t="str">
        <f>IF(AQ360="x","",IF(AQ360="x",AM360,IF(EOMONTH(I360,0)=31,"",EOMONTH(I360,0))))</f>
        <v/>
      </c>
      <c r="AO360" s="79">
        <f>IFERROR(IF(VLOOKUP(C360,C361:C961,1,0)=0,1,0),1)</f>
        <v>0</v>
      </c>
      <c r="AP360" s="79"/>
      <c r="AQ360" s="243" t="str">
        <f t="shared" si="51"/>
        <v/>
      </c>
      <c r="AR360" s="242" t="b">
        <f>IF(AQ360="x",EOMONTH(I360,0))</f>
        <v>0</v>
      </c>
      <c r="AS360" s="79">
        <f t="shared" si="58"/>
        <v>1</v>
      </c>
      <c r="AT360" s="79">
        <f t="shared" si="59"/>
        <v>1</v>
      </c>
      <c r="AU360" s="79" t="str">
        <f t="shared" si="60"/>
        <v>A</v>
      </c>
      <c r="AV360" s="79">
        <f t="shared" si="52"/>
        <v>1</v>
      </c>
      <c r="AW360" s="79" t="str">
        <f>J360&amp;AU360</f>
        <v>IntegralA</v>
      </c>
      <c r="AX360" s="79">
        <f>IF(COUNTIFS(J:J,"Integral",E:E,E360,H:H,"Ativo")=4,1/4,1/10)</f>
        <v>0.25</v>
      </c>
      <c r="AY360" s="79"/>
      <c r="AZ360" s="79"/>
    </row>
    <row r="361" spans="1:52" ht="15.75" customHeight="1">
      <c r="A361" s="54">
        <v>381</v>
      </c>
      <c r="B361" s="403">
        <v>45129</v>
      </c>
      <c r="C361" s="32" t="s">
        <v>1217</v>
      </c>
      <c r="D361" s="32" t="s">
        <v>1223</v>
      </c>
      <c r="E361" s="32" t="s">
        <v>1219</v>
      </c>
      <c r="F361" s="32" t="s">
        <v>1224</v>
      </c>
      <c r="G361" s="60" t="s">
        <v>220</v>
      </c>
      <c r="H361" s="33" t="s">
        <v>90</v>
      </c>
      <c r="I361" s="34"/>
      <c r="J361" s="33" t="s">
        <v>6</v>
      </c>
      <c r="K361" s="56" t="s">
        <v>1154</v>
      </c>
      <c r="L361" s="56" t="s">
        <v>1154</v>
      </c>
      <c r="M361" s="386" t="s">
        <v>222</v>
      </c>
      <c r="N361" s="33" t="s">
        <v>68</v>
      </c>
      <c r="O361" s="33" t="s">
        <v>12</v>
      </c>
      <c r="P361" s="33" t="s">
        <v>1</v>
      </c>
      <c r="Q361" s="47"/>
      <c r="R361" s="47"/>
      <c r="S361" s="45" t="s">
        <v>163</v>
      </c>
      <c r="T361" s="45"/>
      <c r="U361" s="46">
        <v>45129</v>
      </c>
      <c r="V361" s="38">
        <f t="shared" si="54"/>
        <v>45129</v>
      </c>
      <c r="W361" s="50">
        <f>V361-U361</f>
        <v>0</v>
      </c>
      <c r="X361" s="261">
        <f>Y361*0.91</f>
        <v>1763352.5</v>
      </c>
      <c r="Y361" s="260">
        <v>1937750</v>
      </c>
      <c r="Z361" s="263">
        <v>1825000</v>
      </c>
      <c r="AA361" s="35" t="s">
        <v>1150</v>
      </c>
      <c r="AB361" s="263"/>
      <c r="AC361" s="44">
        <f>ABS(X361/Y361-1)</f>
        <v>8.9999999999999969E-2</v>
      </c>
      <c r="AD361" s="62">
        <v>3.8300000000000001E-2</v>
      </c>
      <c r="AE361" s="41">
        <f t="shared" si="61"/>
        <v>5.1699999999999968E-2</v>
      </c>
      <c r="AF361" s="42"/>
      <c r="AG361" s="40">
        <f>IF((X361*AE361)&lt;0,0,(X361*AE361))</f>
        <v>91165.324249999947</v>
      </c>
      <c r="AH361" s="65">
        <f t="shared" si="62"/>
        <v>112750</v>
      </c>
      <c r="AI361" s="66">
        <f>AH361/X361</f>
        <v>6.3940703858133871E-2</v>
      </c>
      <c r="AJ361" s="66">
        <f t="shared" si="63"/>
        <v>6.3940703858133871E-2</v>
      </c>
      <c r="AK361" s="65">
        <f>AF361*X361</f>
        <v>0</v>
      </c>
      <c r="AL361" s="40">
        <f t="shared" si="57"/>
        <v>112750</v>
      </c>
      <c r="AM361" s="242">
        <f t="shared" si="55"/>
        <v>45138</v>
      </c>
      <c r="AN361" s="242" t="str">
        <f>IF(AQ361="x","",IF(AQ361="x",AM361,IF(EOMONTH(I361,0)=31,"",EOMONTH(I361,0))))</f>
        <v/>
      </c>
      <c r="AO361" s="79">
        <f>IFERROR(IF(VLOOKUP(C361,C362:C962,1,0)=0,1,0),1)</f>
        <v>0</v>
      </c>
      <c r="AP361" s="79"/>
      <c r="AQ361" s="243" t="str">
        <f t="shared" ref="AQ361:AQ424" si="64">IF(MID(G361,1,15)="NAO ASSINADO","x","")</f>
        <v/>
      </c>
      <c r="AR361" s="242" t="b">
        <f>IF(AQ361="x",EOMONTH(I361,0))</f>
        <v>0</v>
      </c>
      <c r="AS361" s="79">
        <f t="shared" si="58"/>
        <v>1</v>
      </c>
      <c r="AT361" s="79">
        <f t="shared" si="59"/>
        <v>1</v>
      </c>
      <c r="AU361" s="79" t="str">
        <f t="shared" si="60"/>
        <v>A</v>
      </c>
      <c r="AV361" s="79">
        <f t="shared" si="52"/>
        <v>1</v>
      </c>
      <c r="AW361" s="79" t="str">
        <f>J361&amp;AU361</f>
        <v>IntegralA</v>
      </c>
      <c r="AX361" s="79">
        <f>IF(COUNTIFS(J:J,"Integral",E:E,E361,H:H,"Ativo")=4,1/4,1/10)</f>
        <v>0.25</v>
      </c>
      <c r="AY361" s="79"/>
      <c r="AZ361" s="79"/>
    </row>
    <row r="362" spans="1:52" ht="15.75" customHeight="1">
      <c r="A362" s="54">
        <v>382</v>
      </c>
      <c r="B362" s="403">
        <v>45129</v>
      </c>
      <c r="C362" s="32" t="s">
        <v>1217</v>
      </c>
      <c r="D362" s="32" t="s">
        <v>1225</v>
      </c>
      <c r="E362" s="32" t="s">
        <v>1219</v>
      </c>
      <c r="F362" s="32" t="s">
        <v>1226</v>
      </c>
      <c r="G362" s="60" t="s">
        <v>220</v>
      </c>
      <c r="H362" s="33" t="s">
        <v>90</v>
      </c>
      <c r="I362" s="34"/>
      <c r="J362" s="33" t="s">
        <v>6</v>
      </c>
      <c r="K362" s="56" t="s">
        <v>1154</v>
      </c>
      <c r="L362" s="56" t="s">
        <v>1154</v>
      </c>
      <c r="M362" s="386" t="s">
        <v>222</v>
      </c>
      <c r="N362" s="33" t="s">
        <v>68</v>
      </c>
      <c r="O362" s="33" t="s">
        <v>12</v>
      </c>
      <c r="P362" s="33" t="s">
        <v>1</v>
      </c>
      <c r="Q362" s="47"/>
      <c r="R362" s="47"/>
      <c r="S362" s="45" t="s">
        <v>163</v>
      </c>
      <c r="T362" s="45"/>
      <c r="U362" s="46">
        <v>45129</v>
      </c>
      <c r="V362" s="38">
        <f t="shared" si="54"/>
        <v>45129</v>
      </c>
      <c r="W362" s="50">
        <f>V362-U362</f>
        <v>0</v>
      </c>
      <c r="X362" s="261">
        <f>Y362*0.91</f>
        <v>1763352.5</v>
      </c>
      <c r="Y362" s="260">
        <v>1937750</v>
      </c>
      <c r="Z362" s="263">
        <v>1825000</v>
      </c>
      <c r="AA362" s="35" t="s">
        <v>1150</v>
      </c>
      <c r="AB362" s="263"/>
      <c r="AC362" s="44">
        <f>ABS(X362/Y362-1)</f>
        <v>8.9999999999999969E-2</v>
      </c>
      <c r="AD362" s="62">
        <v>3.8300000000000001E-2</v>
      </c>
      <c r="AE362" s="41">
        <f t="shared" si="61"/>
        <v>5.1699999999999968E-2</v>
      </c>
      <c r="AF362" s="42"/>
      <c r="AG362" s="40">
        <f>IF((X362*AE362)&lt;0,0,(X362*AE362))</f>
        <v>91165.324249999947</v>
      </c>
      <c r="AH362" s="65">
        <f t="shared" si="62"/>
        <v>112750</v>
      </c>
      <c r="AI362" s="66">
        <f>AH362/X362</f>
        <v>6.3940703858133871E-2</v>
      </c>
      <c r="AJ362" s="66">
        <f t="shared" si="63"/>
        <v>6.3940703858133871E-2</v>
      </c>
      <c r="AK362" s="65">
        <f>AF362*X362</f>
        <v>0</v>
      </c>
      <c r="AL362" s="40">
        <f t="shared" si="57"/>
        <v>112750</v>
      </c>
      <c r="AM362" s="242">
        <f t="shared" si="55"/>
        <v>45138</v>
      </c>
      <c r="AN362" s="242" t="str">
        <f>IF(AQ362="x","",IF(AQ362="x",AM362,IF(EOMONTH(I362,0)=31,"",EOMONTH(I362,0))))</f>
        <v/>
      </c>
      <c r="AO362" s="79">
        <f>IFERROR(IF(VLOOKUP(C362,C363:C963,1,0)=0,1,0),1)</f>
        <v>0</v>
      </c>
      <c r="AP362" s="79"/>
      <c r="AQ362" s="243" t="str">
        <f t="shared" si="64"/>
        <v/>
      </c>
      <c r="AR362" s="242" t="b">
        <f>IF(AQ362="x",EOMONTH(I362,0))</f>
        <v>0</v>
      </c>
      <c r="AS362" s="79">
        <f t="shared" si="58"/>
        <v>1</v>
      </c>
      <c r="AT362" s="79">
        <f t="shared" si="59"/>
        <v>1</v>
      </c>
      <c r="AU362" s="79" t="str">
        <f t="shared" si="60"/>
        <v>A</v>
      </c>
      <c r="AV362" s="79">
        <f t="shared" si="52"/>
        <v>1</v>
      </c>
      <c r="AW362" s="79" t="str">
        <f>J362&amp;AU362</f>
        <v>IntegralA</v>
      </c>
      <c r="AX362" s="79">
        <f>IF(COUNTIFS(J:J,"Integral",E:E,E362,H:H,"Ativo")=4,1/4,1/10)</f>
        <v>0.25</v>
      </c>
      <c r="AY362" s="79"/>
      <c r="AZ362" s="79"/>
    </row>
    <row r="363" spans="1:52" ht="15.75" customHeight="1">
      <c r="A363" s="54">
        <v>383</v>
      </c>
      <c r="B363" s="403">
        <v>45139</v>
      </c>
      <c r="C363" s="32" t="s">
        <v>1227</v>
      </c>
      <c r="D363" s="32" t="s">
        <v>817</v>
      </c>
      <c r="E363" s="32" t="s">
        <v>811</v>
      </c>
      <c r="F363" s="32" t="s">
        <v>1228</v>
      </c>
      <c r="G363" s="60" t="s">
        <v>243</v>
      </c>
      <c r="H363" s="33" t="s">
        <v>244</v>
      </c>
      <c r="I363" s="34">
        <v>45156</v>
      </c>
      <c r="J363" s="33">
        <v>13</v>
      </c>
      <c r="K363" s="35" t="s">
        <v>977</v>
      </c>
      <c r="L363" s="56" t="s">
        <v>981</v>
      </c>
      <c r="M363" s="386" t="s">
        <v>222</v>
      </c>
      <c r="N363" s="33" t="s">
        <v>68</v>
      </c>
      <c r="O363" s="33" t="s">
        <v>11</v>
      </c>
      <c r="P363" s="33" t="s">
        <v>2</v>
      </c>
      <c r="Q363" s="47"/>
      <c r="R363" s="47"/>
      <c r="S363" s="45" t="s">
        <v>160</v>
      </c>
      <c r="T363" s="45"/>
      <c r="U363" s="51">
        <v>45105</v>
      </c>
      <c r="V363" s="48">
        <f t="shared" si="54"/>
        <v>45139</v>
      </c>
      <c r="W363" s="50">
        <f>V363-U363</f>
        <v>34</v>
      </c>
      <c r="X363" s="265">
        <f>Y363*0.91</f>
        <v>1620710</v>
      </c>
      <c r="Y363" s="67">
        <v>1781000</v>
      </c>
      <c r="Z363" s="267">
        <v>1590000</v>
      </c>
      <c r="AA363" s="35"/>
      <c r="AB363" s="267"/>
      <c r="AC363" s="44">
        <f>ABS(X363/Y363-1)</f>
        <v>8.9999999999999969E-2</v>
      </c>
      <c r="AD363" s="62">
        <v>2.46E-2</v>
      </c>
      <c r="AE363" s="41">
        <f t="shared" si="61"/>
        <v>6.5399999999999972E-2</v>
      </c>
      <c r="AF363" s="42"/>
      <c r="AG363" s="40">
        <f>IF((X363*AE363)&lt;0,0,(X363*AE363))</f>
        <v>105994.43399999995</v>
      </c>
      <c r="AH363" s="65">
        <f t="shared" si="62"/>
        <v>191000</v>
      </c>
      <c r="AI363" s="66">
        <f>AH363/X363</f>
        <v>0.1178495844413868</v>
      </c>
      <c r="AJ363" s="66">
        <f t="shared" si="63"/>
        <v>0.1178495844413868</v>
      </c>
      <c r="AK363" s="65">
        <f>AF363*X363</f>
        <v>0</v>
      </c>
      <c r="AL363" s="40">
        <f t="shared" si="57"/>
        <v>191000</v>
      </c>
      <c r="AM363" s="242">
        <f t="shared" si="55"/>
        <v>45169</v>
      </c>
      <c r="AN363" s="242" t="str">
        <f>IF(AQ363="x","",IF(AQ363="x",AM363,IF(EOMONTH(I363,0)=31,"",EOMONTH(I363,0))))</f>
        <v/>
      </c>
      <c r="AO363" s="79">
        <f>IFERROR(IF(VLOOKUP(C363,C364:C964,1,0)=0,1,0),1)</f>
        <v>1</v>
      </c>
      <c r="AP363" s="79"/>
      <c r="AQ363" s="243" t="str">
        <f t="shared" si="64"/>
        <v>x</v>
      </c>
      <c r="AR363" s="242">
        <f>IF(AQ363="x",EOMONTH(I363,0))</f>
        <v>45169</v>
      </c>
      <c r="AS363" s="79">
        <f t="shared" si="58"/>
        <v>1</v>
      </c>
      <c r="AT363" s="79">
        <f t="shared" si="59"/>
        <v>1</v>
      </c>
      <c r="AU363" s="79" t="str">
        <f t="shared" si="60"/>
        <v>A</v>
      </c>
      <c r="AV363" s="79">
        <f t="shared" si="52"/>
        <v>1</v>
      </c>
      <c r="AW363" s="79" t="str">
        <f>J363&amp;AU363</f>
        <v>13A</v>
      </c>
      <c r="AX363" s="79">
        <f>IF(COUNTIFS(J:J,"Integral",E:E,E363,H:H,"Ativo")=4,1/4,1/10)</f>
        <v>0.1</v>
      </c>
      <c r="AY363" s="79"/>
      <c r="AZ363" s="79" t="b">
        <v>1</v>
      </c>
    </row>
    <row r="364" spans="1:52" ht="15.75" customHeight="1">
      <c r="A364" s="54">
        <v>384</v>
      </c>
      <c r="B364" s="403">
        <v>45131</v>
      </c>
      <c r="C364" s="32" t="s">
        <v>1229</v>
      </c>
      <c r="D364" s="32" t="s">
        <v>1230</v>
      </c>
      <c r="E364" s="32" t="s">
        <v>1144</v>
      </c>
      <c r="F364" s="32" t="s">
        <v>1231</v>
      </c>
      <c r="G364" s="60" t="s">
        <v>220</v>
      </c>
      <c r="H364" s="33" t="s">
        <v>90</v>
      </c>
      <c r="I364" s="34"/>
      <c r="J364" s="33">
        <v>6</v>
      </c>
      <c r="K364" s="35" t="s">
        <v>1101</v>
      </c>
      <c r="L364" s="56" t="s">
        <v>1101</v>
      </c>
      <c r="M364" s="386" t="s">
        <v>222</v>
      </c>
      <c r="N364" s="33" t="s">
        <v>68</v>
      </c>
      <c r="O364" s="33" t="s">
        <v>10</v>
      </c>
      <c r="P364" s="33" t="s">
        <v>1</v>
      </c>
      <c r="Q364" s="47"/>
      <c r="R364" s="47"/>
      <c r="S364" s="45" t="s">
        <v>143</v>
      </c>
      <c r="T364" s="45"/>
      <c r="U364" s="46">
        <v>45131</v>
      </c>
      <c r="V364" s="38">
        <f t="shared" si="54"/>
        <v>45131</v>
      </c>
      <c r="W364" s="50">
        <f>V364-U364</f>
        <v>0</v>
      </c>
      <c r="X364" s="261">
        <f>Y364*0.91</f>
        <v>404950</v>
      </c>
      <c r="Y364" s="260">
        <v>445000</v>
      </c>
      <c r="Z364" s="263">
        <v>325000</v>
      </c>
      <c r="AA364" s="56" t="s">
        <v>911</v>
      </c>
      <c r="AB364" s="263"/>
      <c r="AC364" s="44">
        <f>ABS(X364/Y364-1)</f>
        <v>8.9999999999999969E-2</v>
      </c>
      <c r="AD364" s="62">
        <v>5.57E-2</v>
      </c>
      <c r="AE364" s="41">
        <f t="shared" si="61"/>
        <v>3.4299999999999969E-2</v>
      </c>
      <c r="AF364" s="42"/>
      <c r="AG364" s="40">
        <f>IF((X364*AE364)&lt;0,0,(X364*AE364))</f>
        <v>13889.784999999987</v>
      </c>
      <c r="AH364" s="65">
        <f t="shared" si="62"/>
        <v>120000</v>
      </c>
      <c r="AI364" s="66">
        <f>AH364/X364</f>
        <v>0.29633288060254354</v>
      </c>
      <c r="AJ364" s="66">
        <f t="shared" si="63"/>
        <v>0.29633288060254354</v>
      </c>
      <c r="AK364" s="65">
        <f>AF364*X364</f>
        <v>0</v>
      </c>
      <c r="AL364" s="40">
        <f t="shared" si="57"/>
        <v>120000</v>
      </c>
      <c r="AM364" s="242">
        <f t="shared" si="55"/>
        <v>45138</v>
      </c>
      <c r="AN364" s="242" t="str">
        <f>IF(AQ364="x","",IF(AQ364="x",AM364,IF(EOMONTH(I364,0)=31,"",EOMONTH(I364,0))))</f>
        <v/>
      </c>
      <c r="AO364" s="79">
        <f>IFERROR(IF(VLOOKUP(C364,C365:C965,1,0)=0,1,0),1)</f>
        <v>1</v>
      </c>
      <c r="AP364" s="79"/>
      <c r="AQ364" s="243" t="str">
        <f t="shared" si="64"/>
        <v/>
      </c>
      <c r="AR364" s="242" t="b">
        <f>IF(AQ364="x",EOMONTH(I364,0))</f>
        <v>0</v>
      </c>
      <c r="AS364" s="79">
        <f t="shared" si="58"/>
        <v>1</v>
      </c>
      <c r="AT364" s="79">
        <f t="shared" si="59"/>
        <v>1</v>
      </c>
      <c r="AU364" s="79" t="str">
        <f t="shared" si="60"/>
        <v>B</v>
      </c>
      <c r="AV364" s="79">
        <f t="shared" si="52"/>
        <v>1</v>
      </c>
      <c r="AW364" s="79" t="str">
        <f>J364&amp;AU364</f>
        <v>6B</v>
      </c>
      <c r="AX364" s="79">
        <f>IF(COUNTIFS(J:J,"Integral",E:E,E364,H:H,"Ativo")=4,1/4,1/10)</f>
        <v>0.1</v>
      </c>
      <c r="AY364" s="79"/>
      <c r="AZ364" s="79"/>
    </row>
    <row r="365" spans="1:52" ht="15.75" customHeight="1">
      <c r="A365" s="54">
        <v>385</v>
      </c>
      <c r="B365" s="403">
        <v>45131</v>
      </c>
      <c r="C365" s="32" t="s">
        <v>1232</v>
      </c>
      <c r="D365" s="32" t="s">
        <v>1233</v>
      </c>
      <c r="E365" s="32" t="s">
        <v>1208</v>
      </c>
      <c r="F365" s="32" t="s">
        <v>1234</v>
      </c>
      <c r="G365" s="60" t="s">
        <v>243</v>
      </c>
      <c r="H365" s="33" t="s">
        <v>244</v>
      </c>
      <c r="I365" s="34">
        <v>45134</v>
      </c>
      <c r="J365" s="33">
        <v>6</v>
      </c>
      <c r="K365" s="35" t="s">
        <v>1007</v>
      </c>
      <c r="L365" s="35" t="s">
        <v>333</v>
      </c>
      <c r="M365" s="386" t="s">
        <v>222</v>
      </c>
      <c r="N365" s="33" t="s">
        <v>68</v>
      </c>
      <c r="O365" s="33" t="s">
        <v>1235</v>
      </c>
      <c r="P365" s="33" t="s">
        <v>1</v>
      </c>
      <c r="Q365" s="47"/>
      <c r="R365" s="47"/>
      <c r="S365" s="45" t="s">
        <v>143</v>
      </c>
      <c r="T365" s="45"/>
      <c r="U365" s="51">
        <v>45131</v>
      </c>
      <c r="V365" s="48">
        <f t="shared" si="54"/>
        <v>45131</v>
      </c>
      <c r="W365" s="50">
        <f>V365-U365</f>
        <v>0</v>
      </c>
      <c r="X365" s="265">
        <f>Y365*0.91</f>
        <v>346710</v>
      </c>
      <c r="Y365" s="67">
        <v>381000</v>
      </c>
      <c r="Z365" s="267">
        <v>380991</v>
      </c>
      <c r="AA365" s="35" t="s">
        <v>1210</v>
      </c>
      <c r="AB365" s="267"/>
      <c r="AC365" s="44">
        <f>ABS(X365/Y365-1)</f>
        <v>8.9999999999999969E-2</v>
      </c>
      <c r="AD365" s="62">
        <v>9.4000000000000004E-3</v>
      </c>
      <c r="AE365" s="41">
        <f t="shared" si="61"/>
        <v>8.0599999999999963E-2</v>
      </c>
      <c r="AF365" s="42"/>
      <c r="AG365" s="40">
        <f>IF((X365*AE365)&lt;0,0,(X365*AE365))</f>
        <v>27944.825999999986</v>
      </c>
      <c r="AH365" s="65">
        <f t="shared" si="62"/>
        <v>9</v>
      </c>
      <c r="AI365" s="66">
        <f>AH365/X365</f>
        <v>2.5958293674829109E-5</v>
      </c>
      <c r="AJ365" s="66">
        <f t="shared" si="63"/>
        <v>2.5958293674829109E-5</v>
      </c>
      <c r="AK365" s="65">
        <f>AF365*X365</f>
        <v>0</v>
      </c>
      <c r="AL365" s="40">
        <f t="shared" si="57"/>
        <v>9</v>
      </c>
      <c r="AM365" s="242">
        <f t="shared" si="55"/>
        <v>45138</v>
      </c>
      <c r="AN365" s="242" t="str">
        <f>IF(AQ365="x","",IF(AQ365="x",AM365,IF(EOMONTH(I365,0)=31,"",EOMONTH(I365,0))))</f>
        <v/>
      </c>
      <c r="AO365" s="79">
        <f>IFERROR(IF(VLOOKUP(C365,C366:C966,1,0)=0,1,0),1)</f>
        <v>1</v>
      </c>
      <c r="AP365" s="79"/>
      <c r="AQ365" s="243" t="str">
        <f t="shared" si="64"/>
        <v>x</v>
      </c>
      <c r="AR365" s="242">
        <f>IF(AQ365="x",EOMONTH(I365,0))</f>
        <v>45138</v>
      </c>
      <c r="AS365" s="79">
        <f t="shared" si="58"/>
        <v>1</v>
      </c>
      <c r="AT365" s="79">
        <f t="shared" si="59"/>
        <v>1</v>
      </c>
      <c r="AU365" s="79" t="str">
        <f t="shared" si="60"/>
        <v>B</v>
      </c>
      <c r="AV365" s="79">
        <f t="shared" si="52"/>
        <v>1</v>
      </c>
      <c r="AW365" s="79" t="str">
        <f>J365&amp;AU365</f>
        <v>6B</v>
      </c>
      <c r="AX365" s="79">
        <f>IF(COUNTIFS(J:J,"Integral",E:E,E365,H:H,"Ativo")=4,1/4,1/10)</f>
        <v>0.1</v>
      </c>
      <c r="AY365" s="79"/>
      <c r="AZ365" s="79"/>
    </row>
    <row r="366" spans="1:52" ht="15.75" customHeight="1">
      <c r="A366" s="54">
        <v>386</v>
      </c>
      <c r="B366" s="404">
        <v>45132</v>
      </c>
      <c r="C366" s="32" t="s">
        <v>1236</v>
      </c>
      <c r="D366" s="32" t="s">
        <v>1237</v>
      </c>
      <c r="E366" s="32" t="s">
        <v>1238</v>
      </c>
      <c r="F366" s="32" t="s">
        <v>1239</v>
      </c>
      <c r="G366" s="60" t="s">
        <v>220</v>
      </c>
      <c r="H366" s="33" t="s">
        <v>90</v>
      </c>
      <c r="I366" s="34"/>
      <c r="J366" s="33">
        <v>6</v>
      </c>
      <c r="K366" s="35" t="s">
        <v>394</v>
      </c>
      <c r="L366" s="56" t="s">
        <v>394</v>
      </c>
      <c r="M366" s="386" t="s">
        <v>222</v>
      </c>
      <c r="N366" s="33" t="s">
        <v>68</v>
      </c>
      <c r="O366" s="33" t="s">
        <v>11</v>
      </c>
      <c r="P366" s="33" t="s">
        <v>2</v>
      </c>
      <c r="Q366" s="33"/>
      <c r="R366" s="33"/>
      <c r="S366" s="67" t="s">
        <v>147</v>
      </c>
      <c r="T366" s="67"/>
      <c r="U366" s="37">
        <v>45100</v>
      </c>
      <c r="V366" s="38">
        <f t="shared" si="54"/>
        <v>45132</v>
      </c>
      <c r="W366" s="50">
        <f>V366-U366</f>
        <v>32</v>
      </c>
      <c r="X366" s="261">
        <f>Y366*0.91</f>
        <v>374920</v>
      </c>
      <c r="Y366" s="260">
        <v>412000</v>
      </c>
      <c r="Z366" s="263">
        <v>353400</v>
      </c>
      <c r="AA366" s="35"/>
      <c r="AB366" s="263"/>
      <c r="AC366" s="44">
        <f>ABS(X366/Y366-1)</f>
        <v>8.9999999999999969E-2</v>
      </c>
      <c r="AD366" s="62">
        <v>2.9899999999999999E-2</v>
      </c>
      <c r="AE366" s="41">
        <f t="shared" si="61"/>
        <v>6.0099999999999973E-2</v>
      </c>
      <c r="AF366" s="42"/>
      <c r="AG366" s="40">
        <f>IF((X366*AE366)&lt;0,0,(X366*AE366))</f>
        <v>22532.691999999988</v>
      </c>
      <c r="AH366" s="65">
        <f t="shared" si="62"/>
        <v>58600</v>
      </c>
      <c r="AI366" s="66">
        <f>AH366/X366</f>
        <v>0.1563000106689427</v>
      </c>
      <c r="AJ366" s="66">
        <f t="shared" si="63"/>
        <v>0.1563000106689427</v>
      </c>
      <c r="AK366" s="65">
        <f>AF366*X366</f>
        <v>0</v>
      </c>
      <c r="AL366" s="40">
        <f t="shared" si="57"/>
        <v>58600</v>
      </c>
      <c r="AM366" s="242">
        <f t="shared" si="55"/>
        <v>45138</v>
      </c>
      <c r="AN366" s="242" t="str">
        <f>IF(AQ366="x","",IF(AQ366="x",AM366,IF(EOMONTH(I366,0)=31,"",EOMONTH(I366,0))))</f>
        <v/>
      </c>
      <c r="AO366" s="79">
        <f>IFERROR(IF(VLOOKUP(C366,C367:C967,1,0)=0,1,0),1)</f>
        <v>1</v>
      </c>
      <c r="AP366" s="79"/>
      <c r="AQ366" s="243" t="str">
        <f t="shared" si="64"/>
        <v/>
      </c>
      <c r="AR366" s="242" t="b">
        <f>IF(AQ366="x",EOMONTH(I366,0))</f>
        <v>0</v>
      </c>
      <c r="AS366" s="79">
        <f t="shared" si="58"/>
        <v>1</v>
      </c>
      <c r="AT366" s="79">
        <f t="shared" si="59"/>
        <v>1</v>
      </c>
      <c r="AU366" s="79" t="str">
        <f t="shared" si="60"/>
        <v>B</v>
      </c>
      <c r="AV366" s="79">
        <f t="shared" si="52"/>
        <v>1</v>
      </c>
      <c r="AW366" s="79" t="str">
        <f>J366&amp;AU366</f>
        <v>6B</v>
      </c>
      <c r="AX366" s="79">
        <f>IF(COUNTIFS(J:J,"Integral",E:E,E366,H:H,"Ativo")=4,1/4,1/10)</f>
        <v>0.1</v>
      </c>
      <c r="AY366" s="79"/>
      <c r="AZ366" s="79"/>
    </row>
    <row r="367" spans="1:52" ht="15.75" customHeight="1">
      <c r="A367" s="54">
        <v>387</v>
      </c>
      <c r="B367" s="403">
        <v>45132</v>
      </c>
      <c r="C367" s="32" t="s">
        <v>1217</v>
      </c>
      <c r="D367" s="32" t="s">
        <v>1240</v>
      </c>
      <c r="E367" s="32" t="s">
        <v>1241</v>
      </c>
      <c r="F367" s="32" t="s">
        <v>1242</v>
      </c>
      <c r="G367" s="60" t="s">
        <v>220</v>
      </c>
      <c r="H367" s="33" t="s">
        <v>90</v>
      </c>
      <c r="I367" s="34"/>
      <c r="J367" s="33">
        <v>52</v>
      </c>
      <c r="K367" s="56" t="s">
        <v>1154</v>
      </c>
      <c r="L367" s="56" t="s">
        <v>1154</v>
      </c>
      <c r="M367" s="386" t="s">
        <v>222</v>
      </c>
      <c r="N367" s="33" t="s">
        <v>68</v>
      </c>
      <c r="O367" s="33" t="s">
        <v>12</v>
      </c>
      <c r="P367" s="33" t="s">
        <v>1</v>
      </c>
      <c r="Q367" s="47"/>
      <c r="R367" s="47"/>
      <c r="S367" s="45" t="s">
        <v>163</v>
      </c>
      <c r="T367" s="45"/>
      <c r="U367" s="68">
        <v>45129</v>
      </c>
      <c r="V367" s="48">
        <f t="shared" si="54"/>
        <v>45132</v>
      </c>
      <c r="W367" s="50">
        <f>V367-U367</f>
        <v>3</v>
      </c>
      <c r="X367" s="261">
        <f>Y367*0.91</f>
        <v>273000</v>
      </c>
      <c r="Y367" s="260">
        <v>300000</v>
      </c>
      <c r="Z367" s="263">
        <v>300000</v>
      </c>
      <c r="AA367" s="35" t="s">
        <v>1150</v>
      </c>
      <c r="AB367" s="263"/>
      <c r="AC367" s="44">
        <f>ABS(X367/Y367-1)</f>
        <v>8.9999999999999969E-2</v>
      </c>
      <c r="AD367" s="62"/>
      <c r="AE367" s="41"/>
      <c r="AF367" s="42"/>
      <c r="AG367" s="40">
        <f>IF((X367*AE367)&lt;0,0,(X367*AE367))</f>
        <v>0</v>
      </c>
      <c r="AH367" s="65">
        <f t="shared" si="62"/>
        <v>0</v>
      </c>
      <c r="AI367" s="66">
        <f>AH367/X367</f>
        <v>0</v>
      </c>
      <c r="AJ367" s="66">
        <f t="shared" si="63"/>
        <v>0</v>
      </c>
      <c r="AK367" s="65">
        <f>AF367*X367</f>
        <v>0</v>
      </c>
      <c r="AL367" s="40">
        <f t="shared" si="57"/>
        <v>0</v>
      </c>
      <c r="AM367" s="242">
        <f t="shared" si="55"/>
        <v>45138</v>
      </c>
      <c r="AN367" s="242" t="str">
        <f>IF(AQ367="x","",IF(AQ367="x",AM367,IF(EOMONTH(I367,0)=31,"",EOMONTH(I367,0))))</f>
        <v/>
      </c>
      <c r="AO367" s="79">
        <f>IFERROR(IF(VLOOKUP(C367,C368:C968,1,0)=0,1,0),1)</f>
        <v>1</v>
      </c>
      <c r="AP367" s="79"/>
      <c r="AQ367" s="243" t="str">
        <f t="shared" si="64"/>
        <v/>
      </c>
      <c r="AR367" s="242" t="b">
        <f>IF(AQ367="x",EOMONTH(I367,0))</f>
        <v>0</v>
      </c>
      <c r="AS367" s="79">
        <f t="shared" si="58"/>
        <v>1</v>
      </c>
      <c r="AT367" s="79">
        <f t="shared" si="59"/>
        <v>1</v>
      </c>
      <c r="AU367" s="79" t="str">
        <f t="shared" si="60"/>
        <v>V</v>
      </c>
      <c r="AV367" s="79">
        <f t="shared" si="52"/>
        <v>1</v>
      </c>
      <c r="AW367" s="79" t="str">
        <f>J367&amp;AU367</f>
        <v>52V</v>
      </c>
      <c r="AX367" s="79">
        <f>IF(COUNTIFS(J:J,"Integral",E:E,E367,H:H,"Ativo")=4,1/4,1/10)</f>
        <v>0.1</v>
      </c>
      <c r="AY367" s="79"/>
      <c r="AZ367" s="79"/>
    </row>
    <row r="368" spans="1:52" ht="15.75" customHeight="1">
      <c r="A368" s="54">
        <v>388</v>
      </c>
      <c r="B368" s="403">
        <v>45133</v>
      </c>
      <c r="C368" s="32" t="s">
        <v>1243</v>
      </c>
      <c r="D368" s="32" t="s">
        <v>1244</v>
      </c>
      <c r="E368" s="32" t="s">
        <v>241</v>
      </c>
      <c r="F368" s="32" t="s">
        <v>1245</v>
      </c>
      <c r="G368" s="60" t="s">
        <v>220</v>
      </c>
      <c r="H368" s="33" t="s">
        <v>90</v>
      </c>
      <c r="I368" s="34"/>
      <c r="J368" s="33">
        <v>13</v>
      </c>
      <c r="K368" s="56" t="s">
        <v>1149</v>
      </c>
      <c r="L368" s="56" t="s">
        <v>1149</v>
      </c>
      <c r="M368" s="386" t="s">
        <v>222</v>
      </c>
      <c r="N368" s="33" t="s">
        <v>68</v>
      </c>
      <c r="O368" s="33" t="s">
        <v>10</v>
      </c>
      <c r="P368" s="33" t="s">
        <v>1</v>
      </c>
      <c r="Q368" s="47"/>
      <c r="R368" s="47"/>
      <c r="S368" s="45" t="s">
        <v>144</v>
      </c>
      <c r="T368" s="45"/>
      <c r="U368" s="37">
        <v>45120</v>
      </c>
      <c r="V368" s="38">
        <f t="shared" si="54"/>
        <v>45133</v>
      </c>
      <c r="W368" s="50">
        <f>V368-U368</f>
        <v>13</v>
      </c>
      <c r="X368" s="261">
        <f>Y368*0.91</f>
        <v>1161160</v>
      </c>
      <c r="Y368" s="260">
        <v>1276000</v>
      </c>
      <c r="Z368" s="263">
        <v>910000</v>
      </c>
      <c r="AA368" s="56" t="s">
        <v>1246</v>
      </c>
      <c r="AB368" s="263"/>
      <c r="AC368" s="44">
        <f>ABS(X368/Y368-1)</f>
        <v>8.9999999999999969E-2</v>
      </c>
      <c r="AD368" s="62">
        <v>6.3700000000000007E-2</v>
      </c>
      <c r="AE368" s="41">
        <f t="shared" ref="AE368:AE399" si="65">AC368-AD368</f>
        <v>2.6299999999999962E-2</v>
      </c>
      <c r="AF368" s="42"/>
      <c r="AG368" s="40">
        <f>IF((X368*AE368)&lt;0,0,(X368*AE368))</f>
        <v>30538.507999999958</v>
      </c>
      <c r="AH368" s="65">
        <f t="shared" si="62"/>
        <v>366000</v>
      </c>
      <c r="AI368" s="66">
        <f>AH368/X368</f>
        <v>0.31520203933997037</v>
      </c>
      <c r="AJ368" s="66">
        <f t="shared" si="63"/>
        <v>0.31520203933997037</v>
      </c>
      <c r="AK368" s="65">
        <f>AF368*X368</f>
        <v>0</v>
      </c>
      <c r="AL368" s="40">
        <f t="shared" si="57"/>
        <v>366000</v>
      </c>
      <c r="AM368" s="242">
        <f t="shared" si="55"/>
        <v>45138</v>
      </c>
      <c r="AN368" s="242" t="str">
        <f>IF(AQ368="x","",IF(AQ368="x",AM368,IF(EOMONTH(I368,0)=31,"",EOMONTH(I368,0))))</f>
        <v/>
      </c>
      <c r="AO368" s="79">
        <f>IFERROR(IF(VLOOKUP(C368,C369:C969,1,0)=0,1,0),1)</f>
        <v>0</v>
      </c>
      <c r="AP368" s="79"/>
      <c r="AQ368" s="243" t="str">
        <f t="shared" si="64"/>
        <v/>
      </c>
      <c r="AR368" s="242" t="b">
        <f>IF(AQ368="x",EOMONTH(I368,0))</f>
        <v>0</v>
      </c>
      <c r="AS368" s="79">
        <f t="shared" si="58"/>
        <v>1</v>
      </c>
      <c r="AT368" s="79">
        <f t="shared" si="59"/>
        <v>1</v>
      </c>
      <c r="AU368" s="79" t="str">
        <f t="shared" si="60"/>
        <v>A</v>
      </c>
      <c r="AV368" s="79">
        <f t="shared" si="52"/>
        <v>1</v>
      </c>
      <c r="AW368" s="79" t="str">
        <f>J368&amp;AU368</f>
        <v>13A</v>
      </c>
      <c r="AX368" s="79">
        <f>IF(COUNTIFS(J:J,"Integral",E:E,E368,H:H,"Ativo")=4,1/4,1/10)</f>
        <v>0.1</v>
      </c>
      <c r="AY368" s="79"/>
      <c r="AZ368" s="79"/>
    </row>
    <row r="369" spans="1:52" ht="15.75" customHeight="1">
      <c r="A369" s="54">
        <v>389</v>
      </c>
      <c r="B369" s="403">
        <v>45133</v>
      </c>
      <c r="C369" s="32" t="s">
        <v>1247</v>
      </c>
      <c r="D369" s="32" t="s">
        <v>1248</v>
      </c>
      <c r="E369" s="32" t="s">
        <v>1238</v>
      </c>
      <c r="F369" s="32" t="s">
        <v>1249</v>
      </c>
      <c r="G369" s="60" t="s">
        <v>220</v>
      </c>
      <c r="H369" s="33" t="s">
        <v>90</v>
      </c>
      <c r="I369" s="34"/>
      <c r="J369" s="33">
        <v>6</v>
      </c>
      <c r="K369" s="56" t="s">
        <v>1101</v>
      </c>
      <c r="L369" s="56" t="s">
        <v>1101</v>
      </c>
      <c r="M369" s="386" t="s">
        <v>222</v>
      </c>
      <c r="N369" s="33" t="s">
        <v>68</v>
      </c>
      <c r="O369" s="33" t="s">
        <v>11</v>
      </c>
      <c r="P369" s="33" t="s">
        <v>1</v>
      </c>
      <c r="Q369" s="47"/>
      <c r="R369" s="47"/>
      <c r="S369" s="45" t="s">
        <v>147</v>
      </c>
      <c r="T369" s="45"/>
      <c r="U369" s="37">
        <v>45133</v>
      </c>
      <c r="V369" s="38">
        <f t="shared" si="54"/>
        <v>45133</v>
      </c>
      <c r="W369" s="50">
        <f>V369-U369</f>
        <v>0</v>
      </c>
      <c r="X369" s="261">
        <f>Y369*0.91</f>
        <v>374920</v>
      </c>
      <c r="Y369" s="260">
        <v>412000</v>
      </c>
      <c r="Z369" s="263">
        <v>350000</v>
      </c>
      <c r="AA369" s="56" t="s">
        <v>1250</v>
      </c>
      <c r="AB369" s="263"/>
      <c r="AC369" s="44">
        <f>ABS(X369/Y369-1)</f>
        <v>8.9999999999999969E-2</v>
      </c>
      <c r="AD369" s="62">
        <v>4.4900000000000002E-2</v>
      </c>
      <c r="AE369" s="41">
        <f t="shared" si="65"/>
        <v>4.5099999999999967E-2</v>
      </c>
      <c r="AF369" s="42"/>
      <c r="AG369" s="40">
        <f>IF((X369*AE369)&lt;0,0,(X369*AE369))</f>
        <v>16908.891999999989</v>
      </c>
      <c r="AH369" s="65">
        <f t="shared" si="62"/>
        <v>62000</v>
      </c>
      <c r="AI369" s="66">
        <f>AH369/X369</f>
        <v>0.16536861197055372</v>
      </c>
      <c r="AJ369" s="66">
        <f t="shared" si="63"/>
        <v>0.16536861197055372</v>
      </c>
      <c r="AK369" s="65">
        <f>AF369*X369</f>
        <v>0</v>
      </c>
      <c r="AL369" s="40">
        <f t="shared" si="57"/>
        <v>62000</v>
      </c>
      <c r="AM369" s="242">
        <f t="shared" si="55"/>
        <v>45138</v>
      </c>
      <c r="AN369" s="242" t="str">
        <f>IF(AQ369="x","",IF(AQ369="x",AM369,IF(EOMONTH(I369,0)=31,"",EOMONTH(I369,0))))</f>
        <v/>
      </c>
      <c r="AO369" s="79">
        <f>IFERROR(IF(VLOOKUP(C369,C370:C970,1,0)=0,1,0),1)</f>
        <v>1</v>
      </c>
      <c r="AP369" s="79"/>
      <c r="AQ369" s="243" t="str">
        <f t="shared" si="64"/>
        <v/>
      </c>
      <c r="AR369" s="242" t="b">
        <f>IF(AQ369="x",EOMONTH(I369,0))</f>
        <v>0</v>
      </c>
      <c r="AS369" s="79">
        <f t="shared" si="58"/>
        <v>1</v>
      </c>
      <c r="AT369" s="79">
        <f t="shared" si="59"/>
        <v>1</v>
      </c>
      <c r="AU369" s="79" t="str">
        <f t="shared" si="60"/>
        <v>B</v>
      </c>
      <c r="AV369" s="79">
        <f t="shared" ref="AV369:AV432" si="66">IF(AG369&lt;0,0,1)</f>
        <v>1</v>
      </c>
      <c r="AW369" s="79" t="str">
        <f>J369&amp;AU369</f>
        <v>6B</v>
      </c>
      <c r="AX369" s="79">
        <f>IF(COUNTIFS(J:J,"Integral",E:E,E369,H:H,"Ativo")=4,1/4,1/10)</f>
        <v>0.1</v>
      </c>
      <c r="AY369" s="79"/>
      <c r="AZ369" s="79"/>
    </row>
    <row r="370" spans="1:52" ht="15.75" customHeight="1">
      <c r="A370" s="54">
        <v>390</v>
      </c>
      <c r="B370" s="403">
        <v>45136</v>
      </c>
      <c r="C370" s="32" t="s">
        <v>1251</v>
      </c>
      <c r="D370" s="32" t="s">
        <v>1233</v>
      </c>
      <c r="E370" s="32" t="s">
        <v>1208</v>
      </c>
      <c r="F370" s="32" t="s">
        <v>1252</v>
      </c>
      <c r="G370" s="60" t="s">
        <v>220</v>
      </c>
      <c r="H370" s="33" t="s">
        <v>90</v>
      </c>
      <c r="I370" s="34"/>
      <c r="J370" s="33">
        <v>6</v>
      </c>
      <c r="K370" s="56" t="s">
        <v>289</v>
      </c>
      <c r="L370" s="56" t="s">
        <v>289</v>
      </c>
      <c r="M370" s="386" t="s">
        <v>222</v>
      </c>
      <c r="N370" s="33" t="s">
        <v>68</v>
      </c>
      <c r="O370" s="33" t="s">
        <v>12</v>
      </c>
      <c r="P370" s="33" t="s">
        <v>1</v>
      </c>
      <c r="Q370" s="47"/>
      <c r="R370" s="47"/>
      <c r="S370" s="45" t="s">
        <v>147</v>
      </c>
      <c r="T370" s="45"/>
      <c r="U370" s="37">
        <v>45136</v>
      </c>
      <c r="V370" s="38">
        <f t="shared" si="54"/>
        <v>45136</v>
      </c>
      <c r="W370" s="50">
        <f>V370-U370</f>
        <v>0</v>
      </c>
      <c r="X370" s="261">
        <f>Y370*0.91</f>
        <v>346710</v>
      </c>
      <c r="Y370" s="260">
        <v>381000</v>
      </c>
      <c r="Z370" s="263">
        <v>360000</v>
      </c>
      <c r="AA370" s="56" t="s">
        <v>1205</v>
      </c>
      <c r="AB370" s="263"/>
      <c r="AC370" s="44">
        <f>ABS(X370/Y370-1)</f>
        <v>8.9999999999999969E-2</v>
      </c>
      <c r="AD370" s="62">
        <v>9.3200000000000005E-2</v>
      </c>
      <c r="AE370" s="41">
        <f t="shared" si="65"/>
        <v>-3.2000000000000361E-3</v>
      </c>
      <c r="AF370" s="42">
        <v>3.2000000000000002E-3</v>
      </c>
      <c r="AG370" s="40">
        <f>IF((X370*AE370)&lt;0,0,(X370*AE370))</f>
        <v>0</v>
      </c>
      <c r="AH370" s="65">
        <f t="shared" si="62"/>
        <v>21000</v>
      </c>
      <c r="AI370" s="66">
        <f>AH370/X370</f>
        <v>6.0569351907934582E-2</v>
      </c>
      <c r="AJ370" s="66">
        <f t="shared" si="63"/>
        <v>5.7369351907934581E-2</v>
      </c>
      <c r="AK370" s="65">
        <f>AF370*X370</f>
        <v>1109.472</v>
      </c>
      <c r="AL370" s="40">
        <f t="shared" si="57"/>
        <v>19890.527999999998</v>
      </c>
      <c r="AM370" s="242">
        <f t="shared" si="55"/>
        <v>45138</v>
      </c>
      <c r="AN370" s="242" t="str">
        <f>IF(AQ370="x","",IF(AQ370="x",AM370,IF(EOMONTH(I370,0)=31,"",EOMONTH(I370,0))))</f>
        <v/>
      </c>
      <c r="AO370" s="79">
        <f>IFERROR(IF(VLOOKUP(C370,C371:C971,1,0)=0,1,0),1)</f>
        <v>1</v>
      </c>
      <c r="AP370" s="79"/>
      <c r="AQ370" s="243" t="str">
        <f t="shared" si="64"/>
        <v/>
      </c>
      <c r="AR370" s="242" t="b">
        <f>IF(AQ370="x",EOMONTH(I370,0))</f>
        <v>0</v>
      </c>
      <c r="AS370" s="79">
        <f t="shared" si="58"/>
        <v>1</v>
      </c>
      <c r="AT370" s="79">
        <f t="shared" si="59"/>
        <v>1</v>
      </c>
      <c r="AU370" s="79" t="str">
        <f t="shared" si="60"/>
        <v>B</v>
      </c>
      <c r="AV370" s="79">
        <f t="shared" si="66"/>
        <v>1</v>
      </c>
      <c r="AW370" s="79" t="str">
        <f>J370&amp;AU370</f>
        <v>6B</v>
      </c>
      <c r="AX370" s="79">
        <f>IF(COUNTIFS(J:J,"Integral",E:E,E370,H:H,"Ativo")=4,1/4,1/10)</f>
        <v>0.1</v>
      </c>
      <c r="AY370" s="79"/>
      <c r="AZ370" s="79"/>
    </row>
    <row r="371" spans="1:52" ht="15.75" customHeight="1">
      <c r="A371" s="54">
        <v>391</v>
      </c>
      <c r="B371" s="403">
        <v>45139</v>
      </c>
      <c r="C371" s="32" t="s">
        <v>1253</v>
      </c>
      <c r="D371" s="32" t="s">
        <v>1254</v>
      </c>
      <c r="E371" s="32" t="s">
        <v>1238</v>
      </c>
      <c r="F371" s="32" t="s">
        <v>1255</v>
      </c>
      <c r="G371" s="60" t="s">
        <v>220</v>
      </c>
      <c r="H371" s="33" t="s">
        <v>90</v>
      </c>
      <c r="I371" s="34"/>
      <c r="J371" s="33">
        <v>6</v>
      </c>
      <c r="K371" s="56" t="s">
        <v>274</v>
      </c>
      <c r="L371" s="56" t="s">
        <v>274</v>
      </c>
      <c r="M371" s="386" t="s">
        <v>246</v>
      </c>
      <c r="N371" s="33" t="s">
        <v>68</v>
      </c>
      <c r="O371" s="33" t="s">
        <v>11</v>
      </c>
      <c r="P371" s="33" t="s">
        <v>1</v>
      </c>
      <c r="Q371" s="47"/>
      <c r="R371" s="47"/>
      <c r="S371" s="45" t="s">
        <v>143</v>
      </c>
      <c r="T371" s="45"/>
      <c r="U371" s="37">
        <v>45110</v>
      </c>
      <c r="V371" s="38">
        <f t="shared" si="54"/>
        <v>45139</v>
      </c>
      <c r="W371" s="50">
        <f>V371-U371</f>
        <v>29</v>
      </c>
      <c r="X371" s="261">
        <f>Y371*0.91</f>
        <v>374920</v>
      </c>
      <c r="Y371" s="260">
        <v>412000</v>
      </c>
      <c r="Z371" s="263">
        <v>326000</v>
      </c>
      <c r="AA371" s="35" t="s">
        <v>999</v>
      </c>
      <c r="AB371" s="263"/>
      <c r="AC371" s="44">
        <f>ABS(X371/Y371-1)</f>
        <v>8.9999999999999969E-2</v>
      </c>
      <c r="AD371" s="62">
        <v>2.9499999999999998E-2</v>
      </c>
      <c r="AE371" s="41">
        <f t="shared" si="65"/>
        <v>6.049999999999997E-2</v>
      </c>
      <c r="AF371" s="42"/>
      <c r="AG371" s="40">
        <f>IF((X371*AE371)&lt;0,0,(X371*AE371))</f>
        <v>22682.659999999989</v>
      </c>
      <c r="AH371" s="65">
        <f t="shared" si="62"/>
        <v>86000</v>
      </c>
      <c r="AI371" s="66">
        <f>AH371/X371</f>
        <v>0.22938226821721969</v>
      </c>
      <c r="AJ371" s="66">
        <f t="shared" si="63"/>
        <v>0.22938226821721969</v>
      </c>
      <c r="AK371" s="65">
        <f>AF371*X371</f>
        <v>0</v>
      </c>
      <c r="AL371" s="40">
        <f t="shared" si="57"/>
        <v>86000</v>
      </c>
      <c r="AM371" s="242">
        <f t="shared" si="55"/>
        <v>45169</v>
      </c>
      <c r="AN371" s="242" t="str">
        <f>IF(AQ371="x","",IF(AQ371="x",AM371,IF(EOMONTH(I371,0)=31,"",EOMONTH(I371,0))))</f>
        <v/>
      </c>
      <c r="AO371" s="79">
        <f>IFERROR(IF(VLOOKUP(C371,C372:C972,1,0)=0,1,0),1)</f>
        <v>1</v>
      </c>
      <c r="AP371" s="79"/>
      <c r="AQ371" s="243" t="str">
        <f t="shared" si="64"/>
        <v/>
      </c>
      <c r="AR371" s="242" t="b">
        <f>IF(AQ371="x",EOMONTH(I371,0))</f>
        <v>0</v>
      </c>
      <c r="AS371" s="79">
        <f t="shared" si="58"/>
        <v>1</v>
      </c>
      <c r="AT371" s="79">
        <f t="shared" si="59"/>
        <v>1</v>
      </c>
      <c r="AU371" s="79" t="str">
        <f t="shared" si="60"/>
        <v>B</v>
      </c>
      <c r="AV371" s="79">
        <f t="shared" si="66"/>
        <v>1</v>
      </c>
      <c r="AW371" s="79" t="str">
        <f>J371&amp;AU371</f>
        <v>6B</v>
      </c>
      <c r="AX371" s="79">
        <f>IF(COUNTIFS(J:J,"Integral",E:E,E371,H:H,"Ativo")=4,1/4,1/10)</f>
        <v>0.1</v>
      </c>
      <c r="AY371" s="79"/>
      <c r="AZ371" s="79" t="b">
        <v>1</v>
      </c>
    </row>
    <row r="372" spans="1:52" ht="15.75" customHeight="1">
      <c r="A372" s="54">
        <v>392</v>
      </c>
      <c r="B372" s="403">
        <v>45141</v>
      </c>
      <c r="C372" s="32" t="s">
        <v>1256</v>
      </c>
      <c r="D372" s="32" t="s">
        <v>1257</v>
      </c>
      <c r="E372" s="32" t="s">
        <v>1208</v>
      </c>
      <c r="F372" s="32" t="s">
        <v>1258</v>
      </c>
      <c r="G372" s="60" t="s">
        <v>220</v>
      </c>
      <c r="H372" s="33" t="s">
        <v>90</v>
      </c>
      <c r="I372" s="34"/>
      <c r="J372" s="33">
        <v>6</v>
      </c>
      <c r="K372" s="56" t="s">
        <v>1165</v>
      </c>
      <c r="L372" s="56" t="s">
        <v>1165</v>
      </c>
      <c r="M372" s="386" t="s">
        <v>1259</v>
      </c>
      <c r="N372" s="33" t="s">
        <v>68</v>
      </c>
      <c r="O372" s="33" t="s">
        <v>12</v>
      </c>
      <c r="P372" s="33" t="s">
        <v>2</v>
      </c>
      <c r="Q372" s="47"/>
      <c r="R372" s="47"/>
      <c r="S372" s="45" t="s">
        <v>144</v>
      </c>
      <c r="T372" s="45"/>
      <c r="U372" s="37">
        <v>45137</v>
      </c>
      <c r="V372" s="38">
        <f t="shared" si="54"/>
        <v>45141</v>
      </c>
      <c r="W372" s="50">
        <f>V372-U372</f>
        <v>4</v>
      </c>
      <c r="X372" s="261">
        <f>Y372*0.91</f>
        <v>346710</v>
      </c>
      <c r="Y372" s="260">
        <v>381000</v>
      </c>
      <c r="Z372" s="263">
        <v>339045</v>
      </c>
      <c r="AA372" s="35"/>
      <c r="AB372" s="263"/>
      <c r="AC372" s="44">
        <f>ABS(X372/Y372-1)</f>
        <v>8.9999999999999969E-2</v>
      </c>
      <c r="AD372" s="62">
        <v>7.6100000000000001E-2</v>
      </c>
      <c r="AE372" s="41">
        <f t="shared" si="65"/>
        <v>1.3899999999999968E-2</v>
      </c>
      <c r="AF372" s="42"/>
      <c r="AG372" s="40">
        <f>IF((X372*AE372)&lt;0,0,(X372*AE372))</f>
        <v>4819.2689999999893</v>
      </c>
      <c r="AH372" s="65">
        <f t="shared" si="62"/>
        <v>41955</v>
      </c>
      <c r="AI372" s="66">
        <f>AH372/X372</f>
        <v>0.12100891234749503</v>
      </c>
      <c r="AJ372" s="66">
        <f t="shared" si="63"/>
        <v>0.12100891234749503</v>
      </c>
      <c r="AK372" s="65">
        <f>AF372*X372</f>
        <v>0</v>
      </c>
      <c r="AL372" s="40">
        <f t="shared" si="57"/>
        <v>41955</v>
      </c>
      <c r="AM372" s="242">
        <f t="shared" si="55"/>
        <v>45169</v>
      </c>
      <c r="AN372" s="242" t="str">
        <f>IF(AQ372="x","",IF(AQ372="x",AM372,IF(EOMONTH(I372,0)=31,"",EOMONTH(I372,0))))</f>
        <v/>
      </c>
      <c r="AO372" s="79">
        <f>IFERROR(IF(VLOOKUP(C372,C373:C973,1,0)=0,1,0),1)</f>
        <v>1</v>
      </c>
      <c r="AP372" s="79"/>
      <c r="AQ372" s="243" t="str">
        <f t="shared" si="64"/>
        <v/>
      </c>
      <c r="AR372" s="242" t="b">
        <f>IF(AQ372="x",EOMONTH(I372,0))</f>
        <v>0</v>
      </c>
      <c r="AS372" s="79">
        <f t="shared" si="58"/>
        <v>1</v>
      </c>
      <c r="AT372" s="79">
        <f t="shared" si="59"/>
        <v>1</v>
      </c>
      <c r="AU372" s="79" t="str">
        <f t="shared" si="60"/>
        <v>B</v>
      </c>
      <c r="AV372" s="79">
        <f t="shared" si="66"/>
        <v>1</v>
      </c>
      <c r="AW372" s="79" t="str">
        <f>J372&amp;AU372</f>
        <v>6B</v>
      </c>
      <c r="AX372" s="79">
        <f>IF(COUNTIFS(J:J,"Integral",E:E,E372,H:H,"Ativo")=4,1/4,1/10)</f>
        <v>0.1</v>
      </c>
      <c r="AY372" s="79"/>
      <c r="AZ372" s="79" t="b">
        <v>1</v>
      </c>
    </row>
    <row r="373" spans="1:52" ht="15.75" customHeight="1">
      <c r="A373" s="54">
        <v>393</v>
      </c>
      <c r="B373" s="403">
        <v>45141</v>
      </c>
      <c r="C373" s="32" t="s">
        <v>1260</v>
      </c>
      <c r="D373" s="32" t="s">
        <v>1261</v>
      </c>
      <c r="E373" s="32" t="s">
        <v>1144</v>
      </c>
      <c r="F373" s="32" t="s">
        <v>1262</v>
      </c>
      <c r="G373" s="60" t="s">
        <v>220</v>
      </c>
      <c r="H373" s="33" t="s">
        <v>90</v>
      </c>
      <c r="I373" s="34"/>
      <c r="J373" s="33">
        <v>6</v>
      </c>
      <c r="K373" s="35" t="s">
        <v>977</v>
      </c>
      <c r="L373" s="56" t="s">
        <v>977</v>
      </c>
      <c r="M373" s="386" t="s">
        <v>1259</v>
      </c>
      <c r="N373" s="33" t="s">
        <v>68</v>
      </c>
      <c r="O373" s="33" t="s">
        <v>12</v>
      </c>
      <c r="P373" s="33" t="s">
        <v>2</v>
      </c>
      <c r="Q373" s="47"/>
      <c r="R373" s="47"/>
      <c r="S373" s="45" t="s">
        <v>145</v>
      </c>
      <c r="T373" s="45"/>
      <c r="U373" s="37">
        <v>45141</v>
      </c>
      <c r="V373" s="38">
        <f t="shared" si="54"/>
        <v>45141</v>
      </c>
      <c r="W373" s="50">
        <f>V373-U373</f>
        <v>0</v>
      </c>
      <c r="X373" s="261">
        <f>Y373*0.91</f>
        <v>404950</v>
      </c>
      <c r="Y373" s="260">
        <v>445000</v>
      </c>
      <c r="Z373" s="263">
        <v>410000</v>
      </c>
      <c r="AA373" s="35"/>
      <c r="AB373" s="263"/>
      <c r="AC373" s="44">
        <f>ABS(X373/Y373-1)</f>
        <v>8.9999999999999969E-2</v>
      </c>
      <c r="AD373" s="62">
        <v>2.9700000000000001E-2</v>
      </c>
      <c r="AE373" s="41">
        <f t="shared" si="65"/>
        <v>6.0299999999999965E-2</v>
      </c>
      <c r="AF373" s="42"/>
      <c r="AG373" s="40">
        <f>IF((X373*AE373)&lt;0,0,(X373*AE373))</f>
        <v>24418.484999999986</v>
      </c>
      <c r="AH373" s="65">
        <f t="shared" si="62"/>
        <v>35000</v>
      </c>
      <c r="AI373" s="66">
        <f>AH373/X373</f>
        <v>8.6430423509075191E-2</v>
      </c>
      <c r="AJ373" s="66">
        <f t="shared" si="63"/>
        <v>8.6430423509075191E-2</v>
      </c>
      <c r="AK373" s="65">
        <f>AF373*X373</f>
        <v>0</v>
      </c>
      <c r="AL373" s="40">
        <f t="shared" si="57"/>
        <v>35000</v>
      </c>
      <c r="AM373" s="242">
        <f t="shared" si="55"/>
        <v>45169</v>
      </c>
      <c r="AN373" s="242" t="str">
        <f>IF(AQ373="x","",IF(AQ373="x",AM373,IF(EOMONTH(I373,0)=31,"",EOMONTH(I373,0))))</f>
        <v/>
      </c>
      <c r="AO373" s="79">
        <f>IFERROR(IF(VLOOKUP(C373,C374:C974,1,0)=0,1,0),1)</f>
        <v>1</v>
      </c>
      <c r="AP373" s="79"/>
      <c r="AQ373" s="243" t="str">
        <f t="shared" si="64"/>
        <v/>
      </c>
      <c r="AR373" s="242" t="b">
        <f>IF(AQ373="x",EOMONTH(I373,0))</f>
        <v>0</v>
      </c>
      <c r="AS373" s="79">
        <f t="shared" si="58"/>
        <v>1</v>
      </c>
      <c r="AT373" s="79">
        <f t="shared" si="59"/>
        <v>1</v>
      </c>
      <c r="AU373" s="79" t="str">
        <f t="shared" si="60"/>
        <v>B</v>
      </c>
      <c r="AV373" s="79">
        <f t="shared" si="66"/>
        <v>1</v>
      </c>
      <c r="AW373" s="79" t="str">
        <f>J373&amp;AU373</f>
        <v>6B</v>
      </c>
      <c r="AX373" s="79">
        <f>IF(COUNTIFS(J:J,"Integral",E:E,E373,H:H,"Ativo")=4,1/4,1/10)</f>
        <v>0.1</v>
      </c>
      <c r="AY373" s="79"/>
      <c r="AZ373" s="79" t="b">
        <v>1</v>
      </c>
    </row>
    <row r="374" spans="1:52" ht="15.75" customHeight="1">
      <c r="A374" s="54">
        <v>394</v>
      </c>
      <c r="B374" s="403">
        <v>45142</v>
      </c>
      <c r="C374" s="32" t="s">
        <v>1263</v>
      </c>
      <c r="D374" s="32" t="s">
        <v>1147</v>
      </c>
      <c r="E374" s="32" t="s">
        <v>1144</v>
      </c>
      <c r="F374" s="32" t="s">
        <v>1264</v>
      </c>
      <c r="G374" s="60" t="s">
        <v>220</v>
      </c>
      <c r="H374" s="33" t="s">
        <v>90</v>
      </c>
      <c r="I374" s="34"/>
      <c r="J374" s="33">
        <v>6</v>
      </c>
      <c r="K374" s="35" t="s">
        <v>981</v>
      </c>
      <c r="L374" s="56" t="s">
        <v>981</v>
      </c>
      <c r="M374" s="386" t="s">
        <v>1259</v>
      </c>
      <c r="N374" s="33" t="s">
        <v>68</v>
      </c>
      <c r="O374" s="33" t="s">
        <v>10</v>
      </c>
      <c r="P374" s="33" t="s">
        <v>2</v>
      </c>
      <c r="Q374" s="47"/>
      <c r="R374" s="47"/>
      <c r="S374" s="45" t="s">
        <v>143</v>
      </c>
      <c r="T374" s="45"/>
      <c r="U374" s="37">
        <v>45085</v>
      </c>
      <c r="V374" s="38">
        <f t="shared" si="54"/>
        <v>45142</v>
      </c>
      <c r="W374" s="50">
        <f>V374-U374</f>
        <v>57</v>
      </c>
      <c r="X374" s="261">
        <f>Y374*0.91</f>
        <v>404950</v>
      </c>
      <c r="Y374" s="260">
        <v>445000</v>
      </c>
      <c r="Z374" s="263">
        <v>329000</v>
      </c>
      <c r="AA374" s="35"/>
      <c r="AB374" s="263"/>
      <c r="AC374" s="44">
        <f>ABS(X374/Y374-1)</f>
        <v>8.9999999999999969E-2</v>
      </c>
      <c r="AD374" s="62">
        <v>4.2900000000000001E-2</v>
      </c>
      <c r="AE374" s="41">
        <f t="shared" si="65"/>
        <v>4.7099999999999968E-2</v>
      </c>
      <c r="AF374" s="42"/>
      <c r="AG374" s="40">
        <f>IF((X374*AE374)&lt;0,0,(X374*AE374))</f>
        <v>19073.144999999986</v>
      </c>
      <c r="AH374" s="65">
        <f t="shared" si="62"/>
        <v>116000</v>
      </c>
      <c r="AI374" s="66">
        <f>AH374/X374</f>
        <v>0.28645511791579209</v>
      </c>
      <c r="AJ374" s="66">
        <f t="shared" si="63"/>
        <v>0.28645511791579209</v>
      </c>
      <c r="AK374" s="65">
        <f>AF374*X374</f>
        <v>0</v>
      </c>
      <c r="AL374" s="40">
        <f t="shared" si="57"/>
        <v>116000</v>
      </c>
      <c r="AM374" s="242">
        <f t="shared" si="55"/>
        <v>45169</v>
      </c>
      <c r="AN374" s="242" t="str">
        <f>IF(AQ374="x","",IF(AQ374="x",AM374,IF(EOMONTH(I374,0)=31,"",EOMONTH(I374,0))))</f>
        <v/>
      </c>
      <c r="AO374" s="79">
        <f>IFERROR(IF(VLOOKUP(C374,C375:C975,1,0)=0,1,0),1)</f>
        <v>1</v>
      </c>
      <c r="AP374" s="79"/>
      <c r="AQ374" s="243" t="str">
        <f t="shared" si="64"/>
        <v/>
      </c>
      <c r="AR374" s="242" t="b">
        <f>IF(AQ374="x",EOMONTH(I374,0))</f>
        <v>0</v>
      </c>
      <c r="AS374" s="79">
        <f t="shared" si="58"/>
        <v>1</v>
      </c>
      <c r="AT374" s="79">
        <f t="shared" si="59"/>
        <v>1</v>
      </c>
      <c r="AU374" s="79" t="str">
        <f t="shared" si="60"/>
        <v>B</v>
      </c>
      <c r="AV374" s="79">
        <f t="shared" si="66"/>
        <v>1</v>
      </c>
      <c r="AW374" s="79" t="str">
        <f>J374&amp;AU374</f>
        <v>6B</v>
      </c>
      <c r="AX374" s="79">
        <f>IF(COUNTIFS(J:J,"Integral",E:E,E374,H:H,"Ativo")=4,1/4,1/10)</f>
        <v>0.1</v>
      </c>
      <c r="AY374" s="79"/>
      <c r="AZ374" s="79" t="b">
        <v>1</v>
      </c>
    </row>
    <row r="375" spans="1:52" ht="12" customHeight="1">
      <c r="A375" s="54">
        <v>395</v>
      </c>
      <c r="B375" s="403">
        <v>45143</v>
      </c>
      <c r="C375" s="32" t="s">
        <v>1055</v>
      </c>
      <c r="D375" s="32" t="s">
        <v>813</v>
      </c>
      <c r="E375" s="32" t="s">
        <v>811</v>
      </c>
      <c r="F375" s="32" t="s">
        <v>1265</v>
      </c>
      <c r="G375" s="60" t="s">
        <v>220</v>
      </c>
      <c r="H375" s="33" t="s">
        <v>90</v>
      </c>
      <c r="I375" s="34"/>
      <c r="J375" s="33">
        <v>13</v>
      </c>
      <c r="K375" s="35" t="s">
        <v>289</v>
      </c>
      <c r="L375" s="56" t="s">
        <v>289</v>
      </c>
      <c r="M375" s="386" t="s">
        <v>246</v>
      </c>
      <c r="N375" s="33" t="s">
        <v>68</v>
      </c>
      <c r="O375" s="33" t="s">
        <v>11</v>
      </c>
      <c r="P375" s="33" t="s">
        <v>1</v>
      </c>
      <c r="Q375" s="47"/>
      <c r="R375" s="47"/>
      <c r="S375" s="45" t="s">
        <v>143</v>
      </c>
      <c r="T375" s="45"/>
      <c r="U375" s="37">
        <v>45068</v>
      </c>
      <c r="V375" s="38">
        <f t="shared" si="54"/>
        <v>45143</v>
      </c>
      <c r="W375" s="50">
        <f>V375-U375</f>
        <v>75</v>
      </c>
      <c r="X375" s="261">
        <f>Y375*0.91</f>
        <v>1620710</v>
      </c>
      <c r="Y375" s="260">
        <v>1781000</v>
      </c>
      <c r="Z375" s="263">
        <v>1404490</v>
      </c>
      <c r="AA375" s="35"/>
      <c r="AB375" s="263"/>
      <c r="AC375" s="44">
        <f>ABS(X375/Y375-1)</f>
        <v>8.9999999999999969E-2</v>
      </c>
      <c r="AD375" s="62">
        <v>2.6200000000000001E-2</v>
      </c>
      <c r="AE375" s="41">
        <f t="shared" si="65"/>
        <v>6.3799999999999968E-2</v>
      </c>
      <c r="AF375" s="42"/>
      <c r="AG375" s="40">
        <f>IF((X375*AE375)&lt;0,0,(X375*AE375))</f>
        <v>103401.29799999995</v>
      </c>
      <c r="AH375" s="65">
        <f t="shared" si="62"/>
        <v>376510</v>
      </c>
      <c r="AI375" s="66">
        <f>AH375/X375</f>
        <v>0.23231176459699762</v>
      </c>
      <c r="AJ375" s="66">
        <f t="shared" si="63"/>
        <v>0.23231176459699762</v>
      </c>
      <c r="AK375" s="65">
        <f>AF375*X375</f>
        <v>0</v>
      </c>
      <c r="AL375" s="40">
        <f t="shared" si="57"/>
        <v>376510</v>
      </c>
      <c r="AM375" s="242">
        <f t="shared" si="55"/>
        <v>45169</v>
      </c>
      <c r="AN375" s="242" t="str">
        <f>IF(AQ375="x","",IF(AQ375="x",AM375,IF(EOMONTH(I375,0)=31,"",EOMONTH(I375,0))))</f>
        <v/>
      </c>
      <c r="AO375" s="350">
        <v>1</v>
      </c>
      <c r="AP375" s="350"/>
      <c r="AQ375" s="243" t="str">
        <f t="shared" si="64"/>
        <v/>
      </c>
      <c r="AR375" s="242" t="b">
        <f>IF(AQ375="x",EOMONTH(I375,0))</f>
        <v>0</v>
      </c>
      <c r="AS375" s="79">
        <f t="shared" si="58"/>
        <v>1</v>
      </c>
      <c r="AT375" s="79">
        <f t="shared" si="59"/>
        <v>1</v>
      </c>
      <c r="AU375" s="79" t="str">
        <f t="shared" si="60"/>
        <v>A</v>
      </c>
      <c r="AV375" s="79">
        <f t="shared" si="66"/>
        <v>1</v>
      </c>
      <c r="AW375" s="79" t="str">
        <f>J375&amp;AU375</f>
        <v>13A</v>
      </c>
      <c r="AX375" s="79">
        <f>IF(COUNTIFS(J:J,"Integral",E:E,E375,H:H,"Ativo")=4,1/4,1/10)</f>
        <v>0.1</v>
      </c>
      <c r="AY375" s="79"/>
      <c r="AZ375" s="79" t="b">
        <v>1</v>
      </c>
    </row>
    <row r="376" spans="1:52" ht="15.75" customHeight="1">
      <c r="A376" s="54">
        <v>396</v>
      </c>
      <c r="B376" s="403">
        <v>45144</v>
      </c>
      <c r="C376" s="32" t="s">
        <v>1266</v>
      </c>
      <c r="D376" s="32" t="s">
        <v>1267</v>
      </c>
      <c r="E376" s="32" t="s">
        <v>1268</v>
      </c>
      <c r="F376" s="32" t="s">
        <v>1269</v>
      </c>
      <c r="G376" s="60" t="s">
        <v>220</v>
      </c>
      <c r="H376" s="33" t="s">
        <v>90</v>
      </c>
      <c r="I376" s="34"/>
      <c r="J376" s="33">
        <v>6</v>
      </c>
      <c r="K376" s="35" t="s">
        <v>977</v>
      </c>
      <c r="L376" s="35" t="s">
        <v>977</v>
      </c>
      <c r="M376" s="386" t="s">
        <v>1259</v>
      </c>
      <c r="N376" s="33" t="s">
        <v>68</v>
      </c>
      <c r="O376" s="33" t="s">
        <v>12</v>
      </c>
      <c r="P376" s="33" t="s">
        <v>2</v>
      </c>
      <c r="Q376" s="47"/>
      <c r="R376" s="47"/>
      <c r="S376" s="45" t="s">
        <v>145</v>
      </c>
      <c r="T376" s="45"/>
      <c r="U376" s="37">
        <v>45089</v>
      </c>
      <c r="V376" s="38">
        <f t="shared" si="54"/>
        <v>45144</v>
      </c>
      <c r="W376" s="50">
        <f>V376-U376</f>
        <v>55</v>
      </c>
      <c r="X376" s="261">
        <f>Y376*0.91</f>
        <v>409500</v>
      </c>
      <c r="Y376" s="260">
        <v>450000</v>
      </c>
      <c r="Z376" s="263">
        <v>442999</v>
      </c>
      <c r="AA376" s="35"/>
      <c r="AB376" s="263"/>
      <c r="AC376" s="44">
        <f>ABS(X376/Y376-1)</f>
        <v>8.9999999999999969E-2</v>
      </c>
      <c r="AD376" s="62">
        <v>1.8200000000000001E-2</v>
      </c>
      <c r="AE376" s="41">
        <f t="shared" si="65"/>
        <v>7.1799999999999975E-2</v>
      </c>
      <c r="AF376" s="42"/>
      <c r="AG376" s="40">
        <f>IF((X376*AE376)&lt;0,0,(X376*AE376))</f>
        <v>29402.099999999991</v>
      </c>
      <c r="AH376" s="65">
        <f t="shared" si="62"/>
        <v>7001</v>
      </c>
      <c r="AI376" s="66">
        <f>AH376/X376</f>
        <v>1.7096459096459096E-2</v>
      </c>
      <c r="AJ376" s="66">
        <f t="shared" si="63"/>
        <v>1.7096459096459096E-2</v>
      </c>
      <c r="AK376" s="65">
        <f>AF376*X376</f>
        <v>0</v>
      </c>
      <c r="AL376" s="40">
        <f t="shared" si="57"/>
        <v>7001</v>
      </c>
      <c r="AM376" s="242">
        <f t="shared" si="55"/>
        <v>45169</v>
      </c>
      <c r="AN376" s="242" t="str">
        <f>IF(AQ376="x","",IF(AQ376="x",AM376,IF(EOMONTH(I376,0)=31,"",EOMONTH(I376,0))))</f>
        <v/>
      </c>
      <c r="AO376" s="79">
        <f>IFERROR(IF(VLOOKUP(C376,C377:C977,1,0)=0,1,0),1)</f>
        <v>1</v>
      </c>
      <c r="AP376" s="79"/>
      <c r="AQ376" s="243" t="str">
        <f t="shared" si="64"/>
        <v/>
      </c>
      <c r="AR376" s="242" t="b">
        <f>IF(AQ376="x",EOMONTH(I376,0))</f>
        <v>0</v>
      </c>
      <c r="AS376" s="79">
        <f t="shared" si="58"/>
        <v>1</v>
      </c>
      <c r="AT376" s="79">
        <f t="shared" si="59"/>
        <v>1</v>
      </c>
      <c r="AU376" s="79" t="str">
        <f t="shared" si="60"/>
        <v>B</v>
      </c>
      <c r="AV376" s="79">
        <f t="shared" si="66"/>
        <v>1</v>
      </c>
      <c r="AW376" s="79" t="str">
        <f>J376&amp;AU376</f>
        <v>6B</v>
      </c>
      <c r="AX376" s="79">
        <f>IF(COUNTIFS(J:J,"Integral",E:E,E376,H:H,"Ativo")=4,1/4,1/10)</f>
        <v>0.1</v>
      </c>
      <c r="AY376" s="79"/>
      <c r="AZ376" s="79" t="b">
        <v>1</v>
      </c>
    </row>
    <row r="377" spans="1:52" ht="15.75" customHeight="1">
      <c r="A377" s="54">
        <v>397</v>
      </c>
      <c r="B377" s="401">
        <v>45148</v>
      </c>
      <c r="C377" s="32" t="s">
        <v>1270</v>
      </c>
      <c r="D377" s="32" t="s">
        <v>1271</v>
      </c>
      <c r="E377" s="32" t="s">
        <v>1238</v>
      </c>
      <c r="F377" s="32" t="s">
        <v>1272</v>
      </c>
      <c r="G377" s="60" t="s">
        <v>220</v>
      </c>
      <c r="H377" s="33" t="s">
        <v>90</v>
      </c>
      <c r="I377" s="34"/>
      <c r="J377" s="33">
        <v>6</v>
      </c>
      <c r="K377" s="35" t="s">
        <v>1101</v>
      </c>
      <c r="L377" s="35" t="s">
        <v>1101</v>
      </c>
      <c r="M377" s="386" t="s">
        <v>1259</v>
      </c>
      <c r="N377" s="33" t="s">
        <v>68</v>
      </c>
      <c r="O377" s="33" t="s">
        <v>12</v>
      </c>
      <c r="P377" s="33" t="s">
        <v>1</v>
      </c>
      <c r="Q377" s="47"/>
      <c r="R377" s="47"/>
      <c r="S377" s="45" t="s">
        <v>147</v>
      </c>
      <c r="T377" s="45"/>
      <c r="U377" s="68">
        <v>45142</v>
      </c>
      <c r="V377" s="48">
        <f t="shared" si="54"/>
        <v>45148</v>
      </c>
      <c r="W377" s="50">
        <f>V377-U377</f>
        <v>6</v>
      </c>
      <c r="X377" s="261">
        <f>Y377*0.91</f>
        <v>374920</v>
      </c>
      <c r="Y377" s="260">
        <v>412000</v>
      </c>
      <c r="Z377" s="263">
        <v>412000</v>
      </c>
      <c r="AA377" s="35" t="s">
        <v>1210</v>
      </c>
      <c r="AB377" s="263"/>
      <c r="AC377" s="44">
        <f>ABS(X377/Y377-1)</f>
        <v>8.9999999999999969E-2</v>
      </c>
      <c r="AD377" s="62">
        <v>-3.1899999999999998E-2</v>
      </c>
      <c r="AE377" s="41">
        <f t="shared" si="65"/>
        <v>0.12189999999999997</v>
      </c>
      <c r="AF377" s="42"/>
      <c r="AG377" s="40">
        <f>IF((X377*AE377)&lt;0,0,(X377*AE377))</f>
        <v>45702.747999999985</v>
      </c>
      <c r="AH377" s="65">
        <f t="shared" si="62"/>
        <v>0</v>
      </c>
      <c r="AI377" s="66">
        <f>AH377/X377</f>
        <v>0</v>
      </c>
      <c r="AJ377" s="66">
        <f t="shared" si="63"/>
        <v>0</v>
      </c>
      <c r="AK377" s="65">
        <f>AF377*X377</f>
        <v>0</v>
      </c>
      <c r="AL377" s="40">
        <f t="shared" si="57"/>
        <v>0</v>
      </c>
      <c r="AM377" s="242">
        <f t="shared" si="55"/>
        <v>45169</v>
      </c>
      <c r="AN377" s="242" t="str">
        <f>IF(AQ377="x","",IF(AQ377="x",AM377,IF(EOMONTH(I377,0)=31,"",EOMONTH(I377,0))))</f>
        <v/>
      </c>
      <c r="AO377" s="79">
        <f>IFERROR(IF(VLOOKUP(C377,C378:C978,1,0)=0,1,0),1)</f>
        <v>1</v>
      </c>
      <c r="AP377" s="79"/>
      <c r="AQ377" s="243" t="str">
        <f t="shared" si="64"/>
        <v/>
      </c>
      <c r="AR377" s="242" t="b">
        <f>IF(AQ377="x",EOMONTH(I377,0))</f>
        <v>0</v>
      </c>
      <c r="AS377" s="79">
        <f t="shared" si="58"/>
        <v>1</v>
      </c>
      <c r="AT377" s="79">
        <f t="shared" si="59"/>
        <v>1</v>
      </c>
      <c r="AU377" s="79" t="str">
        <f t="shared" si="60"/>
        <v>B</v>
      </c>
      <c r="AV377" s="79">
        <f t="shared" si="66"/>
        <v>1</v>
      </c>
      <c r="AW377" s="79" t="str">
        <f>J377&amp;AU377</f>
        <v>6B</v>
      </c>
      <c r="AX377" s="79">
        <f>IF(COUNTIFS(J:J,"Integral",E:E,E377,H:H,"Ativo")=4,1/4,1/10)</f>
        <v>0.1</v>
      </c>
      <c r="AY377" s="79"/>
      <c r="AZ377" s="79" t="b">
        <v>1</v>
      </c>
    </row>
    <row r="378" spans="1:52" ht="15.75" customHeight="1">
      <c r="A378" s="54">
        <v>398</v>
      </c>
      <c r="B378" s="401">
        <v>45149</v>
      </c>
      <c r="C378" s="32" t="s">
        <v>1273</v>
      </c>
      <c r="D378" s="32" t="s">
        <v>1274</v>
      </c>
      <c r="E378" s="32" t="s">
        <v>1208</v>
      </c>
      <c r="F378" s="32" t="s">
        <v>1275</v>
      </c>
      <c r="G378" s="60" t="s">
        <v>220</v>
      </c>
      <c r="H378" s="33" t="s">
        <v>90</v>
      </c>
      <c r="I378" s="34"/>
      <c r="J378" s="33">
        <v>6</v>
      </c>
      <c r="K378" s="35" t="s">
        <v>1094</v>
      </c>
      <c r="L378" s="35" t="s">
        <v>1094</v>
      </c>
      <c r="M378" s="386" t="s">
        <v>246</v>
      </c>
      <c r="N378" s="33" t="s">
        <v>68</v>
      </c>
      <c r="O378" s="33" t="s">
        <v>12</v>
      </c>
      <c r="P378" s="33" t="s">
        <v>1</v>
      </c>
      <c r="Q378" s="47"/>
      <c r="R378" s="47"/>
      <c r="S378" s="45" t="s">
        <v>144</v>
      </c>
      <c r="T378" s="45"/>
      <c r="U378" s="37">
        <v>45149</v>
      </c>
      <c r="V378" s="38">
        <f t="shared" si="54"/>
        <v>45149</v>
      </c>
      <c r="W378" s="50">
        <f>V378-U378</f>
        <v>0</v>
      </c>
      <c r="X378" s="261">
        <f>Y378*0.91</f>
        <v>346710</v>
      </c>
      <c r="Y378" s="260">
        <v>381000</v>
      </c>
      <c r="Z378" s="263">
        <v>381650</v>
      </c>
      <c r="AA378" s="35" t="s">
        <v>1027</v>
      </c>
      <c r="AB378" s="263"/>
      <c r="AC378" s="44">
        <f>ABS(X378/Y378-1)</f>
        <v>8.9999999999999969E-2</v>
      </c>
      <c r="AD378" s="62">
        <v>2.52E-2</v>
      </c>
      <c r="AE378" s="41">
        <f t="shared" si="65"/>
        <v>6.4799999999999969E-2</v>
      </c>
      <c r="AF378" s="42"/>
      <c r="AG378" s="40">
        <f>IF((X378*AE378)&lt;0,0,(X378*AE378))</f>
        <v>22466.80799999999</v>
      </c>
      <c r="AH378" s="65">
        <f t="shared" si="62"/>
        <v>-650</v>
      </c>
      <c r="AI378" s="66">
        <f>AH378/X378</f>
        <v>-1.8747656542932134E-3</v>
      </c>
      <c r="AJ378" s="66">
        <f t="shared" si="63"/>
        <v>-1.8747656542932134E-3</v>
      </c>
      <c r="AK378" s="65">
        <f>AF378*X378</f>
        <v>0</v>
      </c>
      <c r="AL378" s="40">
        <f t="shared" si="57"/>
        <v>-650</v>
      </c>
      <c r="AM378" s="242">
        <f t="shared" si="55"/>
        <v>45169</v>
      </c>
      <c r="AN378" s="242" t="str">
        <f>IF(AQ378="x","",IF(AQ378="x",AM378,IF(EOMONTH(I378,0)=31,"",EOMONTH(I378,0))))</f>
        <v/>
      </c>
      <c r="AO378" s="79">
        <f>IFERROR(IF(VLOOKUP(C378,C379:C979,1,0)=0,1,0),1)</f>
        <v>1</v>
      </c>
      <c r="AP378" s="79"/>
      <c r="AQ378" s="243" t="str">
        <f t="shared" si="64"/>
        <v/>
      </c>
      <c r="AR378" s="242" t="b">
        <f>IF(AQ378="x",EOMONTH(I378,0))</f>
        <v>0</v>
      </c>
      <c r="AS378" s="79">
        <f t="shared" si="58"/>
        <v>0</v>
      </c>
      <c r="AT378" s="79">
        <f t="shared" si="59"/>
        <v>0</v>
      </c>
      <c r="AU378" s="79" t="str">
        <f t="shared" si="60"/>
        <v>B</v>
      </c>
      <c r="AV378" s="79">
        <f t="shared" si="66"/>
        <v>1</v>
      </c>
      <c r="AW378" s="79" t="str">
        <f>J378&amp;AU378</f>
        <v>6B</v>
      </c>
      <c r="AX378" s="79">
        <f>IF(COUNTIFS(J:J,"Integral",E:E,E378,H:H,"Ativo")=4,1/4,1/10)</f>
        <v>0.1</v>
      </c>
      <c r="AY378" s="79"/>
      <c r="AZ378" s="79" t="b">
        <v>1</v>
      </c>
    </row>
    <row r="379" spans="1:52" ht="15.75" customHeight="1">
      <c r="A379" s="54">
        <v>399</v>
      </c>
      <c r="B379" s="401">
        <v>45150</v>
      </c>
      <c r="C379" s="32" t="s">
        <v>1276</v>
      </c>
      <c r="D379" s="32" t="s">
        <v>1277</v>
      </c>
      <c r="E379" s="32" t="s">
        <v>1278</v>
      </c>
      <c r="F379" s="32" t="s">
        <v>1279</v>
      </c>
      <c r="G379" s="60" t="s">
        <v>220</v>
      </c>
      <c r="H379" s="33" t="s">
        <v>90</v>
      </c>
      <c r="I379" s="34"/>
      <c r="J379" s="33">
        <v>6</v>
      </c>
      <c r="K379" s="35" t="s">
        <v>1154</v>
      </c>
      <c r="L379" s="35" t="s">
        <v>1154</v>
      </c>
      <c r="M379" s="386" t="s">
        <v>246</v>
      </c>
      <c r="N379" s="33" t="s">
        <v>68</v>
      </c>
      <c r="O379" s="33" t="s">
        <v>12</v>
      </c>
      <c r="P379" s="33" t="s">
        <v>1</v>
      </c>
      <c r="Q379" s="47"/>
      <c r="R379" s="47"/>
      <c r="S379" s="45" t="s">
        <v>163</v>
      </c>
      <c r="T379" s="45"/>
      <c r="U379" s="37">
        <v>45150</v>
      </c>
      <c r="V379" s="38">
        <f t="shared" si="54"/>
        <v>45150</v>
      </c>
      <c r="W379" s="50">
        <f>V379-U379</f>
        <v>0</v>
      </c>
      <c r="X379" s="261">
        <f>Y379*0.91</f>
        <v>353080</v>
      </c>
      <c r="Y379" s="260">
        <v>388000</v>
      </c>
      <c r="Z379" s="263">
        <v>381000.1</v>
      </c>
      <c r="AA379" s="56" t="s">
        <v>1250</v>
      </c>
      <c r="AB379" s="263"/>
      <c r="AC379" s="44">
        <f>ABS(X379/Y379-1)</f>
        <v>8.9999999999999969E-2</v>
      </c>
      <c r="AD379" s="62">
        <v>1.9099999999999999E-2</v>
      </c>
      <c r="AE379" s="41">
        <f t="shared" si="65"/>
        <v>7.0899999999999963E-2</v>
      </c>
      <c r="AF379" s="42"/>
      <c r="AG379" s="40">
        <f>IF((X379*AE379)&lt;0,0,(X379*AE379))</f>
        <v>25033.371999999988</v>
      </c>
      <c r="AH379" s="65">
        <f t="shared" si="62"/>
        <v>6999.9000000000233</v>
      </c>
      <c r="AI379" s="66">
        <f>AH379/X379</f>
        <v>1.9825252067520175E-2</v>
      </c>
      <c r="AJ379" s="66">
        <f t="shared" si="63"/>
        <v>1.9825252067520175E-2</v>
      </c>
      <c r="AK379" s="65">
        <f>AF379*X379</f>
        <v>0</v>
      </c>
      <c r="AL379" s="40">
        <f t="shared" si="57"/>
        <v>6999.9000000000233</v>
      </c>
      <c r="AM379" s="242">
        <f t="shared" si="55"/>
        <v>45169</v>
      </c>
      <c r="AN379" s="242" t="str">
        <f>IF(AQ379="x","",IF(AQ379="x",AM379,IF(EOMONTH(I379,0)=31,"",EOMONTH(I379,0))))</f>
        <v/>
      </c>
      <c r="AO379" s="79">
        <f>IFERROR(IF(VLOOKUP(C379,C380:C980,1,0)=0,1,0),1)</f>
        <v>0</v>
      </c>
      <c r="AP379" s="79"/>
      <c r="AQ379" s="243" t="str">
        <f t="shared" si="64"/>
        <v/>
      </c>
      <c r="AR379" s="242" t="b">
        <f>IF(AQ379="x",EOMONTH(I379,0))</f>
        <v>0</v>
      </c>
      <c r="AS379" s="79">
        <f t="shared" si="58"/>
        <v>1</v>
      </c>
      <c r="AT379" s="79">
        <f t="shared" si="59"/>
        <v>1</v>
      </c>
      <c r="AU379" s="79" t="str">
        <f t="shared" si="60"/>
        <v>B</v>
      </c>
      <c r="AV379" s="79">
        <f t="shared" si="66"/>
        <v>1</v>
      </c>
      <c r="AW379" s="79" t="str">
        <f>J379&amp;AU379</f>
        <v>6B</v>
      </c>
      <c r="AX379" s="79">
        <f>IF(COUNTIFS(J:J,"Integral",E:E,E379,H:H,"Ativo")=4,1/4,1/10)</f>
        <v>0.1</v>
      </c>
      <c r="AY379" s="79"/>
      <c r="AZ379" s="79" t="b">
        <v>1</v>
      </c>
    </row>
    <row r="380" spans="1:52" ht="15.75" customHeight="1">
      <c r="A380" s="54">
        <v>400</v>
      </c>
      <c r="B380" s="403">
        <v>45156</v>
      </c>
      <c r="C380" s="32" t="s">
        <v>1280</v>
      </c>
      <c r="D380" s="32" t="s">
        <v>1281</v>
      </c>
      <c r="E380" s="32" t="s">
        <v>1238</v>
      </c>
      <c r="F380" s="32" t="s">
        <v>1282</v>
      </c>
      <c r="G380" s="59" t="s">
        <v>220</v>
      </c>
      <c r="H380" s="33" t="s">
        <v>90</v>
      </c>
      <c r="I380" s="34"/>
      <c r="J380" s="33">
        <v>6</v>
      </c>
      <c r="K380" s="35" t="s">
        <v>237</v>
      </c>
      <c r="L380" s="35" t="s">
        <v>237</v>
      </c>
      <c r="M380" s="386" t="s">
        <v>246</v>
      </c>
      <c r="N380" s="33" t="s">
        <v>68</v>
      </c>
      <c r="O380" s="33" t="s">
        <v>12</v>
      </c>
      <c r="P380" s="33" t="s">
        <v>2</v>
      </c>
      <c r="Q380" s="47"/>
      <c r="R380" s="47"/>
      <c r="S380" s="45" t="s">
        <v>147</v>
      </c>
      <c r="T380" s="45"/>
      <c r="U380" s="37">
        <v>45107</v>
      </c>
      <c r="V380" s="38">
        <f t="shared" si="54"/>
        <v>45156</v>
      </c>
      <c r="W380" s="50">
        <f>V380-U380</f>
        <v>49</v>
      </c>
      <c r="X380" s="261">
        <f>Y380*0.91</f>
        <v>374920</v>
      </c>
      <c r="Y380" s="260">
        <v>412000</v>
      </c>
      <c r="Z380" s="263">
        <v>390100</v>
      </c>
      <c r="AA380" s="56"/>
      <c r="AB380" s="263"/>
      <c r="AC380" s="44">
        <f>ABS(X380/Y380-1)</f>
        <v>8.9999999999999969E-2</v>
      </c>
      <c r="AD380" s="62">
        <v>2.8500000000000001E-2</v>
      </c>
      <c r="AE380" s="41">
        <f t="shared" si="65"/>
        <v>6.1499999999999971E-2</v>
      </c>
      <c r="AF380" s="42"/>
      <c r="AG380" s="40">
        <f>IF((X380*AE380)&lt;0,0,(X380*AE380))</f>
        <v>23057.579999999991</v>
      </c>
      <c r="AH380" s="65">
        <f t="shared" si="62"/>
        <v>21900</v>
      </c>
      <c r="AI380" s="66">
        <f>AH380/X380</f>
        <v>5.8412461325082682E-2</v>
      </c>
      <c r="AJ380" s="66">
        <f t="shared" si="63"/>
        <v>5.8412461325082682E-2</v>
      </c>
      <c r="AK380" s="65">
        <f>AF380*X380</f>
        <v>0</v>
      </c>
      <c r="AL380" s="40">
        <f t="shared" si="57"/>
        <v>21900</v>
      </c>
      <c r="AM380" s="242">
        <f t="shared" si="55"/>
        <v>45169</v>
      </c>
      <c r="AN380" s="242" t="str">
        <f>IF(AQ380="x","",IF(AQ380="x",AM380,IF(EOMONTH(I380,0)=31,"",EOMONTH(I380,0))))</f>
        <v/>
      </c>
      <c r="AO380" s="79">
        <f>IFERROR(IF(VLOOKUP(C380,C381:C981,1,0)=0,1,0),1)</f>
        <v>1</v>
      </c>
      <c r="AP380" s="79"/>
      <c r="AQ380" s="243" t="str">
        <f t="shared" si="64"/>
        <v/>
      </c>
      <c r="AR380" s="242" t="b">
        <f>IF(AQ380="x",EOMONTH(I380,0))</f>
        <v>0</v>
      </c>
      <c r="AS380" s="79">
        <f t="shared" si="58"/>
        <v>1</v>
      </c>
      <c r="AT380" s="79">
        <f t="shared" si="59"/>
        <v>1</v>
      </c>
      <c r="AU380" s="79" t="str">
        <f t="shared" si="60"/>
        <v>B</v>
      </c>
      <c r="AV380" s="79">
        <f t="shared" si="66"/>
        <v>1</v>
      </c>
      <c r="AW380" s="79" t="str">
        <f>J380&amp;AU380</f>
        <v>6B</v>
      </c>
      <c r="AX380" s="79">
        <f>IF(COUNTIFS(J:J,"Integral",E:E,E380,H:H,"Ativo")=4,1/4,1/10)</f>
        <v>0.1</v>
      </c>
      <c r="AY380" s="79"/>
      <c r="AZ380" s="79" t="b">
        <v>1</v>
      </c>
    </row>
    <row r="381" spans="1:52" ht="15.75" customHeight="1">
      <c r="A381" s="54">
        <v>401</v>
      </c>
      <c r="B381" s="401">
        <v>45154</v>
      </c>
      <c r="C381" s="32" t="s">
        <v>1283</v>
      </c>
      <c r="D381" s="32" t="s">
        <v>1284</v>
      </c>
      <c r="E381" s="32" t="s">
        <v>1268</v>
      </c>
      <c r="F381" s="32" t="s">
        <v>1285</v>
      </c>
      <c r="G381" s="60" t="s">
        <v>220</v>
      </c>
      <c r="H381" s="33" t="s">
        <v>90</v>
      </c>
      <c r="I381" s="34"/>
      <c r="J381" s="33">
        <v>6</v>
      </c>
      <c r="K381" s="35" t="s">
        <v>977</v>
      </c>
      <c r="L381" s="35" t="s">
        <v>977</v>
      </c>
      <c r="M381" s="386" t="s">
        <v>1259</v>
      </c>
      <c r="N381" s="33" t="s">
        <v>68</v>
      </c>
      <c r="O381" s="33" t="s">
        <v>12</v>
      </c>
      <c r="P381" s="33" t="s">
        <v>2</v>
      </c>
      <c r="Q381" s="47"/>
      <c r="R381" s="47"/>
      <c r="S381" s="45" t="s">
        <v>147</v>
      </c>
      <c r="T381" s="45"/>
      <c r="U381" s="37">
        <v>45154</v>
      </c>
      <c r="V381" s="38">
        <f t="shared" si="54"/>
        <v>45154</v>
      </c>
      <c r="W381" s="50">
        <f>V381-U381</f>
        <v>0</v>
      </c>
      <c r="X381" s="261">
        <f>Y381*0.91</f>
        <v>409500</v>
      </c>
      <c r="Y381" s="260">
        <v>450000</v>
      </c>
      <c r="Z381" s="263">
        <v>420000</v>
      </c>
      <c r="AA381" s="56"/>
      <c r="AB381" s="263"/>
      <c r="AC381" s="44">
        <f>ABS(X381/Y381-1)</f>
        <v>8.9999999999999969E-2</v>
      </c>
      <c r="AD381" s="62">
        <v>-2.3E-3</v>
      </c>
      <c r="AE381" s="41">
        <f t="shared" si="65"/>
        <v>9.2299999999999965E-2</v>
      </c>
      <c r="AF381" s="42"/>
      <c r="AG381" s="40">
        <f>IF((X381*AE381)&lt;0,0,(X381*AE381))</f>
        <v>37796.849999999984</v>
      </c>
      <c r="AH381" s="65">
        <f t="shared" si="62"/>
        <v>30000</v>
      </c>
      <c r="AI381" s="66">
        <f>AH381/X381</f>
        <v>7.3260073260073263E-2</v>
      </c>
      <c r="AJ381" s="66">
        <f t="shared" si="63"/>
        <v>7.3260073260073263E-2</v>
      </c>
      <c r="AK381" s="65">
        <f>AF381*X381</f>
        <v>0</v>
      </c>
      <c r="AL381" s="40">
        <f t="shared" si="57"/>
        <v>30000</v>
      </c>
      <c r="AM381" s="242">
        <f t="shared" si="55"/>
        <v>45169</v>
      </c>
      <c r="AN381" s="242" t="str">
        <f>IF(AQ381="x","",IF(AQ381="x",AM381,IF(EOMONTH(I381,0)=31,"",EOMONTH(I381,0))))</f>
        <v/>
      </c>
      <c r="AO381" s="350">
        <v>1</v>
      </c>
      <c r="AP381" s="350"/>
      <c r="AQ381" s="243" t="str">
        <f t="shared" si="64"/>
        <v/>
      </c>
      <c r="AR381" s="242" t="b">
        <f>IF(AQ381="x",EOMONTH(I381,0))</f>
        <v>0</v>
      </c>
      <c r="AS381" s="79">
        <f t="shared" si="58"/>
        <v>1</v>
      </c>
      <c r="AT381" s="79">
        <f t="shared" si="59"/>
        <v>1</v>
      </c>
      <c r="AU381" s="79" t="str">
        <f t="shared" si="60"/>
        <v>B</v>
      </c>
      <c r="AV381" s="79">
        <f t="shared" si="66"/>
        <v>1</v>
      </c>
      <c r="AW381" s="79" t="str">
        <f>J381&amp;AU381</f>
        <v>6B</v>
      </c>
      <c r="AX381" s="79">
        <f>IF(COUNTIFS(J:J,"Integral",E:E,E381,H:H,"Ativo")=4,1/4,1/10)</f>
        <v>0.1</v>
      </c>
      <c r="AY381" s="79"/>
      <c r="AZ381" s="79" t="b">
        <v>1</v>
      </c>
    </row>
    <row r="382" spans="1:52" ht="15.75" customHeight="1">
      <c r="A382" s="54">
        <v>402</v>
      </c>
      <c r="B382" s="403">
        <v>45155</v>
      </c>
      <c r="C382" s="32" t="s">
        <v>1286</v>
      </c>
      <c r="D382" s="32" t="s">
        <v>1287</v>
      </c>
      <c r="E382" s="32" t="s">
        <v>1130</v>
      </c>
      <c r="F382" s="32" t="s">
        <v>1288</v>
      </c>
      <c r="G382" s="60" t="s">
        <v>220</v>
      </c>
      <c r="H382" s="33" t="s">
        <v>90</v>
      </c>
      <c r="I382" s="34"/>
      <c r="J382" s="33">
        <v>6</v>
      </c>
      <c r="K382" s="35" t="s">
        <v>977</v>
      </c>
      <c r="L382" s="35" t="s">
        <v>977</v>
      </c>
      <c r="M382" s="386" t="s">
        <v>1259</v>
      </c>
      <c r="N382" s="33" t="s">
        <v>68</v>
      </c>
      <c r="O382" s="33" t="s">
        <v>12</v>
      </c>
      <c r="P382" s="33" t="s">
        <v>2</v>
      </c>
      <c r="Q382" s="47"/>
      <c r="R382" s="47"/>
      <c r="S382" s="45" t="s">
        <v>145</v>
      </c>
      <c r="T382" s="45"/>
      <c r="U382" s="37">
        <v>45152</v>
      </c>
      <c r="V382" s="38">
        <f t="shared" si="54"/>
        <v>45155</v>
      </c>
      <c r="W382" s="50">
        <f>V382-U382</f>
        <v>3</v>
      </c>
      <c r="X382" s="261">
        <f>Y382*0.91</f>
        <v>368550</v>
      </c>
      <c r="Y382" s="260">
        <v>405000</v>
      </c>
      <c r="Z382" s="263">
        <v>375000</v>
      </c>
      <c r="AA382" s="56"/>
      <c r="AB382" s="263"/>
      <c r="AC382" s="44">
        <f>ABS(X382/Y382-1)</f>
        <v>8.9999999999999969E-2</v>
      </c>
      <c r="AD382" s="62">
        <v>-1.2999999999999999E-3</v>
      </c>
      <c r="AE382" s="41">
        <f t="shared" si="65"/>
        <v>9.1299999999999965E-2</v>
      </c>
      <c r="AF382" s="42"/>
      <c r="AG382" s="40">
        <f>IF((X382*AE382)&lt;0,0,(X382*AE382))</f>
        <v>33648.614999999983</v>
      </c>
      <c r="AH382" s="65">
        <f t="shared" si="62"/>
        <v>30000</v>
      </c>
      <c r="AI382" s="66">
        <f>AH382/X382</f>
        <v>8.1400081400081398E-2</v>
      </c>
      <c r="AJ382" s="66">
        <f t="shared" si="63"/>
        <v>8.1400081400081398E-2</v>
      </c>
      <c r="AK382" s="65">
        <f>AF382*X382</f>
        <v>0</v>
      </c>
      <c r="AL382" s="40">
        <f t="shared" si="57"/>
        <v>30000</v>
      </c>
      <c r="AM382" s="242">
        <f t="shared" si="55"/>
        <v>45169</v>
      </c>
      <c r="AN382" s="242" t="str">
        <f>IF(AQ382="x","",IF(AQ382="x",AM382,IF(EOMONTH(I382,0)=31,"",EOMONTH(I382,0))))</f>
        <v/>
      </c>
      <c r="AO382" s="79">
        <f>IFERROR(IF(VLOOKUP(C382,C383:C983,1,0)=0,1,0),1)</f>
        <v>1</v>
      </c>
      <c r="AP382" s="79"/>
      <c r="AQ382" s="243" t="str">
        <f t="shared" si="64"/>
        <v/>
      </c>
      <c r="AR382" s="242" t="b">
        <f>IF(AQ382="x",EOMONTH(I382,0))</f>
        <v>0</v>
      </c>
      <c r="AS382" s="79">
        <f t="shared" si="58"/>
        <v>1</v>
      </c>
      <c r="AT382" s="79">
        <f t="shared" si="59"/>
        <v>1</v>
      </c>
      <c r="AU382" s="79" t="str">
        <f t="shared" si="60"/>
        <v>B</v>
      </c>
      <c r="AV382" s="79">
        <f t="shared" si="66"/>
        <v>1</v>
      </c>
      <c r="AW382" s="79" t="str">
        <f>J382&amp;AU382</f>
        <v>6B</v>
      </c>
      <c r="AX382" s="79">
        <f>IF(COUNTIFS(J:J,"Integral",E:E,E382,H:H,"Ativo")=4,1/4,1/10)</f>
        <v>0.1</v>
      </c>
      <c r="AY382" s="79"/>
      <c r="AZ382" s="79" t="b">
        <v>1</v>
      </c>
    </row>
    <row r="383" spans="1:52" ht="15.75" customHeight="1">
      <c r="A383" s="54">
        <v>403</v>
      </c>
      <c r="B383" s="401">
        <v>45155</v>
      </c>
      <c r="C383" s="32" t="s">
        <v>1289</v>
      </c>
      <c r="D383" s="32" t="s">
        <v>1159</v>
      </c>
      <c r="E383" s="32" t="s">
        <v>1130</v>
      </c>
      <c r="F383" s="32" t="s">
        <v>1290</v>
      </c>
      <c r="G383" s="60" t="s">
        <v>220</v>
      </c>
      <c r="H383" s="33" t="s">
        <v>90</v>
      </c>
      <c r="I383" s="34"/>
      <c r="J383" s="33">
        <v>6</v>
      </c>
      <c r="K383" s="35" t="s">
        <v>977</v>
      </c>
      <c r="L383" s="35" t="s">
        <v>977</v>
      </c>
      <c r="M383" s="386" t="s">
        <v>1259</v>
      </c>
      <c r="N383" s="33" t="s">
        <v>68</v>
      </c>
      <c r="O383" s="33" t="s">
        <v>12</v>
      </c>
      <c r="P383" s="33" t="s">
        <v>2</v>
      </c>
      <c r="Q383" s="47"/>
      <c r="R383" s="47"/>
      <c r="S383" s="45" t="s">
        <v>150</v>
      </c>
      <c r="T383" s="45"/>
      <c r="U383" s="37">
        <v>45152</v>
      </c>
      <c r="V383" s="38">
        <f t="shared" si="54"/>
        <v>45155</v>
      </c>
      <c r="W383" s="50">
        <f>V383-U383</f>
        <v>3</v>
      </c>
      <c r="X383" s="261">
        <f>Y383*0.91</f>
        <v>368550</v>
      </c>
      <c r="Y383" s="260">
        <v>405000</v>
      </c>
      <c r="Z383" s="263">
        <v>364500.16</v>
      </c>
      <c r="AA383" s="56"/>
      <c r="AB383" s="263"/>
      <c r="AC383" s="44">
        <f>ABS(X383/Y383-1)</f>
        <v>8.9999999999999969E-2</v>
      </c>
      <c r="AD383" s="62">
        <v>-1.32E-2</v>
      </c>
      <c r="AE383" s="41">
        <f t="shared" si="65"/>
        <v>0.10319999999999997</v>
      </c>
      <c r="AF383" s="42"/>
      <c r="AG383" s="40">
        <f>IF((X383*AE383)&lt;0,0,(X383*AE383))</f>
        <v>38034.359999999993</v>
      </c>
      <c r="AH383" s="65">
        <f t="shared" si="62"/>
        <v>40499.840000000026</v>
      </c>
      <c r="AI383" s="66">
        <f>AH383/X383</f>
        <v>0.10988967575634249</v>
      </c>
      <c r="AJ383" s="66">
        <f t="shared" si="63"/>
        <v>0.10988967575634249</v>
      </c>
      <c r="AK383" s="65">
        <f>AF383*X383</f>
        <v>0</v>
      </c>
      <c r="AL383" s="40">
        <f t="shared" si="57"/>
        <v>40499.840000000026</v>
      </c>
      <c r="AM383" s="242">
        <f t="shared" si="55"/>
        <v>45169</v>
      </c>
      <c r="AN383" s="242" t="str">
        <f>IF(AQ383="x","",IF(AQ383="x",AM383,IF(EOMONTH(I383,0)=31,"",EOMONTH(I383,0))))</f>
        <v/>
      </c>
      <c r="AO383" s="79">
        <f>IFERROR(IF(VLOOKUP(C383,C384:C984,1,0)=0,1,0),1)</f>
        <v>1</v>
      </c>
      <c r="AP383" s="79"/>
      <c r="AQ383" s="243" t="str">
        <f t="shared" si="64"/>
        <v/>
      </c>
      <c r="AR383" s="242" t="b">
        <f>IF(AQ383="x",EOMONTH(I383,0))</f>
        <v>0</v>
      </c>
      <c r="AS383" s="79">
        <f t="shared" si="58"/>
        <v>1</v>
      </c>
      <c r="AT383" s="79">
        <f t="shared" si="59"/>
        <v>1</v>
      </c>
      <c r="AU383" s="79" t="str">
        <f t="shared" si="60"/>
        <v>B</v>
      </c>
      <c r="AV383" s="79">
        <f t="shared" si="66"/>
        <v>1</v>
      </c>
      <c r="AW383" s="79" t="str">
        <f>J383&amp;AU383</f>
        <v>6B</v>
      </c>
      <c r="AX383" s="79">
        <f>IF(COUNTIFS(J:J,"Integral",E:E,E383,H:H,"Ativo")=4,1/4,1/10)</f>
        <v>0.1</v>
      </c>
      <c r="AY383" s="79"/>
      <c r="AZ383" s="79" t="b">
        <v>1</v>
      </c>
    </row>
    <row r="384" spans="1:52" ht="15.75" customHeight="1">
      <c r="A384" s="54">
        <v>404</v>
      </c>
      <c r="B384" s="401">
        <v>45156</v>
      </c>
      <c r="C384" s="32" t="s">
        <v>1291</v>
      </c>
      <c r="D384" s="32" t="s">
        <v>379</v>
      </c>
      <c r="E384" s="32" t="s">
        <v>376</v>
      </c>
      <c r="F384" s="32" t="s">
        <v>1292</v>
      </c>
      <c r="G384" s="60" t="s">
        <v>220</v>
      </c>
      <c r="H384" s="33" t="s">
        <v>337</v>
      </c>
      <c r="I384" s="34">
        <v>45223</v>
      </c>
      <c r="J384" s="33">
        <v>13</v>
      </c>
      <c r="K384" s="56" t="s">
        <v>378</v>
      </c>
      <c r="L384" s="35" t="s">
        <v>1293</v>
      </c>
      <c r="M384" s="386" t="s">
        <v>246</v>
      </c>
      <c r="N384" s="33" t="s">
        <v>68</v>
      </c>
      <c r="O384" s="33" t="s">
        <v>12</v>
      </c>
      <c r="P384" s="33" t="s">
        <v>85</v>
      </c>
      <c r="Q384" s="47"/>
      <c r="R384" s="47"/>
      <c r="S384" s="45" t="s">
        <v>147</v>
      </c>
      <c r="T384" s="45"/>
      <c r="U384" s="68">
        <v>45088</v>
      </c>
      <c r="V384" s="48">
        <f t="shared" si="54"/>
        <v>45156</v>
      </c>
      <c r="W384" s="50">
        <f>V384-U384</f>
        <v>68</v>
      </c>
      <c r="X384" s="265">
        <f>Y384*0.91</f>
        <v>1162070</v>
      </c>
      <c r="Y384" s="67">
        <v>1277000</v>
      </c>
      <c r="Z384" s="267">
        <v>1190000</v>
      </c>
      <c r="AA384" s="56"/>
      <c r="AB384" s="267"/>
      <c r="AC384" s="44">
        <f>ABS(X384/Y384-1)</f>
        <v>8.9999999999999969E-2</v>
      </c>
      <c r="AD384" s="62">
        <v>4.9500000000000002E-2</v>
      </c>
      <c r="AE384" s="41">
        <f t="shared" si="65"/>
        <v>4.0499999999999967E-2</v>
      </c>
      <c r="AF384" s="42"/>
      <c r="AG384" s="40">
        <f>IF((X384*AE384)&lt;0,0,(X384*AE384))</f>
        <v>47063.834999999963</v>
      </c>
      <c r="AH384" s="65">
        <f t="shared" si="62"/>
        <v>87000</v>
      </c>
      <c r="AI384" s="66">
        <f>AH384/X384</f>
        <v>7.4866402196081136E-2</v>
      </c>
      <c r="AJ384" s="66">
        <f t="shared" si="63"/>
        <v>7.4866402196081136E-2</v>
      </c>
      <c r="AK384" s="65">
        <f>AF384*X384</f>
        <v>0</v>
      </c>
      <c r="AL384" s="40">
        <f t="shared" si="57"/>
        <v>87000</v>
      </c>
      <c r="AM384" s="242">
        <f t="shared" si="55"/>
        <v>45169</v>
      </c>
      <c r="AN384" s="242">
        <f>IF(AQ384="x","",IF(AQ384="x",AM384,IF(EOMONTH(I384,0)=31,"",EOMONTH(I384,0))))</f>
        <v>45230</v>
      </c>
      <c r="AO384" s="79">
        <f>IFERROR(IF(VLOOKUP(C384,C385:C985,1,0)=0,1,0),1)</f>
        <v>1</v>
      </c>
      <c r="AP384" s="79"/>
      <c r="AQ384" s="243" t="str">
        <f t="shared" si="64"/>
        <v/>
      </c>
      <c r="AR384" s="242" t="b">
        <f>IF(AQ384="x",EOMONTH(I384,0))</f>
        <v>0</v>
      </c>
      <c r="AS384" s="79">
        <f t="shared" si="58"/>
        <v>1</v>
      </c>
      <c r="AT384" s="79">
        <f t="shared" si="59"/>
        <v>1</v>
      </c>
      <c r="AU384" s="79" t="str">
        <f t="shared" si="60"/>
        <v>A</v>
      </c>
      <c r="AV384" s="79">
        <f t="shared" si="66"/>
        <v>1</v>
      </c>
      <c r="AW384" s="79" t="str">
        <f>J384&amp;AU384</f>
        <v>13A</v>
      </c>
      <c r="AX384" s="79">
        <f>IF(COUNTIFS(J:J,"Integral",E:E,E384,H:H,"Ativo")=4,1/4,1/10)</f>
        <v>0.1</v>
      </c>
      <c r="AY384" s="79"/>
      <c r="AZ384" s="79" t="b">
        <v>1</v>
      </c>
    </row>
    <row r="385" spans="1:52" ht="15.75" customHeight="1">
      <c r="A385" s="54">
        <v>406</v>
      </c>
      <c r="B385" s="401">
        <v>45157</v>
      </c>
      <c r="C385" s="32" t="s">
        <v>1294</v>
      </c>
      <c r="D385" s="32" t="s">
        <v>1295</v>
      </c>
      <c r="E385" s="32" t="s">
        <v>1296</v>
      </c>
      <c r="F385" s="32" t="s">
        <v>1297</v>
      </c>
      <c r="G385" s="60" t="s">
        <v>220</v>
      </c>
      <c r="H385" s="33" t="s">
        <v>90</v>
      </c>
      <c r="I385" s="34"/>
      <c r="J385" s="33" t="s">
        <v>6</v>
      </c>
      <c r="K385" s="56" t="s">
        <v>378</v>
      </c>
      <c r="L385" s="56" t="s">
        <v>378</v>
      </c>
      <c r="M385" s="386" t="s">
        <v>246</v>
      </c>
      <c r="N385" s="33" t="s">
        <v>68</v>
      </c>
      <c r="O385" s="33" t="s">
        <v>11</v>
      </c>
      <c r="P385" s="33" t="s">
        <v>1</v>
      </c>
      <c r="Q385" s="47"/>
      <c r="R385" s="47"/>
      <c r="S385" s="45" t="s">
        <v>145</v>
      </c>
      <c r="T385" s="45"/>
      <c r="U385" s="37">
        <v>45157</v>
      </c>
      <c r="V385" s="38">
        <f t="shared" si="54"/>
        <v>45157</v>
      </c>
      <c r="W385" s="50">
        <f>V385-U385</f>
        <v>0</v>
      </c>
      <c r="X385" s="261">
        <f>Y385*0.91</f>
        <v>378620.06</v>
      </c>
      <c r="Y385" s="260">
        <v>416066</v>
      </c>
      <c r="Z385" s="263">
        <v>358210</v>
      </c>
      <c r="AA385" s="35" t="s">
        <v>999</v>
      </c>
      <c r="AB385" s="263"/>
      <c r="AC385" s="44">
        <f>ABS(X385/Y385-1)</f>
        <v>8.9999999999999969E-2</v>
      </c>
      <c r="AD385" s="62">
        <v>3.8100000000000002E-2</v>
      </c>
      <c r="AE385" s="41">
        <f t="shared" si="65"/>
        <v>5.1899999999999967E-2</v>
      </c>
      <c r="AF385" s="42"/>
      <c r="AG385" s="40">
        <f>IF((X385*AE385)&lt;0,0,(X385*AE385))</f>
        <v>19650.381113999989</v>
      </c>
      <c r="AH385" s="65">
        <f t="shared" si="62"/>
        <v>57856</v>
      </c>
      <c r="AI385" s="66">
        <f>AH385/X385</f>
        <v>0.15280754009705666</v>
      </c>
      <c r="AJ385" s="66">
        <f t="shared" si="63"/>
        <v>0.15280754009705666</v>
      </c>
      <c r="AK385" s="65">
        <f>AF385*X385</f>
        <v>0</v>
      </c>
      <c r="AL385" s="40">
        <f t="shared" si="57"/>
        <v>57856</v>
      </c>
      <c r="AM385" s="242">
        <f t="shared" si="55"/>
        <v>45169</v>
      </c>
      <c r="AN385" s="242" t="str">
        <f>IF(AQ385="x","",IF(AQ385="x",AM385,IF(EOMONTH(I385,0)=31,"",EOMONTH(I385,0))))</f>
        <v/>
      </c>
      <c r="AO385" s="79">
        <f>IFERROR(IF(VLOOKUP(C385,C386:C985,1,0)=0,1,0),1)</f>
        <v>0</v>
      </c>
      <c r="AP385" s="79"/>
      <c r="AQ385" s="243" t="str">
        <f t="shared" si="64"/>
        <v/>
      </c>
      <c r="AR385" s="242" t="b">
        <f>IF(AQ385="x",EOMONTH(I385,0))</f>
        <v>0</v>
      </c>
      <c r="AS385" s="79">
        <f t="shared" si="58"/>
        <v>1</v>
      </c>
      <c r="AT385" s="79">
        <f t="shared" si="59"/>
        <v>1</v>
      </c>
      <c r="AU385" s="79" t="str">
        <f t="shared" si="60"/>
        <v>B</v>
      </c>
      <c r="AV385" s="79">
        <f t="shared" si="66"/>
        <v>1</v>
      </c>
      <c r="AW385" s="79" t="str">
        <f>J385&amp;AU385</f>
        <v>IntegralB</v>
      </c>
      <c r="AX385" s="79">
        <f>IF(COUNTIFS(J:J,"Integral",E:E,E385,H:H,"Ativo")=4,1/4,1/10)</f>
        <v>0.1</v>
      </c>
      <c r="AY385" s="79"/>
      <c r="AZ385" s="79" t="b">
        <v>1</v>
      </c>
    </row>
    <row r="386" spans="1:52" ht="15.75" customHeight="1">
      <c r="A386" s="54">
        <v>407</v>
      </c>
      <c r="B386" s="401">
        <v>45157</v>
      </c>
      <c r="C386" s="32" t="s">
        <v>1294</v>
      </c>
      <c r="D386" s="32" t="s">
        <v>1298</v>
      </c>
      <c r="E386" s="32" t="s">
        <v>1296</v>
      </c>
      <c r="F386" s="32" t="s">
        <v>1299</v>
      </c>
      <c r="G386" s="60" t="s">
        <v>220</v>
      </c>
      <c r="H386" s="33" t="s">
        <v>90</v>
      </c>
      <c r="I386" s="34"/>
      <c r="J386" s="33" t="s">
        <v>6</v>
      </c>
      <c r="K386" s="56" t="s">
        <v>378</v>
      </c>
      <c r="L386" s="56" t="s">
        <v>378</v>
      </c>
      <c r="M386" s="386" t="s">
        <v>246</v>
      </c>
      <c r="N386" s="33" t="s">
        <v>68</v>
      </c>
      <c r="O386" s="33" t="s">
        <v>11</v>
      </c>
      <c r="P386" s="33" t="s">
        <v>1</v>
      </c>
      <c r="Q386" s="47"/>
      <c r="R386" s="47"/>
      <c r="S386" s="45" t="s">
        <v>145</v>
      </c>
      <c r="T386" s="45"/>
      <c r="U386" s="37">
        <v>45157</v>
      </c>
      <c r="V386" s="38">
        <f t="shared" ref="V386:V449" si="67">B386</f>
        <v>45157</v>
      </c>
      <c r="W386" s="50">
        <f>V386-U386</f>
        <v>0</v>
      </c>
      <c r="X386" s="261">
        <f>Y386*0.91</f>
        <v>378620.06</v>
      </c>
      <c r="Y386" s="260">
        <v>416066</v>
      </c>
      <c r="Z386" s="263">
        <v>358210</v>
      </c>
      <c r="AA386" s="35" t="s">
        <v>999</v>
      </c>
      <c r="AB386" s="263"/>
      <c r="AC386" s="44">
        <f>ABS(X386/Y386-1)</f>
        <v>8.9999999999999969E-2</v>
      </c>
      <c r="AD386" s="62">
        <v>3.8100000000000002E-2</v>
      </c>
      <c r="AE386" s="41">
        <f t="shared" si="65"/>
        <v>5.1899999999999967E-2</v>
      </c>
      <c r="AF386" s="42"/>
      <c r="AG386" s="40">
        <f>IF((X386*AE386)&lt;0,0,(X386*AE386))</f>
        <v>19650.381113999989</v>
      </c>
      <c r="AH386" s="65">
        <f t="shared" si="62"/>
        <v>57856</v>
      </c>
      <c r="AI386" s="66">
        <f>AH386/X386</f>
        <v>0.15280754009705666</v>
      </c>
      <c r="AJ386" s="66">
        <f t="shared" si="63"/>
        <v>0.15280754009705666</v>
      </c>
      <c r="AK386" s="65">
        <f>AF386*X386</f>
        <v>0</v>
      </c>
      <c r="AL386" s="40">
        <f t="shared" si="57"/>
        <v>57856</v>
      </c>
      <c r="AM386" s="242">
        <f t="shared" ref="AM386:AM449" si="68">IFERROR(EOMONTH(B386,0),"Pendente")</f>
        <v>45169</v>
      </c>
      <c r="AN386" s="242" t="str">
        <f>IF(AQ386="x","",IF(AQ386="x",AM386,IF(EOMONTH(I386,0)=31,"",EOMONTH(I386,0))))</f>
        <v/>
      </c>
      <c r="AO386" s="79">
        <f>IFERROR(IF(VLOOKUP(C386,C387:C986,1,0)=0,1,0),1)</f>
        <v>0</v>
      </c>
      <c r="AP386" s="79"/>
      <c r="AQ386" s="243" t="str">
        <f t="shared" si="64"/>
        <v/>
      </c>
      <c r="AR386" s="242" t="b">
        <f>IF(AQ386="x",EOMONTH(I386,0))</f>
        <v>0</v>
      </c>
      <c r="AS386" s="79">
        <f t="shared" si="58"/>
        <v>1</v>
      </c>
      <c r="AT386" s="79">
        <f t="shared" si="59"/>
        <v>1</v>
      </c>
      <c r="AU386" s="79" t="str">
        <f t="shared" si="60"/>
        <v>B</v>
      </c>
      <c r="AV386" s="79">
        <f t="shared" si="66"/>
        <v>1</v>
      </c>
      <c r="AW386" s="79" t="str">
        <f>J386&amp;AU386</f>
        <v>IntegralB</v>
      </c>
      <c r="AX386" s="79">
        <f>IF(COUNTIFS(J:J,"Integral",E:E,E386,H:H,"Ativo")=4,1/4,1/10)</f>
        <v>0.1</v>
      </c>
      <c r="AY386" s="79"/>
      <c r="AZ386" s="79" t="b">
        <v>1</v>
      </c>
    </row>
    <row r="387" spans="1:52" ht="15.75" customHeight="1">
      <c r="A387" s="54">
        <v>408</v>
      </c>
      <c r="B387" s="401">
        <v>45157</v>
      </c>
      <c r="C387" s="32" t="s">
        <v>1294</v>
      </c>
      <c r="D387" s="32" t="s">
        <v>1300</v>
      </c>
      <c r="E387" s="32" t="s">
        <v>1296</v>
      </c>
      <c r="F387" s="32" t="s">
        <v>1301</v>
      </c>
      <c r="G387" s="60" t="s">
        <v>220</v>
      </c>
      <c r="H387" s="33" t="s">
        <v>90</v>
      </c>
      <c r="I387" s="34"/>
      <c r="J387" s="33" t="s">
        <v>6</v>
      </c>
      <c r="K387" s="56" t="s">
        <v>378</v>
      </c>
      <c r="L387" s="56" t="s">
        <v>378</v>
      </c>
      <c r="M387" s="386" t="s">
        <v>246</v>
      </c>
      <c r="N387" s="33" t="s">
        <v>68</v>
      </c>
      <c r="O387" s="33" t="s">
        <v>11</v>
      </c>
      <c r="P387" s="33" t="s">
        <v>1</v>
      </c>
      <c r="Q387" s="47"/>
      <c r="R387" s="47"/>
      <c r="S387" s="45" t="s">
        <v>145</v>
      </c>
      <c r="T387" s="45"/>
      <c r="U387" s="37">
        <v>45157</v>
      </c>
      <c r="V387" s="38">
        <f t="shared" si="67"/>
        <v>45157</v>
      </c>
      <c r="W387" s="50">
        <f>V387-U387</f>
        <v>0</v>
      </c>
      <c r="X387" s="261">
        <f>Y387*0.91</f>
        <v>378620.06</v>
      </c>
      <c r="Y387" s="260">
        <v>416066</v>
      </c>
      <c r="Z387" s="263">
        <v>358210</v>
      </c>
      <c r="AA387" s="35" t="s">
        <v>999</v>
      </c>
      <c r="AB387" s="263"/>
      <c r="AC387" s="44">
        <f>ABS(X387/Y387-1)</f>
        <v>8.9999999999999969E-2</v>
      </c>
      <c r="AD387" s="62">
        <v>3.8100000000000002E-2</v>
      </c>
      <c r="AE387" s="41">
        <f t="shared" si="65"/>
        <v>5.1899999999999967E-2</v>
      </c>
      <c r="AF387" s="42"/>
      <c r="AG387" s="40">
        <f>IF((X387*AE387)&lt;0,0,(X387*AE387))</f>
        <v>19650.381113999989</v>
      </c>
      <c r="AH387" s="65">
        <f t="shared" si="62"/>
        <v>57856</v>
      </c>
      <c r="AI387" s="66">
        <f>AH387/X387</f>
        <v>0.15280754009705666</v>
      </c>
      <c r="AJ387" s="66">
        <f t="shared" si="63"/>
        <v>0.15280754009705666</v>
      </c>
      <c r="AK387" s="65">
        <f>AF387*X387</f>
        <v>0</v>
      </c>
      <c r="AL387" s="40">
        <f t="shared" si="57"/>
        <v>57856</v>
      </c>
      <c r="AM387" s="242">
        <f t="shared" si="68"/>
        <v>45169</v>
      </c>
      <c r="AN387" s="242" t="str">
        <f>IF(AQ387="x","",IF(AQ387="x",AM387,IF(EOMONTH(I387,0)=31,"",EOMONTH(I387,0))))</f>
        <v/>
      </c>
      <c r="AO387" s="79">
        <f>IFERROR(IF(VLOOKUP(C387,C388:C987,1,0)=0,1,0),1)</f>
        <v>0</v>
      </c>
      <c r="AP387" s="79"/>
      <c r="AQ387" s="243" t="str">
        <f t="shared" si="64"/>
        <v/>
      </c>
      <c r="AR387" s="242" t="b">
        <f>IF(AQ387="x",EOMONTH(I387,0))</f>
        <v>0</v>
      </c>
      <c r="AS387" s="79">
        <f t="shared" si="58"/>
        <v>1</v>
      </c>
      <c r="AT387" s="79">
        <f t="shared" si="59"/>
        <v>1</v>
      </c>
      <c r="AU387" s="79" t="str">
        <f t="shared" si="60"/>
        <v>B</v>
      </c>
      <c r="AV387" s="79">
        <f t="shared" si="66"/>
        <v>1</v>
      </c>
      <c r="AW387" s="79" t="str">
        <f>J387&amp;AU387</f>
        <v>IntegralB</v>
      </c>
      <c r="AX387" s="79">
        <f>IF(COUNTIFS(J:J,"Integral",E:E,E387,H:H,"Ativo")=4,1/4,1/10)</f>
        <v>0.1</v>
      </c>
      <c r="AY387" s="79"/>
      <c r="AZ387" s="79" t="b">
        <v>1</v>
      </c>
    </row>
    <row r="388" spans="1:52" ht="15.75" customHeight="1">
      <c r="A388" s="54">
        <v>409</v>
      </c>
      <c r="B388" s="401">
        <v>45157</v>
      </c>
      <c r="C388" s="32" t="s">
        <v>1294</v>
      </c>
      <c r="D388" s="32" t="s">
        <v>1302</v>
      </c>
      <c r="E388" s="32" t="s">
        <v>1296</v>
      </c>
      <c r="F388" s="32" t="s">
        <v>1303</v>
      </c>
      <c r="G388" s="60" t="s">
        <v>220</v>
      </c>
      <c r="H388" s="33" t="s">
        <v>90</v>
      </c>
      <c r="I388" s="34"/>
      <c r="J388" s="33" t="s">
        <v>6</v>
      </c>
      <c r="K388" s="56" t="s">
        <v>378</v>
      </c>
      <c r="L388" s="56" t="s">
        <v>378</v>
      </c>
      <c r="M388" s="386" t="s">
        <v>246</v>
      </c>
      <c r="N388" s="33" t="s">
        <v>68</v>
      </c>
      <c r="O388" s="33" t="s">
        <v>11</v>
      </c>
      <c r="P388" s="33" t="s">
        <v>1</v>
      </c>
      <c r="Q388" s="47"/>
      <c r="R388" s="47"/>
      <c r="S388" s="45" t="s">
        <v>145</v>
      </c>
      <c r="T388" s="45"/>
      <c r="U388" s="37">
        <v>45157</v>
      </c>
      <c r="V388" s="38">
        <f t="shared" si="67"/>
        <v>45157</v>
      </c>
      <c r="W388" s="50">
        <f>V388-U388</f>
        <v>0</v>
      </c>
      <c r="X388" s="261">
        <f>Y388*0.91</f>
        <v>378620.06</v>
      </c>
      <c r="Y388" s="260">
        <v>416066</v>
      </c>
      <c r="Z388" s="263">
        <v>358210</v>
      </c>
      <c r="AA388" s="35" t="s">
        <v>999</v>
      </c>
      <c r="AB388" s="263"/>
      <c r="AC388" s="44">
        <f>ABS(X388/Y388-1)</f>
        <v>8.9999999999999969E-2</v>
      </c>
      <c r="AD388" s="62">
        <v>3.8100000000000002E-2</v>
      </c>
      <c r="AE388" s="41">
        <f t="shared" si="65"/>
        <v>5.1899999999999967E-2</v>
      </c>
      <c r="AF388" s="42"/>
      <c r="AG388" s="40">
        <f>IF((X388*AE388)&lt;0,0,(X388*AE388))</f>
        <v>19650.381113999989</v>
      </c>
      <c r="AH388" s="65">
        <f t="shared" si="62"/>
        <v>57856</v>
      </c>
      <c r="AI388" s="66">
        <f>AH388/X388</f>
        <v>0.15280754009705666</v>
      </c>
      <c r="AJ388" s="66">
        <f t="shared" si="63"/>
        <v>0.15280754009705666</v>
      </c>
      <c r="AK388" s="65">
        <f>AF388*X388</f>
        <v>0</v>
      </c>
      <c r="AL388" s="40">
        <f t="shared" si="57"/>
        <v>57856</v>
      </c>
      <c r="AM388" s="242">
        <f t="shared" si="68"/>
        <v>45169</v>
      </c>
      <c r="AN388" s="242" t="str">
        <f>IF(AQ388="x","",IF(AQ388="x",AM388,IF(EOMONTH(I388,0)=31,"",EOMONTH(I388,0))))</f>
        <v/>
      </c>
      <c r="AO388" s="79">
        <f>IFERROR(IF(VLOOKUP(C388,C389:C989,1,0)=0,1,0),1)</f>
        <v>0</v>
      </c>
      <c r="AP388" s="79"/>
      <c r="AQ388" s="243" t="str">
        <f t="shared" si="64"/>
        <v/>
      </c>
      <c r="AR388" s="242" t="b">
        <f>IF(AQ388="x",EOMONTH(I388,0))</f>
        <v>0</v>
      </c>
      <c r="AS388" s="79">
        <f t="shared" si="58"/>
        <v>1</v>
      </c>
      <c r="AT388" s="79">
        <f t="shared" si="59"/>
        <v>1</v>
      </c>
      <c r="AU388" s="79" t="str">
        <f t="shared" si="60"/>
        <v>B</v>
      </c>
      <c r="AV388" s="79">
        <f t="shared" si="66"/>
        <v>1</v>
      </c>
      <c r="AW388" s="79" t="str">
        <f>J388&amp;AU388</f>
        <v>IntegralB</v>
      </c>
      <c r="AX388" s="79">
        <f>IF(COUNTIFS(J:J,"Integral",E:E,E388,H:H,"Ativo")=4,1/4,1/10)</f>
        <v>0.1</v>
      </c>
      <c r="AY388" s="79"/>
      <c r="AZ388" s="79" t="b">
        <v>1</v>
      </c>
    </row>
    <row r="389" spans="1:52" ht="15.75" customHeight="1">
      <c r="A389" s="54">
        <v>410</v>
      </c>
      <c r="B389" s="401">
        <v>45157</v>
      </c>
      <c r="C389" s="32" t="s">
        <v>1294</v>
      </c>
      <c r="D389" s="32" t="s">
        <v>1304</v>
      </c>
      <c r="E389" s="32" t="s">
        <v>1296</v>
      </c>
      <c r="F389" s="32" t="s">
        <v>1305</v>
      </c>
      <c r="G389" s="60" t="s">
        <v>220</v>
      </c>
      <c r="H389" s="33" t="s">
        <v>90</v>
      </c>
      <c r="I389" s="34"/>
      <c r="J389" s="33" t="s">
        <v>6</v>
      </c>
      <c r="K389" s="56" t="s">
        <v>378</v>
      </c>
      <c r="L389" s="56" t="s">
        <v>378</v>
      </c>
      <c r="M389" s="386" t="s">
        <v>246</v>
      </c>
      <c r="N389" s="33" t="s">
        <v>68</v>
      </c>
      <c r="O389" s="33" t="s">
        <v>11</v>
      </c>
      <c r="P389" s="33" t="s">
        <v>1</v>
      </c>
      <c r="Q389" s="47"/>
      <c r="R389" s="47"/>
      <c r="S389" s="45" t="s">
        <v>145</v>
      </c>
      <c r="T389" s="45"/>
      <c r="U389" s="37">
        <v>45157</v>
      </c>
      <c r="V389" s="38">
        <f t="shared" si="67"/>
        <v>45157</v>
      </c>
      <c r="W389" s="50">
        <f>V389-U389</f>
        <v>0</v>
      </c>
      <c r="X389" s="261">
        <f>Y389*0.91</f>
        <v>378620.06</v>
      </c>
      <c r="Y389" s="260">
        <v>416066</v>
      </c>
      <c r="Z389" s="263">
        <v>358210</v>
      </c>
      <c r="AA389" s="35" t="s">
        <v>999</v>
      </c>
      <c r="AB389" s="263"/>
      <c r="AC389" s="44">
        <f>ABS(X389/Y389-1)</f>
        <v>8.9999999999999969E-2</v>
      </c>
      <c r="AD389" s="62">
        <v>3.8100000000000002E-2</v>
      </c>
      <c r="AE389" s="41">
        <f t="shared" si="65"/>
        <v>5.1899999999999967E-2</v>
      </c>
      <c r="AF389" s="42"/>
      <c r="AG389" s="40">
        <f>IF((X389*AE389)&lt;0,0,(X389*AE389))</f>
        <v>19650.381113999989</v>
      </c>
      <c r="AH389" s="65">
        <f t="shared" si="62"/>
        <v>57856</v>
      </c>
      <c r="AI389" s="66">
        <f>AH389/X389</f>
        <v>0.15280754009705666</v>
      </c>
      <c r="AJ389" s="66">
        <f t="shared" si="63"/>
        <v>0.15280754009705666</v>
      </c>
      <c r="AK389" s="65">
        <f>AF389*X389</f>
        <v>0</v>
      </c>
      <c r="AL389" s="40">
        <f t="shared" si="57"/>
        <v>57856</v>
      </c>
      <c r="AM389" s="242">
        <f t="shared" si="68"/>
        <v>45169</v>
      </c>
      <c r="AN389" s="242" t="str">
        <f>IF(AQ389="x","",IF(AQ389="x",AM389,IF(EOMONTH(I389,0)=31,"",EOMONTH(I389,0))))</f>
        <v/>
      </c>
      <c r="AO389" s="79">
        <f>IFERROR(IF(VLOOKUP(C389,C390:C990,1,0)=0,1,0),1)</f>
        <v>0</v>
      </c>
      <c r="AP389" s="79"/>
      <c r="AQ389" s="243" t="str">
        <f t="shared" si="64"/>
        <v/>
      </c>
      <c r="AR389" s="242" t="b">
        <f>IF(AQ389="x",EOMONTH(I389,0))</f>
        <v>0</v>
      </c>
      <c r="AS389" s="79">
        <f t="shared" si="58"/>
        <v>1</v>
      </c>
      <c r="AT389" s="79">
        <f t="shared" si="59"/>
        <v>1</v>
      </c>
      <c r="AU389" s="79" t="str">
        <f t="shared" si="60"/>
        <v>B</v>
      </c>
      <c r="AV389" s="79">
        <f t="shared" si="66"/>
        <v>1</v>
      </c>
      <c r="AW389" s="79" t="str">
        <f>J389&amp;AU389</f>
        <v>IntegralB</v>
      </c>
      <c r="AX389" s="79">
        <f>IF(COUNTIFS(J:J,"Integral",E:E,E389,H:H,"Ativo")=4,1/4,1/10)</f>
        <v>0.1</v>
      </c>
      <c r="AY389" s="79"/>
      <c r="AZ389" s="79" t="b">
        <v>1</v>
      </c>
    </row>
    <row r="390" spans="1:52" ht="15.75" customHeight="1">
      <c r="A390" s="54">
        <v>411</v>
      </c>
      <c r="B390" s="401">
        <v>45157</v>
      </c>
      <c r="C390" s="32" t="s">
        <v>1294</v>
      </c>
      <c r="D390" s="32" t="s">
        <v>1306</v>
      </c>
      <c r="E390" s="32" t="s">
        <v>1296</v>
      </c>
      <c r="F390" s="32" t="s">
        <v>1307</v>
      </c>
      <c r="G390" s="60" t="s">
        <v>220</v>
      </c>
      <c r="H390" s="33" t="s">
        <v>90</v>
      </c>
      <c r="I390" s="34"/>
      <c r="J390" s="33" t="s">
        <v>6</v>
      </c>
      <c r="K390" s="56" t="s">
        <v>378</v>
      </c>
      <c r="L390" s="56" t="s">
        <v>378</v>
      </c>
      <c r="M390" s="386" t="s">
        <v>246</v>
      </c>
      <c r="N390" s="33" t="s">
        <v>68</v>
      </c>
      <c r="O390" s="33" t="s">
        <v>11</v>
      </c>
      <c r="P390" s="33" t="s">
        <v>1</v>
      </c>
      <c r="Q390" s="47"/>
      <c r="R390" s="47"/>
      <c r="S390" s="45" t="s">
        <v>145</v>
      </c>
      <c r="T390" s="45"/>
      <c r="U390" s="37">
        <v>45157</v>
      </c>
      <c r="V390" s="38">
        <f t="shared" si="67"/>
        <v>45157</v>
      </c>
      <c r="W390" s="50">
        <f>V390-U390</f>
        <v>0</v>
      </c>
      <c r="X390" s="261">
        <f>Y390*0.91</f>
        <v>378620.06</v>
      </c>
      <c r="Y390" s="260">
        <v>416066</v>
      </c>
      <c r="Z390" s="263">
        <v>358210</v>
      </c>
      <c r="AA390" s="35" t="s">
        <v>999</v>
      </c>
      <c r="AB390" s="263"/>
      <c r="AC390" s="44">
        <f>ABS(X390/Y390-1)</f>
        <v>8.9999999999999969E-2</v>
      </c>
      <c r="AD390" s="62">
        <v>3.8100000000000002E-2</v>
      </c>
      <c r="AE390" s="41">
        <f t="shared" si="65"/>
        <v>5.1899999999999967E-2</v>
      </c>
      <c r="AF390" s="42"/>
      <c r="AG390" s="40">
        <f>IF((X390*AE390)&lt;0,0,(X390*AE390))</f>
        <v>19650.381113999989</v>
      </c>
      <c r="AH390" s="65">
        <f t="shared" si="62"/>
        <v>57856</v>
      </c>
      <c r="AI390" s="66">
        <f>AH390/X390</f>
        <v>0.15280754009705666</v>
      </c>
      <c r="AJ390" s="66">
        <f t="shared" si="63"/>
        <v>0.15280754009705666</v>
      </c>
      <c r="AK390" s="65">
        <f>AF390*X390</f>
        <v>0</v>
      </c>
      <c r="AL390" s="40">
        <f t="shared" si="57"/>
        <v>57856</v>
      </c>
      <c r="AM390" s="242">
        <f t="shared" si="68"/>
        <v>45169</v>
      </c>
      <c r="AN390" s="242" t="str">
        <f>IF(AQ390="x","",IF(AQ390="x",AM390,IF(EOMONTH(I390,0)=31,"",EOMONTH(I390,0))))</f>
        <v/>
      </c>
      <c r="AO390" s="79">
        <f>IFERROR(IF(VLOOKUP(C390,C391:C991,1,0)=0,1,0),1)</f>
        <v>0</v>
      </c>
      <c r="AP390" s="79"/>
      <c r="AQ390" s="243" t="str">
        <f t="shared" si="64"/>
        <v/>
      </c>
      <c r="AR390" s="242" t="b">
        <f>IF(AQ390="x",EOMONTH(I390,0))</f>
        <v>0</v>
      </c>
      <c r="AS390" s="79">
        <f t="shared" si="58"/>
        <v>1</v>
      </c>
      <c r="AT390" s="79">
        <f t="shared" si="59"/>
        <v>1</v>
      </c>
      <c r="AU390" s="79" t="str">
        <f t="shared" si="60"/>
        <v>B</v>
      </c>
      <c r="AV390" s="79">
        <f t="shared" si="66"/>
        <v>1</v>
      </c>
      <c r="AW390" s="79" t="str">
        <f>J390&amp;AU390</f>
        <v>IntegralB</v>
      </c>
      <c r="AX390" s="79">
        <f>IF(COUNTIFS(J:J,"Integral",E:E,E390,H:H,"Ativo")=4,1/4,1/10)</f>
        <v>0.1</v>
      </c>
      <c r="AY390" s="79"/>
      <c r="AZ390" s="79" t="b">
        <v>1</v>
      </c>
    </row>
    <row r="391" spans="1:52" ht="15.75" customHeight="1">
      <c r="A391" s="54">
        <v>412</v>
      </c>
      <c r="B391" s="401">
        <v>45157</v>
      </c>
      <c r="C391" s="32" t="s">
        <v>1294</v>
      </c>
      <c r="D391" s="32" t="s">
        <v>1308</v>
      </c>
      <c r="E391" s="32" t="s">
        <v>1296</v>
      </c>
      <c r="F391" s="32" t="s">
        <v>1309</v>
      </c>
      <c r="G391" s="60" t="s">
        <v>220</v>
      </c>
      <c r="H391" s="33" t="s">
        <v>90</v>
      </c>
      <c r="I391" s="34"/>
      <c r="J391" s="33" t="s">
        <v>6</v>
      </c>
      <c r="K391" s="56" t="s">
        <v>378</v>
      </c>
      <c r="L391" s="56" t="s">
        <v>378</v>
      </c>
      <c r="M391" s="386" t="s">
        <v>246</v>
      </c>
      <c r="N391" s="33" t="s">
        <v>68</v>
      </c>
      <c r="O391" s="33" t="s">
        <v>11</v>
      </c>
      <c r="P391" s="33" t="s">
        <v>1</v>
      </c>
      <c r="Q391" s="47"/>
      <c r="R391" s="47"/>
      <c r="S391" s="45" t="s">
        <v>145</v>
      </c>
      <c r="T391" s="45"/>
      <c r="U391" s="37">
        <v>45157</v>
      </c>
      <c r="V391" s="38">
        <f t="shared" si="67"/>
        <v>45157</v>
      </c>
      <c r="W391" s="50">
        <f>V391-U391</f>
        <v>0</v>
      </c>
      <c r="X391" s="261">
        <f>Y391*0.91</f>
        <v>269724.91000000003</v>
      </c>
      <c r="Y391" s="260">
        <v>296401</v>
      </c>
      <c r="Z391" s="263">
        <v>255185</v>
      </c>
      <c r="AA391" s="35" t="s">
        <v>999</v>
      </c>
      <c r="AB391" s="263"/>
      <c r="AC391" s="44">
        <f>ABS(X391/Y391-1)</f>
        <v>8.9999999999999858E-2</v>
      </c>
      <c r="AD391" s="62">
        <v>3.8100000000000002E-2</v>
      </c>
      <c r="AE391" s="41">
        <f t="shared" si="65"/>
        <v>5.1899999999999856E-2</v>
      </c>
      <c r="AF391" s="42"/>
      <c r="AG391" s="40">
        <f>IF((X391*AE391)&lt;0,0,(X391*AE391))</f>
        <v>13998.722828999962</v>
      </c>
      <c r="AH391" s="65">
        <f t="shared" si="62"/>
        <v>41216</v>
      </c>
      <c r="AI391" s="66">
        <f>AH391/X391</f>
        <v>0.15280754009705663</v>
      </c>
      <c r="AJ391" s="66">
        <f t="shared" si="63"/>
        <v>0.15280754009705663</v>
      </c>
      <c r="AK391" s="65">
        <f>AF391*X391</f>
        <v>0</v>
      </c>
      <c r="AL391" s="40">
        <f t="shared" si="57"/>
        <v>41216</v>
      </c>
      <c r="AM391" s="242">
        <f t="shared" si="68"/>
        <v>45169</v>
      </c>
      <c r="AN391" s="242" t="str">
        <f>IF(AQ391="x","",IF(AQ391="x",AM391,IF(EOMONTH(I391,0)=31,"",EOMONTH(I391,0))))</f>
        <v/>
      </c>
      <c r="AO391" s="79">
        <f>IFERROR(IF(VLOOKUP(C391,C392:C992,1,0)=0,1,0),1)</f>
        <v>0</v>
      </c>
      <c r="AP391" s="79"/>
      <c r="AQ391" s="243" t="str">
        <f t="shared" si="64"/>
        <v/>
      </c>
      <c r="AR391" s="242" t="b">
        <f>IF(AQ391="x",EOMONTH(I391,0))</f>
        <v>0</v>
      </c>
      <c r="AS391" s="79">
        <f t="shared" si="58"/>
        <v>1</v>
      </c>
      <c r="AT391" s="79">
        <f t="shared" si="59"/>
        <v>1</v>
      </c>
      <c r="AU391" s="79" t="str">
        <f t="shared" si="60"/>
        <v>B</v>
      </c>
      <c r="AV391" s="79">
        <f t="shared" si="66"/>
        <v>1</v>
      </c>
      <c r="AW391" s="79" t="str">
        <f>J391&amp;AU391</f>
        <v>IntegralB</v>
      </c>
      <c r="AX391" s="79">
        <f>IF(COUNTIFS(J:J,"Integral",E:E,E391,H:H,"Ativo")=4,1/4,1/10)</f>
        <v>0.1</v>
      </c>
      <c r="AY391" s="79"/>
      <c r="AZ391" s="79" t="b">
        <v>1</v>
      </c>
    </row>
    <row r="392" spans="1:52" ht="15.75" customHeight="1">
      <c r="A392" s="54">
        <v>413</v>
      </c>
      <c r="B392" s="401">
        <v>45157</v>
      </c>
      <c r="C392" s="32" t="s">
        <v>1294</v>
      </c>
      <c r="D392" s="32" t="s">
        <v>1310</v>
      </c>
      <c r="E392" s="32" t="s">
        <v>1296</v>
      </c>
      <c r="F392" s="32" t="s">
        <v>1311</v>
      </c>
      <c r="G392" s="60" t="s">
        <v>220</v>
      </c>
      <c r="H392" s="33" t="s">
        <v>90</v>
      </c>
      <c r="I392" s="34"/>
      <c r="J392" s="33" t="s">
        <v>6</v>
      </c>
      <c r="K392" s="56" t="s">
        <v>378</v>
      </c>
      <c r="L392" s="56" t="s">
        <v>378</v>
      </c>
      <c r="M392" s="386" t="s">
        <v>246</v>
      </c>
      <c r="N392" s="33" t="s">
        <v>68</v>
      </c>
      <c r="O392" s="33" t="s">
        <v>11</v>
      </c>
      <c r="P392" s="33" t="s">
        <v>1</v>
      </c>
      <c r="Q392" s="47"/>
      <c r="R392" s="47"/>
      <c r="S392" s="45" t="s">
        <v>145</v>
      </c>
      <c r="T392" s="45"/>
      <c r="U392" s="37">
        <v>45157</v>
      </c>
      <c r="V392" s="38">
        <f t="shared" si="67"/>
        <v>45157</v>
      </c>
      <c r="W392" s="50">
        <f>V392-U392</f>
        <v>0</v>
      </c>
      <c r="X392" s="261">
        <f>Y392*0.91</f>
        <v>269724.91000000003</v>
      </c>
      <c r="Y392" s="260">
        <v>296401</v>
      </c>
      <c r="Z392" s="263">
        <v>255185</v>
      </c>
      <c r="AA392" s="35" t="s">
        <v>999</v>
      </c>
      <c r="AB392" s="263"/>
      <c r="AC392" s="44">
        <f>ABS(X392/Y392-1)</f>
        <v>8.9999999999999858E-2</v>
      </c>
      <c r="AD392" s="62">
        <v>3.8100000000000002E-2</v>
      </c>
      <c r="AE392" s="41">
        <f t="shared" si="65"/>
        <v>5.1899999999999856E-2</v>
      </c>
      <c r="AF392" s="42"/>
      <c r="AG392" s="40">
        <f>IF((X392*AE392)&lt;0,0,(X392*AE392))</f>
        <v>13998.722828999962</v>
      </c>
      <c r="AH392" s="65">
        <f t="shared" si="62"/>
        <v>41216</v>
      </c>
      <c r="AI392" s="66">
        <f>AH392/X392</f>
        <v>0.15280754009705663</v>
      </c>
      <c r="AJ392" s="66">
        <f t="shared" si="63"/>
        <v>0.15280754009705663</v>
      </c>
      <c r="AK392" s="65">
        <f>AF392*X392</f>
        <v>0</v>
      </c>
      <c r="AL392" s="40">
        <f t="shared" si="57"/>
        <v>41216</v>
      </c>
      <c r="AM392" s="242">
        <f t="shared" si="68"/>
        <v>45169</v>
      </c>
      <c r="AN392" s="242" t="str">
        <f>IF(AQ392="x","",IF(AQ392="x",AM392,IF(EOMONTH(I392,0)=31,"",EOMONTH(I392,0))))</f>
        <v/>
      </c>
      <c r="AO392" s="79">
        <f>IFERROR(IF(VLOOKUP(C392,C393:C993,1,0)=0,1,0),1)</f>
        <v>0</v>
      </c>
      <c r="AP392" s="79"/>
      <c r="AQ392" s="243" t="str">
        <f t="shared" si="64"/>
        <v/>
      </c>
      <c r="AR392" s="242" t="b">
        <f>IF(AQ392="x",EOMONTH(I392,0))</f>
        <v>0</v>
      </c>
      <c r="AS392" s="79">
        <f t="shared" si="58"/>
        <v>1</v>
      </c>
      <c r="AT392" s="79">
        <f t="shared" si="59"/>
        <v>1</v>
      </c>
      <c r="AU392" s="79" t="str">
        <f t="shared" si="60"/>
        <v>B</v>
      </c>
      <c r="AV392" s="79">
        <f t="shared" si="66"/>
        <v>1</v>
      </c>
      <c r="AW392" s="79" t="str">
        <f>J392&amp;AU392</f>
        <v>IntegralB</v>
      </c>
      <c r="AX392" s="79">
        <f>IF(COUNTIFS(J:J,"Integral",E:E,E392,H:H,"Ativo")=4,1/4,1/10)</f>
        <v>0.1</v>
      </c>
      <c r="AY392" s="79"/>
      <c r="AZ392" s="79" t="b">
        <v>1</v>
      </c>
    </row>
    <row r="393" spans="1:52" ht="15.75" customHeight="1">
      <c r="A393" s="54">
        <v>414</v>
      </c>
      <c r="B393" s="401">
        <v>45157</v>
      </c>
      <c r="C393" s="32" t="s">
        <v>1294</v>
      </c>
      <c r="D393" s="32" t="s">
        <v>1312</v>
      </c>
      <c r="E393" s="32" t="s">
        <v>1296</v>
      </c>
      <c r="F393" s="32" t="s">
        <v>1313</v>
      </c>
      <c r="G393" s="60" t="s">
        <v>220</v>
      </c>
      <c r="H393" s="33" t="s">
        <v>90</v>
      </c>
      <c r="I393" s="34"/>
      <c r="J393" s="33" t="s">
        <v>6</v>
      </c>
      <c r="K393" s="56" t="s">
        <v>378</v>
      </c>
      <c r="L393" s="56" t="s">
        <v>378</v>
      </c>
      <c r="M393" s="386" t="s">
        <v>246</v>
      </c>
      <c r="N393" s="33" t="s">
        <v>68</v>
      </c>
      <c r="O393" s="33" t="s">
        <v>11</v>
      </c>
      <c r="P393" s="33" t="s">
        <v>1</v>
      </c>
      <c r="Q393" s="47"/>
      <c r="R393" s="47"/>
      <c r="S393" s="45" t="s">
        <v>145</v>
      </c>
      <c r="T393" s="45"/>
      <c r="U393" s="37">
        <v>45157</v>
      </c>
      <c r="V393" s="38">
        <f t="shared" si="67"/>
        <v>45157</v>
      </c>
      <c r="W393" s="50">
        <f>V393-U393</f>
        <v>0</v>
      </c>
      <c r="X393" s="261">
        <f>Y393*0.91</f>
        <v>269724.91000000003</v>
      </c>
      <c r="Y393" s="260">
        <v>296401</v>
      </c>
      <c r="Z393" s="263">
        <v>255185</v>
      </c>
      <c r="AA393" s="35" t="s">
        <v>999</v>
      </c>
      <c r="AB393" s="263"/>
      <c r="AC393" s="44">
        <f>ABS(X393/Y393-1)</f>
        <v>8.9999999999999858E-2</v>
      </c>
      <c r="AD393" s="62">
        <v>3.8100000000000002E-2</v>
      </c>
      <c r="AE393" s="41">
        <f t="shared" si="65"/>
        <v>5.1899999999999856E-2</v>
      </c>
      <c r="AF393" s="42"/>
      <c r="AG393" s="40">
        <f>IF((X393*AE393)&lt;0,0,(X393*AE393))</f>
        <v>13998.722828999962</v>
      </c>
      <c r="AH393" s="65">
        <f t="shared" si="62"/>
        <v>41216</v>
      </c>
      <c r="AI393" s="66">
        <f>AH393/X393</f>
        <v>0.15280754009705663</v>
      </c>
      <c r="AJ393" s="66">
        <f t="shared" si="63"/>
        <v>0.15280754009705663</v>
      </c>
      <c r="AK393" s="65">
        <f>AF393*X393</f>
        <v>0</v>
      </c>
      <c r="AL393" s="40">
        <f t="shared" si="57"/>
        <v>41216</v>
      </c>
      <c r="AM393" s="242">
        <f t="shared" si="68"/>
        <v>45169</v>
      </c>
      <c r="AN393" s="242" t="str">
        <f>IF(AQ393="x","",IF(AQ393="x",AM393,IF(EOMONTH(I393,0)=31,"",EOMONTH(I393,0))))</f>
        <v/>
      </c>
      <c r="AO393" s="79">
        <f>IFERROR(IF(VLOOKUP(C393,C394:C994,1,0)=0,1,0),1)</f>
        <v>0</v>
      </c>
      <c r="AP393" s="79"/>
      <c r="AQ393" s="243" t="str">
        <f t="shared" si="64"/>
        <v/>
      </c>
      <c r="AR393" s="242" t="b">
        <f>IF(AQ393="x",EOMONTH(I393,0))</f>
        <v>0</v>
      </c>
      <c r="AS393" s="79">
        <f t="shared" si="58"/>
        <v>1</v>
      </c>
      <c r="AT393" s="79">
        <f t="shared" si="59"/>
        <v>1</v>
      </c>
      <c r="AU393" s="79" t="str">
        <f t="shared" si="60"/>
        <v>B</v>
      </c>
      <c r="AV393" s="79">
        <f t="shared" si="66"/>
        <v>1</v>
      </c>
      <c r="AW393" s="79" t="str">
        <f>J393&amp;AU393</f>
        <v>IntegralB</v>
      </c>
      <c r="AX393" s="79">
        <f>IF(COUNTIFS(J:J,"Integral",E:E,E393,H:H,"Ativo")=4,1/4,1/10)</f>
        <v>0.1</v>
      </c>
      <c r="AY393" s="79"/>
      <c r="AZ393" s="79" t="b">
        <v>1</v>
      </c>
    </row>
    <row r="394" spans="1:52" ht="15.75" customHeight="1">
      <c r="A394" s="54">
        <v>415</v>
      </c>
      <c r="B394" s="401">
        <v>45157</v>
      </c>
      <c r="C394" s="32" t="s">
        <v>1294</v>
      </c>
      <c r="D394" s="32" t="s">
        <v>1314</v>
      </c>
      <c r="E394" s="32" t="s">
        <v>1296</v>
      </c>
      <c r="F394" s="32" t="s">
        <v>1315</v>
      </c>
      <c r="G394" s="60" t="s">
        <v>220</v>
      </c>
      <c r="H394" s="33" t="s">
        <v>90</v>
      </c>
      <c r="I394" s="34"/>
      <c r="J394" s="33" t="s">
        <v>6</v>
      </c>
      <c r="K394" s="56" t="s">
        <v>378</v>
      </c>
      <c r="L394" s="56" t="s">
        <v>378</v>
      </c>
      <c r="M394" s="386" t="s">
        <v>246</v>
      </c>
      <c r="N394" s="33" t="s">
        <v>68</v>
      </c>
      <c r="O394" s="33" t="s">
        <v>11</v>
      </c>
      <c r="P394" s="33" t="s">
        <v>1</v>
      </c>
      <c r="Q394" s="47"/>
      <c r="R394" s="47"/>
      <c r="S394" s="45" t="s">
        <v>145</v>
      </c>
      <c r="T394" s="45"/>
      <c r="U394" s="37">
        <v>45157</v>
      </c>
      <c r="V394" s="38">
        <f t="shared" si="67"/>
        <v>45157</v>
      </c>
      <c r="W394" s="50">
        <f>V394-U394</f>
        <v>0</v>
      </c>
      <c r="X394" s="261">
        <f>Y394*0.91</f>
        <v>269724.91000000003</v>
      </c>
      <c r="Y394" s="260">
        <v>296401</v>
      </c>
      <c r="Z394" s="263">
        <v>255185</v>
      </c>
      <c r="AA394" s="35" t="s">
        <v>999</v>
      </c>
      <c r="AB394" s="263"/>
      <c r="AC394" s="44">
        <f>ABS(X394/Y394-1)</f>
        <v>8.9999999999999858E-2</v>
      </c>
      <c r="AD394" s="62">
        <v>3.8100000000000002E-2</v>
      </c>
      <c r="AE394" s="41">
        <f t="shared" si="65"/>
        <v>5.1899999999999856E-2</v>
      </c>
      <c r="AF394" s="42"/>
      <c r="AG394" s="40">
        <f>IF((X394*AE394)&lt;0,0,(X394*AE394))</f>
        <v>13998.722828999962</v>
      </c>
      <c r="AH394" s="65">
        <f t="shared" si="62"/>
        <v>41216</v>
      </c>
      <c r="AI394" s="66">
        <f>AH394/X394</f>
        <v>0.15280754009705663</v>
      </c>
      <c r="AJ394" s="66">
        <f t="shared" si="63"/>
        <v>0.15280754009705663</v>
      </c>
      <c r="AK394" s="65">
        <f>AF394*X394</f>
        <v>0</v>
      </c>
      <c r="AL394" s="40">
        <f t="shared" si="57"/>
        <v>41216</v>
      </c>
      <c r="AM394" s="242">
        <f t="shared" si="68"/>
        <v>45169</v>
      </c>
      <c r="AN394" s="242" t="str">
        <f>IF(AQ394="x","",IF(AQ394="x",AM394,IF(EOMONTH(I394,0)=31,"",EOMONTH(I394,0))))</f>
        <v/>
      </c>
      <c r="AO394" s="79">
        <f>IFERROR(IF(VLOOKUP(C394,C395:C995,1,0)=0,1,0),1)</f>
        <v>1</v>
      </c>
      <c r="AP394" s="79"/>
      <c r="AQ394" s="243" t="str">
        <f t="shared" si="64"/>
        <v/>
      </c>
      <c r="AR394" s="242" t="b">
        <f>IF(AQ394="x",EOMONTH(I394,0))</f>
        <v>0</v>
      </c>
      <c r="AS394" s="79">
        <f t="shared" si="58"/>
        <v>1</v>
      </c>
      <c r="AT394" s="79">
        <f t="shared" si="59"/>
        <v>1</v>
      </c>
      <c r="AU394" s="79" t="str">
        <f t="shared" si="60"/>
        <v>B</v>
      </c>
      <c r="AV394" s="79">
        <f t="shared" si="66"/>
        <v>1</v>
      </c>
      <c r="AW394" s="79" t="str">
        <f>J394&amp;AU394</f>
        <v>IntegralB</v>
      </c>
      <c r="AX394" s="79">
        <f>IF(COUNTIFS(J:J,"Integral",E:E,E394,H:H,"Ativo")=4,1/4,1/10)</f>
        <v>0.1</v>
      </c>
      <c r="AY394" s="79"/>
      <c r="AZ394" s="79" t="b">
        <v>1</v>
      </c>
    </row>
    <row r="395" spans="1:52" ht="15.75" customHeight="1">
      <c r="A395" s="54">
        <v>416</v>
      </c>
      <c r="B395" s="403">
        <v>45162</v>
      </c>
      <c r="C395" s="32" t="s">
        <v>1316</v>
      </c>
      <c r="D395" s="32" t="s">
        <v>1317</v>
      </c>
      <c r="E395" s="32" t="s">
        <v>1278</v>
      </c>
      <c r="F395" s="32" t="s">
        <v>1318</v>
      </c>
      <c r="G395" s="60" t="s">
        <v>220</v>
      </c>
      <c r="H395" s="33" t="s">
        <v>90</v>
      </c>
      <c r="I395" s="34"/>
      <c r="J395" s="33">
        <v>6</v>
      </c>
      <c r="K395" s="56" t="s">
        <v>1319</v>
      </c>
      <c r="L395" s="56" t="s">
        <v>1319</v>
      </c>
      <c r="M395" s="386" t="s">
        <v>1259</v>
      </c>
      <c r="N395" s="33" t="s">
        <v>68</v>
      </c>
      <c r="O395" s="33" t="s">
        <v>10</v>
      </c>
      <c r="P395" s="33" t="s">
        <v>1</v>
      </c>
      <c r="Q395" s="47"/>
      <c r="R395" s="47"/>
      <c r="S395" s="45" t="s">
        <v>143</v>
      </c>
      <c r="T395" s="45"/>
      <c r="U395" s="37">
        <v>45157</v>
      </c>
      <c r="V395" s="38">
        <f t="shared" si="67"/>
        <v>45162</v>
      </c>
      <c r="W395" s="50">
        <f>V395-U395</f>
        <v>5</v>
      </c>
      <c r="X395" s="261">
        <f>Y395*0.91</f>
        <v>353080</v>
      </c>
      <c r="Y395" s="260">
        <v>388000</v>
      </c>
      <c r="Z395" s="263">
        <v>286600</v>
      </c>
      <c r="AA395" s="56" t="s">
        <v>1250</v>
      </c>
      <c r="AB395" s="263"/>
      <c r="AC395" s="44">
        <f>ABS(X395/Y395-1)</f>
        <v>8.9999999999999969E-2</v>
      </c>
      <c r="AD395" s="62">
        <v>4.3799999999999999E-2</v>
      </c>
      <c r="AE395" s="41">
        <f t="shared" si="65"/>
        <v>4.619999999999997E-2</v>
      </c>
      <c r="AF395" s="42"/>
      <c r="AG395" s="40">
        <f>IF((X395*AE395)&lt;0,0,(X395*AE395))</f>
        <v>16312.295999999989</v>
      </c>
      <c r="AH395" s="65">
        <f t="shared" si="62"/>
        <v>101400</v>
      </c>
      <c r="AI395" s="66">
        <f>AH395/X395</f>
        <v>0.28718703976435933</v>
      </c>
      <c r="AJ395" s="66">
        <f t="shared" si="63"/>
        <v>0.28718703976435933</v>
      </c>
      <c r="AK395" s="65">
        <f>AF395*X395</f>
        <v>0</v>
      </c>
      <c r="AL395" s="40">
        <f t="shared" si="57"/>
        <v>101400</v>
      </c>
      <c r="AM395" s="242">
        <f t="shared" si="68"/>
        <v>45169</v>
      </c>
      <c r="AN395" s="242" t="str">
        <f>IF(AQ395="x","",IF(AQ395="x",AM395,IF(EOMONTH(I395,0)=31,"",EOMONTH(I395,0))))</f>
        <v/>
      </c>
      <c r="AO395" s="79">
        <f>IFERROR(IF(VLOOKUP(C395,C396:C996,1,0)=0,1,0),1)</f>
        <v>1</v>
      </c>
      <c r="AP395" s="79"/>
      <c r="AQ395" s="243" t="str">
        <f t="shared" si="64"/>
        <v/>
      </c>
      <c r="AR395" s="242" t="b">
        <f>IF(AQ395="x",EOMONTH(I395,0))</f>
        <v>0</v>
      </c>
      <c r="AS395" s="79">
        <f t="shared" si="58"/>
        <v>1</v>
      </c>
      <c r="AT395" s="79">
        <f t="shared" si="59"/>
        <v>1</v>
      </c>
      <c r="AU395" s="79" t="str">
        <f t="shared" si="60"/>
        <v>B</v>
      </c>
      <c r="AV395" s="79">
        <f t="shared" si="66"/>
        <v>1</v>
      </c>
      <c r="AW395" s="79" t="str">
        <f>J395&amp;AU395</f>
        <v>6B</v>
      </c>
      <c r="AX395" s="79">
        <f>IF(COUNTIFS(J:J,"Integral",E:E,E395,H:H,"Ativo")=4,1/4,1/10)</f>
        <v>0.1</v>
      </c>
      <c r="AY395" s="79" t="s">
        <v>1320</v>
      </c>
      <c r="AZ395" s="79" t="b">
        <v>1</v>
      </c>
    </row>
    <row r="396" spans="1:52" ht="15.75" customHeight="1">
      <c r="A396" s="54">
        <v>417</v>
      </c>
      <c r="B396" s="403">
        <v>45162</v>
      </c>
      <c r="C396" s="32" t="s">
        <v>1321</v>
      </c>
      <c r="D396" s="32" t="s">
        <v>1322</v>
      </c>
      <c r="E396" s="32" t="s">
        <v>1278</v>
      </c>
      <c r="F396" s="32" t="s">
        <v>1323</v>
      </c>
      <c r="G396" s="60" t="s">
        <v>220</v>
      </c>
      <c r="H396" s="33" t="s">
        <v>90</v>
      </c>
      <c r="I396" s="34"/>
      <c r="J396" s="33">
        <v>6</v>
      </c>
      <c r="K396" s="35" t="s">
        <v>977</v>
      </c>
      <c r="L396" s="35" t="s">
        <v>977</v>
      </c>
      <c r="M396" s="386" t="s">
        <v>1259</v>
      </c>
      <c r="N396" s="33" t="s">
        <v>68</v>
      </c>
      <c r="O396" s="33" t="s">
        <v>12</v>
      </c>
      <c r="P396" s="33" t="s">
        <v>2</v>
      </c>
      <c r="Q396" s="47"/>
      <c r="R396" s="47"/>
      <c r="S396" s="45" t="s">
        <v>161</v>
      </c>
      <c r="T396" s="45"/>
      <c r="U396" s="37">
        <v>45160</v>
      </c>
      <c r="V396" s="38">
        <f t="shared" si="67"/>
        <v>45162</v>
      </c>
      <c r="W396" s="50">
        <f>V396-U396</f>
        <v>2</v>
      </c>
      <c r="X396" s="261">
        <f>Y396*0.91</f>
        <v>353080</v>
      </c>
      <c r="Y396" s="260">
        <v>388000</v>
      </c>
      <c r="Z396" s="263">
        <v>367810</v>
      </c>
      <c r="AA396" s="56"/>
      <c r="AB396" s="263"/>
      <c r="AC396" s="44">
        <f>ABS(X396/Y396-1)</f>
        <v>8.9999999999999969E-2</v>
      </c>
      <c r="AD396" s="62">
        <v>2.29E-2</v>
      </c>
      <c r="AE396" s="41">
        <f t="shared" si="65"/>
        <v>6.7099999999999965E-2</v>
      </c>
      <c r="AF396" s="42"/>
      <c r="AG396" s="40">
        <f>IF((X396*AE396)&lt;0,0,(X396*AE396))</f>
        <v>23691.667999999987</v>
      </c>
      <c r="AH396" s="65">
        <f t="shared" si="62"/>
        <v>20190</v>
      </c>
      <c r="AI396" s="66">
        <f>AH396/X396</f>
        <v>5.7182508213436047E-2</v>
      </c>
      <c r="AJ396" s="66">
        <f t="shared" si="63"/>
        <v>5.7182508213436047E-2</v>
      </c>
      <c r="AK396" s="65">
        <f>AF396*X396</f>
        <v>0</v>
      </c>
      <c r="AL396" s="40">
        <f t="shared" si="57"/>
        <v>20190</v>
      </c>
      <c r="AM396" s="242">
        <f t="shared" si="68"/>
        <v>45169</v>
      </c>
      <c r="AN396" s="242" t="str">
        <f>IF(AQ396="x","",IF(AQ396="x",AM396,IF(EOMONTH(I396,0)=31,"",EOMONTH(I396,0))))</f>
        <v/>
      </c>
      <c r="AO396" s="79">
        <f>IFERROR(IF(VLOOKUP(C396,C397:C997,1,0)=0,1,0),1)</f>
        <v>1</v>
      </c>
      <c r="AP396" s="79"/>
      <c r="AQ396" s="243" t="str">
        <f t="shared" si="64"/>
        <v/>
      </c>
      <c r="AR396" s="242" t="b">
        <f>IF(AQ396="x",EOMONTH(I396,0))</f>
        <v>0</v>
      </c>
      <c r="AS396" s="79">
        <f t="shared" si="58"/>
        <v>1</v>
      </c>
      <c r="AT396" s="79">
        <f t="shared" si="59"/>
        <v>1</v>
      </c>
      <c r="AU396" s="79" t="str">
        <f t="shared" si="60"/>
        <v>B</v>
      </c>
      <c r="AV396" s="79">
        <f t="shared" si="66"/>
        <v>1</v>
      </c>
      <c r="AW396" s="79" t="str">
        <f>J396&amp;AU396</f>
        <v>6B</v>
      </c>
      <c r="AX396" s="79">
        <f>IF(COUNTIFS(J:J,"Integral",E:E,E396,H:H,"Ativo")=4,1/4,1/10)</f>
        <v>0.1</v>
      </c>
      <c r="AY396" s="79" t="s">
        <v>1324</v>
      </c>
      <c r="AZ396" s="79" t="b">
        <v>1</v>
      </c>
    </row>
    <row r="397" spans="1:52" ht="14.25" customHeight="1">
      <c r="A397" s="54">
        <v>418</v>
      </c>
      <c r="B397" s="401">
        <v>45162</v>
      </c>
      <c r="C397" s="32" t="s">
        <v>1325</v>
      </c>
      <c r="D397" s="32" t="s">
        <v>1326</v>
      </c>
      <c r="E397" s="32" t="s">
        <v>1278</v>
      </c>
      <c r="F397" s="32" t="s">
        <v>1327</v>
      </c>
      <c r="G397" s="60" t="s">
        <v>220</v>
      </c>
      <c r="H397" s="33" t="s">
        <v>337</v>
      </c>
      <c r="I397" s="34">
        <v>45565</v>
      </c>
      <c r="J397" s="33">
        <v>6</v>
      </c>
      <c r="K397" s="35" t="s">
        <v>1154</v>
      </c>
      <c r="L397" s="35" t="s">
        <v>1154</v>
      </c>
      <c r="M397" s="386" t="s">
        <v>246</v>
      </c>
      <c r="N397" s="33" t="s">
        <v>68</v>
      </c>
      <c r="O397" s="33" t="s">
        <v>12</v>
      </c>
      <c r="P397" s="33" t="s">
        <v>1</v>
      </c>
      <c r="Q397" s="47"/>
      <c r="R397" s="47"/>
      <c r="S397" s="45" t="s">
        <v>145</v>
      </c>
      <c r="T397" s="45"/>
      <c r="U397" s="37">
        <v>45159</v>
      </c>
      <c r="V397" s="38">
        <f t="shared" si="67"/>
        <v>45162</v>
      </c>
      <c r="W397" s="50">
        <f>V397-U397</f>
        <v>3</v>
      </c>
      <c r="X397" s="261">
        <f>Y397*0.91</f>
        <v>353080</v>
      </c>
      <c r="Y397" s="260">
        <v>388000</v>
      </c>
      <c r="Z397" s="263">
        <v>371600</v>
      </c>
      <c r="AA397" s="56" t="s">
        <v>1246</v>
      </c>
      <c r="AB397" s="263"/>
      <c r="AC397" s="44">
        <f>ABS(X397/Y397-1)</f>
        <v>8.9999999999999969E-2</v>
      </c>
      <c r="AD397" s="62">
        <v>2.0000000000000001E-4</v>
      </c>
      <c r="AE397" s="41">
        <f t="shared" si="65"/>
        <v>8.9799999999999963E-2</v>
      </c>
      <c r="AF397" s="42"/>
      <c r="AG397" s="40">
        <f>IF((X397*AE397)&lt;0,0,(X397*AE397))</f>
        <v>31706.583999999988</v>
      </c>
      <c r="AH397" s="65">
        <f t="shared" si="62"/>
        <v>16400</v>
      </c>
      <c r="AI397" s="66">
        <f>AH397/X397</f>
        <v>4.6448396963860883E-2</v>
      </c>
      <c r="AJ397" s="66">
        <f t="shared" si="63"/>
        <v>4.6448396963860883E-2</v>
      </c>
      <c r="AK397" s="65">
        <f>AF397*X397</f>
        <v>0</v>
      </c>
      <c r="AL397" s="40">
        <f t="shared" si="57"/>
        <v>16400</v>
      </c>
      <c r="AM397" s="242">
        <f t="shared" si="68"/>
        <v>45169</v>
      </c>
      <c r="AN397" s="242">
        <f>IF(AQ397="x","",IF(AQ397="x",AM397,IF(EOMONTH(I397,0)=31,"",EOMONTH(I397,0))))</f>
        <v>45565</v>
      </c>
      <c r="AO397" s="79">
        <v>1</v>
      </c>
      <c r="AP397" s="79"/>
      <c r="AQ397" s="243" t="str">
        <f t="shared" si="64"/>
        <v/>
      </c>
      <c r="AR397" s="242" t="b">
        <f>IF(AQ397="x",EOMONTH(I397,0))</f>
        <v>0</v>
      </c>
      <c r="AS397" s="79">
        <f t="shared" si="58"/>
        <v>1</v>
      </c>
      <c r="AT397" s="79">
        <f t="shared" si="59"/>
        <v>1</v>
      </c>
      <c r="AU397" s="79" t="str">
        <f t="shared" si="60"/>
        <v>B</v>
      </c>
      <c r="AV397" s="79">
        <f t="shared" si="66"/>
        <v>1</v>
      </c>
      <c r="AW397" s="79" t="str">
        <f>J397&amp;AU397</f>
        <v>6B</v>
      </c>
      <c r="AX397" s="79">
        <f>IF(COUNTIFS(J:J,"Integral",E:E,E397,H:H,"Ativo")=4,1/4,1/10)</f>
        <v>0.1</v>
      </c>
      <c r="AY397" s="79" t="s">
        <v>1320</v>
      </c>
      <c r="AZ397" s="79" t="b">
        <v>1</v>
      </c>
    </row>
    <row r="398" spans="1:52" ht="15" customHeight="1">
      <c r="A398" s="54">
        <v>419</v>
      </c>
      <c r="B398" s="402">
        <v>45167</v>
      </c>
      <c r="C398" s="32" t="s">
        <v>1328</v>
      </c>
      <c r="D398" s="32" t="s">
        <v>1329</v>
      </c>
      <c r="E398" s="32" t="s">
        <v>1330</v>
      </c>
      <c r="F398" s="32" t="s">
        <v>1331</v>
      </c>
      <c r="G398" s="60" t="s">
        <v>220</v>
      </c>
      <c r="H398" s="33" t="s">
        <v>90</v>
      </c>
      <c r="I398" s="34"/>
      <c r="J398" s="33">
        <v>6</v>
      </c>
      <c r="K398" s="35" t="s">
        <v>1165</v>
      </c>
      <c r="L398" s="35" t="s">
        <v>1165</v>
      </c>
      <c r="M398" s="386" t="s">
        <v>1259</v>
      </c>
      <c r="N398" s="33" t="s">
        <v>68</v>
      </c>
      <c r="O398" s="33" t="s">
        <v>11</v>
      </c>
      <c r="P398" s="33" t="s">
        <v>2</v>
      </c>
      <c r="Q398" s="47"/>
      <c r="R398" s="47"/>
      <c r="S398" s="45" t="s">
        <v>143</v>
      </c>
      <c r="T398" s="45"/>
      <c r="U398" s="37">
        <v>45132</v>
      </c>
      <c r="V398" s="38">
        <f t="shared" si="67"/>
        <v>45167</v>
      </c>
      <c r="W398" s="50">
        <f>V398-U398</f>
        <v>35</v>
      </c>
      <c r="X398" s="261">
        <f>Y398*0.91</f>
        <v>368550</v>
      </c>
      <c r="Y398" s="260">
        <v>405000</v>
      </c>
      <c r="Z398" s="263">
        <v>350400</v>
      </c>
      <c r="AA398" s="56"/>
      <c r="AB398" s="263"/>
      <c r="AC398" s="44">
        <f>ABS(X398/Y398-1)</f>
        <v>8.9999999999999969E-2</v>
      </c>
      <c r="AD398" s="62">
        <v>-1.1999999999999999E-3</v>
      </c>
      <c r="AE398" s="41">
        <f t="shared" si="65"/>
        <v>9.1199999999999976E-2</v>
      </c>
      <c r="AF398" s="42"/>
      <c r="AG398" s="40">
        <f>IF((X398*AE398)&lt;0,0,(X398*AE398))</f>
        <v>33611.759999999987</v>
      </c>
      <c r="AH398" s="65">
        <f t="shared" si="62"/>
        <v>54600</v>
      </c>
      <c r="AI398" s="66">
        <f>AH398/X398</f>
        <v>0.14814814814814814</v>
      </c>
      <c r="AJ398" s="66">
        <f t="shared" si="63"/>
        <v>0.14814814814814814</v>
      </c>
      <c r="AK398" s="65">
        <f>AF398*X398</f>
        <v>0</v>
      </c>
      <c r="AL398" s="40">
        <f t="shared" si="57"/>
        <v>54600</v>
      </c>
      <c r="AM398" s="242">
        <f t="shared" si="68"/>
        <v>45169</v>
      </c>
      <c r="AN398" s="242" t="str">
        <f>IF(AQ398="x","",IF(AQ398="x",AM398,IF(EOMONTH(I398,0)=31,"",EOMONTH(I398,0))))</f>
        <v/>
      </c>
      <c r="AO398" s="79">
        <f>IFERROR(IF(VLOOKUP(C398,C399:C999,1,0)=0,1,0),1)</f>
        <v>1</v>
      </c>
      <c r="AP398" s="79"/>
      <c r="AQ398" s="243" t="str">
        <f t="shared" si="64"/>
        <v/>
      </c>
      <c r="AR398" s="242" t="b">
        <f>IF(AQ398="x",EOMONTH(I398,0))</f>
        <v>0</v>
      </c>
      <c r="AS398" s="79">
        <f t="shared" si="58"/>
        <v>1</v>
      </c>
      <c r="AT398" s="79">
        <f t="shared" si="59"/>
        <v>1</v>
      </c>
      <c r="AU398" s="79" t="str">
        <f t="shared" si="60"/>
        <v>B</v>
      </c>
      <c r="AV398" s="79">
        <f t="shared" si="66"/>
        <v>1</v>
      </c>
      <c r="AW398" s="79" t="str">
        <f>J398&amp;AU398</f>
        <v>6B</v>
      </c>
      <c r="AX398" s="79">
        <f>IF(COUNTIFS(J:J,"Integral",E:E,E398,H:H,"Ativo")=4,1/4,1/10)</f>
        <v>0.1</v>
      </c>
      <c r="AY398" s="79" t="s">
        <v>1332</v>
      </c>
      <c r="AZ398" s="79" t="b">
        <v>1</v>
      </c>
    </row>
    <row r="399" spans="1:52" ht="15.75" customHeight="1">
      <c r="A399" s="54">
        <v>420</v>
      </c>
      <c r="B399" s="403">
        <v>45167</v>
      </c>
      <c r="C399" s="32" t="s">
        <v>1333</v>
      </c>
      <c r="D399" s="32" t="s">
        <v>1334</v>
      </c>
      <c r="E399" s="32" t="s">
        <v>1238</v>
      </c>
      <c r="F399" s="32" t="s">
        <v>1335</v>
      </c>
      <c r="G399" s="60" t="s">
        <v>220</v>
      </c>
      <c r="H399" s="33" t="s">
        <v>90</v>
      </c>
      <c r="I399" s="34"/>
      <c r="J399" s="33">
        <v>6</v>
      </c>
      <c r="K399" s="35" t="s">
        <v>413</v>
      </c>
      <c r="L399" s="35" t="s">
        <v>413</v>
      </c>
      <c r="M399" s="386" t="s">
        <v>246</v>
      </c>
      <c r="N399" s="33" t="s">
        <v>68</v>
      </c>
      <c r="O399" s="33" t="s">
        <v>10</v>
      </c>
      <c r="P399" s="33" t="s">
        <v>1</v>
      </c>
      <c r="Q399" s="47"/>
      <c r="R399" s="47"/>
      <c r="S399" s="45" t="s">
        <v>147</v>
      </c>
      <c r="T399" s="45"/>
      <c r="U399" s="37">
        <v>45149</v>
      </c>
      <c r="V399" s="38">
        <f t="shared" si="67"/>
        <v>45167</v>
      </c>
      <c r="W399" s="50">
        <f>V399-U399</f>
        <v>18</v>
      </c>
      <c r="X399" s="261">
        <f>Y399*0.91</f>
        <v>374920</v>
      </c>
      <c r="Y399" s="260">
        <v>412000</v>
      </c>
      <c r="Z399" s="263">
        <v>304435</v>
      </c>
      <c r="AA399" s="56" t="s">
        <v>911</v>
      </c>
      <c r="AB399" s="263"/>
      <c r="AC399" s="44">
        <f>ABS(X399/Y399-1)</f>
        <v>8.9999999999999969E-2</v>
      </c>
      <c r="AD399" s="62">
        <v>2.98E-2</v>
      </c>
      <c r="AE399" s="41">
        <f t="shared" si="65"/>
        <v>6.0199999999999969E-2</v>
      </c>
      <c r="AF399" s="42"/>
      <c r="AG399" s="40">
        <f>IF((X399*AE399)&lt;0,0,(X399*AE399))</f>
        <v>22570.183999999987</v>
      </c>
      <c r="AH399" s="65">
        <f t="shared" si="62"/>
        <v>107565</v>
      </c>
      <c r="AI399" s="66">
        <f>AH399/X399</f>
        <v>0.28690120559052595</v>
      </c>
      <c r="AJ399" s="66">
        <f t="shared" si="63"/>
        <v>0.28690120559052595</v>
      </c>
      <c r="AK399" s="65">
        <f>AF399*X399</f>
        <v>0</v>
      </c>
      <c r="AL399" s="40">
        <f t="shared" si="57"/>
        <v>107565</v>
      </c>
      <c r="AM399" s="242">
        <f t="shared" si="68"/>
        <v>45169</v>
      </c>
      <c r="AN399" s="242" t="str">
        <f>IF(AQ399="x","",IF(AQ399="x",AM399,IF(EOMONTH(I399,0)=31,"",EOMONTH(I399,0))))</f>
        <v/>
      </c>
      <c r="AO399" s="79">
        <f>IFERROR(IF(VLOOKUP(C399,C400:C1000,1,0)=0,1,0),1)</f>
        <v>1</v>
      </c>
      <c r="AP399" s="79"/>
      <c r="AQ399" s="243" t="str">
        <f t="shared" si="64"/>
        <v/>
      </c>
      <c r="AR399" s="242" t="b">
        <f>IF(AQ399="x",EOMONTH(I399,0))</f>
        <v>0</v>
      </c>
      <c r="AS399" s="79">
        <f t="shared" si="58"/>
        <v>1</v>
      </c>
      <c r="AT399" s="79">
        <f t="shared" si="59"/>
        <v>1</v>
      </c>
      <c r="AU399" s="79" t="str">
        <f t="shared" si="60"/>
        <v>B</v>
      </c>
      <c r="AV399" s="79">
        <f t="shared" si="66"/>
        <v>1</v>
      </c>
      <c r="AW399" s="79" t="str">
        <f>J399&amp;AU399</f>
        <v>6B</v>
      </c>
      <c r="AX399" s="79">
        <f>IF(COUNTIFS(J:J,"Integral",E:E,E399,H:H,"Ativo")=4,1/4,1/10)</f>
        <v>0.1</v>
      </c>
      <c r="AY399" s="79" t="s">
        <v>1332</v>
      </c>
      <c r="AZ399" s="79" t="b">
        <v>1</v>
      </c>
    </row>
    <row r="400" spans="1:52" ht="15" customHeight="1">
      <c r="A400" s="54">
        <v>421</v>
      </c>
      <c r="B400" s="403">
        <v>45167</v>
      </c>
      <c r="C400" s="32" t="s">
        <v>1336</v>
      </c>
      <c r="D400" s="32" t="s">
        <v>1337</v>
      </c>
      <c r="E400" s="32" t="s">
        <v>807</v>
      </c>
      <c r="F400" s="32" t="s">
        <v>1338</v>
      </c>
      <c r="G400" s="60" t="s">
        <v>220</v>
      </c>
      <c r="H400" s="33" t="s">
        <v>90</v>
      </c>
      <c r="I400" s="34"/>
      <c r="J400" s="33">
        <v>6</v>
      </c>
      <c r="K400" s="35" t="s">
        <v>221</v>
      </c>
      <c r="L400" s="35" t="s">
        <v>221</v>
      </c>
      <c r="M400" s="67" t="s">
        <v>222</v>
      </c>
      <c r="N400" s="33" t="s">
        <v>72</v>
      </c>
      <c r="O400" s="33" t="s">
        <v>11</v>
      </c>
      <c r="P400" s="33" t="s">
        <v>83</v>
      </c>
      <c r="Q400" s="47" t="s">
        <v>97</v>
      </c>
      <c r="R400" s="47"/>
      <c r="S400" s="45" t="s">
        <v>155</v>
      </c>
      <c r="T400" s="45"/>
      <c r="U400" s="37">
        <v>45167</v>
      </c>
      <c r="V400" s="38">
        <f t="shared" si="67"/>
        <v>45167</v>
      </c>
      <c r="W400" s="50">
        <f>V400-U400</f>
        <v>0</v>
      </c>
      <c r="X400" s="261">
        <f>Y400*0.91</f>
        <v>340340</v>
      </c>
      <c r="Y400" s="260">
        <v>374000</v>
      </c>
      <c r="Z400" s="263">
        <v>248200.01</v>
      </c>
      <c r="AA400" s="56"/>
      <c r="AB400" s="263"/>
      <c r="AC400" s="44">
        <f>ABS(X400/Y400-1)</f>
        <v>8.9999999999999969E-2</v>
      </c>
      <c r="AD400" s="62">
        <v>0.2233</v>
      </c>
      <c r="AE400" s="41">
        <f t="shared" ref="AE400:AE431" si="69">AC400-AD400</f>
        <v>-0.13330000000000003</v>
      </c>
      <c r="AF400" s="42">
        <v>0.1333</v>
      </c>
      <c r="AG400" s="40">
        <f>IF((X400*AE400)&lt;0,0,(X400*AE400))</f>
        <v>0</v>
      </c>
      <c r="AH400" s="65">
        <f t="shared" si="62"/>
        <v>125799.98999999999</v>
      </c>
      <c r="AI400" s="66">
        <f>AH400/X400</f>
        <v>0.3696303402479873</v>
      </c>
      <c r="AJ400" s="66">
        <f t="shared" si="63"/>
        <v>0.2363303402479873</v>
      </c>
      <c r="AK400" s="65">
        <f>AF400*X400</f>
        <v>45367.322</v>
      </c>
      <c r="AL400" s="40">
        <f t="shared" si="57"/>
        <v>80432.667999999991</v>
      </c>
      <c r="AM400" s="242">
        <f t="shared" si="68"/>
        <v>45169</v>
      </c>
      <c r="AN400" s="242" t="str">
        <f>IF(AQ400="x","",IF(AQ400="x",AM400,IF(EOMONTH(I400,0)=31,"",EOMONTH(I400,0))))</f>
        <v/>
      </c>
      <c r="AO400" s="79">
        <f>IFERROR(IF(VLOOKUP(C400,C401:C1001,1,0)=0,1,0),1)</f>
        <v>0</v>
      </c>
      <c r="AP400" s="79"/>
      <c r="AQ400" s="243" t="str">
        <f t="shared" si="64"/>
        <v/>
      </c>
      <c r="AR400" s="242" t="b">
        <f>IF(AQ400="x",EOMONTH(I400,0))</f>
        <v>0</v>
      </c>
      <c r="AS400" s="79">
        <f t="shared" si="58"/>
        <v>1</v>
      </c>
      <c r="AT400" s="79">
        <f t="shared" si="59"/>
        <v>1</v>
      </c>
      <c r="AU400" s="79" t="str">
        <f t="shared" si="60"/>
        <v>B</v>
      </c>
      <c r="AV400" s="79">
        <f t="shared" si="66"/>
        <v>1</v>
      </c>
      <c r="AW400" s="79" t="str">
        <f>J400&amp;AU400</f>
        <v>6B</v>
      </c>
      <c r="AX400" s="79">
        <f>IF(COUNTIFS(J:J,"Integral",E:E,E400,H:H,"Ativo")=4,1/4,1/10)</f>
        <v>0.1</v>
      </c>
      <c r="AY400" s="79" t="s">
        <v>1324</v>
      </c>
      <c r="AZ400" s="79" t="b">
        <v>1</v>
      </c>
    </row>
    <row r="401" spans="1:52" ht="15" customHeight="1">
      <c r="A401" s="54">
        <v>422</v>
      </c>
      <c r="B401" s="403">
        <v>45167</v>
      </c>
      <c r="C401" s="32" t="s">
        <v>1336</v>
      </c>
      <c r="D401" s="32" t="s">
        <v>806</v>
      </c>
      <c r="E401" s="32" t="s">
        <v>807</v>
      </c>
      <c r="F401" s="32" t="s">
        <v>1339</v>
      </c>
      <c r="G401" s="60" t="s">
        <v>220</v>
      </c>
      <c r="H401" s="33" t="s">
        <v>90</v>
      </c>
      <c r="I401" s="34"/>
      <c r="J401" s="33">
        <v>6</v>
      </c>
      <c r="K401" s="35" t="s">
        <v>221</v>
      </c>
      <c r="L401" s="35" t="s">
        <v>221</v>
      </c>
      <c r="M401" s="67" t="s">
        <v>222</v>
      </c>
      <c r="N401" s="33" t="s">
        <v>72</v>
      </c>
      <c r="O401" s="33" t="s">
        <v>11</v>
      </c>
      <c r="P401" s="33" t="s">
        <v>83</v>
      </c>
      <c r="Q401" s="47" t="s">
        <v>97</v>
      </c>
      <c r="R401" s="47"/>
      <c r="S401" s="45" t="s">
        <v>155</v>
      </c>
      <c r="T401" s="45"/>
      <c r="U401" s="37">
        <v>45167</v>
      </c>
      <c r="V401" s="38">
        <f t="shared" si="67"/>
        <v>45167</v>
      </c>
      <c r="W401" s="50">
        <f>V401-U401</f>
        <v>0</v>
      </c>
      <c r="X401" s="261">
        <f>Y401*0.91</f>
        <v>340340</v>
      </c>
      <c r="Y401" s="260">
        <v>374000</v>
      </c>
      <c r="Z401" s="263">
        <v>248200.01</v>
      </c>
      <c r="AA401" s="56"/>
      <c r="AB401" s="263"/>
      <c r="AC401" s="44">
        <f>ABS(X401/Y401-1)</f>
        <v>8.9999999999999969E-2</v>
      </c>
      <c r="AD401" s="62">
        <v>0.223</v>
      </c>
      <c r="AE401" s="41">
        <f t="shared" si="69"/>
        <v>-0.13300000000000003</v>
      </c>
      <c r="AF401" s="42">
        <v>0.1333</v>
      </c>
      <c r="AG401" s="40">
        <f>IF((X401*AE401)&lt;0,0,(X401*AE401))</f>
        <v>0</v>
      </c>
      <c r="AH401" s="65">
        <f t="shared" si="62"/>
        <v>125799.98999999999</v>
      </c>
      <c r="AI401" s="66">
        <f>AH401/X401</f>
        <v>0.3696303402479873</v>
      </c>
      <c r="AJ401" s="66">
        <f t="shared" si="63"/>
        <v>0.2363303402479873</v>
      </c>
      <c r="AK401" s="65">
        <f>AF401*X401</f>
        <v>45367.322</v>
      </c>
      <c r="AL401" s="40">
        <f t="shared" si="57"/>
        <v>80432.667999999991</v>
      </c>
      <c r="AM401" s="242">
        <f t="shared" si="68"/>
        <v>45169</v>
      </c>
      <c r="AN401" s="242" t="str">
        <f>IF(AQ401="x","",IF(AQ401="x",AM401,IF(EOMONTH(I401,0)=31,"",EOMONTH(I401,0))))</f>
        <v/>
      </c>
      <c r="AO401" s="79">
        <f>IFERROR(IF(VLOOKUP(C401,C402:C1002,1,0)=0,1,0),1)</f>
        <v>1</v>
      </c>
      <c r="AP401" s="79"/>
      <c r="AQ401" s="243" t="str">
        <f t="shared" si="64"/>
        <v/>
      </c>
      <c r="AR401" s="242" t="b">
        <f>IF(AQ401="x",EOMONTH(I401,0))</f>
        <v>0</v>
      </c>
      <c r="AS401" s="79">
        <f t="shared" si="58"/>
        <v>1</v>
      </c>
      <c r="AT401" s="79">
        <f t="shared" si="59"/>
        <v>1</v>
      </c>
      <c r="AU401" s="79" t="str">
        <f t="shared" si="60"/>
        <v>B</v>
      </c>
      <c r="AV401" s="79">
        <f t="shared" si="66"/>
        <v>1</v>
      </c>
      <c r="AW401" s="79" t="str">
        <f>J401&amp;AU401</f>
        <v>6B</v>
      </c>
      <c r="AX401" s="79">
        <f>IF(COUNTIFS(J:J,"Integral",E:E,E401,H:H,"Ativo")=4,1/4,1/10)</f>
        <v>0.1</v>
      </c>
      <c r="AY401" s="79" t="s">
        <v>1324</v>
      </c>
      <c r="AZ401" s="79" t="b">
        <v>1</v>
      </c>
    </row>
    <row r="402" spans="1:52" ht="15" customHeight="1">
      <c r="A402" s="54">
        <v>423</v>
      </c>
      <c r="B402" s="403">
        <v>45167</v>
      </c>
      <c r="C402" s="32" t="s">
        <v>1340</v>
      </c>
      <c r="D402" s="32" t="s">
        <v>1341</v>
      </c>
      <c r="E402" s="32" t="s">
        <v>1342</v>
      </c>
      <c r="F402" s="32" t="s">
        <v>1343</v>
      </c>
      <c r="G402" s="60" t="s">
        <v>220</v>
      </c>
      <c r="H402" s="33" t="s">
        <v>90</v>
      </c>
      <c r="I402" s="34"/>
      <c r="J402" s="33">
        <v>6</v>
      </c>
      <c r="K402" s="35" t="s">
        <v>221</v>
      </c>
      <c r="L402" s="35" t="s">
        <v>221</v>
      </c>
      <c r="M402" s="67" t="s">
        <v>222</v>
      </c>
      <c r="N402" s="33" t="s">
        <v>72</v>
      </c>
      <c r="O402" s="33" t="s">
        <v>11</v>
      </c>
      <c r="P402" s="33" t="s">
        <v>83</v>
      </c>
      <c r="Q402" s="47" t="s">
        <v>97</v>
      </c>
      <c r="R402" s="47"/>
      <c r="S402" s="45" t="s">
        <v>147</v>
      </c>
      <c r="T402" s="45"/>
      <c r="U402" s="37">
        <v>45167</v>
      </c>
      <c r="V402" s="38">
        <f t="shared" si="67"/>
        <v>45167</v>
      </c>
      <c r="W402" s="50">
        <f>V402-U402</f>
        <v>0</v>
      </c>
      <c r="X402" s="261">
        <f>Y402*0.91</f>
        <v>340340</v>
      </c>
      <c r="Y402" s="260">
        <v>374000</v>
      </c>
      <c r="Z402" s="263">
        <v>248200.01</v>
      </c>
      <c r="AA402" s="56"/>
      <c r="AB402" s="263"/>
      <c r="AC402" s="44">
        <f>ABS(X402/Y402-1)</f>
        <v>8.9999999999999969E-2</v>
      </c>
      <c r="AD402" s="62">
        <v>0.223</v>
      </c>
      <c r="AE402" s="41">
        <f t="shared" si="69"/>
        <v>-0.13300000000000003</v>
      </c>
      <c r="AF402" s="42">
        <v>0.1333</v>
      </c>
      <c r="AG402" s="40">
        <f>IF((X402*AE402)&lt;0,0,(X402*AE402))</f>
        <v>0</v>
      </c>
      <c r="AH402" s="65">
        <f t="shared" si="62"/>
        <v>125799.98999999999</v>
      </c>
      <c r="AI402" s="66">
        <f>AH402/X402</f>
        <v>0.3696303402479873</v>
      </c>
      <c r="AJ402" s="66">
        <f t="shared" si="63"/>
        <v>0.2363303402479873</v>
      </c>
      <c r="AK402" s="65">
        <f>AF402*X402</f>
        <v>45367.322</v>
      </c>
      <c r="AL402" s="40">
        <f t="shared" si="57"/>
        <v>80432.667999999991</v>
      </c>
      <c r="AM402" s="242">
        <f t="shared" si="68"/>
        <v>45169</v>
      </c>
      <c r="AN402" s="242" t="str">
        <f>IF(AQ402="x","",IF(AQ402="x",AM402,IF(EOMONTH(I402,0)=31,"",EOMONTH(I402,0))))</f>
        <v/>
      </c>
      <c r="AO402" s="79">
        <f>IFERROR(IF(VLOOKUP(C402,C403:C1003,1,0)=0,1,0),1)</f>
        <v>0</v>
      </c>
      <c r="AP402" s="79"/>
      <c r="AQ402" s="243" t="str">
        <f t="shared" si="64"/>
        <v/>
      </c>
      <c r="AR402" s="242" t="b">
        <f>IF(AQ402="x",EOMONTH(I402,0))</f>
        <v>0</v>
      </c>
      <c r="AS402" s="79">
        <f t="shared" si="58"/>
        <v>1</v>
      </c>
      <c r="AT402" s="79">
        <f t="shared" si="59"/>
        <v>1</v>
      </c>
      <c r="AU402" s="79" t="str">
        <f t="shared" si="60"/>
        <v>B</v>
      </c>
      <c r="AV402" s="79">
        <f t="shared" si="66"/>
        <v>1</v>
      </c>
      <c r="AW402" s="79" t="str">
        <f>J402&amp;AU402</f>
        <v>6B</v>
      </c>
      <c r="AX402" s="79">
        <f>IF(COUNTIFS(J:J,"Integral",E:E,E402,H:H,"Ativo")=4,1/4,1/10)</f>
        <v>0.1</v>
      </c>
      <c r="AY402" s="79" t="s">
        <v>1324</v>
      </c>
      <c r="AZ402" s="79" t="b">
        <v>1</v>
      </c>
    </row>
    <row r="403" spans="1:52" ht="15" customHeight="1">
      <c r="A403" s="54">
        <v>424</v>
      </c>
      <c r="B403" s="403">
        <v>45167</v>
      </c>
      <c r="C403" s="32" t="s">
        <v>1340</v>
      </c>
      <c r="D403" s="32" t="s">
        <v>1344</v>
      </c>
      <c r="E403" s="32" t="s">
        <v>1342</v>
      </c>
      <c r="F403" s="32" t="s">
        <v>1345</v>
      </c>
      <c r="G403" s="60" t="s">
        <v>220</v>
      </c>
      <c r="H403" s="33" t="s">
        <v>90</v>
      </c>
      <c r="I403" s="34"/>
      <c r="J403" s="33">
        <v>6</v>
      </c>
      <c r="K403" s="35" t="s">
        <v>221</v>
      </c>
      <c r="L403" s="35" t="s">
        <v>221</v>
      </c>
      <c r="M403" s="67" t="s">
        <v>222</v>
      </c>
      <c r="N403" s="33" t="s">
        <v>72</v>
      </c>
      <c r="O403" s="33" t="s">
        <v>11</v>
      </c>
      <c r="P403" s="33" t="s">
        <v>83</v>
      </c>
      <c r="Q403" s="47" t="s">
        <v>97</v>
      </c>
      <c r="R403" s="47"/>
      <c r="S403" s="45" t="s">
        <v>147</v>
      </c>
      <c r="T403" s="45"/>
      <c r="U403" s="37">
        <v>45167</v>
      </c>
      <c r="V403" s="38">
        <f t="shared" si="67"/>
        <v>45167</v>
      </c>
      <c r="W403" s="50">
        <f>V403-U403</f>
        <v>0</v>
      </c>
      <c r="X403" s="261">
        <f>Y403*0.91</f>
        <v>340340</v>
      </c>
      <c r="Y403" s="260">
        <v>374000</v>
      </c>
      <c r="Z403" s="263">
        <v>248200.01</v>
      </c>
      <c r="AA403" s="56"/>
      <c r="AB403" s="263"/>
      <c r="AC403" s="44">
        <f>ABS(X403/Y403-1)</f>
        <v>8.9999999999999969E-2</v>
      </c>
      <c r="AD403" s="62">
        <v>0.223</v>
      </c>
      <c r="AE403" s="41">
        <f t="shared" si="69"/>
        <v>-0.13300000000000003</v>
      </c>
      <c r="AF403" s="42">
        <v>0.1333</v>
      </c>
      <c r="AG403" s="40">
        <f>IF((X403*AE403)&lt;0,0,(X403*AE403))</f>
        <v>0</v>
      </c>
      <c r="AH403" s="65">
        <f t="shared" si="62"/>
        <v>125799.98999999999</v>
      </c>
      <c r="AI403" s="66">
        <f>AH403/X403</f>
        <v>0.3696303402479873</v>
      </c>
      <c r="AJ403" s="66">
        <f t="shared" si="63"/>
        <v>0.2363303402479873</v>
      </c>
      <c r="AK403" s="65">
        <f>AF403*X403</f>
        <v>45367.322</v>
      </c>
      <c r="AL403" s="40">
        <f t="shared" si="57"/>
        <v>80432.667999999991</v>
      </c>
      <c r="AM403" s="242">
        <f t="shared" si="68"/>
        <v>45169</v>
      </c>
      <c r="AN403" s="242" t="str">
        <f>IF(AQ403="x","",IF(AQ403="x",AM403,IF(EOMONTH(I403,0)=31,"",EOMONTH(I403,0))))</f>
        <v/>
      </c>
      <c r="AO403" s="79">
        <f>IFERROR(IF(VLOOKUP(C403,C404:C1004,1,0)=0,1,0),1)</f>
        <v>1</v>
      </c>
      <c r="AP403" s="79"/>
      <c r="AQ403" s="243" t="str">
        <f t="shared" si="64"/>
        <v/>
      </c>
      <c r="AR403" s="242" t="b">
        <f>IF(AQ403="x",EOMONTH(I403,0))</f>
        <v>0</v>
      </c>
      <c r="AS403" s="79">
        <f t="shared" si="58"/>
        <v>1</v>
      </c>
      <c r="AT403" s="79">
        <f t="shared" si="59"/>
        <v>1</v>
      </c>
      <c r="AU403" s="79" t="str">
        <f t="shared" si="60"/>
        <v>B</v>
      </c>
      <c r="AV403" s="79">
        <f t="shared" si="66"/>
        <v>1</v>
      </c>
      <c r="AW403" s="79" t="str">
        <f>J403&amp;AU403</f>
        <v>6B</v>
      </c>
      <c r="AX403" s="79">
        <f>IF(COUNTIFS(J:J,"Integral",E:E,E403,H:H,"Ativo")=4,1/4,1/10)</f>
        <v>0.1</v>
      </c>
      <c r="AY403" s="79" t="s">
        <v>1324</v>
      </c>
      <c r="AZ403" s="79" t="b">
        <v>1</v>
      </c>
    </row>
    <row r="404" spans="1:52" ht="15" customHeight="1">
      <c r="A404" s="54">
        <v>425</v>
      </c>
      <c r="B404" s="403">
        <v>45167</v>
      </c>
      <c r="C404" s="32" t="s">
        <v>1035</v>
      </c>
      <c r="D404" s="32" t="s">
        <v>1346</v>
      </c>
      <c r="E404" s="32" t="s">
        <v>1342</v>
      </c>
      <c r="F404" s="32" t="s">
        <v>1347</v>
      </c>
      <c r="G404" s="60" t="s">
        <v>220</v>
      </c>
      <c r="H404" s="33" t="s">
        <v>90</v>
      </c>
      <c r="I404" s="34"/>
      <c r="J404" s="33">
        <v>6</v>
      </c>
      <c r="K404" s="35" t="s">
        <v>221</v>
      </c>
      <c r="L404" s="35" t="s">
        <v>221</v>
      </c>
      <c r="M404" s="67" t="s">
        <v>222</v>
      </c>
      <c r="N404" s="33" t="s">
        <v>72</v>
      </c>
      <c r="O404" s="33" t="s">
        <v>11</v>
      </c>
      <c r="P404" s="33" t="s">
        <v>83</v>
      </c>
      <c r="Q404" s="47" t="s">
        <v>97</v>
      </c>
      <c r="R404" s="47"/>
      <c r="S404" s="45" t="s">
        <v>147</v>
      </c>
      <c r="T404" s="45"/>
      <c r="U404" s="37">
        <v>45167</v>
      </c>
      <c r="V404" s="38">
        <f t="shared" si="67"/>
        <v>45167</v>
      </c>
      <c r="W404" s="50">
        <f>V404-U404</f>
        <v>0</v>
      </c>
      <c r="X404" s="261">
        <f>Y404*0.91</f>
        <v>340340</v>
      </c>
      <c r="Y404" s="260">
        <v>374000</v>
      </c>
      <c r="Z404" s="263">
        <v>248199.92</v>
      </c>
      <c r="AA404" s="56"/>
      <c r="AB404" s="263"/>
      <c r="AC404" s="44">
        <f>ABS(X404/Y404-1)</f>
        <v>8.9999999999999969E-2</v>
      </c>
      <c r="AD404" s="62">
        <v>0.223</v>
      </c>
      <c r="AE404" s="41">
        <f t="shared" si="69"/>
        <v>-0.13300000000000003</v>
      </c>
      <c r="AF404" s="42">
        <v>0.1333</v>
      </c>
      <c r="AG404" s="40">
        <f>IF((X404*AE404)&lt;0,0,(X404*AE404))</f>
        <v>0</v>
      </c>
      <c r="AH404" s="65">
        <f t="shared" si="62"/>
        <v>125800.07999999999</v>
      </c>
      <c r="AI404" s="66">
        <f>AH404/X404</f>
        <v>0.36963060468942815</v>
      </c>
      <c r="AJ404" s="66">
        <f t="shared" si="63"/>
        <v>0.23633060468942815</v>
      </c>
      <c r="AK404" s="65">
        <f>AF404*X404</f>
        <v>45367.322</v>
      </c>
      <c r="AL404" s="40">
        <f t="shared" ref="AL404:AL467" si="70">AH404-AK404</f>
        <v>80432.757999999987</v>
      </c>
      <c r="AM404" s="242">
        <f t="shared" si="68"/>
        <v>45169</v>
      </c>
      <c r="AN404" s="242" t="str">
        <f>IF(AQ404="x","",IF(AQ404="x",AM404,IF(EOMONTH(I404,0)=31,"",EOMONTH(I404,0))))</f>
        <v/>
      </c>
      <c r="AO404" s="79">
        <f>IFERROR(IF(VLOOKUP(C404,C405:C1005,1,0)=0,1,0),1)</f>
        <v>1</v>
      </c>
      <c r="AP404" s="79"/>
      <c r="AQ404" s="243" t="str">
        <f t="shared" si="64"/>
        <v/>
      </c>
      <c r="AR404" s="242" t="b">
        <f>IF(AQ404="x",EOMONTH(I404,0))</f>
        <v>0</v>
      </c>
      <c r="AS404" s="79">
        <f t="shared" si="58"/>
        <v>1</v>
      </c>
      <c r="AT404" s="79">
        <f t="shared" si="59"/>
        <v>1</v>
      </c>
      <c r="AU404" s="79" t="str">
        <f t="shared" si="60"/>
        <v>B</v>
      </c>
      <c r="AV404" s="79">
        <f t="shared" si="66"/>
        <v>1</v>
      </c>
      <c r="AW404" s="79" t="str">
        <f>J404&amp;AU404</f>
        <v>6B</v>
      </c>
      <c r="AX404" s="79">
        <f>IF(COUNTIFS(J:J,"Integral",E:E,E404,H:H,"Ativo")=4,1/4,1/10)</f>
        <v>0.1</v>
      </c>
      <c r="AY404" s="79" t="s">
        <v>1324</v>
      </c>
      <c r="AZ404" s="79" t="b">
        <v>1</v>
      </c>
    </row>
    <row r="405" spans="1:52" ht="15" customHeight="1">
      <c r="A405" s="54">
        <v>426</v>
      </c>
      <c r="B405" s="403">
        <v>45169</v>
      </c>
      <c r="C405" s="32" t="s">
        <v>1348</v>
      </c>
      <c r="D405" s="32" t="s">
        <v>1349</v>
      </c>
      <c r="E405" s="32" t="s">
        <v>1278</v>
      </c>
      <c r="F405" s="32" t="s">
        <v>1350</v>
      </c>
      <c r="G405" s="60" t="s">
        <v>220</v>
      </c>
      <c r="H405" s="33" t="s">
        <v>244</v>
      </c>
      <c r="I405" s="34">
        <v>45545</v>
      </c>
      <c r="J405" s="33">
        <v>6</v>
      </c>
      <c r="K405" s="35" t="s">
        <v>1149</v>
      </c>
      <c r="L405" s="35" t="s">
        <v>1149</v>
      </c>
      <c r="M405" s="386" t="s">
        <v>1259</v>
      </c>
      <c r="N405" s="33" t="s">
        <v>68</v>
      </c>
      <c r="O405" s="33" t="s">
        <v>11</v>
      </c>
      <c r="P405" s="33" t="s">
        <v>2</v>
      </c>
      <c r="Q405" s="47"/>
      <c r="R405" s="47"/>
      <c r="S405" s="45" t="s">
        <v>163</v>
      </c>
      <c r="T405" s="45"/>
      <c r="U405" s="37">
        <v>45165</v>
      </c>
      <c r="V405" s="38">
        <f t="shared" si="67"/>
        <v>45169</v>
      </c>
      <c r="W405" s="50">
        <f>V405-U405</f>
        <v>4</v>
      </c>
      <c r="X405" s="261">
        <f>Y405*0.91</f>
        <v>353080</v>
      </c>
      <c r="Y405" s="260">
        <v>388000</v>
      </c>
      <c r="Z405" s="263">
        <v>370000</v>
      </c>
      <c r="AA405" s="56"/>
      <c r="AB405" s="263"/>
      <c r="AC405" s="44">
        <f>ABS(X405/Y405-1)</f>
        <v>8.9999999999999969E-2</v>
      </c>
      <c r="AD405" s="62">
        <v>1.4E-2</v>
      </c>
      <c r="AE405" s="41">
        <f t="shared" si="69"/>
        <v>7.599999999999997E-2</v>
      </c>
      <c r="AF405" s="42"/>
      <c r="AG405" s="40">
        <f>IF((X405*AE405)&lt;0,0,(X405*AE405))</f>
        <v>26834.079999999991</v>
      </c>
      <c r="AH405" s="65">
        <f t="shared" si="62"/>
        <v>18000</v>
      </c>
      <c r="AI405" s="66">
        <f>AH405/X405</f>
        <v>5.0979947887164381E-2</v>
      </c>
      <c r="AJ405" s="66">
        <f t="shared" si="63"/>
        <v>5.0979947887164381E-2</v>
      </c>
      <c r="AK405" s="65">
        <f>AF405*X405</f>
        <v>0</v>
      </c>
      <c r="AL405" s="40">
        <f t="shared" si="70"/>
        <v>18000</v>
      </c>
      <c r="AM405" s="242">
        <f t="shared" si="68"/>
        <v>45169</v>
      </c>
      <c r="AN405" s="242">
        <f>IF(AQ405="x","",IF(AQ405="x",AM405,IF(EOMONTH(I405,0)=31,"",EOMONTH(I405,0))))</f>
        <v>45565</v>
      </c>
      <c r="AO405" s="79">
        <f>IFERROR(IF(VLOOKUP(C405,C406:C1006,1,0)=0,1,0),1)</f>
        <v>1</v>
      </c>
      <c r="AP405" s="79"/>
      <c r="AQ405" s="243" t="str">
        <f t="shared" si="64"/>
        <v/>
      </c>
      <c r="AR405" s="242" t="b">
        <f>IF(AQ405="x",EOMONTH(I405,0))</f>
        <v>0</v>
      </c>
      <c r="AS405" s="79">
        <f t="shared" si="58"/>
        <v>1</v>
      </c>
      <c r="AT405" s="79">
        <f t="shared" si="59"/>
        <v>1</v>
      </c>
      <c r="AU405" s="79" t="str">
        <f t="shared" si="60"/>
        <v>B</v>
      </c>
      <c r="AV405" s="79">
        <f t="shared" si="66"/>
        <v>1</v>
      </c>
      <c r="AW405" s="79" t="str">
        <f>J405&amp;AU405</f>
        <v>6B</v>
      </c>
      <c r="AX405" s="79">
        <f>IF(COUNTIFS(J:J,"Integral",E:E,E405,H:H,"Ativo")=4,1/4,1/10)</f>
        <v>0.1</v>
      </c>
      <c r="AY405" s="79" t="s">
        <v>1324</v>
      </c>
      <c r="AZ405" s="79" t="b">
        <v>1</v>
      </c>
    </row>
    <row r="406" spans="1:52" ht="15" customHeight="1">
      <c r="A406" s="54">
        <v>427</v>
      </c>
      <c r="B406" s="403">
        <v>45172</v>
      </c>
      <c r="C406" s="32" t="s">
        <v>939</v>
      </c>
      <c r="D406" s="32" t="s">
        <v>1351</v>
      </c>
      <c r="E406" s="32" t="s">
        <v>241</v>
      </c>
      <c r="F406" s="32" t="s">
        <v>1352</v>
      </c>
      <c r="G406" s="60" t="s">
        <v>220</v>
      </c>
      <c r="H406" s="33" t="s">
        <v>90</v>
      </c>
      <c r="I406" s="34"/>
      <c r="J406" s="33">
        <v>13</v>
      </c>
      <c r="K406" s="35" t="s">
        <v>221</v>
      </c>
      <c r="L406" s="35" t="s">
        <v>221</v>
      </c>
      <c r="M406" s="67" t="s">
        <v>222</v>
      </c>
      <c r="N406" s="33" t="s">
        <v>72</v>
      </c>
      <c r="O406" s="33" t="s">
        <v>12</v>
      </c>
      <c r="P406" s="33" t="s">
        <v>2</v>
      </c>
      <c r="Q406" s="47"/>
      <c r="R406" s="47"/>
      <c r="S406" s="45" t="s">
        <v>147</v>
      </c>
      <c r="T406" s="45"/>
      <c r="U406" s="37">
        <v>44990</v>
      </c>
      <c r="V406" s="38">
        <f t="shared" si="67"/>
        <v>45172</v>
      </c>
      <c r="W406" s="50">
        <f>V406-U406</f>
        <v>182</v>
      </c>
      <c r="X406" s="261">
        <f>Y406*0.91</f>
        <v>1164800</v>
      </c>
      <c r="Y406" s="260">
        <v>1280000</v>
      </c>
      <c r="Z406" s="263">
        <v>1137202.99</v>
      </c>
      <c r="AA406" s="56"/>
      <c r="AB406" s="263"/>
      <c r="AC406" s="44">
        <f>ABS(X406/Y406-1)</f>
        <v>8.9999999999999969E-2</v>
      </c>
      <c r="AD406" s="62">
        <v>9.5699999999999993E-2</v>
      </c>
      <c r="AE406" s="41">
        <f t="shared" si="69"/>
        <v>-5.7000000000000245E-3</v>
      </c>
      <c r="AF406" s="42">
        <v>5.7000000000000002E-3</v>
      </c>
      <c r="AG406" s="40">
        <f>IF((X406*AE406)&lt;0,0,(X406*AE406))</f>
        <v>0</v>
      </c>
      <c r="AH406" s="65">
        <f t="shared" si="62"/>
        <v>142797.01</v>
      </c>
      <c r="AI406" s="66">
        <f>AH406/X406</f>
        <v>0.12259358688186814</v>
      </c>
      <c r="AJ406" s="66">
        <f t="shared" si="63"/>
        <v>0.11689358688186814</v>
      </c>
      <c r="AK406" s="65">
        <f>AF406*X406</f>
        <v>6639.3600000000006</v>
      </c>
      <c r="AL406" s="40">
        <f t="shared" si="70"/>
        <v>136157.65000000002</v>
      </c>
      <c r="AM406" s="242">
        <f t="shared" si="68"/>
        <v>45199</v>
      </c>
      <c r="AN406" s="242" t="str">
        <f>IF(AQ406="x","",IF(AQ406="x",AM406,IF(EOMONTH(I406,0)=31,"",EOMONTH(I406,0))))</f>
        <v/>
      </c>
      <c r="AO406" s="350">
        <v>1</v>
      </c>
      <c r="AP406" s="350"/>
      <c r="AQ406" s="243" t="str">
        <f t="shared" si="64"/>
        <v/>
      </c>
      <c r="AR406" s="242" t="b">
        <f>IF(AQ406="x",EOMONTH(I406,0))</f>
        <v>0</v>
      </c>
      <c r="AS406" s="79">
        <f t="shared" si="58"/>
        <v>1</v>
      </c>
      <c r="AT406" s="79">
        <f t="shared" si="59"/>
        <v>1</v>
      </c>
      <c r="AU406" s="79" t="str">
        <f t="shared" si="60"/>
        <v>A</v>
      </c>
      <c r="AV406" s="79">
        <f t="shared" si="66"/>
        <v>1</v>
      </c>
      <c r="AW406" s="79" t="str">
        <f>J406&amp;AU406</f>
        <v>13A</v>
      </c>
      <c r="AX406" s="79">
        <f>IF(COUNTIFS(J:J,"Integral",E:E,E406,H:H,"Ativo")=4,1/4,1/10)</f>
        <v>0.1</v>
      </c>
      <c r="AY406" s="79" t="s">
        <v>1332</v>
      </c>
      <c r="AZ406" s="79" t="b">
        <v>1</v>
      </c>
    </row>
    <row r="407" spans="1:52" ht="15" customHeight="1">
      <c r="A407" s="54">
        <v>428</v>
      </c>
      <c r="B407" s="403">
        <v>45172</v>
      </c>
      <c r="C407" s="32" t="s">
        <v>1353</v>
      </c>
      <c r="D407" s="32" t="s">
        <v>1354</v>
      </c>
      <c r="E407" s="32" t="s">
        <v>1278</v>
      </c>
      <c r="F407" s="32" t="s">
        <v>1355</v>
      </c>
      <c r="G407" s="60" t="s">
        <v>243</v>
      </c>
      <c r="H407" s="33" t="s">
        <v>244</v>
      </c>
      <c r="I407" s="34">
        <v>45180</v>
      </c>
      <c r="J407" s="33">
        <v>6</v>
      </c>
      <c r="K407" s="35" t="s">
        <v>1149</v>
      </c>
      <c r="L407" s="35" t="s">
        <v>1149</v>
      </c>
      <c r="M407" s="386" t="s">
        <v>1259</v>
      </c>
      <c r="N407" s="33" t="s">
        <v>68</v>
      </c>
      <c r="O407" s="33" t="s">
        <v>11</v>
      </c>
      <c r="P407" s="33" t="s">
        <v>2</v>
      </c>
      <c r="Q407" s="47"/>
      <c r="R407" s="47"/>
      <c r="S407" s="45" t="s">
        <v>147</v>
      </c>
      <c r="T407" s="45"/>
      <c r="U407" s="68">
        <v>45172</v>
      </c>
      <c r="V407" s="48">
        <f t="shared" si="67"/>
        <v>45172</v>
      </c>
      <c r="W407" s="50">
        <f>V407-U407</f>
        <v>0</v>
      </c>
      <c r="X407" s="265">
        <f>Y407*0.91</f>
        <v>353990</v>
      </c>
      <c r="Y407" s="67">
        <v>389000</v>
      </c>
      <c r="Z407" s="267">
        <v>294000</v>
      </c>
      <c r="AA407" s="56"/>
      <c r="AB407" s="267"/>
      <c r="AC407" s="44">
        <f>ABS(X407/Y407-1)</f>
        <v>8.9999999999999969E-2</v>
      </c>
      <c r="AD407" s="62">
        <v>5.1999999999999998E-2</v>
      </c>
      <c r="AE407" s="41">
        <f t="shared" si="69"/>
        <v>3.7999999999999971E-2</v>
      </c>
      <c r="AF407" s="42"/>
      <c r="AG407" s="40">
        <f>IF((X407*AE407)&lt;0,0,(X407*AE407))</f>
        <v>13451.61999999999</v>
      </c>
      <c r="AH407" s="65">
        <f t="shared" si="62"/>
        <v>95000</v>
      </c>
      <c r="AI407" s="66">
        <f>AH407/X407</f>
        <v>0.2683691629707054</v>
      </c>
      <c r="AJ407" s="66">
        <f t="shared" si="63"/>
        <v>0.2683691629707054</v>
      </c>
      <c r="AK407" s="65">
        <f>AF407*X407</f>
        <v>0</v>
      </c>
      <c r="AL407" s="40">
        <f t="shared" si="70"/>
        <v>95000</v>
      </c>
      <c r="AM407" s="242">
        <f t="shared" si="68"/>
        <v>45199</v>
      </c>
      <c r="AN407" s="242" t="str">
        <f>IF(AQ407="x","",IF(AQ407="x",AM407,IF(EOMONTH(I407,0)=31,"",EOMONTH(I407,0))))</f>
        <v/>
      </c>
      <c r="AO407" s="79">
        <f>IFERROR(IF(VLOOKUP(C407,C408:C1008,1,0)=0,1,0),1)</f>
        <v>1</v>
      </c>
      <c r="AP407" s="79"/>
      <c r="AQ407" s="243" t="str">
        <f t="shared" si="64"/>
        <v>x</v>
      </c>
      <c r="AR407" s="242">
        <f>IF(AQ407="x",EOMONTH(I407,0))</f>
        <v>45199</v>
      </c>
      <c r="AS407" s="79">
        <f t="shared" si="58"/>
        <v>1</v>
      </c>
      <c r="AT407" s="79">
        <f t="shared" si="59"/>
        <v>1</v>
      </c>
      <c r="AU407" s="79" t="str">
        <f t="shared" si="60"/>
        <v>B</v>
      </c>
      <c r="AV407" s="79">
        <f t="shared" si="66"/>
        <v>1</v>
      </c>
      <c r="AW407" s="79" t="str">
        <f>J407&amp;AU407</f>
        <v>6B</v>
      </c>
      <c r="AX407" s="79">
        <f>IF(COUNTIFS(J:J,"Integral",E:E,E407,H:H,"Ativo")=4,1/4,1/10)</f>
        <v>0.1</v>
      </c>
      <c r="AY407" s="79" t="s">
        <v>1320</v>
      </c>
      <c r="AZ407" s="79" t="b">
        <v>1</v>
      </c>
    </row>
    <row r="408" spans="1:52" ht="15" customHeight="1">
      <c r="A408" s="54">
        <v>429</v>
      </c>
      <c r="B408" s="403">
        <v>45174</v>
      </c>
      <c r="C408" s="32" t="s">
        <v>1356</v>
      </c>
      <c r="D408" s="32" t="s">
        <v>1357</v>
      </c>
      <c r="E408" s="32" t="s">
        <v>1342</v>
      </c>
      <c r="F408" s="32" t="s">
        <v>1358</v>
      </c>
      <c r="G408" s="60" t="s">
        <v>220</v>
      </c>
      <c r="H408" s="33" t="s">
        <v>90</v>
      </c>
      <c r="I408" s="34"/>
      <c r="J408" s="33">
        <v>6</v>
      </c>
      <c r="K408" s="35" t="s">
        <v>221</v>
      </c>
      <c r="L408" s="35" t="s">
        <v>221</v>
      </c>
      <c r="M408" s="67" t="s">
        <v>222</v>
      </c>
      <c r="N408" s="33" t="s">
        <v>72</v>
      </c>
      <c r="O408" s="33" t="s">
        <v>11</v>
      </c>
      <c r="P408" s="33" t="s">
        <v>83</v>
      </c>
      <c r="Q408" s="47" t="s">
        <v>97</v>
      </c>
      <c r="R408" s="47"/>
      <c r="S408" s="45" t="s">
        <v>144</v>
      </c>
      <c r="T408" s="45"/>
      <c r="U408" s="37">
        <v>45170</v>
      </c>
      <c r="V408" s="38">
        <f t="shared" si="67"/>
        <v>45174</v>
      </c>
      <c r="W408" s="50">
        <f>V408-U408</f>
        <v>4</v>
      </c>
      <c r="X408" s="261">
        <f>Y408*0.91</f>
        <v>341250</v>
      </c>
      <c r="Y408" s="260">
        <v>375000</v>
      </c>
      <c r="Z408" s="263">
        <v>248200.01</v>
      </c>
      <c r="AA408" s="56"/>
      <c r="AB408" s="263"/>
      <c r="AC408" s="44">
        <f>ABS(X408/Y408-1)</f>
        <v>8.9999999999999969E-2</v>
      </c>
      <c r="AD408" s="62">
        <v>0.23119999999999999</v>
      </c>
      <c r="AE408" s="41">
        <f t="shared" si="69"/>
        <v>-0.14120000000000002</v>
      </c>
      <c r="AF408" s="42">
        <v>0.14119999999999999</v>
      </c>
      <c r="AG408" s="40">
        <f>IF((X408*AE408)&lt;0,0,(X408*AE408))</f>
        <v>0</v>
      </c>
      <c r="AH408" s="65">
        <f t="shared" si="62"/>
        <v>126799.98999999999</v>
      </c>
      <c r="AI408" s="66">
        <f>AH408/X408</f>
        <v>0.37157506227106224</v>
      </c>
      <c r="AJ408" s="66">
        <f t="shared" si="63"/>
        <v>0.23037506227106225</v>
      </c>
      <c r="AK408" s="65">
        <f>AF408*X408</f>
        <v>48184.5</v>
      </c>
      <c r="AL408" s="40">
        <f t="shared" si="70"/>
        <v>78615.489999999991</v>
      </c>
      <c r="AM408" s="242">
        <f t="shared" si="68"/>
        <v>45199</v>
      </c>
      <c r="AN408" s="242" t="str">
        <f>IF(AQ408="x","",IF(AQ408="x",AM408,IF(EOMONTH(I408,0)=31,"",EOMONTH(I408,0))))</f>
        <v/>
      </c>
      <c r="AO408" s="79">
        <f>IFERROR(IF(VLOOKUP(C408,C409:C1009,1,0)=0,1,0),1)</f>
        <v>0</v>
      </c>
      <c r="AP408" s="79"/>
      <c r="AQ408" s="243" t="str">
        <f t="shared" si="64"/>
        <v/>
      </c>
      <c r="AR408" s="242" t="b">
        <f>IF(AQ408="x",EOMONTH(I408,0))</f>
        <v>0</v>
      </c>
      <c r="AS408" s="79">
        <f t="shared" si="58"/>
        <v>1</v>
      </c>
      <c r="AT408" s="79">
        <f t="shared" si="59"/>
        <v>1</v>
      </c>
      <c r="AU408" s="79" t="str">
        <f t="shared" si="60"/>
        <v>B</v>
      </c>
      <c r="AV408" s="79">
        <f t="shared" si="66"/>
        <v>1</v>
      </c>
      <c r="AW408" s="79" t="str">
        <f>J408&amp;AU408</f>
        <v>6B</v>
      </c>
      <c r="AX408" s="79">
        <f>IF(COUNTIFS(J:J,"Integral",E:E,E408,H:H,"Ativo")=4,1/4,1/10)</f>
        <v>0.1</v>
      </c>
      <c r="AY408" s="79" t="s">
        <v>1324</v>
      </c>
      <c r="AZ408" s="79" t="b">
        <v>1</v>
      </c>
    </row>
    <row r="409" spans="1:52" ht="15" customHeight="1">
      <c r="A409" s="54">
        <v>430</v>
      </c>
      <c r="B409" s="403">
        <v>45174</v>
      </c>
      <c r="C409" s="32" t="s">
        <v>1356</v>
      </c>
      <c r="D409" s="32" t="s">
        <v>1359</v>
      </c>
      <c r="E409" s="32" t="s">
        <v>1342</v>
      </c>
      <c r="F409" s="32" t="s">
        <v>1360</v>
      </c>
      <c r="G409" s="60" t="s">
        <v>220</v>
      </c>
      <c r="H409" s="33" t="s">
        <v>90</v>
      </c>
      <c r="I409" s="34"/>
      <c r="J409" s="33">
        <v>6</v>
      </c>
      <c r="K409" s="35" t="s">
        <v>221</v>
      </c>
      <c r="L409" s="35" t="s">
        <v>221</v>
      </c>
      <c r="M409" s="67" t="s">
        <v>222</v>
      </c>
      <c r="N409" s="33" t="s">
        <v>72</v>
      </c>
      <c r="O409" s="33" t="s">
        <v>11</v>
      </c>
      <c r="P409" s="33" t="s">
        <v>83</v>
      </c>
      <c r="Q409" s="47" t="s">
        <v>97</v>
      </c>
      <c r="R409" s="47"/>
      <c r="S409" s="45" t="s">
        <v>144</v>
      </c>
      <c r="T409" s="45"/>
      <c r="U409" s="37">
        <v>45170</v>
      </c>
      <c r="V409" s="38">
        <f t="shared" si="67"/>
        <v>45174</v>
      </c>
      <c r="W409" s="50">
        <f>V409-U409</f>
        <v>4</v>
      </c>
      <c r="X409" s="261">
        <f>Y409*0.91</f>
        <v>341250</v>
      </c>
      <c r="Y409" s="260">
        <v>375000</v>
      </c>
      <c r="Z409" s="263">
        <v>248200.01</v>
      </c>
      <c r="AA409" s="56"/>
      <c r="AB409" s="263"/>
      <c r="AC409" s="44">
        <f>ABS(X409/Y409-1)</f>
        <v>8.9999999999999969E-2</v>
      </c>
      <c r="AD409" s="62">
        <v>0.23119999999999999</v>
      </c>
      <c r="AE409" s="41">
        <f t="shared" si="69"/>
        <v>-0.14120000000000002</v>
      </c>
      <c r="AF409" s="42">
        <v>0.14119999999999999</v>
      </c>
      <c r="AG409" s="40">
        <f>IF((X409*AE409)&lt;0,0,(X409*AE409))</f>
        <v>0</v>
      </c>
      <c r="AH409" s="65">
        <f t="shared" si="62"/>
        <v>126799.98999999999</v>
      </c>
      <c r="AI409" s="66">
        <f>AH409/X409</f>
        <v>0.37157506227106224</v>
      </c>
      <c r="AJ409" s="66">
        <f t="shared" si="63"/>
        <v>0.23037506227106225</v>
      </c>
      <c r="AK409" s="65">
        <f>AF409*X409</f>
        <v>48184.5</v>
      </c>
      <c r="AL409" s="40">
        <f t="shared" si="70"/>
        <v>78615.489999999991</v>
      </c>
      <c r="AM409" s="242">
        <f t="shared" si="68"/>
        <v>45199</v>
      </c>
      <c r="AN409" s="242" t="str">
        <f>IF(AQ409="x","",IF(AQ409="x",AM409,IF(EOMONTH(I409,0)=31,"",EOMONTH(I409,0))))</f>
        <v/>
      </c>
      <c r="AO409" s="79">
        <f>IFERROR(IF(VLOOKUP(C409,C410:C1010,1,0)=0,1,0),1)</f>
        <v>0</v>
      </c>
      <c r="AP409" s="79"/>
      <c r="AQ409" s="243" t="str">
        <f t="shared" si="64"/>
        <v/>
      </c>
      <c r="AR409" s="242" t="b">
        <f>IF(AQ409="x",EOMONTH(I409,0))</f>
        <v>0</v>
      </c>
      <c r="AS409" s="79">
        <f t="shared" si="58"/>
        <v>1</v>
      </c>
      <c r="AT409" s="79">
        <f t="shared" si="59"/>
        <v>1</v>
      </c>
      <c r="AU409" s="79" t="str">
        <f t="shared" si="60"/>
        <v>B</v>
      </c>
      <c r="AV409" s="79">
        <f t="shared" si="66"/>
        <v>1</v>
      </c>
      <c r="AW409" s="79" t="str">
        <f>J409&amp;AU409</f>
        <v>6B</v>
      </c>
      <c r="AX409" s="79">
        <f>IF(COUNTIFS(J:J,"Integral",E:E,E409,H:H,"Ativo")=4,1/4,1/10)</f>
        <v>0.1</v>
      </c>
      <c r="AY409" s="79" t="s">
        <v>1324</v>
      </c>
      <c r="AZ409" s="79" t="b">
        <v>1</v>
      </c>
    </row>
    <row r="410" spans="1:52" ht="15" customHeight="1">
      <c r="A410" s="54">
        <v>431</v>
      </c>
      <c r="B410" s="403">
        <v>45175</v>
      </c>
      <c r="C410" s="32" t="s">
        <v>1361</v>
      </c>
      <c r="D410" s="32" t="s">
        <v>320</v>
      </c>
      <c r="E410" s="32" t="s">
        <v>321</v>
      </c>
      <c r="F410" s="32" t="s">
        <v>1362</v>
      </c>
      <c r="G410" s="60" t="s">
        <v>220</v>
      </c>
      <c r="H410" s="33" t="s">
        <v>90</v>
      </c>
      <c r="I410" s="34"/>
      <c r="J410" s="33" t="s">
        <v>6</v>
      </c>
      <c r="K410" s="35" t="s">
        <v>977</v>
      </c>
      <c r="L410" s="35" t="s">
        <v>977</v>
      </c>
      <c r="M410" s="386" t="s">
        <v>1259</v>
      </c>
      <c r="N410" s="33" t="s">
        <v>68</v>
      </c>
      <c r="O410" s="33" t="s">
        <v>12</v>
      </c>
      <c r="P410" s="33" t="s">
        <v>2</v>
      </c>
      <c r="Q410" s="47"/>
      <c r="R410" s="47"/>
      <c r="S410" s="45" t="s">
        <v>145</v>
      </c>
      <c r="T410" s="45"/>
      <c r="U410" s="37">
        <v>45162</v>
      </c>
      <c r="V410" s="38">
        <f t="shared" si="67"/>
        <v>45175</v>
      </c>
      <c r="W410" s="50">
        <f>V410-U410</f>
        <v>13</v>
      </c>
      <c r="X410" s="261">
        <f>Y410*0.91</f>
        <v>1484210</v>
      </c>
      <c r="Y410" s="260">
        <v>1631000</v>
      </c>
      <c r="Z410" s="263">
        <v>1400000</v>
      </c>
      <c r="AA410" s="56"/>
      <c r="AB410" s="263"/>
      <c r="AC410" s="44">
        <f>ABS(X410/Y410-1)</f>
        <v>8.9999999999999969E-2</v>
      </c>
      <c r="AD410" s="62">
        <v>9.6100000000000005E-2</v>
      </c>
      <c r="AE410" s="41">
        <f t="shared" si="69"/>
        <v>-6.1000000000000359E-3</v>
      </c>
      <c r="AF410" s="42">
        <v>6.1000000000000004E-3</v>
      </c>
      <c r="AG410" s="40">
        <f>IF((X410*AE410)&lt;0,0,(X410*AE410))</f>
        <v>0</v>
      </c>
      <c r="AH410" s="65">
        <f t="shared" si="62"/>
        <v>231000</v>
      </c>
      <c r="AI410" s="66">
        <f>AH410/X410</f>
        <v>0.15563835306324578</v>
      </c>
      <c r="AJ410" s="66">
        <f t="shared" si="63"/>
        <v>0.14953835306324578</v>
      </c>
      <c r="AK410" s="65">
        <f>AF410*X410</f>
        <v>9053.6810000000005</v>
      </c>
      <c r="AL410" s="40">
        <f t="shared" si="70"/>
        <v>221946.31899999999</v>
      </c>
      <c r="AM410" s="242">
        <f t="shared" si="68"/>
        <v>45199</v>
      </c>
      <c r="AN410" s="242" t="str">
        <f>IF(AQ410="x","",IF(AQ410="x",AM410,IF(EOMONTH(I410,0)=31,"",EOMONTH(I410,0))))</f>
        <v/>
      </c>
      <c r="AO410" s="79">
        <f>IFERROR(IF(VLOOKUP(C410,C411:C1011,1,0)=0,1,0),1)</f>
        <v>0</v>
      </c>
      <c r="AP410" s="79"/>
      <c r="AQ410" s="243" t="str">
        <f t="shared" si="64"/>
        <v/>
      </c>
      <c r="AR410" s="242" t="b">
        <f>IF(AQ410="x",EOMONTH(I410,0))</f>
        <v>0</v>
      </c>
      <c r="AS410" s="79">
        <f t="shared" si="58"/>
        <v>1</v>
      </c>
      <c r="AT410" s="79">
        <f t="shared" si="59"/>
        <v>1</v>
      </c>
      <c r="AU410" s="79" t="str">
        <f t="shared" si="60"/>
        <v>A</v>
      </c>
      <c r="AV410" s="79">
        <f t="shared" si="66"/>
        <v>1</v>
      </c>
      <c r="AW410" s="79" t="str">
        <f>J410&amp;AU410</f>
        <v>IntegralA</v>
      </c>
      <c r="AX410" s="79">
        <f>IF(COUNTIFS(J:J,"Integral",E:E,E410,H:H,"Ativo")=4,1/4,1/10)</f>
        <v>0.25</v>
      </c>
      <c r="AY410" s="79" t="s">
        <v>1320</v>
      </c>
      <c r="AZ410" s="79" t="b">
        <v>1</v>
      </c>
    </row>
    <row r="411" spans="1:52" ht="15.75" customHeight="1">
      <c r="A411" s="54">
        <v>432</v>
      </c>
      <c r="B411" s="403">
        <v>45175</v>
      </c>
      <c r="C411" s="32" t="s">
        <v>1361</v>
      </c>
      <c r="D411" s="32" t="s">
        <v>323</v>
      </c>
      <c r="E411" s="32" t="s">
        <v>321</v>
      </c>
      <c r="F411" s="32" t="s">
        <v>1363</v>
      </c>
      <c r="G411" s="60" t="s">
        <v>220</v>
      </c>
      <c r="H411" s="33" t="s">
        <v>90</v>
      </c>
      <c r="I411" s="34"/>
      <c r="J411" s="33" t="s">
        <v>6</v>
      </c>
      <c r="K411" s="35" t="s">
        <v>977</v>
      </c>
      <c r="L411" s="35" t="s">
        <v>977</v>
      </c>
      <c r="M411" s="386" t="s">
        <v>1259</v>
      </c>
      <c r="N411" s="33" t="s">
        <v>68</v>
      </c>
      <c r="O411" s="33" t="s">
        <v>12</v>
      </c>
      <c r="P411" s="33" t="s">
        <v>2</v>
      </c>
      <c r="Q411" s="47"/>
      <c r="R411" s="47"/>
      <c r="S411" s="45" t="s">
        <v>145</v>
      </c>
      <c r="T411" s="45"/>
      <c r="U411" s="37">
        <v>45162</v>
      </c>
      <c r="V411" s="38">
        <f t="shared" si="67"/>
        <v>45175</v>
      </c>
      <c r="W411" s="50">
        <f>V411-U411</f>
        <v>13</v>
      </c>
      <c r="X411" s="261">
        <f>Y411*0.91</f>
        <v>1484210</v>
      </c>
      <c r="Y411" s="260">
        <v>1631000</v>
      </c>
      <c r="Z411" s="263">
        <v>1400000</v>
      </c>
      <c r="AA411" s="56"/>
      <c r="AB411" s="263"/>
      <c r="AC411" s="44">
        <f>ABS(X411/Y411-1)</f>
        <v>8.9999999999999969E-2</v>
      </c>
      <c r="AD411" s="62">
        <v>9.6100000000000005E-2</v>
      </c>
      <c r="AE411" s="41">
        <f t="shared" si="69"/>
        <v>-6.1000000000000359E-3</v>
      </c>
      <c r="AF411" s="42">
        <v>6.1000000000000004E-3</v>
      </c>
      <c r="AG411" s="40">
        <f>IF((X411*AE411)&lt;0,0,(X411*AE411))</f>
        <v>0</v>
      </c>
      <c r="AH411" s="65">
        <f t="shared" si="62"/>
        <v>231000</v>
      </c>
      <c r="AI411" s="66">
        <f>AH411/X411</f>
        <v>0.15563835306324578</v>
      </c>
      <c r="AJ411" s="66">
        <f t="shared" si="63"/>
        <v>0.14953835306324578</v>
      </c>
      <c r="AK411" s="65">
        <f>AF411*X411</f>
        <v>9053.6810000000005</v>
      </c>
      <c r="AL411" s="40">
        <f t="shared" si="70"/>
        <v>221946.31899999999</v>
      </c>
      <c r="AM411" s="242">
        <f t="shared" si="68"/>
        <v>45199</v>
      </c>
      <c r="AN411" s="242" t="str">
        <f>IF(AQ411="x","",IF(AQ411="x",AM411,IF(EOMONTH(I411,0)=31,"",EOMONTH(I411,0))))</f>
        <v/>
      </c>
      <c r="AO411" s="79">
        <f>IFERROR(IF(VLOOKUP(C411,C412:C1012,1,0)=0,1,0),1)</f>
        <v>0</v>
      </c>
      <c r="AP411" s="79"/>
      <c r="AQ411" s="243" t="str">
        <f t="shared" si="64"/>
        <v/>
      </c>
      <c r="AR411" s="242" t="b">
        <f>IF(AQ411="x",EOMONTH(I411,0))</f>
        <v>0</v>
      </c>
      <c r="AS411" s="79">
        <f t="shared" si="58"/>
        <v>1</v>
      </c>
      <c r="AT411" s="79">
        <f t="shared" si="59"/>
        <v>1</v>
      </c>
      <c r="AU411" s="79" t="str">
        <f t="shared" si="60"/>
        <v>A</v>
      </c>
      <c r="AV411" s="79">
        <f t="shared" si="66"/>
        <v>1</v>
      </c>
      <c r="AW411" s="79" t="str">
        <f>J411&amp;AU411</f>
        <v>IntegralA</v>
      </c>
      <c r="AX411" s="79">
        <f>IF(COUNTIFS(J:J,"Integral",E:E,E411,H:H,"Ativo")=4,1/4,1/10)</f>
        <v>0.25</v>
      </c>
      <c r="AY411" s="79" t="s">
        <v>1320</v>
      </c>
      <c r="AZ411" s="79" t="b">
        <v>1</v>
      </c>
    </row>
    <row r="412" spans="1:52" ht="15.75" customHeight="1">
      <c r="A412" s="54">
        <v>433</v>
      </c>
      <c r="B412" s="403">
        <v>45175</v>
      </c>
      <c r="C412" s="32" t="s">
        <v>1361</v>
      </c>
      <c r="D412" s="32" t="s">
        <v>325</v>
      </c>
      <c r="E412" s="32" t="s">
        <v>321</v>
      </c>
      <c r="F412" s="32" t="s">
        <v>1364</v>
      </c>
      <c r="G412" s="60" t="s">
        <v>220</v>
      </c>
      <c r="H412" s="33" t="s">
        <v>90</v>
      </c>
      <c r="I412" s="34"/>
      <c r="J412" s="33" t="s">
        <v>6</v>
      </c>
      <c r="K412" s="35" t="s">
        <v>977</v>
      </c>
      <c r="L412" s="35" t="s">
        <v>977</v>
      </c>
      <c r="M412" s="386" t="s">
        <v>1259</v>
      </c>
      <c r="N412" s="33" t="s">
        <v>68</v>
      </c>
      <c r="O412" s="33" t="s">
        <v>12</v>
      </c>
      <c r="P412" s="33" t="s">
        <v>2</v>
      </c>
      <c r="Q412" s="47"/>
      <c r="R412" s="47"/>
      <c r="S412" s="45" t="s">
        <v>145</v>
      </c>
      <c r="T412" s="45"/>
      <c r="U412" s="37">
        <v>45162</v>
      </c>
      <c r="V412" s="38">
        <f t="shared" si="67"/>
        <v>45175</v>
      </c>
      <c r="W412" s="50">
        <f>V412-U412</f>
        <v>13</v>
      </c>
      <c r="X412" s="261">
        <f>Y412*0.91</f>
        <v>1484210</v>
      </c>
      <c r="Y412" s="260">
        <v>1631000</v>
      </c>
      <c r="Z412" s="263">
        <v>1400000</v>
      </c>
      <c r="AA412" s="56"/>
      <c r="AB412" s="263"/>
      <c r="AC412" s="44">
        <f>ABS(X412/Y412-1)</f>
        <v>8.9999999999999969E-2</v>
      </c>
      <c r="AD412" s="62">
        <v>9.6100000000000005E-2</v>
      </c>
      <c r="AE412" s="41">
        <f t="shared" si="69"/>
        <v>-6.1000000000000359E-3</v>
      </c>
      <c r="AF412" s="42">
        <v>6.1000000000000004E-3</v>
      </c>
      <c r="AG412" s="40">
        <f>IF((X412*AE412)&lt;0,0,(X412*AE412))</f>
        <v>0</v>
      </c>
      <c r="AH412" s="65">
        <f t="shared" si="62"/>
        <v>231000</v>
      </c>
      <c r="AI412" s="66">
        <f>AH412/X412</f>
        <v>0.15563835306324578</v>
      </c>
      <c r="AJ412" s="66">
        <f t="shared" si="63"/>
        <v>0.14953835306324578</v>
      </c>
      <c r="AK412" s="65">
        <f>AF412*X412</f>
        <v>9053.6810000000005</v>
      </c>
      <c r="AL412" s="40">
        <f t="shared" si="70"/>
        <v>221946.31899999999</v>
      </c>
      <c r="AM412" s="242">
        <f t="shared" si="68"/>
        <v>45199</v>
      </c>
      <c r="AN412" s="242" t="str">
        <f>IF(AQ412="x","",IF(AQ412="x",AM412,IF(EOMONTH(I412,0)=31,"",EOMONTH(I412,0))))</f>
        <v/>
      </c>
      <c r="AO412" s="79">
        <f>IFERROR(IF(VLOOKUP(C412,C413:C1013,1,0)=0,1,0),1)</f>
        <v>0</v>
      </c>
      <c r="AP412" s="79"/>
      <c r="AQ412" s="243" t="str">
        <f t="shared" si="64"/>
        <v/>
      </c>
      <c r="AR412" s="242" t="b">
        <f>IF(AQ412="x",EOMONTH(I412,0))</f>
        <v>0</v>
      </c>
      <c r="AS412" s="79">
        <f t="shared" si="58"/>
        <v>1</v>
      </c>
      <c r="AT412" s="79">
        <f t="shared" si="59"/>
        <v>1</v>
      </c>
      <c r="AU412" s="79" t="str">
        <f t="shared" si="60"/>
        <v>A</v>
      </c>
      <c r="AV412" s="79">
        <f t="shared" si="66"/>
        <v>1</v>
      </c>
      <c r="AW412" s="79" t="str">
        <f>J412&amp;AU412</f>
        <v>IntegralA</v>
      </c>
      <c r="AX412" s="79">
        <f>IF(COUNTIFS(J:J,"Integral",E:E,E412,H:H,"Ativo")=4,1/4,1/10)</f>
        <v>0.25</v>
      </c>
      <c r="AY412" s="79" t="s">
        <v>1320</v>
      </c>
      <c r="AZ412" s="79" t="b">
        <v>1</v>
      </c>
    </row>
    <row r="413" spans="1:52" ht="15.75" customHeight="1">
      <c r="A413" s="54">
        <v>434</v>
      </c>
      <c r="B413" s="403">
        <v>45175</v>
      </c>
      <c r="C413" s="32" t="s">
        <v>1361</v>
      </c>
      <c r="D413" s="32" t="s">
        <v>328</v>
      </c>
      <c r="E413" s="32" t="s">
        <v>321</v>
      </c>
      <c r="F413" s="32" t="s">
        <v>1365</v>
      </c>
      <c r="G413" s="60" t="s">
        <v>220</v>
      </c>
      <c r="H413" s="33" t="s">
        <v>90</v>
      </c>
      <c r="I413" s="34"/>
      <c r="J413" s="33" t="s">
        <v>6</v>
      </c>
      <c r="K413" s="35" t="s">
        <v>977</v>
      </c>
      <c r="L413" s="35" t="s">
        <v>977</v>
      </c>
      <c r="M413" s="386" t="s">
        <v>1259</v>
      </c>
      <c r="N413" s="33" t="s">
        <v>68</v>
      </c>
      <c r="O413" s="33" t="s">
        <v>12</v>
      </c>
      <c r="P413" s="33" t="s">
        <v>2</v>
      </c>
      <c r="Q413" s="47"/>
      <c r="R413" s="47"/>
      <c r="S413" s="45" t="s">
        <v>145</v>
      </c>
      <c r="T413" s="45"/>
      <c r="U413" s="37">
        <v>45162</v>
      </c>
      <c r="V413" s="38">
        <f t="shared" si="67"/>
        <v>45175</v>
      </c>
      <c r="W413" s="50">
        <f>V413-U413</f>
        <v>13</v>
      </c>
      <c r="X413" s="261">
        <f>Y413*0.91</f>
        <v>1484210</v>
      </c>
      <c r="Y413" s="260">
        <v>1631000</v>
      </c>
      <c r="Z413" s="263">
        <v>1400000</v>
      </c>
      <c r="AA413" s="56"/>
      <c r="AB413" s="263"/>
      <c r="AC413" s="44">
        <f>ABS(X413/Y413-1)</f>
        <v>8.9999999999999969E-2</v>
      </c>
      <c r="AD413" s="62">
        <v>9.6100000000000005E-2</v>
      </c>
      <c r="AE413" s="41">
        <f t="shared" si="69"/>
        <v>-6.1000000000000359E-3</v>
      </c>
      <c r="AF413" s="42">
        <v>6.1000000000000004E-3</v>
      </c>
      <c r="AG413" s="40">
        <f>IF((X413*AE413)&lt;0,0,(X413*AE413))</f>
        <v>0</v>
      </c>
      <c r="AH413" s="65">
        <f t="shared" si="62"/>
        <v>231000</v>
      </c>
      <c r="AI413" s="66">
        <f>AH413/X413</f>
        <v>0.15563835306324578</v>
      </c>
      <c r="AJ413" s="66">
        <f t="shared" si="63"/>
        <v>0.14953835306324578</v>
      </c>
      <c r="AK413" s="65">
        <f>AF413*X413</f>
        <v>9053.6810000000005</v>
      </c>
      <c r="AL413" s="40">
        <f t="shared" si="70"/>
        <v>221946.31899999999</v>
      </c>
      <c r="AM413" s="242">
        <f t="shared" si="68"/>
        <v>45199</v>
      </c>
      <c r="AN413" s="242" t="str">
        <f>IF(AQ413="x","",IF(AQ413="x",AM413,IF(EOMONTH(I413,0)=31,"",EOMONTH(I413,0))))</f>
        <v/>
      </c>
      <c r="AO413" s="79">
        <f>IFERROR(IF(VLOOKUP(C413,C414:C1014,1,0)=0,1,0),1)</f>
        <v>0</v>
      </c>
      <c r="AP413" s="79"/>
      <c r="AQ413" s="243" t="str">
        <f t="shared" si="64"/>
        <v/>
      </c>
      <c r="AR413" s="242" t="b">
        <f>IF(AQ413="x",EOMONTH(I413,0))</f>
        <v>0</v>
      </c>
      <c r="AS413" s="79">
        <f t="shared" si="58"/>
        <v>1</v>
      </c>
      <c r="AT413" s="79">
        <f t="shared" si="59"/>
        <v>1</v>
      </c>
      <c r="AU413" s="79" t="str">
        <f t="shared" si="60"/>
        <v>A</v>
      </c>
      <c r="AV413" s="79">
        <f t="shared" si="66"/>
        <v>1</v>
      </c>
      <c r="AW413" s="79" t="str">
        <f>J413&amp;AU413</f>
        <v>IntegralA</v>
      </c>
      <c r="AX413" s="79">
        <f>IF(COUNTIFS(J:J,"Integral",E:E,E413,H:H,"Ativo")=4,1/4,1/10)</f>
        <v>0.25</v>
      </c>
      <c r="AY413" s="79" t="s">
        <v>1320</v>
      </c>
      <c r="AZ413" s="79" t="b">
        <v>1</v>
      </c>
    </row>
    <row r="414" spans="1:52" ht="15.75" customHeight="1">
      <c r="A414" s="54">
        <v>435</v>
      </c>
      <c r="B414" s="403">
        <v>45176</v>
      </c>
      <c r="C414" s="32" t="s">
        <v>1366</v>
      </c>
      <c r="D414" s="32" t="s">
        <v>1367</v>
      </c>
      <c r="E414" s="32" t="s">
        <v>1368</v>
      </c>
      <c r="F414" s="32" t="s">
        <v>1369</v>
      </c>
      <c r="G414" s="60" t="s">
        <v>220</v>
      </c>
      <c r="H414" s="33" t="s">
        <v>90</v>
      </c>
      <c r="I414" s="34"/>
      <c r="J414" s="33">
        <v>6</v>
      </c>
      <c r="K414" s="35" t="s">
        <v>1165</v>
      </c>
      <c r="L414" s="35" t="s">
        <v>1165</v>
      </c>
      <c r="M414" s="386" t="s">
        <v>1259</v>
      </c>
      <c r="N414" s="33" t="s">
        <v>68</v>
      </c>
      <c r="O414" s="33" t="s">
        <v>11</v>
      </c>
      <c r="P414" s="33" t="s">
        <v>2</v>
      </c>
      <c r="Q414" s="47"/>
      <c r="R414" s="47"/>
      <c r="S414" s="45" t="s">
        <v>145</v>
      </c>
      <c r="T414" s="45"/>
      <c r="U414" s="37">
        <v>45175</v>
      </c>
      <c r="V414" s="38">
        <f t="shared" si="67"/>
        <v>45176</v>
      </c>
      <c r="W414" s="50">
        <f>V414-U414</f>
        <v>1</v>
      </c>
      <c r="X414" s="261">
        <f>Y414*0.91</f>
        <v>341250</v>
      </c>
      <c r="Y414" s="260">
        <v>375000</v>
      </c>
      <c r="Z414" s="263">
        <v>305000</v>
      </c>
      <c r="AA414" s="56"/>
      <c r="AB414" s="263"/>
      <c r="AC414" s="44">
        <f>ABS(X414/Y414-1)</f>
        <v>8.9999999999999969E-2</v>
      </c>
      <c r="AD414" s="62">
        <v>2.93E-2</v>
      </c>
      <c r="AE414" s="41">
        <f t="shared" si="69"/>
        <v>6.0699999999999969E-2</v>
      </c>
      <c r="AF414" s="42"/>
      <c r="AG414" s="40">
        <f>IF((X414*AE414)&lt;0,0,(X414*AE414))</f>
        <v>20713.874999999989</v>
      </c>
      <c r="AH414" s="65">
        <f t="shared" si="62"/>
        <v>70000</v>
      </c>
      <c r="AI414" s="66">
        <f>AH414/X414</f>
        <v>0.20512820512820512</v>
      </c>
      <c r="AJ414" s="66">
        <f t="shared" si="63"/>
        <v>0.20512820512820512</v>
      </c>
      <c r="AK414" s="65">
        <f>AF414*X414</f>
        <v>0</v>
      </c>
      <c r="AL414" s="40">
        <f t="shared" si="70"/>
        <v>70000</v>
      </c>
      <c r="AM414" s="242">
        <f t="shared" si="68"/>
        <v>45199</v>
      </c>
      <c r="AN414" s="242" t="str">
        <f>IF(AQ414="x","",IF(AQ414="x",AM414,IF(EOMONTH(I414,0)=31,"",EOMONTH(I414,0))))</f>
        <v/>
      </c>
      <c r="AO414" s="79">
        <f>IFERROR(IF(VLOOKUP(C414,C415:C1015,1,0)=0,1,0),1)</f>
        <v>1</v>
      </c>
      <c r="AP414" s="79"/>
      <c r="AQ414" s="243" t="str">
        <f t="shared" si="64"/>
        <v/>
      </c>
      <c r="AR414" s="242" t="b">
        <f>IF(AQ414="x",EOMONTH(I414,0))</f>
        <v>0</v>
      </c>
      <c r="AS414" s="79">
        <f t="shared" si="58"/>
        <v>1</v>
      </c>
      <c r="AT414" s="79">
        <f t="shared" si="59"/>
        <v>1</v>
      </c>
      <c r="AU414" s="79" t="str">
        <f t="shared" si="60"/>
        <v>B</v>
      </c>
      <c r="AV414" s="79">
        <f t="shared" si="66"/>
        <v>1</v>
      </c>
      <c r="AW414" s="79" t="str">
        <f>J414&amp;AU414</f>
        <v>6B</v>
      </c>
      <c r="AX414" s="79">
        <f>IF(COUNTIFS(J:J,"Integral",E:E,E414,H:H,"Ativo")=4,1/4,1/10)</f>
        <v>0.1</v>
      </c>
      <c r="AY414" s="79" t="s">
        <v>1320</v>
      </c>
      <c r="AZ414" s="79" t="b">
        <v>1</v>
      </c>
    </row>
    <row r="415" spans="1:52" ht="15.75" customHeight="1">
      <c r="A415" s="54">
        <v>436</v>
      </c>
      <c r="B415" s="403">
        <v>45176</v>
      </c>
      <c r="C415" s="32" t="s">
        <v>1370</v>
      </c>
      <c r="D415" s="32" t="s">
        <v>1371</v>
      </c>
      <c r="E415" s="32" t="s">
        <v>1368</v>
      </c>
      <c r="F415" s="32" t="s">
        <v>1372</v>
      </c>
      <c r="G415" s="60" t="s">
        <v>220</v>
      </c>
      <c r="H415" s="33" t="s">
        <v>90</v>
      </c>
      <c r="I415" s="34"/>
      <c r="J415" s="33">
        <v>6</v>
      </c>
      <c r="K415" s="35" t="s">
        <v>1165</v>
      </c>
      <c r="L415" s="35" t="s">
        <v>1165</v>
      </c>
      <c r="M415" s="386" t="s">
        <v>1259</v>
      </c>
      <c r="N415" s="33" t="s">
        <v>68</v>
      </c>
      <c r="O415" s="33" t="s">
        <v>11</v>
      </c>
      <c r="P415" s="33" t="s">
        <v>2</v>
      </c>
      <c r="Q415" s="47"/>
      <c r="R415" s="47"/>
      <c r="S415" s="45" t="s">
        <v>145</v>
      </c>
      <c r="T415" s="45"/>
      <c r="U415" s="37">
        <v>45175</v>
      </c>
      <c r="V415" s="38">
        <f t="shared" si="67"/>
        <v>45176</v>
      </c>
      <c r="W415" s="50">
        <f>V415-U415</f>
        <v>1</v>
      </c>
      <c r="X415" s="261">
        <f>Y415*0.91</f>
        <v>341250</v>
      </c>
      <c r="Y415" s="260">
        <v>375000</v>
      </c>
      <c r="Z415" s="263">
        <v>305000</v>
      </c>
      <c r="AA415" s="56"/>
      <c r="AB415" s="263"/>
      <c r="AC415" s="44">
        <f>ABS(X415/Y415-1)</f>
        <v>8.9999999999999969E-2</v>
      </c>
      <c r="AD415" s="62">
        <v>2.93E-2</v>
      </c>
      <c r="AE415" s="41">
        <f t="shared" si="69"/>
        <v>6.0699999999999969E-2</v>
      </c>
      <c r="AF415" s="42"/>
      <c r="AG415" s="40">
        <f>IF((X415*AE415)&lt;0,0,(X415*AE415))</f>
        <v>20713.874999999989</v>
      </c>
      <c r="AH415" s="65">
        <f t="shared" si="62"/>
        <v>70000</v>
      </c>
      <c r="AI415" s="66">
        <f>AH415/X415</f>
        <v>0.20512820512820512</v>
      </c>
      <c r="AJ415" s="66">
        <f t="shared" si="63"/>
        <v>0.20512820512820512</v>
      </c>
      <c r="AK415" s="65">
        <f>AF415*X415</f>
        <v>0</v>
      </c>
      <c r="AL415" s="40">
        <f t="shared" si="70"/>
        <v>70000</v>
      </c>
      <c r="AM415" s="242">
        <f t="shared" si="68"/>
        <v>45199</v>
      </c>
      <c r="AN415" s="242" t="str">
        <f>IF(AQ415="x","",IF(AQ415="x",AM415,IF(EOMONTH(I415,0)=31,"",EOMONTH(I415,0))))</f>
        <v/>
      </c>
      <c r="AO415" s="79">
        <f>IFERROR(IF(VLOOKUP(C415,C416:C1016,1,0)=0,1,0),1)</f>
        <v>1</v>
      </c>
      <c r="AP415" s="79"/>
      <c r="AQ415" s="243" t="str">
        <f t="shared" si="64"/>
        <v/>
      </c>
      <c r="AR415" s="242" t="b">
        <f>IF(AQ415="x",EOMONTH(I415,0))</f>
        <v>0</v>
      </c>
      <c r="AS415" s="79">
        <f t="shared" si="58"/>
        <v>1</v>
      </c>
      <c r="AT415" s="79">
        <f t="shared" si="59"/>
        <v>1</v>
      </c>
      <c r="AU415" s="79" t="str">
        <f t="shared" si="60"/>
        <v>B</v>
      </c>
      <c r="AV415" s="79">
        <f t="shared" si="66"/>
        <v>1</v>
      </c>
      <c r="AW415" s="79" t="str">
        <f>J415&amp;AU415</f>
        <v>6B</v>
      </c>
      <c r="AX415" s="79">
        <f>IF(COUNTIFS(J:J,"Integral",E:E,E415,H:H,"Ativo")=4,1/4,1/10)</f>
        <v>0.1</v>
      </c>
      <c r="AY415" s="79" t="s">
        <v>1320</v>
      </c>
      <c r="AZ415" s="79" t="b">
        <v>1</v>
      </c>
    </row>
    <row r="416" spans="1:52" ht="15.75" customHeight="1">
      <c r="A416" s="54">
        <v>437</v>
      </c>
      <c r="B416" s="403">
        <v>45177</v>
      </c>
      <c r="C416" s="32" t="s">
        <v>1373</v>
      </c>
      <c r="D416" s="32" t="s">
        <v>1374</v>
      </c>
      <c r="E416" s="32" t="s">
        <v>1368</v>
      </c>
      <c r="F416" s="32" t="s">
        <v>1375</v>
      </c>
      <c r="G416" s="60" t="s">
        <v>220</v>
      </c>
      <c r="H416" s="33" t="s">
        <v>90</v>
      </c>
      <c r="I416" s="34"/>
      <c r="J416" s="33">
        <v>6</v>
      </c>
      <c r="K416" s="35" t="s">
        <v>1026</v>
      </c>
      <c r="L416" s="35" t="s">
        <v>1026</v>
      </c>
      <c r="M416" s="386" t="s">
        <v>1259</v>
      </c>
      <c r="N416" s="33" t="s">
        <v>68</v>
      </c>
      <c r="O416" s="33" t="s">
        <v>12</v>
      </c>
      <c r="P416" s="33" t="s">
        <v>1</v>
      </c>
      <c r="Q416" s="47"/>
      <c r="R416" s="47"/>
      <c r="S416" s="45" t="s">
        <v>143</v>
      </c>
      <c r="T416" s="45"/>
      <c r="U416" s="37">
        <v>45115</v>
      </c>
      <c r="V416" s="38">
        <f t="shared" si="67"/>
        <v>45177</v>
      </c>
      <c r="W416" s="50">
        <f>V416-U416</f>
        <v>62</v>
      </c>
      <c r="X416" s="261">
        <f>Y416*0.91</f>
        <v>341250</v>
      </c>
      <c r="Y416" s="260">
        <v>375000</v>
      </c>
      <c r="Z416" s="263">
        <v>374000</v>
      </c>
      <c r="AA416" s="35" t="s">
        <v>1027</v>
      </c>
      <c r="AB416" s="263"/>
      <c r="AC416" s="44">
        <f>ABS(X416/Y416-1)</f>
        <v>8.9999999999999969E-2</v>
      </c>
      <c r="AD416" s="62">
        <v>2.06E-2</v>
      </c>
      <c r="AE416" s="41">
        <f t="shared" si="69"/>
        <v>6.9399999999999962E-2</v>
      </c>
      <c r="AF416" s="42"/>
      <c r="AG416" s="40">
        <f>IF((X416*AE416)&lt;0,0,(X416*AE416))</f>
        <v>23682.749999999985</v>
      </c>
      <c r="AH416" s="65">
        <f t="shared" si="62"/>
        <v>1000</v>
      </c>
      <c r="AI416" s="66">
        <f>AH416/X416</f>
        <v>2.9304029304029304E-3</v>
      </c>
      <c r="AJ416" s="66">
        <f t="shared" si="63"/>
        <v>2.9304029304029304E-3</v>
      </c>
      <c r="AK416" s="65">
        <f>AF416*X416</f>
        <v>0</v>
      </c>
      <c r="AL416" s="40">
        <f t="shared" si="70"/>
        <v>1000</v>
      </c>
      <c r="AM416" s="242">
        <f t="shared" si="68"/>
        <v>45199</v>
      </c>
      <c r="AN416" s="242" t="str">
        <f>IF(AQ416="x","",IF(AQ416="x",AM416,IF(EOMONTH(I416,0)=31,"",EOMONTH(I416,0))))</f>
        <v/>
      </c>
      <c r="AO416" s="79">
        <f>IFERROR(IF(VLOOKUP(C416,C417:C1017,1,0)=0,1,0),1)</f>
        <v>1</v>
      </c>
      <c r="AP416" s="79"/>
      <c r="AQ416" s="243" t="str">
        <f t="shared" si="64"/>
        <v/>
      </c>
      <c r="AR416" s="242" t="b">
        <f>IF(AQ416="x",EOMONTH(I416,0))</f>
        <v>0</v>
      </c>
      <c r="AS416" s="79">
        <f t="shared" si="58"/>
        <v>1</v>
      </c>
      <c r="AT416" s="79">
        <f t="shared" si="59"/>
        <v>1</v>
      </c>
      <c r="AU416" s="79" t="str">
        <f t="shared" si="60"/>
        <v>B</v>
      </c>
      <c r="AV416" s="79">
        <f t="shared" si="66"/>
        <v>1</v>
      </c>
      <c r="AW416" s="79" t="str">
        <f>J416&amp;AU416</f>
        <v>6B</v>
      </c>
      <c r="AX416" s="79">
        <f>IF(COUNTIFS(J:J,"Integral",E:E,E416,H:H,"Ativo")=4,1/4,1/10)</f>
        <v>0.1</v>
      </c>
      <c r="AY416" s="79" t="s">
        <v>1320</v>
      </c>
      <c r="AZ416" s="79" t="b">
        <v>1</v>
      </c>
    </row>
    <row r="417" spans="1:52" ht="15.75" customHeight="1">
      <c r="A417" s="54">
        <v>438</v>
      </c>
      <c r="B417" s="403">
        <v>45178</v>
      </c>
      <c r="C417" s="32" t="s">
        <v>1376</v>
      </c>
      <c r="D417" s="32" t="s">
        <v>1377</v>
      </c>
      <c r="E417" s="32" t="s">
        <v>1368</v>
      </c>
      <c r="F417" s="32" t="s">
        <v>1378</v>
      </c>
      <c r="G417" s="60" t="s">
        <v>220</v>
      </c>
      <c r="H417" s="33" t="s">
        <v>90</v>
      </c>
      <c r="I417" s="34"/>
      <c r="J417" s="33">
        <v>6</v>
      </c>
      <c r="K417" s="35" t="s">
        <v>977</v>
      </c>
      <c r="L417" s="35" t="s">
        <v>977</v>
      </c>
      <c r="M417" s="386" t="s">
        <v>1259</v>
      </c>
      <c r="N417" s="33" t="s">
        <v>68</v>
      </c>
      <c r="O417" s="33" t="s">
        <v>11</v>
      </c>
      <c r="P417" s="33" t="s">
        <v>2</v>
      </c>
      <c r="Q417" s="47"/>
      <c r="R417" s="47"/>
      <c r="S417" s="45" t="s">
        <v>147</v>
      </c>
      <c r="T417" s="45"/>
      <c r="U417" s="37">
        <v>45167</v>
      </c>
      <c r="V417" s="38">
        <f t="shared" si="67"/>
        <v>45178</v>
      </c>
      <c r="W417" s="50">
        <f>V417-U417</f>
        <v>11</v>
      </c>
      <c r="X417" s="261">
        <f>Y417*0.91</f>
        <v>341250</v>
      </c>
      <c r="Y417" s="260">
        <v>375000</v>
      </c>
      <c r="Z417" s="263">
        <v>332220</v>
      </c>
      <c r="AA417" s="35"/>
      <c r="AB417" s="263"/>
      <c r="AC417" s="44">
        <f>ABS(X417/Y417-1)</f>
        <v>8.9999999999999969E-2</v>
      </c>
      <c r="AD417" s="62">
        <v>7.1599999999999997E-2</v>
      </c>
      <c r="AE417" s="41">
        <f t="shared" si="69"/>
        <v>1.8399999999999972E-2</v>
      </c>
      <c r="AF417" s="42"/>
      <c r="AG417" s="40">
        <f>IF((X417*AE417)&lt;0,0,(X417*AE417))</f>
        <v>6278.99999999999</v>
      </c>
      <c r="AH417" s="65">
        <f t="shared" si="62"/>
        <v>42780</v>
      </c>
      <c r="AI417" s="66">
        <f>AH417/X417</f>
        <v>0.12536263736263736</v>
      </c>
      <c r="AJ417" s="66">
        <f t="shared" si="63"/>
        <v>0.12536263736263736</v>
      </c>
      <c r="AK417" s="65">
        <f>AF417*X417</f>
        <v>0</v>
      </c>
      <c r="AL417" s="40">
        <f t="shared" si="70"/>
        <v>42780</v>
      </c>
      <c r="AM417" s="242">
        <f t="shared" si="68"/>
        <v>45199</v>
      </c>
      <c r="AN417" s="242" t="str">
        <f>IF(AQ417="x","",IF(AQ417="x",AM417,IF(EOMONTH(I417,0)=31,"",EOMONTH(I417,0))))</f>
        <v/>
      </c>
      <c r="AO417" s="79">
        <f>IFERROR(IF(VLOOKUP(C417,C418:C1018,1,0)=0,1,0),1)</f>
        <v>1</v>
      </c>
      <c r="AP417" s="79"/>
      <c r="AQ417" s="243" t="str">
        <f t="shared" si="64"/>
        <v/>
      </c>
      <c r="AR417" s="242" t="b">
        <f>IF(AQ417="x",EOMONTH(I417,0))</f>
        <v>0</v>
      </c>
      <c r="AS417" s="79">
        <f t="shared" si="58"/>
        <v>1</v>
      </c>
      <c r="AT417" s="79">
        <f t="shared" si="59"/>
        <v>1</v>
      </c>
      <c r="AU417" s="79" t="str">
        <f t="shared" si="60"/>
        <v>B</v>
      </c>
      <c r="AV417" s="79">
        <f t="shared" si="66"/>
        <v>1</v>
      </c>
      <c r="AW417" s="79" t="str">
        <f>J417&amp;AU417</f>
        <v>6B</v>
      </c>
      <c r="AX417" s="79">
        <f>IF(COUNTIFS(J:J,"Integral",E:E,E417,H:H,"Ativo")=4,1/4,1/10)</f>
        <v>0.1</v>
      </c>
      <c r="AY417" s="79" t="s">
        <v>1320</v>
      </c>
      <c r="AZ417" s="79" t="b">
        <v>1</v>
      </c>
    </row>
    <row r="418" spans="1:52" ht="15.75" customHeight="1">
      <c r="A418" s="54">
        <v>439</v>
      </c>
      <c r="B418" s="403">
        <v>45180</v>
      </c>
      <c r="C418" s="32" t="s">
        <v>1379</v>
      </c>
      <c r="D418" s="32" t="s">
        <v>1380</v>
      </c>
      <c r="E418" s="32" t="s">
        <v>1368</v>
      </c>
      <c r="F418" s="32" t="s">
        <v>1381</v>
      </c>
      <c r="G418" s="60" t="s">
        <v>220</v>
      </c>
      <c r="H418" s="33" t="s">
        <v>90</v>
      </c>
      <c r="I418" s="34"/>
      <c r="J418" s="33">
        <v>6</v>
      </c>
      <c r="K418" s="35" t="s">
        <v>273</v>
      </c>
      <c r="L418" s="35" t="s">
        <v>273</v>
      </c>
      <c r="M418" s="386" t="s">
        <v>1259</v>
      </c>
      <c r="N418" s="33" t="s">
        <v>68</v>
      </c>
      <c r="O418" s="33" t="s">
        <v>12</v>
      </c>
      <c r="P418" s="33" t="s">
        <v>2</v>
      </c>
      <c r="Q418" s="47"/>
      <c r="R418" s="47"/>
      <c r="S418" s="45" t="s">
        <v>147</v>
      </c>
      <c r="T418" s="45"/>
      <c r="U418" s="37">
        <v>45122</v>
      </c>
      <c r="V418" s="38">
        <f t="shared" si="67"/>
        <v>45180</v>
      </c>
      <c r="W418" s="50">
        <f>V418-U418</f>
        <v>58</v>
      </c>
      <c r="X418" s="261">
        <f>Y418*0.91</f>
        <v>341250</v>
      </c>
      <c r="Y418" s="260">
        <v>375000</v>
      </c>
      <c r="Z418" s="263">
        <v>350000</v>
      </c>
      <c r="AA418" s="35"/>
      <c r="AB418" s="263"/>
      <c r="AC418" s="44">
        <f>ABS(X418/Y418-1)</f>
        <v>8.9999999999999969E-2</v>
      </c>
      <c r="AD418" s="62">
        <v>1.9599999999999999E-2</v>
      </c>
      <c r="AE418" s="41">
        <f t="shared" si="69"/>
        <v>7.0399999999999963E-2</v>
      </c>
      <c r="AF418" s="42"/>
      <c r="AG418" s="40">
        <f>IF((X418*AE418)&lt;0,0,(X418*AE418))</f>
        <v>24023.999999999985</v>
      </c>
      <c r="AH418" s="65">
        <f t="shared" si="62"/>
        <v>25000</v>
      </c>
      <c r="AI418" s="66">
        <f>AH418/X418</f>
        <v>7.3260073260073263E-2</v>
      </c>
      <c r="AJ418" s="66">
        <f t="shared" si="63"/>
        <v>7.3260073260073263E-2</v>
      </c>
      <c r="AK418" s="65">
        <f>AF418*X418</f>
        <v>0</v>
      </c>
      <c r="AL418" s="40">
        <f t="shared" si="70"/>
        <v>25000</v>
      </c>
      <c r="AM418" s="242">
        <f t="shared" si="68"/>
        <v>45199</v>
      </c>
      <c r="AN418" s="242" t="str">
        <f>IF(AQ418="x","",IF(AQ418="x",AM418,IF(EOMONTH(I418,0)=31,"",EOMONTH(I418,0))))</f>
        <v/>
      </c>
      <c r="AO418" s="79">
        <f>IFERROR(IF(VLOOKUP(C418,C419:C1019,1,0)=0,1,0),1)</f>
        <v>1</v>
      </c>
      <c r="AP418" s="79"/>
      <c r="AQ418" s="243" t="str">
        <f t="shared" si="64"/>
        <v/>
      </c>
      <c r="AR418" s="242" t="b">
        <f>IF(AQ418="x",EOMONTH(I418,0))</f>
        <v>0</v>
      </c>
      <c r="AS418" s="79">
        <f t="shared" si="58"/>
        <v>1</v>
      </c>
      <c r="AT418" s="79">
        <f t="shared" si="59"/>
        <v>1</v>
      </c>
      <c r="AU418" s="79" t="str">
        <f t="shared" si="60"/>
        <v>B</v>
      </c>
      <c r="AV418" s="79">
        <f t="shared" si="66"/>
        <v>1</v>
      </c>
      <c r="AW418" s="79" t="str">
        <f>J418&amp;AU418</f>
        <v>6B</v>
      </c>
      <c r="AX418" s="79">
        <f>IF(COUNTIFS(J:J,"Integral",E:E,E418,H:H,"Ativo")=4,1/4,1/10)</f>
        <v>0.1</v>
      </c>
      <c r="AY418" s="79" t="s">
        <v>1332</v>
      </c>
      <c r="AZ418" s="79" t="b">
        <v>1</v>
      </c>
    </row>
    <row r="419" spans="1:52" ht="15.75" customHeight="1">
      <c r="A419" s="54">
        <v>440</v>
      </c>
      <c r="B419" s="403">
        <v>45180</v>
      </c>
      <c r="C419" s="32" t="s">
        <v>1361</v>
      </c>
      <c r="D419" s="32" t="s">
        <v>1382</v>
      </c>
      <c r="E419" s="32" t="s">
        <v>1383</v>
      </c>
      <c r="F419" s="32" t="s">
        <v>1384</v>
      </c>
      <c r="G419" s="60" t="s">
        <v>220</v>
      </c>
      <c r="H419" s="33" t="s">
        <v>90</v>
      </c>
      <c r="I419" s="34"/>
      <c r="J419" s="33">
        <v>52</v>
      </c>
      <c r="K419" s="35" t="s">
        <v>977</v>
      </c>
      <c r="L419" s="35" t="s">
        <v>977</v>
      </c>
      <c r="M419" s="386" t="s">
        <v>1259</v>
      </c>
      <c r="N419" s="33" t="s">
        <v>68</v>
      </c>
      <c r="O419" s="33" t="s">
        <v>12</v>
      </c>
      <c r="P419" s="33" t="s">
        <v>2</v>
      </c>
      <c r="Q419" s="47"/>
      <c r="R419" s="47"/>
      <c r="S419" s="45" t="s">
        <v>145</v>
      </c>
      <c r="T419" s="45"/>
      <c r="U419" s="68">
        <v>45162</v>
      </c>
      <c r="V419" s="48">
        <f t="shared" si="67"/>
        <v>45180</v>
      </c>
      <c r="W419" s="50">
        <f>V419-U419</f>
        <v>18</v>
      </c>
      <c r="X419" s="261">
        <f>Y419*0.91</f>
        <v>182000</v>
      </c>
      <c r="Y419" s="260">
        <v>200000</v>
      </c>
      <c r="Z419" s="263">
        <v>200000</v>
      </c>
      <c r="AA419" s="35"/>
      <c r="AB419" s="263"/>
      <c r="AC419" s="44">
        <f>ABS(X419/Y419-1)</f>
        <v>8.9999999999999969E-2</v>
      </c>
      <c r="AD419" s="62"/>
      <c r="AE419" s="41"/>
      <c r="AF419" s="42"/>
      <c r="AG419" s="40">
        <f>IF((X419*AE419)&lt;0,0,(X419*AE419))</f>
        <v>0</v>
      </c>
      <c r="AH419" s="65">
        <f t="shared" si="62"/>
        <v>0</v>
      </c>
      <c r="AI419" s="66">
        <f>AH419/X419</f>
        <v>0</v>
      </c>
      <c r="AJ419" s="66">
        <f t="shared" si="63"/>
        <v>0</v>
      </c>
      <c r="AK419" s="65">
        <f>AF419*X419</f>
        <v>0</v>
      </c>
      <c r="AL419" s="40">
        <f t="shared" si="70"/>
        <v>0</v>
      </c>
      <c r="AM419" s="242">
        <f t="shared" si="68"/>
        <v>45199</v>
      </c>
      <c r="AN419" s="242" t="str">
        <f>IF(AQ419="x","",IF(AQ419="x",AM419,IF(EOMONTH(I419,0)=31,"",EOMONTH(I419,0))))</f>
        <v/>
      </c>
      <c r="AO419" s="79">
        <f>IFERROR(IF(VLOOKUP(C419,C420:C1020,1,0)=0,1,0),1)</f>
        <v>0</v>
      </c>
      <c r="AP419" s="79"/>
      <c r="AQ419" s="243" t="str">
        <f t="shared" si="64"/>
        <v/>
      </c>
      <c r="AR419" s="242" t="b">
        <f>IF(AQ419="x",EOMONTH(I419,0))</f>
        <v>0</v>
      </c>
      <c r="AS419" s="79">
        <f t="shared" si="58"/>
        <v>1</v>
      </c>
      <c r="AT419" s="79">
        <f t="shared" si="59"/>
        <v>1</v>
      </c>
      <c r="AU419" s="79" t="str">
        <f t="shared" si="60"/>
        <v>V</v>
      </c>
      <c r="AV419" s="79">
        <f t="shared" si="66"/>
        <v>1</v>
      </c>
      <c r="AW419" s="79" t="str">
        <f>J419&amp;AU419</f>
        <v>52V</v>
      </c>
      <c r="AX419" s="79">
        <f>IF(COUNTIFS(J:J,"Integral",E:E,E419,H:H,"Ativo")=4,1/4,1/10)</f>
        <v>0.1</v>
      </c>
      <c r="AY419" s="79" t="s">
        <v>1332</v>
      </c>
      <c r="AZ419" s="79" t="b">
        <v>1</v>
      </c>
    </row>
    <row r="420" spans="1:52" ht="15.75" customHeight="1">
      <c r="A420" s="54">
        <v>441</v>
      </c>
      <c r="B420" s="403">
        <v>45181</v>
      </c>
      <c r="C420" s="32" t="s">
        <v>1385</v>
      </c>
      <c r="D420" s="32" t="s">
        <v>1386</v>
      </c>
      <c r="E420" s="32" t="s">
        <v>1368</v>
      </c>
      <c r="F420" s="32" t="s">
        <v>1387</v>
      </c>
      <c r="G420" s="60" t="s">
        <v>220</v>
      </c>
      <c r="H420" s="33" t="s">
        <v>90</v>
      </c>
      <c r="I420" s="34"/>
      <c r="J420" s="33">
        <v>6</v>
      </c>
      <c r="K420" s="35" t="s">
        <v>1165</v>
      </c>
      <c r="L420" s="35" t="s">
        <v>1165</v>
      </c>
      <c r="M420" s="386" t="s">
        <v>1259</v>
      </c>
      <c r="N420" s="33" t="s">
        <v>68</v>
      </c>
      <c r="O420" s="33" t="s">
        <v>11</v>
      </c>
      <c r="P420" s="33" t="s">
        <v>2</v>
      </c>
      <c r="Q420" s="47"/>
      <c r="R420" s="47"/>
      <c r="S420" s="45" t="s">
        <v>145</v>
      </c>
      <c r="T420" s="45"/>
      <c r="U420" s="37">
        <v>45175</v>
      </c>
      <c r="V420" s="38">
        <f t="shared" si="67"/>
        <v>45181</v>
      </c>
      <c r="W420" s="50">
        <f>V420-U420</f>
        <v>6</v>
      </c>
      <c r="X420" s="261">
        <f>Y420*0.91</f>
        <v>341250</v>
      </c>
      <c r="Y420" s="260">
        <v>375000</v>
      </c>
      <c r="Z420" s="263">
        <v>300000</v>
      </c>
      <c r="AA420" s="35"/>
      <c r="AB420" s="263"/>
      <c r="AC420" s="44">
        <f>ABS(X420/Y420-1)</f>
        <v>8.9999999999999969E-2</v>
      </c>
      <c r="AD420" s="62">
        <v>7.2599999999999998E-2</v>
      </c>
      <c r="AE420" s="41">
        <f t="shared" ref="AE420:AE432" si="71">AC420-AD420</f>
        <v>1.7399999999999971E-2</v>
      </c>
      <c r="AF420" s="42"/>
      <c r="AG420" s="40">
        <f>IF((X420*AE420)&lt;0,0,(X420*AE420))</f>
        <v>5937.74999999999</v>
      </c>
      <c r="AH420" s="65">
        <f t="shared" si="62"/>
        <v>75000</v>
      </c>
      <c r="AI420" s="66">
        <f>AH420/X420</f>
        <v>0.21978021978021978</v>
      </c>
      <c r="AJ420" s="66">
        <f t="shared" si="63"/>
        <v>0.21978021978021978</v>
      </c>
      <c r="AK420" s="65">
        <f>AF420*X420</f>
        <v>0</v>
      </c>
      <c r="AL420" s="40">
        <f t="shared" si="70"/>
        <v>75000</v>
      </c>
      <c r="AM420" s="242">
        <f t="shared" si="68"/>
        <v>45199</v>
      </c>
      <c r="AN420" s="242" t="str">
        <f>IF(AQ420="x","",IF(AQ420="x",AM420,IF(EOMONTH(I420,0)=31,"",EOMONTH(I420,0))))</f>
        <v/>
      </c>
      <c r="AO420" s="79">
        <f>IFERROR(IF(VLOOKUP(C420,C421:C1021,1,0)=0,1,0),1)</f>
        <v>1</v>
      </c>
      <c r="AP420" s="79"/>
      <c r="AQ420" s="243" t="str">
        <f t="shared" si="64"/>
        <v/>
      </c>
      <c r="AR420" s="242" t="b">
        <f>IF(AQ420="x",EOMONTH(I420,0))</f>
        <v>0</v>
      </c>
      <c r="AS420" s="79">
        <f t="shared" ref="AS420:AS483" si="72">IF(AH420&lt;0,0,1)</f>
        <v>1</v>
      </c>
      <c r="AT420" s="79">
        <f t="shared" ref="AT420:AT483" si="73">IF(AL420&lt;0,0,1)</f>
        <v>1</v>
      </c>
      <c r="AU420" s="79" t="str">
        <f t="shared" ref="AU420:AU483" si="74">MID(E420,1,1)</f>
        <v>B</v>
      </c>
      <c r="AV420" s="79">
        <f t="shared" si="66"/>
        <v>1</v>
      </c>
      <c r="AW420" s="79" t="str">
        <f>J420&amp;AU420</f>
        <v>6B</v>
      </c>
      <c r="AX420" s="79">
        <f>IF(COUNTIFS(J:J,"Integral",E:E,E420,H:H,"Ativo")=4,1/4,1/10)</f>
        <v>0.1</v>
      </c>
      <c r="AY420" s="79" t="s">
        <v>1332</v>
      </c>
      <c r="AZ420" s="79" t="b">
        <v>1</v>
      </c>
    </row>
    <row r="421" spans="1:52" ht="15.75" customHeight="1">
      <c r="A421" s="54">
        <v>442</v>
      </c>
      <c r="B421" s="403">
        <v>45183</v>
      </c>
      <c r="C421" s="32" t="s">
        <v>1388</v>
      </c>
      <c r="D421" s="32" t="s">
        <v>1389</v>
      </c>
      <c r="E421" s="32" t="s">
        <v>1390</v>
      </c>
      <c r="F421" s="32" t="s">
        <v>1391</v>
      </c>
      <c r="G421" s="60" t="s">
        <v>220</v>
      </c>
      <c r="H421" s="33" t="s">
        <v>90</v>
      </c>
      <c r="I421" s="34"/>
      <c r="J421" s="33">
        <v>6</v>
      </c>
      <c r="K421" s="35" t="s">
        <v>1165</v>
      </c>
      <c r="L421" s="35" t="s">
        <v>1165</v>
      </c>
      <c r="M421" s="386" t="s">
        <v>1259</v>
      </c>
      <c r="N421" s="33" t="s">
        <v>68</v>
      </c>
      <c r="O421" s="33" t="s">
        <v>11</v>
      </c>
      <c r="P421" s="33" t="s">
        <v>1</v>
      </c>
      <c r="Q421" s="47"/>
      <c r="R421" s="47"/>
      <c r="S421" s="45" t="s">
        <v>147</v>
      </c>
      <c r="T421" s="45"/>
      <c r="U421" s="37">
        <v>45170</v>
      </c>
      <c r="V421" s="38">
        <f t="shared" si="67"/>
        <v>45183</v>
      </c>
      <c r="W421" s="50">
        <f>V421-U421</f>
        <v>13</v>
      </c>
      <c r="X421" s="261">
        <f>Y421*0.91</f>
        <v>341250</v>
      </c>
      <c r="Y421" s="260">
        <v>375000</v>
      </c>
      <c r="Z421" s="263">
        <v>302000</v>
      </c>
      <c r="AA421" s="56" t="s">
        <v>1246</v>
      </c>
      <c r="AB421" s="263"/>
      <c r="AC421" s="44">
        <f>ABS(X421/Y421-1)</f>
        <v>8.9999999999999969E-2</v>
      </c>
      <c r="AD421" s="62">
        <v>-2.2000000000000001E-3</v>
      </c>
      <c r="AE421" s="41">
        <f t="shared" si="71"/>
        <v>9.2199999999999963E-2</v>
      </c>
      <c r="AF421" s="42"/>
      <c r="AG421" s="40">
        <f>IF((X421*AE421)&lt;0,0,(X421*AE421))</f>
        <v>31463.249999999985</v>
      </c>
      <c r="AH421" s="65">
        <f t="shared" si="62"/>
        <v>73000</v>
      </c>
      <c r="AI421" s="66">
        <f>AH421/X421</f>
        <v>0.21391941391941391</v>
      </c>
      <c r="AJ421" s="66">
        <f t="shared" si="63"/>
        <v>0.21391941391941391</v>
      </c>
      <c r="AK421" s="65">
        <f>AF421*X421</f>
        <v>0</v>
      </c>
      <c r="AL421" s="40">
        <f t="shared" si="70"/>
        <v>73000</v>
      </c>
      <c r="AM421" s="242">
        <f t="shared" si="68"/>
        <v>45199</v>
      </c>
      <c r="AN421" s="242" t="str">
        <f>IF(AQ421="x","",IF(AQ421="x",AM421,IF(EOMONTH(I421,0)=31,"",EOMONTH(I421,0))))</f>
        <v/>
      </c>
      <c r="AO421" s="79">
        <f>IFERROR(IF(VLOOKUP(C421,C422:C1022,1,0)=0,1,0),1)</f>
        <v>1</v>
      </c>
      <c r="AP421" s="79"/>
      <c r="AQ421" s="243" t="str">
        <f t="shared" si="64"/>
        <v/>
      </c>
      <c r="AR421" s="242" t="b">
        <f>IF(AQ421="x",EOMONTH(I421,0))</f>
        <v>0</v>
      </c>
      <c r="AS421" s="79">
        <f t="shared" si="72"/>
        <v>1</v>
      </c>
      <c r="AT421" s="79">
        <f t="shared" si="73"/>
        <v>1</v>
      </c>
      <c r="AU421" s="79" t="str">
        <f t="shared" si="74"/>
        <v>B</v>
      </c>
      <c r="AV421" s="79">
        <f t="shared" si="66"/>
        <v>1</v>
      </c>
      <c r="AW421" s="79" t="str">
        <f>J421&amp;AU421</f>
        <v>6B</v>
      </c>
      <c r="AX421" s="79">
        <f>IF(COUNTIFS(J:J,"Integral",E:E,E421,H:H,"Ativo")=4,1/4,1/10)</f>
        <v>0.1</v>
      </c>
      <c r="AY421" s="79" t="s">
        <v>1320</v>
      </c>
      <c r="AZ421" s="79" t="b">
        <v>1</v>
      </c>
    </row>
    <row r="422" spans="1:52" ht="15.75" customHeight="1">
      <c r="A422" s="54">
        <v>444</v>
      </c>
      <c r="B422" s="403">
        <v>45183</v>
      </c>
      <c r="C422" s="32" t="s">
        <v>1392</v>
      </c>
      <c r="D422" s="32" t="s">
        <v>1393</v>
      </c>
      <c r="E422" s="32" t="s">
        <v>1390</v>
      </c>
      <c r="F422" s="32" t="s">
        <v>1394</v>
      </c>
      <c r="G422" s="60" t="s">
        <v>220</v>
      </c>
      <c r="H422" s="33" t="s">
        <v>90</v>
      </c>
      <c r="I422" s="34"/>
      <c r="J422" s="33">
        <v>6</v>
      </c>
      <c r="K422" s="35" t="s">
        <v>1007</v>
      </c>
      <c r="L422" s="35" t="s">
        <v>1007</v>
      </c>
      <c r="M422" s="386" t="s">
        <v>246</v>
      </c>
      <c r="N422" s="33" t="s">
        <v>68</v>
      </c>
      <c r="O422" s="33" t="s">
        <v>11</v>
      </c>
      <c r="P422" s="33" t="s">
        <v>2</v>
      </c>
      <c r="Q422" s="47"/>
      <c r="R422" s="47"/>
      <c r="S422" s="45" t="s">
        <v>145</v>
      </c>
      <c r="T422" s="45"/>
      <c r="U422" s="37">
        <v>45176</v>
      </c>
      <c r="V422" s="38">
        <f t="shared" si="67"/>
        <v>45183</v>
      </c>
      <c r="W422" s="50">
        <f>V422-U422</f>
        <v>7</v>
      </c>
      <c r="X422" s="261">
        <f>Y422*0.91</f>
        <v>341250</v>
      </c>
      <c r="Y422" s="260">
        <v>375000</v>
      </c>
      <c r="Z422" s="263">
        <v>314226</v>
      </c>
      <c r="AA422" s="56"/>
      <c r="AB422" s="263"/>
      <c r="AC422" s="44">
        <f>ABS(X422/Y422-1)</f>
        <v>8.9999999999999969E-2</v>
      </c>
      <c r="AD422" s="62">
        <v>8.1299999999999997E-2</v>
      </c>
      <c r="AE422" s="41">
        <f t="shared" si="71"/>
        <v>8.6999999999999716E-3</v>
      </c>
      <c r="AF422" s="42"/>
      <c r="AG422" s="40">
        <f>IF((X422*AE422)&lt;0,0,(X422*AE422))</f>
        <v>2968.8749999999905</v>
      </c>
      <c r="AH422" s="65">
        <f t="shared" ref="AH422:AH485" si="75">Y422-Z422</f>
        <v>60774</v>
      </c>
      <c r="AI422" s="66">
        <f>AH422/X422</f>
        <v>0.17809230769230769</v>
      </c>
      <c r="AJ422" s="66">
        <f t="shared" ref="AJ422:AJ485" si="76">AI422-AF422</f>
        <v>0.17809230769230769</v>
      </c>
      <c r="AK422" s="65">
        <f>AF422*X422</f>
        <v>0</v>
      </c>
      <c r="AL422" s="40">
        <f t="shared" si="70"/>
        <v>60774</v>
      </c>
      <c r="AM422" s="242">
        <f t="shared" si="68"/>
        <v>45199</v>
      </c>
      <c r="AN422" s="242" t="str">
        <f>IF(AQ422="x","",IF(AQ422="x",AM422,IF(EOMONTH(I422,0)=31,"",EOMONTH(I422,0))))</f>
        <v/>
      </c>
      <c r="AO422" s="79">
        <f>IFERROR(IF(VLOOKUP(C422,C423:C1023,1,0)=0,1,0),1)</f>
        <v>1</v>
      </c>
      <c r="AP422" s="79"/>
      <c r="AQ422" s="243" t="str">
        <f t="shared" si="64"/>
        <v/>
      </c>
      <c r="AR422" s="242" t="b">
        <f>IF(AQ422="x",EOMONTH(I422,0))</f>
        <v>0</v>
      </c>
      <c r="AS422" s="79">
        <f t="shared" si="72"/>
        <v>1</v>
      </c>
      <c r="AT422" s="79">
        <f t="shared" si="73"/>
        <v>1</v>
      </c>
      <c r="AU422" s="79" t="str">
        <f t="shared" si="74"/>
        <v>B</v>
      </c>
      <c r="AV422" s="79">
        <f t="shared" si="66"/>
        <v>1</v>
      </c>
      <c r="AW422" s="79" t="str">
        <f>J422&amp;AU422</f>
        <v>6B</v>
      </c>
      <c r="AX422" s="79">
        <f>IF(COUNTIFS(J:J,"Integral",E:E,E422,H:H,"Ativo")=4,1/4,1/10)</f>
        <v>0.1</v>
      </c>
      <c r="AY422" s="79" t="s">
        <v>1320</v>
      </c>
      <c r="AZ422" s="79" t="b">
        <v>1</v>
      </c>
    </row>
    <row r="423" spans="1:52" ht="15.75" customHeight="1">
      <c r="A423" s="54">
        <v>445</v>
      </c>
      <c r="B423" s="403">
        <v>45184</v>
      </c>
      <c r="C423" s="32" t="s">
        <v>1395</v>
      </c>
      <c r="D423" s="32" t="s">
        <v>1396</v>
      </c>
      <c r="E423" s="32" t="s">
        <v>1390</v>
      </c>
      <c r="F423" s="32" t="s">
        <v>1397</v>
      </c>
      <c r="G423" s="60" t="s">
        <v>220</v>
      </c>
      <c r="H423" s="33" t="s">
        <v>90</v>
      </c>
      <c r="I423" s="34"/>
      <c r="J423" s="33">
        <v>6</v>
      </c>
      <c r="K423" s="35" t="s">
        <v>1007</v>
      </c>
      <c r="L423" s="35" t="s">
        <v>1007</v>
      </c>
      <c r="M423" s="386" t="s">
        <v>246</v>
      </c>
      <c r="N423" s="33" t="s">
        <v>68</v>
      </c>
      <c r="O423" s="33" t="s">
        <v>12</v>
      </c>
      <c r="P423" s="33" t="s">
        <v>2</v>
      </c>
      <c r="Q423" s="47"/>
      <c r="R423" s="47"/>
      <c r="S423" s="45" t="s">
        <v>143</v>
      </c>
      <c r="T423" s="45"/>
      <c r="U423" s="37">
        <v>45182</v>
      </c>
      <c r="V423" s="38">
        <f t="shared" si="67"/>
        <v>45184</v>
      </c>
      <c r="W423" s="50">
        <f>V423-U423</f>
        <v>2</v>
      </c>
      <c r="X423" s="261">
        <f>Y423*0.91</f>
        <v>341250</v>
      </c>
      <c r="Y423" s="260">
        <v>375000</v>
      </c>
      <c r="Z423" s="263">
        <v>374999.9</v>
      </c>
      <c r="AA423" s="56"/>
      <c r="AB423" s="263"/>
      <c r="AC423" s="44">
        <f>ABS(X423/Y423-1)</f>
        <v>8.9999999999999969E-2</v>
      </c>
      <c r="AD423" s="62">
        <v>-1.1299999999999999E-2</v>
      </c>
      <c r="AE423" s="41">
        <f t="shared" si="71"/>
        <v>0.10129999999999997</v>
      </c>
      <c r="AF423" s="42"/>
      <c r="AG423" s="40">
        <f>IF((X423*AE423)&lt;0,0,(X423*AE423))</f>
        <v>34568.624999999993</v>
      </c>
      <c r="AH423" s="65">
        <f t="shared" si="75"/>
        <v>9.9999999976716936E-2</v>
      </c>
      <c r="AI423" s="66">
        <f>AH423/X423</f>
        <v>2.9304029297206426E-7</v>
      </c>
      <c r="AJ423" s="66">
        <f t="shared" si="76"/>
        <v>2.9304029297206426E-7</v>
      </c>
      <c r="AK423" s="65">
        <f>AF423*X423</f>
        <v>0</v>
      </c>
      <c r="AL423" s="40">
        <f t="shared" si="70"/>
        <v>9.9999999976716936E-2</v>
      </c>
      <c r="AM423" s="242">
        <f t="shared" si="68"/>
        <v>45199</v>
      </c>
      <c r="AN423" s="242" t="str">
        <f>IF(AQ423="x","",IF(AQ423="x",AM423,IF(EOMONTH(I423,0)=31,"",EOMONTH(I423,0))))</f>
        <v/>
      </c>
      <c r="AO423" s="79">
        <f>IFERROR(IF(VLOOKUP(C423,C424:C1024,1,0)=0,1,0),1)</f>
        <v>0</v>
      </c>
      <c r="AP423" s="79"/>
      <c r="AQ423" s="243" t="str">
        <f t="shared" si="64"/>
        <v/>
      </c>
      <c r="AR423" s="242" t="b">
        <f>IF(AQ423="x",EOMONTH(I423,0))</f>
        <v>0</v>
      </c>
      <c r="AS423" s="79">
        <f t="shared" si="72"/>
        <v>1</v>
      </c>
      <c r="AT423" s="79">
        <f t="shared" si="73"/>
        <v>1</v>
      </c>
      <c r="AU423" s="79" t="str">
        <f t="shared" si="74"/>
        <v>B</v>
      </c>
      <c r="AV423" s="79">
        <f t="shared" si="66"/>
        <v>1</v>
      </c>
      <c r="AW423" s="79" t="str">
        <f>J423&amp;AU423</f>
        <v>6B</v>
      </c>
      <c r="AX423" s="79">
        <f>IF(COUNTIFS(J:J,"Integral",E:E,E423,H:H,"Ativo")=4,1/4,1/10)</f>
        <v>0.1</v>
      </c>
      <c r="AY423" s="79" t="s">
        <v>1320</v>
      </c>
      <c r="AZ423" s="79" t="b">
        <v>1</v>
      </c>
    </row>
    <row r="424" spans="1:52" ht="15.75" customHeight="1">
      <c r="A424" s="54">
        <v>446</v>
      </c>
      <c r="B424" s="403">
        <v>45184</v>
      </c>
      <c r="C424" s="32" t="s">
        <v>1395</v>
      </c>
      <c r="D424" s="32" t="s">
        <v>1398</v>
      </c>
      <c r="E424" s="32" t="s">
        <v>1390</v>
      </c>
      <c r="F424" s="32" t="s">
        <v>1399</v>
      </c>
      <c r="G424" s="60" t="s">
        <v>220</v>
      </c>
      <c r="H424" s="33" t="s">
        <v>90</v>
      </c>
      <c r="I424" s="34"/>
      <c r="J424" s="33">
        <v>6</v>
      </c>
      <c r="K424" s="35" t="s">
        <v>1007</v>
      </c>
      <c r="L424" s="35" t="s">
        <v>1007</v>
      </c>
      <c r="M424" s="386" t="s">
        <v>246</v>
      </c>
      <c r="N424" s="33" t="s">
        <v>68</v>
      </c>
      <c r="O424" s="33" t="s">
        <v>12</v>
      </c>
      <c r="P424" s="33" t="s">
        <v>2</v>
      </c>
      <c r="Q424" s="47"/>
      <c r="R424" s="47"/>
      <c r="S424" s="45" t="s">
        <v>143</v>
      </c>
      <c r="T424" s="45"/>
      <c r="U424" s="37">
        <v>45182</v>
      </c>
      <c r="V424" s="38">
        <f t="shared" si="67"/>
        <v>45184</v>
      </c>
      <c r="W424" s="50">
        <f>V424-U424</f>
        <v>2</v>
      </c>
      <c r="X424" s="261">
        <f>Y424*0.91</f>
        <v>341250</v>
      </c>
      <c r="Y424" s="260">
        <v>375000</v>
      </c>
      <c r="Z424" s="263">
        <v>374999.9</v>
      </c>
      <c r="AA424" s="56"/>
      <c r="AB424" s="263"/>
      <c r="AC424" s="44">
        <f>ABS(X424/Y424-1)</f>
        <v>8.9999999999999969E-2</v>
      </c>
      <c r="AD424" s="62">
        <v>-1.1299999999999999E-2</v>
      </c>
      <c r="AE424" s="41">
        <f t="shared" si="71"/>
        <v>0.10129999999999997</v>
      </c>
      <c r="AF424" s="42"/>
      <c r="AG424" s="40">
        <f>IF((X424*AE424)&lt;0,0,(X424*AE424))</f>
        <v>34568.624999999993</v>
      </c>
      <c r="AH424" s="65">
        <f t="shared" si="75"/>
        <v>9.9999999976716936E-2</v>
      </c>
      <c r="AI424" s="66">
        <f>AH424/X424</f>
        <v>2.9304029297206426E-7</v>
      </c>
      <c r="AJ424" s="66">
        <f t="shared" si="76"/>
        <v>2.9304029297206426E-7</v>
      </c>
      <c r="AK424" s="65">
        <f>AF424*X424</f>
        <v>0</v>
      </c>
      <c r="AL424" s="40">
        <f t="shared" si="70"/>
        <v>9.9999999976716936E-2</v>
      </c>
      <c r="AM424" s="242">
        <f t="shared" si="68"/>
        <v>45199</v>
      </c>
      <c r="AN424" s="242" t="str">
        <f>IF(AQ424="x","",IF(AQ424="x",AM424,IF(EOMONTH(I424,0)=31,"",EOMONTH(I424,0))))</f>
        <v/>
      </c>
      <c r="AO424" s="79">
        <f>IFERROR(IF(VLOOKUP(C424,C425:C1025,1,0)=0,1,0),1)</f>
        <v>1</v>
      </c>
      <c r="AP424" s="79"/>
      <c r="AQ424" s="243" t="str">
        <f t="shared" si="64"/>
        <v/>
      </c>
      <c r="AR424" s="242" t="b">
        <f>IF(AQ424="x",EOMONTH(I424,0))</f>
        <v>0</v>
      </c>
      <c r="AS424" s="79">
        <f t="shared" si="72"/>
        <v>1</v>
      </c>
      <c r="AT424" s="79">
        <f t="shared" si="73"/>
        <v>1</v>
      </c>
      <c r="AU424" s="79" t="str">
        <f t="shared" si="74"/>
        <v>B</v>
      </c>
      <c r="AV424" s="79">
        <f t="shared" si="66"/>
        <v>1</v>
      </c>
      <c r="AW424" s="79" t="str">
        <f>J424&amp;AU424</f>
        <v>6B</v>
      </c>
      <c r="AX424" s="79">
        <f>IF(COUNTIFS(J:J,"Integral",E:E,E424,H:H,"Ativo")=4,1/4,1/10)</f>
        <v>0.1</v>
      </c>
      <c r="AY424" s="79" t="s">
        <v>1320</v>
      </c>
      <c r="AZ424" s="79" t="b">
        <v>1</v>
      </c>
    </row>
    <row r="425" spans="1:52" ht="15.75" customHeight="1">
      <c r="A425" s="54">
        <v>447</v>
      </c>
      <c r="B425" s="403">
        <v>45185</v>
      </c>
      <c r="C425" s="32" t="s">
        <v>1400</v>
      </c>
      <c r="D425" s="32" t="s">
        <v>1401</v>
      </c>
      <c r="E425" s="32" t="s">
        <v>1390</v>
      </c>
      <c r="F425" s="32" t="s">
        <v>1402</v>
      </c>
      <c r="G425" s="60" t="s">
        <v>220</v>
      </c>
      <c r="H425" s="33" t="s">
        <v>90</v>
      </c>
      <c r="I425" s="34"/>
      <c r="J425" s="33">
        <v>6</v>
      </c>
      <c r="K425" s="35" t="s">
        <v>1403</v>
      </c>
      <c r="L425" s="35" t="s">
        <v>1403</v>
      </c>
      <c r="M425" s="386" t="s">
        <v>1259</v>
      </c>
      <c r="N425" s="33" t="s">
        <v>68</v>
      </c>
      <c r="O425" s="33" t="s">
        <v>12</v>
      </c>
      <c r="P425" s="33" t="s">
        <v>1</v>
      </c>
      <c r="Q425" s="47"/>
      <c r="R425" s="47"/>
      <c r="S425" s="45" t="s">
        <v>144</v>
      </c>
      <c r="T425" s="45"/>
      <c r="U425" s="37">
        <v>45180</v>
      </c>
      <c r="V425" s="38">
        <f t="shared" si="67"/>
        <v>45185</v>
      </c>
      <c r="W425" s="50">
        <f>V425-U425</f>
        <v>5</v>
      </c>
      <c r="X425" s="261">
        <f>Y425*0.91</f>
        <v>341250</v>
      </c>
      <c r="Y425" s="260">
        <v>375000</v>
      </c>
      <c r="Z425" s="263">
        <v>366000</v>
      </c>
      <c r="AA425" s="56" t="s">
        <v>1210</v>
      </c>
      <c r="AB425" s="263"/>
      <c r="AC425" s="44">
        <f>ABS(X425/Y425-1)</f>
        <v>8.9999999999999969E-2</v>
      </c>
      <c r="AD425" s="62">
        <v>-1.0800000000000001E-2</v>
      </c>
      <c r="AE425" s="41">
        <f t="shared" si="71"/>
        <v>0.10079999999999997</v>
      </c>
      <c r="AF425" s="42"/>
      <c r="AG425" s="40">
        <f>IF((X425*AE425)&lt;0,0,(X425*AE425))</f>
        <v>34397.999999999993</v>
      </c>
      <c r="AH425" s="65">
        <f t="shared" si="75"/>
        <v>9000</v>
      </c>
      <c r="AI425" s="66">
        <f>AH425/X425</f>
        <v>2.6373626373626374E-2</v>
      </c>
      <c r="AJ425" s="66">
        <f t="shared" si="76"/>
        <v>2.6373626373626374E-2</v>
      </c>
      <c r="AK425" s="65">
        <f>AF425*X425</f>
        <v>0</v>
      </c>
      <c r="AL425" s="40">
        <f t="shared" si="70"/>
        <v>9000</v>
      </c>
      <c r="AM425" s="242">
        <f t="shared" si="68"/>
        <v>45199</v>
      </c>
      <c r="AN425" s="242" t="str">
        <f>IF(AQ425="x","",IF(AQ425="x",AM425,IF(EOMONTH(I425,0)=31,"",EOMONTH(I425,0))))</f>
        <v/>
      </c>
      <c r="AO425" s="79">
        <f>IFERROR(IF(VLOOKUP(C425,C426:C1026,1,0)=0,1,0),1)</f>
        <v>1</v>
      </c>
      <c r="AP425" s="79"/>
      <c r="AQ425" s="243" t="str">
        <f t="shared" ref="AQ425:AQ488" si="77">IF(MID(G425,1,15)="NAO ASSINADO","x","")</f>
        <v/>
      </c>
      <c r="AR425" s="242" t="b">
        <f>IF(AQ425="x",EOMONTH(I425,0))</f>
        <v>0</v>
      </c>
      <c r="AS425" s="79">
        <f t="shared" si="72"/>
        <v>1</v>
      </c>
      <c r="AT425" s="79">
        <f t="shared" si="73"/>
        <v>1</v>
      </c>
      <c r="AU425" s="79" t="str">
        <f t="shared" si="74"/>
        <v>B</v>
      </c>
      <c r="AV425" s="79">
        <f t="shared" si="66"/>
        <v>1</v>
      </c>
      <c r="AW425" s="79" t="str">
        <f>J425&amp;AU425</f>
        <v>6B</v>
      </c>
      <c r="AX425" s="79">
        <f>IF(COUNTIFS(J:J,"Integral",E:E,E425,H:H,"Ativo")=4,1/4,1/10)</f>
        <v>0.1</v>
      </c>
      <c r="AY425" s="79" t="s">
        <v>1320</v>
      </c>
      <c r="AZ425" s="79" t="b">
        <v>1</v>
      </c>
    </row>
    <row r="426" spans="1:52" ht="15.75" customHeight="1">
      <c r="A426" s="54">
        <v>448</v>
      </c>
      <c r="B426" s="403">
        <v>45185</v>
      </c>
      <c r="C426" s="32" t="s">
        <v>1404</v>
      </c>
      <c r="D426" s="32" t="s">
        <v>1405</v>
      </c>
      <c r="E426" s="32" t="s">
        <v>1268</v>
      </c>
      <c r="F426" s="32" t="s">
        <v>1406</v>
      </c>
      <c r="G426" s="60" t="s">
        <v>220</v>
      </c>
      <c r="H426" s="33" t="s">
        <v>90</v>
      </c>
      <c r="I426" s="34"/>
      <c r="J426" s="33">
        <v>6</v>
      </c>
      <c r="K426" s="35" t="s">
        <v>1026</v>
      </c>
      <c r="L426" s="35" t="s">
        <v>1026</v>
      </c>
      <c r="M426" s="386" t="s">
        <v>1259</v>
      </c>
      <c r="N426" s="33" t="s">
        <v>68</v>
      </c>
      <c r="O426" s="33" t="s">
        <v>11</v>
      </c>
      <c r="P426" s="33" t="s">
        <v>2</v>
      </c>
      <c r="Q426" s="47"/>
      <c r="R426" s="47"/>
      <c r="S426" s="45" t="s">
        <v>162</v>
      </c>
      <c r="T426" s="45"/>
      <c r="U426" s="37">
        <v>45161</v>
      </c>
      <c r="V426" s="38">
        <f t="shared" si="67"/>
        <v>45185</v>
      </c>
      <c r="W426" s="50">
        <f>V426-U426</f>
        <v>24</v>
      </c>
      <c r="X426" s="261">
        <f>Y426*0.91</f>
        <v>410410</v>
      </c>
      <c r="Y426" s="260">
        <v>451000</v>
      </c>
      <c r="Z426" s="263">
        <v>400000</v>
      </c>
      <c r="AA426" s="56"/>
      <c r="AB426" s="263"/>
      <c r="AC426" s="44">
        <f>ABS(X426/Y426-1)</f>
        <v>8.9999999999999969E-2</v>
      </c>
      <c r="AD426" s="62">
        <v>1.4E-3</v>
      </c>
      <c r="AE426" s="41">
        <f t="shared" si="71"/>
        <v>8.859999999999997E-2</v>
      </c>
      <c r="AF426" s="42"/>
      <c r="AG426" s="40">
        <f>IF((X426*AE426)&lt;0,0,(X426*AE426))</f>
        <v>36362.325999999986</v>
      </c>
      <c r="AH426" s="65">
        <f t="shared" si="75"/>
        <v>51000</v>
      </c>
      <c r="AI426" s="66">
        <f>AH426/X426</f>
        <v>0.12426597792451451</v>
      </c>
      <c r="AJ426" s="66">
        <f t="shared" si="76"/>
        <v>0.12426597792451451</v>
      </c>
      <c r="AK426" s="65">
        <f>AF426*X426</f>
        <v>0</v>
      </c>
      <c r="AL426" s="40">
        <f t="shared" si="70"/>
        <v>51000</v>
      </c>
      <c r="AM426" s="242">
        <f t="shared" si="68"/>
        <v>45199</v>
      </c>
      <c r="AN426" s="242" t="str">
        <f>IF(AQ426="x","",IF(AQ426="x",AM426,IF(EOMONTH(I426,0)=31,"",EOMONTH(I426,0))))</f>
        <v/>
      </c>
      <c r="AO426" s="79">
        <f>IFERROR(IF(VLOOKUP(C426,C427:C1027,1,0)=0,1,0),1)</f>
        <v>1</v>
      </c>
      <c r="AP426" s="79"/>
      <c r="AQ426" s="243" t="str">
        <f t="shared" si="77"/>
        <v/>
      </c>
      <c r="AR426" s="242" t="b">
        <f>IF(AQ426="x",EOMONTH(I426,0))</f>
        <v>0</v>
      </c>
      <c r="AS426" s="79">
        <f t="shared" si="72"/>
        <v>1</v>
      </c>
      <c r="AT426" s="79">
        <f t="shared" si="73"/>
        <v>1</v>
      </c>
      <c r="AU426" s="79" t="str">
        <f t="shared" si="74"/>
        <v>B</v>
      </c>
      <c r="AV426" s="79">
        <f t="shared" si="66"/>
        <v>1</v>
      </c>
      <c r="AW426" s="79" t="str">
        <f>J426&amp;AU426</f>
        <v>6B</v>
      </c>
      <c r="AX426" s="79">
        <f>IF(COUNTIFS(J:J,"Integral",E:E,E426,H:H,"Ativo")=4,1/4,1/10)</f>
        <v>0.1</v>
      </c>
      <c r="AY426" s="79" t="s">
        <v>1320</v>
      </c>
      <c r="AZ426" s="79" t="b">
        <v>1</v>
      </c>
    </row>
    <row r="427" spans="1:52" ht="15.75" customHeight="1">
      <c r="A427" s="54">
        <v>449</v>
      </c>
      <c r="B427" s="403">
        <v>45186</v>
      </c>
      <c r="C427" s="32" t="s">
        <v>1407</v>
      </c>
      <c r="D427" s="32" t="s">
        <v>1408</v>
      </c>
      <c r="E427" s="32" t="s">
        <v>1409</v>
      </c>
      <c r="F427" s="32" t="s">
        <v>1410</v>
      </c>
      <c r="G427" s="60" t="s">
        <v>220</v>
      </c>
      <c r="H427" s="33" t="s">
        <v>90</v>
      </c>
      <c r="I427" s="34"/>
      <c r="J427" s="33">
        <v>6</v>
      </c>
      <c r="K427" s="35" t="s">
        <v>1403</v>
      </c>
      <c r="L427" s="35" t="s">
        <v>1403</v>
      </c>
      <c r="M427" s="386" t="s">
        <v>1259</v>
      </c>
      <c r="N427" s="33" t="s">
        <v>68</v>
      </c>
      <c r="O427" s="33" t="s">
        <v>12</v>
      </c>
      <c r="P427" s="33" t="s">
        <v>1</v>
      </c>
      <c r="Q427" s="47"/>
      <c r="R427" s="47"/>
      <c r="S427" s="45" t="s">
        <v>143</v>
      </c>
      <c r="T427" s="45"/>
      <c r="U427" s="37">
        <v>45185</v>
      </c>
      <c r="V427" s="38">
        <f t="shared" si="67"/>
        <v>45186</v>
      </c>
      <c r="W427" s="50">
        <f>V427-U427</f>
        <v>1</v>
      </c>
      <c r="X427" s="261">
        <f>Y427*0.91</f>
        <v>341250</v>
      </c>
      <c r="Y427" s="260">
        <v>375000</v>
      </c>
      <c r="Z427" s="263">
        <v>358900</v>
      </c>
      <c r="AA427" s="35" t="s">
        <v>1027</v>
      </c>
      <c r="AB427" s="263"/>
      <c r="AC427" s="44">
        <f>ABS(X427/Y427-1)</f>
        <v>8.9999999999999969E-2</v>
      </c>
      <c r="AD427" s="62">
        <v>2.9899999999999999E-2</v>
      </c>
      <c r="AE427" s="41">
        <f t="shared" si="71"/>
        <v>6.0099999999999973E-2</v>
      </c>
      <c r="AF427" s="42"/>
      <c r="AG427" s="40">
        <f>IF((X427*AE427)&lt;0,0,(X427*AE427))</f>
        <v>20509.124999999989</v>
      </c>
      <c r="AH427" s="65">
        <f t="shared" si="75"/>
        <v>16100</v>
      </c>
      <c r="AI427" s="66">
        <f>AH427/X427</f>
        <v>4.7179487179487181E-2</v>
      </c>
      <c r="AJ427" s="66">
        <f t="shared" si="76"/>
        <v>4.7179487179487181E-2</v>
      </c>
      <c r="AK427" s="65">
        <f>AF427*X427</f>
        <v>0</v>
      </c>
      <c r="AL427" s="40">
        <f t="shared" si="70"/>
        <v>16100</v>
      </c>
      <c r="AM427" s="242">
        <f t="shared" si="68"/>
        <v>45199</v>
      </c>
      <c r="AN427" s="242" t="str">
        <f>IF(AQ427="x","",IF(AQ427="x",AM427,IF(EOMONTH(I427,0)=31,"",EOMONTH(I427,0))))</f>
        <v/>
      </c>
      <c r="AO427" s="79">
        <f>IFERROR(IF(VLOOKUP(C427,C428:C1028,1,0)=0,1,0),1)</f>
        <v>1</v>
      </c>
      <c r="AP427" s="79"/>
      <c r="AQ427" s="243" t="str">
        <f t="shared" si="77"/>
        <v/>
      </c>
      <c r="AR427" s="242" t="b">
        <f>IF(AQ427="x",EOMONTH(I427,0))</f>
        <v>0</v>
      </c>
      <c r="AS427" s="79">
        <f t="shared" si="72"/>
        <v>1</v>
      </c>
      <c r="AT427" s="79">
        <f t="shared" si="73"/>
        <v>1</v>
      </c>
      <c r="AU427" s="79" t="str">
        <f t="shared" si="74"/>
        <v>B</v>
      </c>
      <c r="AV427" s="79">
        <f t="shared" si="66"/>
        <v>1</v>
      </c>
      <c r="AW427" s="79" t="str">
        <f>J427&amp;AU427</f>
        <v>6B</v>
      </c>
      <c r="AX427" s="79">
        <f>IF(COUNTIFS(J:J,"Integral",E:E,E427,H:H,"Ativo")=4,1/4,1/10)</f>
        <v>0.1</v>
      </c>
      <c r="AY427" s="79" t="s">
        <v>1332</v>
      </c>
      <c r="AZ427" s="79" t="b">
        <v>1</v>
      </c>
    </row>
    <row r="428" spans="1:52" ht="15.75" customHeight="1">
      <c r="A428" s="54">
        <v>450</v>
      </c>
      <c r="B428" s="403">
        <v>45186</v>
      </c>
      <c r="C428" s="32" t="s">
        <v>1411</v>
      </c>
      <c r="D428" s="32" t="s">
        <v>1412</v>
      </c>
      <c r="E428" s="32" t="s">
        <v>1409</v>
      </c>
      <c r="F428" s="32" t="s">
        <v>1413</v>
      </c>
      <c r="G428" s="60" t="s">
        <v>220</v>
      </c>
      <c r="H428" s="33" t="s">
        <v>244</v>
      </c>
      <c r="I428" s="34">
        <v>45192</v>
      </c>
      <c r="J428" s="33">
        <v>6</v>
      </c>
      <c r="K428" s="35" t="s">
        <v>333</v>
      </c>
      <c r="L428" s="56" t="s">
        <v>378</v>
      </c>
      <c r="M428" s="386" t="s">
        <v>246</v>
      </c>
      <c r="N428" s="33" t="s">
        <v>68</v>
      </c>
      <c r="O428" s="33" t="s">
        <v>12</v>
      </c>
      <c r="P428" s="33" t="s">
        <v>1</v>
      </c>
      <c r="Q428" s="47"/>
      <c r="R428" s="47"/>
      <c r="S428" s="45" t="s">
        <v>143</v>
      </c>
      <c r="T428" s="45"/>
      <c r="U428" s="68">
        <v>45186</v>
      </c>
      <c r="V428" s="48">
        <f t="shared" si="67"/>
        <v>45186</v>
      </c>
      <c r="W428" s="50">
        <f>V428-U428</f>
        <v>0</v>
      </c>
      <c r="X428" s="265">
        <f>Y428*0.91</f>
        <v>341250</v>
      </c>
      <c r="Y428" s="67">
        <v>375000</v>
      </c>
      <c r="Z428" s="267">
        <v>375000</v>
      </c>
      <c r="AA428" s="35"/>
      <c r="AB428" s="267"/>
      <c r="AC428" s="44">
        <f>ABS(X428/Y428-1)</f>
        <v>8.9999999999999969E-2</v>
      </c>
      <c r="AD428" s="62">
        <v>9.7999999999999997E-3</v>
      </c>
      <c r="AE428" s="41">
        <f t="shared" si="71"/>
        <v>8.0199999999999966E-2</v>
      </c>
      <c r="AF428" s="42"/>
      <c r="AG428" s="40">
        <f>IF((X428*AE428)&lt;0,0,(X428*AE428))</f>
        <v>27368.249999999989</v>
      </c>
      <c r="AH428" s="65">
        <f t="shared" si="75"/>
        <v>0</v>
      </c>
      <c r="AI428" s="66">
        <f>AH428/X428</f>
        <v>0</v>
      </c>
      <c r="AJ428" s="66">
        <f t="shared" si="76"/>
        <v>0</v>
      </c>
      <c r="AK428" s="65">
        <f>AF428*X428</f>
        <v>0</v>
      </c>
      <c r="AL428" s="40">
        <f t="shared" si="70"/>
        <v>0</v>
      </c>
      <c r="AM428" s="242">
        <f t="shared" si="68"/>
        <v>45199</v>
      </c>
      <c r="AN428" s="242">
        <f>IF(AQ428="x","",IF(AQ428="x",AM428,IF(EOMONTH(I428,0)=31,"",EOMONTH(I428,0))))</f>
        <v>45199</v>
      </c>
      <c r="AO428" s="79">
        <f>IFERROR(IF(VLOOKUP(C428,C429:C1029,1,0)=0,1,0),1)</f>
        <v>1</v>
      </c>
      <c r="AP428" s="79"/>
      <c r="AQ428" s="243" t="str">
        <f t="shared" si="77"/>
        <v/>
      </c>
      <c r="AR428" s="242" t="b">
        <f>IF(AQ428="x",EOMONTH(I428,0))</f>
        <v>0</v>
      </c>
      <c r="AS428" s="79">
        <f t="shared" si="72"/>
        <v>1</v>
      </c>
      <c r="AT428" s="79">
        <f t="shared" si="73"/>
        <v>1</v>
      </c>
      <c r="AU428" s="79" t="str">
        <f t="shared" si="74"/>
        <v>B</v>
      </c>
      <c r="AV428" s="79">
        <f t="shared" si="66"/>
        <v>1</v>
      </c>
      <c r="AW428" s="79" t="str">
        <f>J428&amp;AU428</f>
        <v>6B</v>
      </c>
      <c r="AX428" s="79">
        <f>IF(COUNTIFS(J:J,"Integral",E:E,E428,H:H,"Ativo")=4,1/4,1/10)</f>
        <v>0.1</v>
      </c>
      <c r="AY428" s="79" t="s">
        <v>1320</v>
      </c>
      <c r="AZ428" s="79" t="b">
        <v>1</v>
      </c>
    </row>
    <row r="429" spans="1:52" ht="15.75" customHeight="1">
      <c r="A429" s="54">
        <v>451</v>
      </c>
      <c r="B429" s="403">
        <v>45186</v>
      </c>
      <c r="C429" s="32" t="s">
        <v>1414</v>
      </c>
      <c r="D429" s="32" t="s">
        <v>1415</v>
      </c>
      <c r="E429" s="32" t="s">
        <v>1409</v>
      </c>
      <c r="F429" s="32" t="s">
        <v>1416</v>
      </c>
      <c r="G429" s="60" t="s">
        <v>220</v>
      </c>
      <c r="H429" s="33" t="s">
        <v>337</v>
      </c>
      <c r="I429" s="34">
        <v>45535</v>
      </c>
      <c r="J429" s="33">
        <v>6</v>
      </c>
      <c r="K429" s="35" t="s">
        <v>245</v>
      </c>
      <c r="L429" s="35" t="s">
        <v>421</v>
      </c>
      <c r="M429" s="386" t="s">
        <v>246</v>
      </c>
      <c r="N429" s="33" t="s">
        <v>68</v>
      </c>
      <c r="O429" s="33" t="s">
        <v>11</v>
      </c>
      <c r="P429" s="33" t="s">
        <v>1</v>
      </c>
      <c r="Q429" s="47"/>
      <c r="R429" s="47"/>
      <c r="S429" s="45" t="s">
        <v>143</v>
      </c>
      <c r="T429" s="45"/>
      <c r="U429" s="37">
        <v>45179</v>
      </c>
      <c r="V429" s="38">
        <f t="shared" si="67"/>
        <v>45186</v>
      </c>
      <c r="W429" s="50">
        <f>V429-U429</f>
        <v>7</v>
      </c>
      <c r="X429" s="261">
        <f>Y429*0.91</f>
        <v>341250</v>
      </c>
      <c r="Y429" s="260">
        <v>375000</v>
      </c>
      <c r="Z429" s="263">
        <v>318800</v>
      </c>
      <c r="AA429" s="35" t="s">
        <v>1027</v>
      </c>
      <c r="AB429" s="263"/>
      <c r="AC429" s="44">
        <f>ABS(X429/Y429-1)</f>
        <v>8.9999999999999969E-2</v>
      </c>
      <c r="AD429" s="62">
        <v>2.9899999999999999E-2</v>
      </c>
      <c r="AE429" s="41">
        <f t="shared" si="71"/>
        <v>6.0099999999999973E-2</v>
      </c>
      <c r="AF429" s="42"/>
      <c r="AG429" s="40">
        <f>IF((X429*AE429)&lt;0,0,(X429*AE429))</f>
        <v>20509.124999999989</v>
      </c>
      <c r="AH429" s="65">
        <f t="shared" si="75"/>
        <v>56200</v>
      </c>
      <c r="AI429" s="66">
        <f>AH429/X429</f>
        <v>0.16468864468864469</v>
      </c>
      <c r="AJ429" s="66">
        <f t="shared" si="76"/>
        <v>0.16468864468864469</v>
      </c>
      <c r="AK429" s="65">
        <f>AF429*X429</f>
        <v>0</v>
      </c>
      <c r="AL429" s="40">
        <f t="shared" si="70"/>
        <v>56200</v>
      </c>
      <c r="AM429" s="242">
        <f t="shared" si="68"/>
        <v>45199</v>
      </c>
      <c r="AN429" s="242">
        <f>IF(AQ429="x","",IF(AQ429="x",AM429,IF(EOMONTH(I429,0)=31,"",EOMONTH(I429,0))))</f>
        <v>45535</v>
      </c>
      <c r="AO429" s="79">
        <f>IFERROR(IF(VLOOKUP(C429,C430:C1030,1,0)=0,1,0),1)</f>
        <v>0</v>
      </c>
      <c r="AP429" s="79"/>
      <c r="AQ429" s="243" t="str">
        <f t="shared" si="77"/>
        <v/>
      </c>
      <c r="AR429" s="242" t="b">
        <f>IF(AQ429="x",EOMONTH(I429,0))</f>
        <v>0</v>
      </c>
      <c r="AS429" s="79">
        <f t="shared" si="72"/>
        <v>1</v>
      </c>
      <c r="AT429" s="79">
        <f t="shared" si="73"/>
        <v>1</v>
      </c>
      <c r="AU429" s="79" t="str">
        <f t="shared" si="74"/>
        <v>B</v>
      </c>
      <c r="AV429" s="79">
        <f t="shared" si="66"/>
        <v>1</v>
      </c>
      <c r="AW429" s="79" t="str">
        <f>J429&amp;AU429</f>
        <v>6B</v>
      </c>
      <c r="AX429" s="79">
        <f>IF(COUNTIFS(J:J,"Integral",E:E,E429,H:H,"Ativo")=4,1/4,1/10)</f>
        <v>0.1</v>
      </c>
      <c r="AY429" s="79" t="s">
        <v>1320</v>
      </c>
      <c r="AZ429" s="79" t="b">
        <v>1</v>
      </c>
    </row>
    <row r="430" spans="1:52" ht="15.75" customHeight="1">
      <c r="A430" s="54">
        <v>453</v>
      </c>
      <c r="B430" s="403">
        <v>45186</v>
      </c>
      <c r="C430" s="69" t="s">
        <v>1417</v>
      </c>
      <c r="D430" s="69" t="s">
        <v>240</v>
      </c>
      <c r="E430" s="69" t="s">
        <v>241</v>
      </c>
      <c r="F430" s="69" t="s">
        <v>1418</v>
      </c>
      <c r="G430" s="59" t="s">
        <v>243</v>
      </c>
      <c r="H430" s="33" t="s">
        <v>244</v>
      </c>
      <c r="I430" s="34">
        <v>45224</v>
      </c>
      <c r="J430" s="33">
        <v>13</v>
      </c>
      <c r="K430" s="35" t="s">
        <v>289</v>
      </c>
      <c r="L430" s="56" t="s">
        <v>289</v>
      </c>
      <c r="M430" s="386" t="s">
        <v>246</v>
      </c>
      <c r="N430" s="33" t="s">
        <v>68</v>
      </c>
      <c r="O430" s="33" t="s">
        <v>11</v>
      </c>
      <c r="P430" s="33" t="s">
        <v>1</v>
      </c>
      <c r="Q430" s="47"/>
      <c r="R430" s="47"/>
      <c r="S430" s="45" t="s">
        <v>145</v>
      </c>
      <c r="T430" s="45"/>
      <c r="U430" s="68">
        <v>45186</v>
      </c>
      <c r="V430" s="48">
        <f t="shared" si="67"/>
        <v>45186</v>
      </c>
      <c r="W430" s="50">
        <f>V430-U430</f>
        <v>0</v>
      </c>
      <c r="X430" s="265">
        <f>Y430*0.91</f>
        <v>1164800</v>
      </c>
      <c r="Y430" s="67">
        <v>1280000</v>
      </c>
      <c r="Z430" s="267">
        <v>1152000</v>
      </c>
      <c r="AA430" s="35" t="s">
        <v>1027</v>
      </c>
      <c r="AB430" s="267"/>
      <c r="AC430" s="44">
        <f>ABS(X430/Y430-1)</f>
        <v>8.9999999999999969E-2</v>
      </c>
      <c r="AD430" s="62">
        <v>6.9900000000000004E-2</v>
      </c>
      <c r="AE430" s="41">
        <f t="shared" si="71"/>
        <v>2.0099999999999965E-2</v>
      </c>
      <c r="AF430" s="42"/>
      <c r="AG430" s="40">
        <f>IF((X430*AE430)&lt;0,0,(X430*AE430))</f>
        <v>23412.47999999996</v>
      </c>
      <c r="AH430" s="65">
        <f t="shared" si="75"/>
        <v>128000</v>
      </c>
      <c r="AI430" s="66">
        <f>AH430/X430</f>
        <v>0.10989010989010989</v>
      </c>
      <c r="AJ430" s="66">
        <f t="shared" si="76"/>
        <v>0.10989010989010989</v>
      </c>
      <c r="AK430" s="65">
        <f>AF430*X430</f>
        <v>0</v>
      </c>
      <c r="AL430" s="40">
        <f t="shared" si="70"/>
        <v>128000</v>
      </c>
      <c r="AM430" s="242">
        <f t="shared" si="68"/>
        <v>45199</v>
      </c>
      <c r="AN430" s="242" t="str">
        <f>IF(AQ430="x","",IF(AQ430="x",AM430,IF(EOMONTH(I430,0)=31,"",EOMONTH(I430,0))))</f>
        <v/>
      </c>
      <c r="AO430" s="79">
        <f>IFERROR(IF(VLOOKUP(C430,C431:C1031,1,0)=0,1,0),1)</f>
        <v>1</v>
      </c>
      <c r="AP430" s="79"/>
      <c r="AQ430" s="243" t="str">
        <f t="shared" si="77"/>
        <v>x</v>
      </c>
      <c r="AR430" s="242">
        <f>IF(AQ430="x",EOMONTH(I430,0))</f>
        <v>45230</v>
      </c>
      <c r="AS430" s="79">
        <f t="shared" si="72"/>
        <v>1</v>
      </c>
      <c r="AT430" s="79">
        <f t="shared" si="73"/>
        <v>1</v>
      </c>
      <c r="AU430" s="79" t="str">
        <f t="shared" si="74"/>
        <v>A</v>
      </c>
      <c r="AV430" s="79">
        <f t="shared" si="66"/>
        <v>1</v>
      </c>
      <c r="AW430" s="79" t="str">
        <f>J430&amp;AU430</f>
        <v>13A</v>
      </c>
      <c r="AX430" s="79">
        <f>IF(COUNTIFS(J:J,"Integral",E:E,E430,H:H,"Ativo")=4,1/4,1/10)</f>
        <v>0.1</v>
      </c>
      <c r="AY430" s="79" t="s">
        <v>1320</v>
      </c>
      <c r="AZ430" s="79" t="b">
        <v>1</v>
      </c>
    </row>
    <row r="431" spans="1:52" ht="15.75" customHeight="1">
      <c r="A431" s="54">
        <v>454</v>
      </c>
      <c r="B431" s="403">
        <v>45194</v>
      </c>
      <c r="C431" s="32" t="s">
        <v>1419</v>
      </c>
      <c r="D431" s="32" t="s">
        <v>1420</v>
      </c>
      <c r="E431" s="32" t="s">
        <v>1409</v>
      </c>
      <c r="F431" s="32" t="s">
        <v>1421</v>
      </c>
      <c r="G431" s="60" t="s">
        <v>220</v>
      </c>
      <c r="H431" s="33" t="s">
        <v>337</v>
      </c>
      <c r="I431" s="34">
        <v>45513</v>
      </c>
      <c r="J431" s="33">
        <v>6</v>
      </c>
      <c r="K431" s="35" t="s">
        <v>1165</v>
      </c>
      <c r="L431" s="56" t="s">
        <v>1165</v>
      </c>
      <c r="M431" s="386" t="s">
        <v>1259</v>
      </c>
      <c r="N431" s="33" t="s">
        <v>68</v>
      </c>
      <c r="O431" s="33" t="s">
        <v>12</v>
      </c>
      <c r="P431" s="33" t="s">
        <v>2</v>
      </c>
      <c r="Q431" s="47"/>
      <c r="R431" s="47"/>
      <c r="S431" s="45" t="s">
        <v>143</v>
      </c>
      <c r="T431" s="45"/>
      <c r="U431" s="37">
        <v>45182</v>
      </c>
      <c r="V431" s="38">
        <f t="shared" si="67"/>
        <v>45194</v>
      </c>
      <c r="W431" s="50">
        <f>V431-U431</f>
        <v>12</v>
      </c>
      <c r="X431" s="261">
        <f>Y431*0.91</f>
        <v>341250</v>
      </c>
      <c r="Y431" s="260">
        <v>375000</v>
      </c>
      <c r="Z431" s="263">
        <v>363500</v>
      </c>
      <c r="AA431" s="35"/>
      <c r="AB431" s="263"/>
      <c r="AC431" s="44">
        <f>ABS(X431/Y431-1)</f>
        <v>8.9999999999999969E-2</v>
      </c>
      <c r="AD431" s="62">
        <v>3.9100000000000003E-2</v>
      </c>
      <c r="AE431" s="41">
        <f t="shared" si="71"/>
        <v>5.0899999999999966E-2</v>
      </c>
      <c r="AF431" s="42"/>
      <c r="AG431" s="40">
        <f>IF((X431*AE431)&lt;0,0,(X431*AE431))</f>
        <v>17369.624999999989</v>
      </c>
      <c r="AH431" s="65">
        <f t="shared" si="75"/>
        <v>11500</v>
      </c>
      <c r="AI431" s="66">
        <f>AH431/X431</f>
        <v>3.3699633699633698E-2</v>
      </c>
      <c r="AJ431" s="66">
        <f t="shared" si="76"/>
        <v>3.3699633699633698E-2</v>
      </c>
      <c r="AK431" s="65">
        <f>AF431*X431</f>
        <v>0</v>
      </c>
      <c r="AL431" s="40">
        <f t="shared" si="70"/>
        <v>11500</v>
      </c>
      <c r="AM431" s="242">
        <f t="shared" si="68"/>
        <v>45199</v>
      </c>
      <c r="AN431" s="242">
        <f>IF(AQ431="x","",IF(AQ431="x",AM431,IF(EOMONTH(I431,0)=31,"",EOMONTH(I431,0))))</f>
        <v>45535</v>
      </c>
      <c r="AO431" s="350">
        <v>1</v>
      </c>
      <c r="AP431" s="350"/>
      <c r="AQ431" s="243" t="str">
        <f t="shared" si="77"/>
        <v/>
      </c>
      <c r="AR431" s="242" t="b">
        <f>IF(AQ431="x",EOMONTH(I431,0))</f>
        <v>0</v>
      </c>
      <c r="AS431" s="79">
        <f t="shared" si="72"/>
        <v>1</v>
      </c>
      <c r="AT431" s="79">
        <f t="shared" si="73"/>
        <v>1</v>
      </c>
      <c r="AU431" s="79" t="str">
        <f t="shared" si="74"/>
        <v>B</v>
      </c>
      <c r="AV431" s="79">
        <f t="shared" si="66"/>
        <v>1</v>
      </c>
      <c r="AW431" s="79" t="str">
        <f>J431&amp;AU431</f>
        <v>6B</v>
      </c>
      <c r="AX431" s="79">
        <f>IF(COUNTIFS(J:J,"Integral",E:E,E431,H:H,"Ativo")=4,1/4,1/10)</f>
        <v>0.1</v>
      </c>
      <c r="AY431" s="79" t="s">
        <v>1332</v>
      </c>
      <c r="AZ431" s="79" t="b">
        <v>1</v>
      </c>
    </row>
    <row r="432" spans="1:52" ht="15.75" customHeight="1">
      <c r="A432" s="54">
        <v>455</v>
      </c>
      <c r="B432" s="403">
        <v>45195</v>
      </c>
      <c r="C432" s="32" t="s">
        <v>1422</v>
      </c>
      <c r="D432" s="32" t="s">
        <v>1423</v>
      </c>
      <c r="E432" s="32" t="s">
        <v>1409</v>
      </c>
      <c r="F432" s="32" t="s">
        <v>1424</v>
      </c>
      <c r="G432" s="60" t="s">
        <v>220</v>
      </c>
      <c r="H432" s="33" t="s">
        <v>90</v>
      </c>
      <c r="I432" s="34"/>
      <c r="J432" s="33">
        <v>6</v>
      </c>
      <c r="K432" s="35" t="s">
        <v>333</v>
      </c>
      <c r="L432" s="35" t="s">
        <v>333</v>
      </c>
      <c r="M432" s="386" t="s">
        <v>246</v>
      </c>
      <c r="N432" s="33" t="s">
        <v>68</v>
      </c>
      <c r="O432" s="33" t="s">
        <v>11</v>
      </c>
      <c r="P432" s="33" t="s">
        <v>2</v>
      </c>
      <c r="Q432" s="47"/>
      <c r="R432" s="47"/>
      <c r="S432" s="45" t="s">
        <v>145</v>
      </c>
      <c r="T432" s="45"/>
      <c r="U432" s="37">
        <v>45189</v>
      </c>
      <c r="V432" s="38">
        <f t="shared" si="67"/>
        <v>45195</v>
      </c>
      <c r="W432" s="50">
        <f>V432-U432</f>
        <v>6</v>
      </c>
      <c r="X432" s="261">
        <f>Y432*0.91</f>
        <v>341250</v>
      </c>
      <c r="Y432" s="260">
        <v>375000</v>
      </c>
      <c r="Z432" s="263">
        <v>298004</v>
      </c>
      <c r="AA432" s="35"/>
      <c r="AB432" s="263"/>
      <c r="AC432" s="44">
        <f>ABS(X432/Y432-1)</f>
        <v>8.9999999999999969E-2</v>
      </c>
      <c r="AD432" s="62">
        <v>1.03E-2</v>
      </c>
      <c r="AE432" s="41">
        <f t="shared" si="71"/>
        <v>7.9699999999999965E-2</v>
      </c>
      <c r="AF432" s="42"/>
      <c r="AG432" s="40">
        <f>IF((X432*AE432)&lt;0,0,(X432*AE432))</f>
        <v>27197.624999999989</v>
      </c>
      <c r="AH432" s="65">
        <f t="shared" si="75"/>
        <v>76996</v>
      </c>
      <c r="AI432" s="66">
        <f>AH432/X432</f>
        <v>0.22562930402930403</v>
      </c>
      <c r="AJ432" s="66">
        <f t="shared" si="76"/>
        <v>0.22562930402930403</v>
      </c>
      <c r="AK432" s="65">
        <f>AF432*X432</f>
        <v>0</v>
      </c>
      <c r="AL432" s="40">
        <f t="shared" si="70"/>
        <v>76996</v>
      </c>
      <c r="AM432" s="242">
        <f t="shared" si="68"/>
        <v>45199</v>
      </c>
      <c r="AN432" s="242" t="str">
        <f>IF(AQ432="x","",IF(AQ432="x",AM432,IF(EOMONTH(I432,0)=31,"",EOMONTH(I432,0))))</f>
        <v/>
      </c>
      <c r="AO432" s="79">
        <f>IFERROR(IF(VLOOKUP(C432,C433:C1033,1,0)=0,1,0),1)</f>
        <v>1</v>
      </c>
      <c r="AP432" s="79"/>
      <c r="AQ432" s="243" t="str">
        <f t="shared" si="77"/>
        <v/>
      </c>
      <c r="AR432" s="242" t="b">
        <f>IF(AQ432="x",EOMONTH(I432,0))</f>
        <v>0</v>
      </c>
      <c r="AS432" s="79">
        <f t="shared" si="72"/>
        <v>1</v>
      </c>
      <c r="AT432" s="79">
        <f t="shared" si="73"/>
        <v>1</v>
      </c>
      <c r="AU432" s="79" t="str">
        <f t="shared" si="74"/>
        <v>B</v>
      </c>
      <c r="AV432" s="79">
        <f t="shared" si="66"/>
        <v>1</v>
      </c>
      <c r="AW432" s="79" t="str">
        <f>J432&amp;AU432</f>
        <v>6B</v>
      </c>
      <c r="AX432" s="79">
        <f>IF(COUNTIFS(J:J,"Integral",E:E,E432,H:H,"Ativo")=4,1/4,1/10)</f>
        <v>0.1</v>
      </c>
      <c r="AY432" s="79" t="s">
        <v>1332</v>
      </c>
      <c r="AZ432" s="79" t="b">
        <v>1</v>
      </c>
    </row>
    <row r="433" spans="1:52" ht="15.75" customHeight="1">
      <c r="A433" s="54">
        <v>456</v>
      </c>
      <c r="B433" s="403">
        <v>45195</v>
      </c>
      <c r="C433" s="69" t="s">
        <v>1361</v>
      </c>
      <c r="D433" s="69" t="s">
        <v>1425</v>
      </c>
      <c r="E433" s="69" t="s">
        <v>1426</v>
      </c>
      <c r="F433" s="69" t="s">
        <v>1427</v>
      </c>
      <c r="G433" s="59" t="s">
        <v>220</v>
      </c>
      <c r="H433" s="33" t="s">
        <v>90</v>
      </c>
      <c r="I433" s="34"/>
      <c r="J433" s="33">
        <v>52</v>
      </c>
      <c r="K433" s="35" t="s">
        <v>977</v>
      </c>
      <c r="L433" s="35" t="s">
        <v>977</v>
      </c>
      <c r="M433" s="386" t="s">
        <v>1259</v>
      </c>
      <c r="N433" s="33" t="s">
        <v>68</v>
      </c>
      <c r="O433" s="33" t="s">
        <v>12</v>
      </c>
      <c r="P433" s="33" t="s">
        <v>2</v>
      </c>
      <c r="Q433" s="47"/>
      <c r="R433" s="47"/>
      <c r="S433" s="45" t="s">
        <v>145</v>
      </c>
      <c r="T433" s="45"/>
      <c r="U433" s="68">
        <v>45162</v>
      </c>
      <c r="V433" s="48">
        <f t="shared" si="67"/>
        <v>45195</v>
      </c>
      <c r="W433" s="50">
        <f>V433-U433</f>
        <v>33</v>
      </c>
      <c r="X433" s="261">
        <f>Y433*0.91</f>
        <v>182000</v>
      </c>
      <c r="Y433" s="260">
        <v>200000</v>
      </c>
      <c r="Z433" s="263">
        <v>200000</v>
      </c>
      <c r="AA433" s="35"/>
      <c r="AB433" s="263"/>
      <c r="AC433" s="44">
        <f>ABS(X433/Y433-1)</f>
        <v>8.9999999999999969E-2</v>
      </c>
      <c r="AD433" s="62"/>
      <c r="AE433" s="41"/>
      <c r="AF433" s="42"/>
      <c r="AG433" s="40">
        <f>IF((X433*AE433)&lt;0,0,(X433*AE433))</f>
        <v>0</v>
      </c>
      <c r="AH433" s="65">
        <f t="shared" si="75"/>
        <v>0</v>
      </c>
      <c r="AI433" s="66">
        <f>AH433/X433</f>
        <v>0</v>
      </c>
      <c r="AJ433" s="66">
        <f t="shared" si="76"/>
        <v>0</v>
      </c>
      <c r="AK433" s="65">
        <f>AF433*X433</f>
        <v>0</v>
      </c>
      <c r="AL433" s="40">
        <f t="shared" si="70"/>
        <v>0</v>
      </c>
      <c r="AM433" s="242">
        <f t="shared" si="68"/>
        <v>45199</v>
      </c>
      <c r="AN433" s="242" t="str">
        <f>IF(AQ433="x","",IF(AQ433="x",AM433,IF(EOMONTH(I433,0)=31,"",EOMONTH(I433,0))))</f>
        <v/>
      </c>
      <c r="AO433" s="79">
        <f>IFERROR(IF(VLOOKUP(C433,C434:C1034,1,0)=0,1,0),1)</f>
        <v>0</v>
      </c>
      <c r="AP433" s="79"/>
      <c r="AQ433" s="243" t="str">
        <f t="shared" si="77"/>
        <v/>
      </c>
      <c r="AR433" s="242" t="b">
        <f>IF(AQ433="x",EOMONTH(I433,0))</f>
        <v>0</v>
      </c>
      <c r="AS433" s="79">
        <f t="shared" si="72"/>
        <v>1</v>
      </c>
      <c r="AT433" s="79">
        <f t="shared" si="73"/>
        <v>1</v>
      </c>
      <c r="AU433" s="79" t="str">
        <f t="shared" si="74"/>
        <v>V</v>
      </c>
      <c r="AV433" s="79">
        <f t="shared" ref="AV433:AV496" si="78">IF(AG433&lt;0,0,1)</f>
        <v>1</v>
      </c>
      <c r="AW433" s="79" t="str">
        <f>J433&amp;AU433</f>
        <v>52V</v>
      </c>
      <c r="AX433" s="79">
        <f>IF(COUNTIFS(J:J,"Integral",E:E,E433,H:H,"Ativo")=4,1/4,1/10)</f>
        <v>0.1</v>
      </c>
      <c r="AY433" s="79" t="s">
        <v>1332</v>
      </c>
      <c r="AZ433" s="79" t="b">
        <v>1</v>
      </c>
    </row>
    <row r="434" spans="1:52" ht="15.75" customHeight="1">
      <c r="A434" s="54">
        <v>457</v>
      </c>
      <c r="B434" s="403">
        <v>45195</v>
      </c>
      <c r="C434" s="69" t="s">
        <v>1361</v>
      </c>
      <c r="D434" s="69" t="s">
        <v>1428</v>
      </c>
      <c r="E434" s="69" t="s">
        <v>1429</v>
      </c>
      <c r="F434" s="69" t="s">
        <v>1430</v>
      </c>
      <c r="G434" s="59" t="s">
        <v>220</v>
      </c>
      <c r="H434" s="33" t="s">
        <v>90</v>
      </c>
      <c r="I434" s="34"/>
      <c r="J434" s="33" t="s">
        <v>6</v>
      </c>
      <c r="K434" s="35" t="s">
        <v>977</v>
      </c>
      <c r="L434" s="35" t="s">
        <v>977</v>
      </c>
      <c r="M434" s="386" t="s">
        <v>1259</v>
      </c>
      <c r="N434" s="33" t="s">
        <v>68</v>
      </c>
      <c r="O434" s="33" t="s">
        <v>12</v>
      </c>
      <c r="P434" s="33" t="s">
        <v>2</v>
      </c>
      <c r="Q434" s="47"/>
      <c r="R434" s="47"/>
      <c r="S434" s="45" t="s">
        <v>145</v>
      </c>
      <c r="T434" s="45"/>
      <c r="U434" s="37">
        <v>45162</v>
      </c>
      <c r="V434" s="38">
        <f t="shared" si="67"/>
        <v>45195</v>
      </c>
      <c r="W434" s="50">
        <f>V434-U434</f>
        <v>33</v>
      </c>
      <c r="X434" s="261">
        <f>Y434*0.91</f>
        <v>1634360</v>
      </c>
      <c r="Y434" s="260">
        <v>1796000</v>
      </c>
      <c r="Z434" s="263">
        <v>1525000</v>
      </c>
      <c r="AA434" s="35"/>
      <c r="AB434" s="263"/>
      <c r="AC434" s="44">
        <f>ABS(X434/Y434-1)</f>
        <v>8.9999999999999969E-2</v>
      </c>
      <c r="AD434" s="62">
        <v>0.15790000000000001</v>
      </c>
      <c r="AE434" s="41">
        <f t="shared" ref="AE434:AE465" si="79">AC434-AD434</f>
        <v>-6.7900000000000044E-2</v>
      </c>
      <c r="AF434" s="42">
        <v>5.5999999999999999E-3</v>
      </c>
      <c r="AG434" s="40">
        <f>IF((X434*AE434)&lt;0,0,(X434*AE434))</f>
        <v>0</v>
      </c>
      <c r="AH434" s="65">
        <f t="shared" si="75"/>
        <v>271000</v>
      </c>
      <c r="AI434" s="66">
        <f>AH434/X434</f>
        <v>0.1658141413152549</v>
      </c>
      <c r="AJ434" s="66">
        <f t="shared" si="76"/>
        <v>0.16021414131525491</v>
      </c>
      <c r="AK434" s="65">
        <f>AF434*X434</f>
        <v>9152.4159999999993</v>
      </c>
      <c r="AL434" s="40">
        <f t="shared" si="70"/>
        <v>261847.584</v>
      </c>
      <c r="AM434" s="242">
        <f t="shared" si="68"/>
        <v>45199</v>
      </c>
      <c r="AN434" s="242" t="str">
        <f>IF(AQ434="x","",IF(AQ434="x",AM434,IF(EOMONTH(I434,0)=31,"",EOMONTH(I434,0))))</f>
        <v/>
      </c>
      <c r="AO434" s="79">
        <f>IFERROR(IF(VLOOKUP(C434,C435:C1035,1,0)=0,1,0),1)</f>
        <v>0</v>
      </c>
      <c r="AP434" s="79"/>
      <c r="AQ434" s="243" t="str">
        <f t="shared" si="77"/>
        <v/>
      </c>
      <c r="AR434" s="242" t="b">
        <f>IF(AQ434="x",EOMONTH(I434,0))</f>
        <v>0</v>
      </c>
      <c r="AS434" s="79">
        <f t="shared" si="72"/>
        <v>1</v>
      </c>
      <c r="AT434" s="79">
        <f t="shared" si="73"/>
        <v>1</v>
      </c>
      <c r="AU434" s="79" t="str">
        <f t="shared" si="74"/>
        <v>A</v>
      </c>
      <c r="AV434" s="79">
        <f t="shared" si="78"/>
        <v>1</v>
      </c>
      <c r="AW434" s="79" t="str">
        <f>J434&amp;AU434</f>
        <v>IntegralA</v>
      </c>
      <c r="AX434" s="79">
        <f>IF(COUNTIFS(J:J,"Integral",E:E,E434,H:H,"Ativo")=4,1/4,1/10)</f>
        <v>0.25</v>
      </c>
      <c r="AY434" s="79" t="s">
        <v>1332</v>
      </c>
      <c r="AZ434" s="79" t="b">
        <v>1</v>
      </c>
    </row>
    <row r="435" spans="1:52" ht="15.75" customHeight="1">
      <c r="A435" s="54">
        <v>458</v>
      </c>
      <c r="B435" s="403">
        <v>45195</v>
      </c>
      <c r="C435" s="69" t="s">
        <v>1361</v>
      </c>
      <c r="D435" s="69" t="s">
        <v>1431</v>
      </c>
      <c r="E435" s="69" t="s">
        <v>1429</v>
      </c>
      <c r="F435" s="69" t="s">
        <v>1432</v>
      </c>
      <c r="G435" s="59" t="s">
        <v>220</v>
      </c>
      <c r="H435" s="33" t="s">
        <v>90</v>
      </c>
      <c r="I435" s="34"/>
      <c r="J435" s="33" t="s">
        <v>6</v>
      </c>
      <c r="K435" s="35" t="s">
        <v>977</v>
      </c>
      <c r="L435" s="35" t="s">
        <v>977</v>
      </c>
      <c r="M435" s="386" t="s">
        <v>1259</v>
      </c>
      <c r="N435" s="33" t="s">
        <v>68</v>
      </c>
      <c r="O435" s="33" t="s">
        <v>12</v>
      </c>
      <c r="P435" s="33" t="s">
        <v>2</v>
      </c>
      <c r="Q435" s="47"/>
      <c r="R435" s="47"/>
      <c r="S435" s="45" t="s">
        <v>145</v>
      </c>
      <c r="T435" s="45"/>
      <c r="U435" s="37">
        <v>45162</v>
      </c>
      <c r="V435" s="38">
        <f t="shared" si="67"/>
        <v>45195</v>
      </c>
      <c r="W435" s="50">
        <f>V435-U435</f>
        <v>33</v>
      </c>
      <c r="X435" s="261">
        <f>Y435*0.91</f>
        <v>1634360</v>
      </c>
      <c r="Y435" s="260">
        <v>1796000</v>
      </c>
      <c r="Z435" s="263">
        <v>1525000</v>
      </c>
      <c r="AA435" s="35"/>
      <c r="AB435" s="263"/>
      <c r="AC435" s="44">
        <f>ABS(X435/Y435-1)</f>
        <v>8.9999999999999969E-2</v>
      </c>
      <c r="AD435" s="62">
        <v>0.15790000000000001</v>
      </c>
      <c r="AE435" s="41">
        <f t="shared" si="79"/>
        <v>-6.7900000000000044E-2</v>
      </c>
      <c r="AF435" s="42">
        <v>5.5999999999999999E-3</v>
      </c>
      <c r="AG435" s="40">
        <f>IF((X435*AE435)&lt;0,0,(X435*AE435))</f>
        <v>0</v>
      </c>
      <c r="AH435" s="65">
        <f t="shared" si="75"/>
        <v>271000</v>
      </c>
      <c r="AI435" s="66">
        <f>AH435/X435</f>
        <v>0.1658141413152549</v>
      </c>
      <c r="AJ435" s="66">
        <f t="shared" si="76"/>
        <v>0.16021414131525491</v>
      </c>
      <c r="AK435" s="65">
        <f>AF435*X435</f>
        <v>9152.4159999999993</v>
      </c>
      <c r="AL435" s="40">
        <f t="shared" si="70"/>
        <v>261847.584</v>
      </c>
      <c r="AM435" s="242">
        <f t="shared" si="68"/>
        <v>45199</v>
      </c>
      <c r="AN435" s="242" t="str">
        <f>IF(AQ435="x","",IF(AQ435="x",AM435,IF(EOMONTH(I435,0)=31,"",EOMONTH(I435,0))))</f>
        <v/>
      </c>
      <c r="AO435" s="79">
        <f>IFERROR(IF(VLOOKUP(C435,C436:C1036,1,0)=0,1,0),1)</f>
        <v>0</v>
      </c>
      <c r="AP435" s="79"/>
      <c r="AQ435" s="243" t="str">
        <f t="shared" si="77"/>
        <v/>
      </c>
      <c r="AR435" s="242" t="b">
        <f>IF(AQ435="x",EOMONTH(I435,0))</f>
        <v>0</v>
      </c>
      <c r="AS435" s="79">
        <f t="shared" si="72"/>
        <v>1</v>
      </c>
      <c r="AT435" s="79">
        <f t="shared" si="73"/>
        <v>1</v>
      </c>
      <c r="AU435" s="79" t="str">
        <f t="shared" si="74"/>
        <v>A</v>
      </c>
      <c r="AV435" s="79">
        <f t="shared" si="78"/>
        <v>1</v>
      </c>
      <c r="AW435" s="79" t="str">
        <f>J435&amp;AU435</f>
        <v>IntegralA</v>
      </c>
      <c r="AX435" s="79">
        <f>IF(COUNTIFS(J:J,"Integral",E:E,E435,H:H,"Ativo")=4,1/4,1/10)</f>
        <v>0.25</v>
      </c>
      <c r="AY435" s="79" t="s">
        <v>1332</v>
      </c>
      <c r="AZ435" s="79" t="b">
        <v>1</v>
      </c>
    </row>
    <row r="436" spans="1:52" ht="15.75" customHeight="1">
      <c r="A436" s="54">
        <v>459</v>
      </c>
      <c r="B436" s="403">
        <v>45195</v>
      </c>
      <c r="C436" s="69" t="s">
        <v>1361</v>
      </c>
      <c r="D436" s="69" t="s">
        <v>1433</v>
      </c>
      <c r="E436" s="69" t="s">
        <v>1429</v>
      </c>
      <c r="F436" s="69" t="s">
        <v>1434</v>
      </c>
      <c r="G436" s="59" t="s">
        <v>220</v>
      </c>
      <c r="H436" s="33" t="s">
        <v>90</v>
      </c>
      <c r="I436" s="34"/>
      <c r="J436" s="33" t="s">
        <v>6</v>
      </c>
      <c r="K436" s="35" t="s">
        <v>977</v>
      </c>
      <c r="L436" s="35" t="s">
        <v>977</v>
      </c>
      <c r="M436" s="386" t="s">
        <v>1259</v>
      </c>
      <c r="N436" s="33" t="s">
        <v>68</v>
      </c>
      <c r="O436" s="33" t="s">
        <v>12</v>
      </c>
      <c r="P436" s="33" t="s">
        <v>2</v>
      </c>
      <c r="Q436" s="47"/>
      <c r="R436" s="47"/>
      <c r="S436" s="45" t="s">
        <v>145</v>
      </c>
      <c r="T436" s="45"/>
      <c r="U436" s="37">
        <v>45162</v>
      </c>
      <c r="V436" s="38">
        <f t="shared" si="67"/>
        <v>45195</v>
      </c>
      <c r="W436" s="50">
        <f>V436-U436</f>
        <v>33</v>
      </c>
      <c r="X436" s="261">
        <f>Y436*0.91</f>
        <v>1634360</v>
      </c>
      <c r="Y436" s="260">
        <v>1796000</v>
      </c>
      <c r="Z436" s="263">
        <v>1525000</v>
      </c>
      <c r="AA436" s="35"/>
      <c r="AB436" s="263"/>
      <c r="AC436" s="44">
        <f>ABS(X436/Y436-1)</f>
        <v>8.9999999999999969E-2</v>
      </c>
      <c r="AD436" s="62">
        <v>0.15790000000000001</v>
      </c>
      <c r="AE436" s="41">
        <f t="shared" si="79"/>
        <v>-6.7900000000000044E-2</v>
      </c>
      <c r="AF436" s="42">
        <v>5.5999999999999999E-3</v>
      </c>
      <c r="AG436" s="40">
        <f>IF((X436*AE436)&lt;0,0,(X436*AE436))</f>
        <v>0</v>
      </c>
      <c r="AH436" s="65">
        <f t="shared" si="75"/>
        <v>271000</v>
      </c>
      <c r="AI436" s="66">
        <f>AH436/X436</f>
        <v>0.1658141413152549</v>
      </c>
      <c r="AJ436" s="66">
        <f t="shared" si="76"/>
        <v>0.16021414131525491</v>
      </c>
      <c r="AK436" s="65">
        <f>AF436*X436</f>
        <v>9152.4159999999993</v>
      </c>
      <c r="AL436" s="40">
        <f t="shared" si="70"/>
        <v>261847.584</v>
      </c>
      <c r="AM436" s="242">
        <f t="shared" si="68"/>
        <v>45199</v>
      </c>
      <c r="AN436" s="242" t="str">
        <f>IF(AQ436="x","",IF(AQ436="x",AM436,IF(EOMONTH(I436,0)=31,"",EOMONTH(I436,0))))</f>
        <v/>
      </c>
      <c r="AO436" s="79">
        <f>IFERROR(IF(VLOOKUP(C436,C437:C1037,1,0)=0,1,0),1)</f>
        <v>0</v>
      </c>
      <c r="AP436" s="79"/>
      <c r="AQ436" s="243" t="str">
        <f t="shared" si="77"/>
        <v/>
      </c>
      <c r="AR436" s="242" t="b">
        <f>IF(AQ436="x",EOMONTH(I436,0))</f>
        <v>0</v>
      </c>
      <c r="AS436" s="79">
        <f t="shared" si="72"/>
        <v>1</v>
      </c>
      <c r="AT436" s="79">
        <f t="shared" si="73"/>
        <v>1</v>
      </c>
      <c r="AU436" s="79" t="str">
        <f t="shared" si="74"/>
        <v>A</v>
      </c>
      <c r="AV436" s="79">
        <f t="shared" si="78"/>
        <v>1</v>
      </c>
      <c r="AW436" s="79" t="str">
        <f>J436&amp;AU436</f>
        <v>IntegralA</v>
      </c>
      <c r="AX436" s="79">
        <f>IF(COUNTIFS(J:J,"Integral",E:E,E436,H:H,"Ativo")=4,1/4,1/10)</f>
        <v>0.25</v>
      </c>
      <c r="AY436" s="79" t="s">
        <v>1332</v>
      </c>
      <c r="AZ436" s="79" t="b">
        <v>1</v>
      </c>
    </row>
    <row r="437" spans="1:52" ht="15.75" customHeight="1">
      <c r="A437" s="54">
        <v>460</v>
      </c>
      <c r="B437" s="403">
        <v>45195</v>
      </c>
      <c r="C437" s="69" t="s">
        <v>1361</v>
      </c>
      <c r="D437" s="69" t="s">
        <v>1435</v>
      </c>
      <c r="E437" s="69" t="s">
        <v>1429</v>
      </c>
      <c r="F437" s="69" t="s">
        <v>1436</v>
      </c>
      <c r="G437" s="59" t="s">
        <v>220</v>
      </c>
      <c r="H437" s="33" t="s">
        <v>90</v>
      </c>
      <c r="I437" s="34"/>
      <c r="J437" s="33" t="s">
        <v>6</v>
      </c>
      <c r="K437" s="35" t="s">
        <v>977</v>
      </c>
      <c r="L437" s="35" t="s">
        <v>977</v>
      </c>
      <c r="M437" s="386" t="s">
        <v>1259</v>
      </c>
      <c r="N437" s="33" t="s">
        <v>68</v>
      </c>
      <c r="O437" s="33" t="s">
        <v>12</v>
      </c>
      <c r="P437" s="33" t="s">
        <v>2</v>
      </c>
      <c r="Q437" s="47"/>
      <c r="R437" s="47"/>
      <c r="S437" s="45" t="s">
        <v>145</v>
      </c>
      <c r="T437" s="45"/>
      <c r="U437" s="37">
        <v>45162</v>
      </c>
      <c r="V437" s="38">
        <f t="shared" si="67"/>
        <v>45195</v>
      </c>
      <c r="W437" s="50">
        <f>V437-U437</f>
        <v>33</v>
      </c>
      <c r="X437" s="261">
        <f>Y437*0.91</f>
        <v>1634360</v>
      </c>
      <c r="Y437" s="260">
        <v>1796000</v>
      </c>
      <c r="Z437" s="263">
        <v>1525000</v>
      </c>
      <c r="AA437" s="35"/>
      <c r="AB437" s="263"/>
      <c r="AC437" s="44">
        <f>ABS(X437/Y437-1)</f>
        <v>8.9999999999999969E-2</v>
      </c>
      <c r="AD437" s="62">
        <v>0.15790000000000001</v>
      </c>
      <c r="AE437" s="41">
        <f t="shared" si="79"/>
        <v>-6.7900000000000044E-2</v>
      </c>
      <c r="AF437" s="42">
        <v>5.5999999999999999E-3</v>
      </c>
      <c r="AG437" s="40">
        <f>IF((X437*AE437)&lt;0,0,(X437*AE437))</f>
        <v>0</v>
      </c>
      <c r="AH437" s="65">
        <f t="shared" si="75"/>
        <v>271000</v>
      </c>
      <c r="AI437" s="66">
        <f>AH437/X437</f>
        <v>0.1658141413152549</v>
      </c>
      <c r="AJ437" s="66">
        <f t="shared" si="76"/>
        <v>0.16021414131525491</v>
      </c>
      <c r="AK437" s="65">
        <f>AF437*X437</f>
        <v>9152.4159999999993</v>
      </c>
      <c r="AL437" s="40">
        <f t="shared" si="70"/>
        <v>261847.584</v>
      </c>
      <c r="AM437" s="242">
        <f t="shared" si="68"/>
        <v>45199</v>
      </c>
      <c r="AN437" s="242" t="str">
        <f>IF(AQ437="x","",IF(AQ437="x",AM437,IF(EOMONTH(I437,0)=31,"",EOMONTH(I437,0))))</f>
        <v/>
      </c>
      <c r="AO437" s="79">
        <f>IFERROR(IF(VLOOKUP(C437,C438:C1038,1,0)=0,1,0),1)</f>
        <v>1</v>
      </c>
      <c r="AP437" s="79"/>
      <c r="AQ437" s="243" t="str">
        <f t="shared" si="77"/>
        <v/>
      </c>
      <c r="AR437" s="242" t="b">
        <f>IF(AQ437="x",EOMONTH(I437,0))</f>
        <v>0</v>
      </c>
      <c r="AS437" s="79">
        <f t="shared" si="72"/>
        <v>1</v>
      </c>
      <c r="AT437" s="79">
        <f t="shared" si="73"/>
        <v>1</v>
      </c>
      <c r="AU437" s="79" t="str">
        <f t="shared" si="74"/>
        <v>A</v>
      </c>
      <c r="AV437" s="79">
        <f t="shared" si="78"/>
        <v>1</v>
      </c>
      <c r="AW437" s="79" t="str">
        <f>J437&amp;AU437</f>
        <v>IntegralA</v>
      </c>
      <c r="AX437" s="79">
        <f>IF(COUNTIFS(J:J,"Integral",E:E,E437,H:H,"Ativo")=4,1/4,1/10)</f>
        <v>0.25</v>
      </c>
      <c r="AY437" s="79" t="s">
        <v>1332</v>
      </c>
      <c r="AZ437" s="79" t="b">
        <v>1</v>
      </c>
    </row>
    <row r="438" spans="1:52" ht="15.75" customHeight="1">
      <c r="A438" s="54">
        <v>461</v>
      </c>
      <c r="B438" s="403">
        <v>45196</v>
      </c>
      <c r="C438" s="32" t="s">
        <v>1437</v>
      </c>
      <c r="D438" s="32" t="s">
        <v>1438</v>
      </c>
      <c r="E438" s="32" t="s">
        <v>1390</v>
      </c>
      <c r="F438" s="32" t="s">
        <v>1439</v>
      </c>
      <c r="G438" s="60" t="s">
        <v>220</v>
      </c>
      <c r="H438" s="33" t="s">
        <v>90</v>
      </c>
      <c r="I438" s="34"/>
      <c r="J438" s="33">
        <v>6</v>
      </c>
      <c r="K438" s="35" t="s">
        <v>1165</v>
      </c>
      <c r="L438" s="35" t="s">
        <v>977</v>
      </c>
      <c r="M438" s="386" t="s">
        <v>1259</v>
      </c>
      <c r="N438" s="33" t="s">
        <v>68</v>
      </c>
      <c r="O438" s="33" t="s">
        <v>12</v>
      </c>
      <c r="P438" s="33" t="s">
        <v>2</v>
      </c>
      <c r="Q438" s="47"/>
      <c r="R438" s="47"/>
      <c r="S438" s="45" t="s">
        <v>145</v>
      </c>
      <c r="T438" s="45"/>
      <c r="U438" s="37">
        <v>45155</v>
      </c>
      <c r="V438" s="38">
        <f t="shared" si="67"/>
        <v>45196</v>
      </c>
      <c r="W438" s="50">
        <f>V438-U438</f>
        <v>41</v>
      </c>
      <c r="X438" s="261">
        <f>Y438*0.91</f>
        <v>341250</v>
      </c>
      <c r="Y438" s="260">
        <v>375000</v>
      </c>
      <c r="Z438" s="263">
        <v>374000</v>
      </c>
      <c r="AA438" s="35"/>
      <c r="AB438" s="263"/>
      <c r="AC438" s="44">
        <f>ABS(X438/Y438-1)</f>
        <v>8.9999999999999969E-2</v>
      </c>
      <c r="AD438" s="62">
        <v>-0.02</v>
      </c>
      <c r="AE438" s="41">
        <f t="shared" si="79"/>
        <v>0.10999999999999997</v>
      </c>
      <c r="AF438" s="42"/>
      <c r="AG438" s="40">
        <f>IF((X438*AE438)&lt;0,0,(X438*AE438))</f>
        <v>37537.499999999993</v>
      </c>
      <c r="AH438" s="65">
        <f t="shared" si="75"/>
        <v>1000</v>
      </c>
      <c r="AI438" s="66">
        <f>AH438/X438</f>
        <v>2.9304029304029304E-3</v>
      </c>
      <c r="AJ438" s="66">
        <f t="shared" si="76"/>
        <v>2.9304029304029304E-3</v>
      </c>
      <c r="AK438" s="65">
        <f>AF438*X438</f>
        <v>0</v>
      </c>
      <c r="AL438" s="40">
        <f t="shared" si="70"/>
        <v>1000</v>
      </c>
      <c r="AM438" s="242">
        <f t="shared" si="68"/>
        <v>45199</v>
      </c>
      <c r="AN438" s="242" t="str">
        <f>IF(AQ438="x","",IF(AQ438="x",AM438,IF(EOMONTH(I438,0)=31,"",EOMONTH(I438,0))))</f>
        <v/>
      </c>
      <c r="AO438" s="79">
        <f>IFERROR(IF(VLOOKUP(C438,C439:C1039,1,0)=0,1,0),1)</f>
        <v>1</v>
      </c>
      <c r="AP438" s="79"/>
      <c r="AQ438" s="243" t="str">
        <f t="shared" si="77"/>
        <v/>
      </c>
      <c r="AR438" s="242" t="b">
        <f>IF(AQ438="x",EOMONTH(I438,0))</f>
        <v>0</v>
      </c>
      <c r="AS438" s="79">
        <f t="shared" si="72"/>
        <v>1</v>
      </c>
      <c r="AT438" s="79">
        <f t="shared" si="73"/>
        <v>1</v>
      </c>
      <c r="AU438" s="79" t="str">
        <f t="shared" si="74"/>
        <v>B</v>
      </c>
      <c r="AV438" s="79">
        <f t="shared" si="78"/>
        <v>1</v>
      </c>
      <c r="AW438" s="79" t="str">
        <f>J438&amp;AU438</f>
        <v>6B</v>
      </c>
      <c r="AX438" s="79">
        <f>IF(COUNTIFS(J:J,"Integral",E:E,E438,H:H,"Ativo")=4,1/4,1/10)</f>
        <v>0.1</v>
      </c>
      <c r="AY438" s="79" t="s">
        <v>1320</v>
      </c>
      <c r="AZ438" s="79" t="b">
        <v>1</v>
      </c>
    </row>
    <row r="439" spans="1:52" ht="15.75" customHeight="1">
      <c r="A439" s="54">
        <v>462</v>
      </c>
      <c r="B439" s="403">
        <v>45196</v>
      </c>
      <c r="C439" s="32" t="s">
        <v>1440</v>
      </c>
      <c r="D439" s="32" t="s">
        <v>1441</v>
      </c>
      <c r="E439" s="32" t="s">
        <v>1442</v>
      </c>
      <c r="F439" s="32" t="s">
        <v>1443</v>
      </c>
      <c r="G439" s="60" t="s">
        <v>220</v>
      </c>
      <c r="H439" s="33" t="s">
        <v>90</v>
      </c>
      <c r="I439" s="34"/>
      <c r="J439" s="33">
        <v>6</v>
      </c>
      <c r="K439" s="35" t="s">
        <v>1165</v>
      </c>
      <c r="L439" s="35" t="s">
        <v>977</v>
      </c>
      <c r="M439" s="386" t="s">
        <v>1259</v>
      </c>
      <c r="N439" s="33" t="s">
        <v>68</v>
      </c>
      <c r="O439" s="33" t="s">
        <v>11</v>
      </c>
      <c r="P439" s="33" t="s">
        <v>1</v>
      </c>
      <c r="Q439" s="47" t="s">
        <v>97</v>
      </c>
      <c r="R439" s="47"/>
      <c r="S439" s="45" t="s">
        <v>165</v>
      </c>
      <c r="T439" s="45"/>
      <c r="U439" s="37">
        <v>45186</v>
      </c>
      <c r="V439" s="38">
        <f t="shared" si="67"/>
        <v>45196</v>
      </c>
      <c r="W439" s="50">
        <f>V439-U439</f>
        <v>10</v>
      </c>
      <c r="X439" s="261">
        <f>Y439*0.91</f>
        <v>341250</v>
      </c>
      <c r="Y439" s="260">
        <v>375000</v>
      </c>
      <c r="Z439" s="263">
        <v>248200.01</v>
      </c>
      <c r="AA439" s="35"/>
      <c r="AB439" s="263"/>
      <c r="AC439" s="44">
        <f>ABS(X439/Y439-1)</f>
        <v>8.9999999999999969E-2</v>
      </c>
      <c r="AD439" s="62">
        <v>0.25140000000000001</v>
      </c>
      <c r="AE439" s="41">
        <f t="shared" si="79"/>
        <v>-0.16140000000000004</v>
      </c>
      <c r="AF439" s="42">
        <v>0.16139999999999999</v>
      </c>
      <c r="AG439" s="40">
        <f>IF((X439*AE439)&lt;0,0,(X439*AE439))</f>
        <v>0</v>
      </c>
      <c r="AH439" s="65">
        <f t="shared" si="75"/>
        <v>126799.98999999999</v>
      </c>
      <c r="AI439" s="66">
        <f>AH439/X439</f>
        <v>0.37157506227106224</v>
      </c>
      <c r="AJ439" s="66">
        <f t="shared" si="76"/>
        <v>0.21017506227106225</v>
      </c>
      <c r="AK439" s="65">
        <f>AF439*X439</f>
        <v>55077.749999999993</v>
      </c>
      <c r="AL439" s="40">
        <f t="shared" si="70"/>
        <v>71722.239999999991</v>
      </c>
      <c r="AM439" s="242">
        <f t="shared" si="68"/>
        <v>45199</v>
      </c>
      <c r="AN439" s="242" t="str">
        <f>IF(AQ439="x","",IF(AQ439="x",AM439,IF(EOMONTH(I439,0)=31,"",EOMONTH(I439,0))))</f>
        <v/>
      </c>
      <c r="AO439" s="79">
        <f>IFERROR(IF(VLOOKUP(C439,C440:C1040,1,0)=0,1,0),1)</f>
        <v>0</v>
      </c>
      <c r="AP439" s="79"/>
      <c r="AQ439" s="243" t="str">
        <f t="shared" si="77"/>
        <v/>
      </c>
      <c r="AR439" s="242" t="b">
        <f>IF(AQ439="x",EOMONTH(I439,0))</f>
        <v>0</v>
      </c>
      <c r="AS439" s="79">
        <f t="shared" si="72"/>
        <v>1</v>
      </c>
      <c r="AT439" s="79">
        <f t="shared" si="73"/>
        <v>1</v>
      </c>
      <c r="AU439" s="79" t="str">
        <f t="shared" si="74"/>
        <v>B</v>
      </c>
      <c r="AV439" s="79">
        <f t="shared" si="78"/>
        <v>1</v>
      </c>
      <c r="AW439" s="79" t="str">
        <f>J439&amp;AU439</f>
        <v>6B</v>
      </c>
      <c r="AX439" s="79">
        <f>IF(COUNTIFS(J:J,"Integral",E:E,E439,H:H,"Ativo")=4,1/4,1/10)</f>
        <v>0.1</v>
      </c>
      <c r="AY439" s="79" t="s">
        <v>1320</v>
      </c>
      <c r="AZ439" s="79" t="b">
        <v>1</v>
      </c>
    </row>
    <row r="440" spans="1:52" ht="15.75" customHeight="1">
      <c r="A440" s="54">
        <v>463</v>
      </c>
      <c r="B440" s="403">
        <v>45196</v>
      </c>
      <c r="C440" s="32" t="s">
        <v>1440</v>
      </c>
      <c r="D440" s="32" t="s">
        <v>1444</v>
      </c>
      <c r="E440" s="32" t="s">
        <v>1442</v>
      </c>
      <c r="F440" s="32" t="s">
        <v>1445</v>
      </c>
      <c r="G440" s="60" t="s">
        <v>220</v>
      </c>
      <c r="H440" s="33" t="s">
        <v>90</v>
      </c>
      <c r="I440" s="34"/>
      <c r="J440" s="33">
        <v>6</v>
      </c>
      <c r="K440" s="35" t="s">
        <v>1165</v>
      </c>
      <c r="L440" s="35" t="s">
        <v>977</v>
      </c>
      <c r="M440" s="386" t="s">
        <v>1259</v>
      </c>
      <c r="N440" s="33" t="s">
        <v>68</v>
      </c>
      <c r="O440" s="33" t="s">
        <v>11</v>
      </c>
      <c r="P440" s="33" t="s">
        <v>1</v>
      </c>
      <c r="Q440" s="47" t="s">
        <v>97</v>
      </c>
      <c r="R440" s="47"/>
      <c r="S440" s="45" t="s">
        <v>165</v>
      </c>
      <c r="T440" s="45"/>
      <c r="U440" s="37">
        <v>45186</v>
      </c>
      <c r="V440" s="38">
        <f t="shared" si="67"/>
        <v>45196</v>
      </c>
      <c r="W440" s="50">
        <f>V440-U440</f>
        <v>10</v>
      </c>
      <c r="X440" s="261">
        <f>Y440*0.91</f>
        <v>341250</v>
      </c>
      <c r="Y440" s="260">
        <v>375000</v>
      </c>
      <c r="Z440" s="263">
        <v>248200.01</v>
      </c>
      <c r="AA440" s="35"/>
      <c r="AB440" s="263"/>
      <c r="AC440" s="44">
        <f>ABS(X440/Y440-1)</f>
        <v>8.9999999999999969E-2</v>
      </c>
      <c r="AD440" s="62">
        <v>0.25140000000000001</v>
      </c>
      <c r="AE440" s="41">
        <f t="shared" si="79"/>
        <v>-0.16140000000000004</v>
      </c>
      <c r="AF440" s="42">
        <v>0.16139999999999999</v>
      </c>
      <c r="AG440" s="40">
        <f>IF((X440*AE440)&lt;0,0,(X440*AE440))</f>
        <v>0</v>
      </c>
      <c r="AH440" s="65">
        <f t="shared" si="75"/>
        <v>126799.98999999999</v>
      </c>
      <c r="AI440" s="66">
        <f>AH440/X440</f>
        <v>0.37157506227106224</v>
      </c>
      <c r="AJ440" s="66">
        <f t="shared" si="76"/>
        <v>0.21017506227106225</v>
      </c>
      <c r="AK440" s="65">
        <f>AF440*X440</f>
        <v>55077.749999999993</v>
      </c>
      <c r="AL440" s="40">
        <f t="shared" si="70"/>
        <v>71722.239999999991</v>
      </c>
      <c r="AM440" s="242">
        <f t="shared" si="68"/>
        <v>45199</v>
      </c>
      <c r="AN440" s="242" t="str">
        <f>IF(AQ440="x","",IF(AQ440="x",AM440,IF(EOMONTH(I440,0)=31,"",EOMONTH(I440,0))))</f>
        <v/>
      </c>
      <c r="AO440" s="79">
        <f>IFERROR(IF(VLOOKUP(C440,C441:C1041,1,0)=0,1,0),1)</f>
        <v>1</v>
      </c>
      <c r="AP440" s="79"/>
      <c r="AQ440" s="243" t="str">
        <f t="shared" si="77"/>
        <v/>
      </c>
      <c r="AR440" s="242" t="b">
        <f>IF(AQ440="x",EOMONTH(I440,0))</f>
        <v>0</v>
      </c>
      <c r="AS440" s="79">
        <f t="shared" si="72"/>
        <v>1</v>
      </c>
      <c r="AT440" s="79">
        <f t="shared" si="73"/>
        <v>1</v>
      </c>
      <c r="AU440" s="79" t="str">
        <f t="shared" si="74"/>
        <v>B</v>
      </c>
      <c r="AV440" s="79">
        <f t="shared" si="78"/>
        <v>1</v>
      </c>
      <c r="AW440" s="79" t="str">
        <f>J440&amp;AU440</f>
        <v>6B</v>
      </c>
      <c r="AX440" s="79">
        <f>IF(COUNTIFS(J:J,"Integral",E:E,E440,H:H,"Ativo")=4,1/4,1/10)</f>
        <v>0.1</v>
      </c>
      <c r="AY440" s="79" t="s">
        <v>1320</v>
      </c>
      <c r="AZ440" s="79" t="b">
        <v>1</v>
      </c>
    </row>
    <row r="441" spans="1:52" ht="15.75" customHeight="1">
      <c r="A441" s="54">
        <v>464</v>
      </c>
      <c r="B441" s="403">
        <v>45197</v>
      </c>
      <c r="C441" s="32" t="s">
        <v>1446</v>
      </c>
      <c r="D441" s="32" t="s">
        <v>1447</v>
      </c>
      <c r="E441" s="32" t="s">
        <v>1409</v>
      </c>
      <c r="F441" s="32" t="s">
        <v>1448</v>
      </c>
      <c r="G441" s="60" t="s">
        <v>220</v>
      </c>
      <c r="H441" s="33" t="s">
        <v>90</v>
      </c>
      <c r="I441" s="34"/>
      <c r="J441" s="33">
        <v>6</v>
      </c>
      <c r="K441" s="35" t="s">
        <v>1007</v>
      </c>
      <c r="L441" s="35" t="s">
        <v>1007</v>
      </c>
      <c r="M441" s="386" t="s">
        <v>246</v>
      </c>
      <c r="N441" s="33" t="s">
        <v>68</v>
      </c>
      <c r="O441" s="33" t="s">
        <v>11</v>
      </c>
      <c r="P441" s="33" t="s">
        <v>2</v>
      </c>
      <c r="Q441" s="47"/>
      <c r="R441" s="47"/>
      <c r="S441" s="45" t="s">
        <v>145</v>
      </c>
      <c r="T441" s="45"/>
      <c r="U441" s="37">
        <v>45182</v>
      </c>
      <c r="V441" s="38">
        <f t="shared" si="67"/>
        <v>45197</v>
      </c>
      <c r="W441" s="50">
        <f>V441-U441</f>
        <v>15</v>
      </c>
      <c r="X441" s="261">
        <f>Y441*0.91</f>
        <v>341250</v>
      </c>
      <c r="Y441" s="260">
        <v>375000</v>
      </c>
      <c r="Z441" s="263">
        <v>325450</v>
      </c>
      <c r="AA441" s="35"/>
      <c r="AB441" s="263"/>
      <c r="AC441" s="44">
        <f>ABS(X441/Y441-1)</f>
        <v>8.9999999999999969E-2</v>
      </c>
      <c r="AD441" s="62">
        <v>9.6799999999999997E-2</v>
      </c>
      <c r="AE441" s="41">
        <f t="shared" si="79"/>
        <v>-6.8000000000000282E-3</v>
      </c>
      <c r="AF441" s="42">
        <v>6.7999999999999996E-3</v>
      </c>
      <c r="AG441" s="40">
        <f>IF((X441*AE441)&lt;0,0,(X441*AE441))</f>
        <v>0</v>
      </c>
      <c r="AH441" s="65">
        <f t="shared" si="75"/>
        <v>49550</v>
      </c>
      <c r="AI441" s="66">
        <f>AH441/X441</f>
        <v>0.14520146520146521</v>
      </c>
      <c r="AJ441" s="66">
        <f t="shared" si="76"/>
        <v>0.13840146520146521</v>
      </c>
      <c r="AK441" s="65">
        <f>AF441*X441</f>
        <v>2320.5</v>
      </c>
      <c r="AL441" s="40">
        <f t="shared" si="70"/>
        <v>47229.5</v>
      </c>
      <c r="AM441" s="242">
        <f t="shared" si="68"/>
        <v>45199</v>
      </c>
      <c r="AN441" s="242" t="str">
        <f>IF(AQ441="x","",IF(AQ441="x",AM441,IF(EOMONTH(I441,0)=31,"",EOMONTH(I441,0))))</f>
        <v/>
      </c>
      <c r="AO441" s="79">
        <f>IFERROR(IF(VLOOKUP(C441,C442:C1042,1,0)=0,1,0),1)</f>
        <v>1</v>
      </c>
      <c r="AP441" s="79"/>
      <c r="AQ441" s="243" t="str">
        <f t="shared" si="77"/>
        <v/>
      </c>
      <c r="AR441" s="242" t="b">
        <f>IF(AQ441="x",EOMONTH(I441,0))</f>
        <v>0</v>
      </c>
      <c r="AS441" s="79">
        <f t="shared" si="72"/>
        <v>1</v>
      </c>
      <c r="AT441" s="79">
        <f t="shared" si="73"/>
        <v>1</v>
      </c>
      <c r="AU441" s="79" t="str">
        <f t="shared" si="74"/>
        <v>B</v>
      </c>
      <c r="AV441" s="79">
        <f t="shared" si="78"/>
        <v>1</v>
      </c>
      <c r="AW441" s="79" t="str">
        <f>J441&amp;AU441</f>
        <v>6B</v>
      </c>
      <c r="AX441" s="79">
        <f>IF(COUNTIFS(J:J,"Integral",E:E,E441,H:H,"Ativo")=4,1/4,1/10)</f>
        <v>0.1</v>
      </c>
      <c r="AY441" s="79" t="s">
        <v>1320</v>
      </c>
      <c r="AZ441" s="79" t="b">
        <v>1</v>
      </c>
    </row>
    <row r="442" spans="1:52" ht="15.75" customHeight="1">
      <c r="A442" s="54">
        <v>465</v>
      </c>
      <c r="B442" s="403">
        <v>45197</v>
      </c>
      <c r="C442" s="32" t="s">
        <v>1449</v>
      </c>
      <c r="D442" s="32" t="s">
        <v>1450</v>
      </c>
      <c r="E442" s="32" t="s">
        <v>241</v>
      </c>
      <c r="F442" s="32" t="s">
        <v>1451</v>
      </c>
      <c r="G442" s="60" t="s">
        <v>220</v>
      </c>
      <c r="H442" s="33" t="s">
        <v>90</v>
      </c>
      <c r="I442" s="34"/>
      <c r="J442" s="33">
        <v>13</v>
      </c>
      <c r="K442" s="35" t="s">
        <v>289</v>
      </c>
      <c r="L442" s="35" t="s">
        <v>289</v>
      </c>
      <c r="M442" s="386" t="s">
        <v>246</v>
      </c>
      <c r="N442" s="33" t="s">
        <v>68</v>
      </c>
      <c r="O442" s="33" t="s">
        <v>11</v>
      </c>
      <c r="P442" s="33" t="s">
        <v>1</v>
      </c>
      <c r="Q442" s="47" t="s">
        <v>97</v>
      </c>
      <c r="R442" s="47"/>
      <c r="S442" s="45" t="s">
        <v>163</v>
      </c>
      <c r="T442" s="45"/>
      <c r="U442" s="37">
        <v>45196</v>
      </c>
      <c r="V442" s="38">
        <f t="shared" si="67"/>
        <v>45197</v>
      </c>
      <c r="W442" s="50">
        <f>V442-U442</f>
        <v>1</v>
      </c>
      <c r="X442" s="261">
        <f>Y442*0.91</f>
        <v>1164800</v>
      </c>
      <c r="Y442" s="260">
        <v>1280000</v>
      </c>
      <c r="Z442" s="263">
        <v>1019000</v>
      </c>
      <c r="AA442" s="35"/>
      <c r="AB442" s="263"/>
      <c r="AC442" s="44">
        <f>ABS(X442/Y442-1)</f>
        <v>8.9999999999999969E-2</v>
      </c>
      <c r="AD442" s="62">
        <v>3.61E-2</v>
      </c>
      <c r="AE442" s="41">
        <f t="shared" si="79"/>
        <v>5.3899999999999969E-2</v>
      </c>
      <c r="AF442" s="42"/>
      <c r="AG442" s="40">
        <f>IF((X442*AE442)&lt;0,0,(X442*AE442))</f>
        <v>62782.719999999965</v>
      </c>
      <c r="AH442" s="65">
        <f t="shared" si="75"/>
        <v>261000</v>
      </c>
      <c r="AI442" s="66">
        <f>AH442/X442</f>
        <v>0.22407280219780221</v>
      </c>
      <c r="AJ442" s="66">
        <f t="shared" si="76"/>
        <v>0.22407280219780221</v>
      </c>
      <c r="AK442" s="65">
        <f>AF442*X442</f>
        <v>0</v>
      </c>
      <c r="AL442" s="40">
        <f t="shared" si="70"/>
        <v>261000</v>
      </c>
      <c r="AM442" s="242">
        <f t="shared" si="68"/>
        <v>45199</v>
      </c>
      <c r="AN442" s="242" t="str">
        <f>IF(AQ442="x","",IF(AQ442="x",AM442,IF(EOMONTH(I442,0)=31,"",EOMONTH(I442,0))))</f>
        <v/>
      </c>
      <c r="AO442" s="79">
        <f>IFERROR(IF(VLOOKUP(C442,C443:C1043,1,0)=0,1,0),1)</f>
        <v>1</v>
      </c>
      <c r="AP442" s="79"/>
      <c r="AQ442" s="243" t="str">
        <f t="shared" si="77"/>
        <v/>
      </c>
      <c r="AR442" s="242" t="b">
        <f>IF(AQ442="x",EOMONTH(I442,0))</f>
        <v>0</v>
      </c>
      <c r="AS442" s="79">
        <f t="shared" si="72"/>
        <v>1</v>
      </c>
      <c r="AT442" s="79">
        <f t="shared" si="73"/>
        <v>1</v>
      </c>
      <c r="AU442" s="79" t="str">
        <f t="shared" si="74"/>
        <v>A</v>
      </c>
      <c r="AV442" s="79">
        <f t="shared" si="78"/>
        <v>1</v>
      </c>
      <c r="AW442" s="79" t="str">
        <f>J442&amp;AU442</f>
        <v>13A</v>
      </c>
      <c r="AX442" s="79">
        <f>IF(COUNTIFS(J:J,"Integral",E:E,E442,H:H,"Ativo")=4,1/4,1/10)</f>
        <v>0.1</v>
      </c>
      <c r="AY442" s="79" t="s">
        <v>1320</v>
      </c>
      <c r="AZ442" s="79" t="b">
        <v>1</v>
      </c>
    </row>
    <row r="443" spans="1:52" ht="15.75" customHeight="1">
      <c r="A443" s="54">
        <v>466</v>
      </c>
      <c r="B443" s="403">
        <v>45200</v>
      </c>
      <c r="C443" s="32" t="s">
        <v>1452</v>
      </c>
      <c r="D443" s="32" t="s">
        <v>1453</v>
      </c>
      <c r="E443" s="32" t="s">
        <v>1454</v>
      </c>
      <c r="F443" s="32" t="s">
        <v>1455</v>
      </c>
      <c r="G443" s="60" t="s">
        <v>220</v>
      </c>
      <c r="H443" s="33" t="s">
        <v>90</v>
      </c>
      <c r="I443" s="34"/>
      <c r="J443" s="33">
        <v>6</v>
      </c>
      <c r="K443" s="35" t="s">
        <v>977</v>
      </c>
      <c r="L443" s="35" t="s">
        <v>977</v>
      </c>
      <c r="M443" s="386" t="s">
        <v>1259</v>
      </c>
      <c r="N443" s="33" t="s">
        <v>68</v>
      </c>
      <c r="O443" s="33" t="s">
        <v>12</v>
      </c>
      <c r="P443" s="33" t="s">
        <v>2</v>
      </c>
      <c r="Q443" s="47"/>
      <c r="R443" s="47"/>
      <c r="S443" s="45" t="s">
        <v>143</v>
      </c>
      <c r="T443" s="45"/>
      <c r="U443" s="37">
        <v>45199</v>
      </c>
      <c r="V443" s="38">
        <f t="shared" si="67"/>
        <v>45200</v>
      </c>
      <c r="W443" s="50">
        <f>V443-U443</f>
        <v>1</v>
      </c>
      <c r="X443" s="261">
        <f>Y443*0.91</f>
        <v>341250</v>
      </c>
      <c r="Y443" s="260">
        <v>375000</v>
      </c>
      <c r="Z443" s="263">
        <v>360000</v>
      </c>
      <c r="AA443" s="35"/>
      <c r="AB443" s="263"/>
      <c r="AC443" s="44">
        <f>ABS(X443/Y443-1)</f>
        <v>8.9999999999999969E-2</v>
      </c>
      <c r="AD443" s="62">
        <v>3.6700000000000003E-2</v>
      </c>
      <c r="AE443" s="41">
        <f t="shared" si="79"/>
        <v>5.3299999999999965E-2</v>
      </c>
      <c r="AF443" s="42"/>
      <c r="AG443" s="40">
        <f>IF((X443*AE443)&lt;0,0,(X443*AE443))</f>
        <v>18188.624999999989</v>
      </c>
      <c r="AH443" s="65">
        <f t="shared" si="75"/>
        <v>15000</v>
      </c>
      <c r="AI443" s="66">
        <f>AH443/X443</f>
        <v>4.3956043956043959E-2</v>
      </c>
      <c r="AJ443" s="66">
        <f t="shared" si="76"/>
        <v>4.3956043956043959E-2</v>
      </c>
      <c r="AK443" s="65">
        <f>AF443*X443</f>
        <v>0</v>
      </c>
      <c r="AL443" s="40">
        <f t="shared" si="70"/>
        <v>15000</v>
      </c>
      <c r="AM443" s="242">
        <f t="shared" si="68"/>
        <v>45230</v>
      </c>
      <c r="AN443" s="242" t="str">
        <f>IF(AQ443="x","",IF(AQ443="x",AM443,IF(EOMONTH(I443,0)=31,"",EOMONTH(I443,0))))</f>
        <v/>
      </c>
      <c r="AO443" s="79">
        <f>IFERROR(IF(VLOOKUP(C443,C444:C1044,1,0)=0,1,0),1)</f>
        <v>1</v>
      </c>
      <c r="AP443" s="79"/>
      <c r="AQ443" s="243" t="str">
        <f t="shared" si="77"/>
        <v/>
      </c>
      <c r="AR443" s="242" t="b">
        <f>IF(AQ443="x",EOMONTH(I443,0))</f>
        <v>0</v>
      </c>
      <c r="AS443" s="79">
        <f t="shared" si="72"/>
        <v>1</v>
      </c>
      <c r="AT443" s="79">
        <f t="shared" si="73"/>
        <v>1</v>
      </c>
      <c r="AU443" s="79" t="str">
        <f t="shared" si="74"/>
        <v>B</v>
      </c>
      <c r="AV443" s="79">
        <f t="shared" si="78"/>
        <v>1</v>
      </c>
      <c r="AW443" s="79" t="str">
        <f>J443&amp;AU443</f>
        <v>6B</v>
      </c>
      <c r="AX443" s="79">
        <f>IF(COUNTIFS(J:J,"Integral",E:E,E443,H:H,"Ativo")=4,1/4,1/10)</f>
        <v>0.1</v>
      </c>
      <c r="AY443" s="79" t="s">
        <v>1320</v>
      </c>
      <c r="AZ443" s="79" t="b">
        <v>1</v>
      </c>
    </row>
    <row r="444" spans="1:52" ht="15.75" customHeight="1">
      <c r="A444" s="54">
        <v>467</v>
      </c>
      <c r="B444" s="403">
        <v>45204</v>
      </c>
      <c r="C444" s="32" t="s">
        <v>1356</v>
      </c>
      <c r="D444" s="32" t="s">
        <v>810</v>
      </c>
      <c r="E444" s="32" t="s">
        <v>811</v>
      </c>
      <c r="F444" s="32" t="s">
        <v>1456</v>
      </c>
      <c r="G444" s="60" t="s">
        <v>220</v>
      </c>
      <c r="H444" s="33" t="s">
        <v>90</v>
      </c>
      <c r="I444" s="34"/>
      <c r="J444" s="33">
        <v>13</v>
      </c>
      <c r="K444" s="35" t="s">
        <v>221</v>
      </c>
      <c r="L444" s="35" t="s">
        <v>221</v>
      </c>
      <c r="M444" s="67" t="s">
        <v>222</v>
      </c>
      <c r="N444" s="33" t="s">
        <v>72</v>
      </c>
      <c r="O444" s="33" t="s">
        <v>12</v>
      </c>
      <c r="P444" s="33" t="s">
        <v>83</v>
      </c>
      <c r="Q444" s="47" t="s">
        <v>97</v>
      </c>
      <c r="R444" s="47"/>
      <c r="S444" s="45" t="s">
        <v>144</v>
      </c>
      <c r="T444" s="45"/>
      <c r="U444" s="37">
        <v>45170</v>
      </c>
      <c r="V444" s="38">
        <f t="shared" si="67"/>
        <v>45204</v>
      </c>
      <c r="W444" s="50">
        <f>V444-U444</f>
        <v>34</v>
      </c>
      <c r="X444" s="261">
        <f>Y444*0.91</f>
        <v>1558830</v>
      </c>
      <c r="Y444" s="260">
        <v>1713000</v>
      </c>
      <c r="Z444" s="263">
        <v>1400000</v>
      </c>
      <c r="AA444" s="35"/>
      <c r="AB444" s="263"/>
      <c r="AC444" s="44">
        <f>ABS(X444/Y444-1)</f>
        <v>8.9999999999999969E-2</v>
      </c>
      <c r="AD444" s="62">
        <v>0.2087</v>
      </c>
      <c r="AE444" s="41">
        <f t="shared" si="79"/>
        <v>-0.11870000000000003</v>
      </c>
      <c r="AF444" s="42">
        <v>0.1187</v>
      </c>
      <c r="AG444" s="40">
        <f>IF((X444*AE444)&lt;0,0,(X444*AE444))</f>
        <v>0</v>
      </c>
      <c r="AH444" s="65">
        <f t="shared" si="75"/>
        <v>313000</v>
      </c>
      <c r="AI444" s="66">
        <f>AH444/X444</f>
        <v>0.20079161935554229</v>
      </c>
      <c r="AJ444" s="66">
        <f t="shared" si="76"/>
        <v>8.2091619355542295E-2</v>
      </c>
      <c r="AK444" s="65">
        <f>AF444*X444</f>
        <v>185033.12100000001</v>
      </c>
      <c r="AL444" s="40">
        <f t="shared" si="70"/>
        <v>127966.87899999999</v>
      </c>
      <c r="AM444" s="242">
        <f t="shared" si="68"/>
        <v>45230</v>
      </c>
      <c r="AN444" s="242" t="str">
        <f>IF(AQ444="x","",IF(AQ444="x",AM444,IF(EOMONTH(I444,0)=31,"",EOMONTH(I444,0))))</f>
        <v/>
      </c>
      <c r="AO444" s="79">
        <f>IFERROR(IF(VLOOKUP(C444,C445:C1045,1,0)=0,1,0),1)</f>
        <v>1</v>
      </c>
      <c r="AP444" s="79"/>
      <c r="AQ444" s="243" t="str">
        <f t="shared" si="77"/>
        <v/>
      </c>
      <c r="AR444" s="242" t="b">
        <f>IF(AQ444="x",EOMONTH(I444,0))</f>
        <v>0</v>
      </c>
      <c r="AS444" s="79">
        <f t="shared" si="72"/>
        <v>1</v>
      </c>
      <c r="AT444" s="79">
        <f t="shared" si="73"/>
        <v>1</v>
      </c>
      <c r="AU444" s="79" t="str">
        <f t="shared" si="74"/>
        <v>A</v>
      </c>
      <c r="AV444" s="79">
        <f t="shared" si="78"/>
        <v>1</v>
      </c>
      <c r="AW444" s="79" t="str">
        <f>J444&amp;AU444</f>
        <v>13A</v>
      </c>
      <c r="AX444" s="79">
        <f>IF(COUNTIFS(J:J,"Integral",E:E,E444,H:H,"Ativo")=4,1/4,1/10)</f>
        <v>0.1</v>
      </c>
      <c r="AY444" s="79" t="s">
        <v>1320</v>
      </c>
      <c r="AZ444" s="79" t="b">
        <v>1</v>
      </c>
    </row>
    <row r="445" spans="1:52" ht="15.75" customHeight="1">
      <c r="A445" s="54">
        <v>468</v>
      </c>
      <c r="B445" s="403">
        <v>45205</v>
      </c>
      <c r="C445" s="32" t="s">
        <v>1457</v>
      </c>
      <c r="D445" s="32" t="s">
        <v>1458</v>
      </c>
      <c r="E445" s="32" t="s">
        <v>1454</v>
      </c>
      <c r="F445" s="32" t="s">
        <v>1459</v>
      </c>
      <c r="G445" s="60" t="s">
        <v>220</v>
      </c>
      <c r="H445" s="33" t="s">
        <v>90</v>
      </c>
      <c r="I445" s="34"/>
      <c r="J445" s="33">
        <v>6</v>
      </c>
      <c r="K445" s="35" t="s">
        <v>1460</v>
      </c>
      <c r="L445" s="35" t="s">
        <v>1460</v>
      </c>
      <c r="M445" s="386" t="s">
        <v>1259</v>
      </c>
      <c r="N445" s="33" t="s">
        <v>68</v>
      </c>
      <c r="O445" s="33" t="s">
        <v>12</v>
      </c>
      <c r="P445" s="33" t="s">
        <v>1</v>
      </c>
      <c r="Q445" s="47"/>
      <c r="R445" s="47"/>
      <c r="S445" s="45" t="s">
        <v>147</v>
      </c>
      <c r="T445" s="45"/>
      <c r="U445" s="37">
        <v>45192</v>
      </c>
      <c r="V445" s="38">
        <f t="shared" si="67"/>
        <v>45205</v>
      </c>
      <c r="W445" s="50">
        <f>V445-U445</f>
        <v>13</v>
      </c>
      <c r="X445" s="261">
        <f>Y445*0.91</f>
        <v>342160</v>
      </c>
      <c r="Y445" s="260">
        <v>376000</v>
      </c>
      <c r="Z445" s="263">
        <v>374000</v>
      </c>
      <c r="AA445" s="35"/>
      <c r="AB445" s="263"/>
      <c r="AC445" s="44">
        <f>ABS(X445/Y445-1)</f>
        <v>8.9999999999999969E-2</v>
      </c>
      <c r="AD445" s="62">
        <v>1.66E-2</v>
      </c>
      <c r="AE445" s="41">
        <f t="shared" si="79"/>
        <v>7.3399999999999965E-2</v>
      </c>
      <c r="AF445" s="42"/>
      <c r="AG445" s="40">
        <f>IF((X445*AE445)&lt;0,0,(X445*AE445))</f>
        <v>25114.543999999987</v>
      </c>
      <c r="AH445" s="65">
        <f t="shared" si="75"/>
        <v>2000</v>
      </c>
      <c r="AI445" s="66">
        <f>AH445/X445</f>
        <v>5.8452186111760578E-3</v>
      </c>
      <c r="AJ445" s="66">
        <f t="shared" si="76"/>
        <v>5.8452186111760578E-3</v>
      </c>
      <c r="AK445" s="65">
        <f>AF445*X445</f>
        <v>0</v>
      </c>
      <c r="AL445" s="40">
        <f t="shared" si="70"/>
        <v>2000</v>
      </c>
      <c r="AM445" s="242">
        <f t="shared" si="68"/>
        <v>45230</v>
      </c>
      <c r="AN445" s="242" t="str">
        <f>IF(AQ445="x","",IF(AQ445="x",AM445,IF(EOMONTH(I445,0)=31,"",EOMONTH(I445,0))))</f>
        <v/>
      </c>
      <c r="AO445" s="79">
        <f>IFERROR(IF(VLOOKUP(C445,C446:C1046,1,0)=0,1,0),1)</f>
        <v>1</v>
      </c>
      <c r="AP445" s="79"/>
      <c r="AQ445" s="243" t="str">
        <f t="shared" si="77"/>
        <v/>
      </c>
      <c r="AR445" s="242" t="b">
        <f>IF(AQ445="x",EOMONTH(I445,0))</f>
        <v>0</v>
      </c>
      <c r="AS445" s="79">
        <f t="shared" si="72"/>
        <v>1</v>
      </c>
      <c r="AT445" s="79">
        <f t="shared" si="73"/>
        <v>1</v>
      </c>
      <c r="AU445" s="79" t="str">
        <f t="shared" si="74"/>
        <v>B</v>
      </c>
      <c r="AV445" s="79">
        <f t="shared" si="78"/>
        <v>1</v>
      </c>
      <c r="AW445" s="79" t="str">
        <f>J445&amp;AU445</f>
        <v>6B</v>
      </c>
      <c r="AX445" s="79">
        <f>IF(COUNTIFS(J:J,"Integral",E:E,E445,H:H,"Ativo")=4,1/4,1/10)</f>
        <v>0.1</v>
      </c>
      <c r="AY445" s="79" t="s">
        <v>1320</v>
      </c>
      <c r="AZ445" s="79" t="b">
        <v>1</v>
      </c>
    </row>
    <row r="446" spans="1:52" ht="15.75" customHeight="1">
      <c r="A446" s="54">
        <v>469</v>
      </c>
      <c r="B446" s="403">
        <v>45205</v>
      </c>
      <c r="C446" s="32" t="s">
        <v>655</v>
      </c>
      <c r="D446" s="32" t="s">
        <v>1461</v>
      </c>
      <c r="E446" s="32" t="s">
        <v>1454</v>
      </c>
      <c r="F446" s="32" t="s">
        <v>1462</v>
      </c>
      <c r="G446" s="60" t="s">
        <v>220</v>
      </c>
      <c r="H446" s="33" t="s">
        <v>90</v>
      </c>
      <c r="I446" s="34"/>
      <c r="J446" s="33">
        <v>6</v>
      </c>
      <c r="K446" s="35" t="s">
        <v>1165</v>
      </c>
      <c r="L446" s="35" t="s">
        <v>1165</v>
      </c>
      <c r="M446" s="386" t="s">
        <v>1259</v>
      </c>
      <c r="N446" s="33" t="s">
        <v>68</v>
      </c>
      <c r="O446" s="33" t="s">
        <v>12</v>
      </c>
      <c r="P446" s="33" t="s">
        <v>1</v>
      </c>
      <c r="Q446" s="47"/>
      <c r="R446" s="47"/>
      <c r="S446" s="45" t="s">
        <v>147</v>
      </c>
      <c r="T446" s="45"/>
      <c r="U446" s="37">
        <v>45081</v>
      </c>
      <c r="V446" s="38">
        <f t="shared" si="67"/>
        <v>45205</v>
      </c>
      <c r="W446" s="50">
        <f>V446-U446</f>
        <v>124</v>
      </c>
      <c r="X446" s="261">
        <f>Y446*0.91</f>
        <v>342160</v>
      </c>
      <c r="Y446" s="260">
        <v>376000</v>
      </c>
      <c r="Z446" s="263">
        <v>375050</v>
      </c>
      <c r="AA446" s="35"/>
      <c r="AB446" s="263"/>
      <c r="AC446" s="44">
        <f>ABS(X446/Y446-1)</f>
        <v>8.9999999999999969E-2</v>
      </c>
      <c r="AD446" s="62">
        <v>2.92E-2</v>
      </c>
      <c r="AE446" s="41">
        <f t="shared" si="79"/>
        <v>6.0799999999999965E-2</v>
      </c>
      <c r="AF446" s="42"/>
      <c r="AG446" s="40">
        <f>IF((X446*AE446)&lt;0,0,(X446*AE446))</f>
        <v>20803.327999999987</v>
      </c>
      <c r="AH446" s="65">
        <f t="shared" si="75"/>
        <v>950</v>
      </c>
      <c r="AI446" s="66">
        <f>AH446/X446</f>
        <v>2.7764788403086276E-3</v>
      </c>
      <c r="AJ446" s="66">
        <f t="shared" si="76"/>
        <v>2.7764788403086276E-3</v>
      </c>
      <c r="AK446" s="65">
        <f>AF446*X446</f>
        <v>0</v>
      </c>
      <c r="AL446" s="40">
        <f t="shared" si="70"/>
        <v>950</v>
      </c>
      <c r="AM446" s="242">
        <f t="shared" si="68"/>
        <v>45230</v>
      </c>
      <c r="AN446" s="242" t="str">
        <f>IF(AQ446="x","",IF(AQ446="x",AM446,IF(EOMONTH(I446,0)=31,"",EOMONTH(I446,0))))</f>
        <v/>
      </c>
      <c r="AO446" s="79">
        <f>IFERROR(IF(VLOOKUP(C446,C447:C1047,1,0)=0,1,0),1)</f>
        <v>1</v>
      </c>
      <c r="AP446" s="79"/>
      <c r="AQ446" s="243" t="str">
        <f t="shared" si="77"/>
        <v/>
      </c>
      <c r="AR446" s="242" t="b">
        <f>IF(AQ446="x",EOMONTH(I446,0))</f>
        <v>0</v>
      </c>
      <c r="AS446" s="79">
        <f t="shared" si="72"/>
        <v>1</v>
      </c>
      <c r="AT446" s="79">
        <f t="shared" si="73"/>
        <v>1</v>
      </c>
      <c r="AU446" s="79" t="str">
        <f t="shared" si="74"/>
        <v>B</v>
      </c>
      <c r="AV446" s="79">
        <f t="shared" si="78"/>
        <v>1</v>
      </c>
      <c r="AW446" s="79" t="str">
        <f>J446&amp;AU446</f>
        <v>6B</v>
      </c>
      <c r="AX446" s="79">
        <f>IF(COUNTIFS(J:J,"Integral",E:E,E446,H:H,"Ativo")=4,1/4,1/10)</f>
        <v>0.1</v>
      </c>
      <c r="AY446" s="79" t="s">
        <v>1332</v>
      </c>
      <c r="AZ446" s="79" t="b">
        <v>1</v>
      </c>
    </row>
    <row r="447" spans="1:52" ht="15.75" customHeight="1">
      <c r="A447" s="54">
        <v>470</v>
      </c>
      <c r="B447" s="403">
        <v>45206</v>
      </c>
      <c r="C447" s="32" t="s">
        <v>1463</v>
      </c>
      <c r="D447" s="32" t="s">
        <v>1464</v>
      </c>
      <c r="E447" s="32" t="s">
        <v>1465</v>
      </c>
      <c r="F447" s="32" t="s">
        <v>1466</v>
      </c>
      <c r="G447" s="60" t="s">
        <v>220</v>
      </c>
      <c r="H447" s="33" t="s">
        <v>90</v>
      </c>
      <c r="I447" s="34"/>
      <c r="J447" s="33" t="s">
        <v>6</v>
      </c>
      <c r="K447" s="35" t="s">
        <v>273</v>
      </c>
      <c r="L447" s="35" t="s">
        <v>273</v>
      </c>
      <c r="M447" s="386" t="s">
        <v>1259</v>
      </c>
      <c r="N447" s="33" t="s">
        <v>68</v>
      </c>
      <c r="O447" s="33" t="s">
        <v>10</v>
      </c>
      <c r="P447" s="33" t="s">
        <v>2</v>
      </c>
      <c r="Q447" s="47"/>
      <c r="R447" s="47"/>
      <c r="S447" s="45" t="s">
        <v>143</v>
      </c>
      <c r="T447" s="45"/>
      <c r="U447" s="37">
        <v>45111</v>
      </c>
      <c r="V447" s="38">
        <f t="shared" si="67"/>
        <v>45206</v>
      </c>
      <c r="W447" s="50">
        <f>V447-U447</f>
        <v>95</v>
      </c>
      <c r="X447" s="261">
        <f>Y447*0.91</f>
        <v>310856</v>
      </c>
      <c r="Y447" s="260">
        <v>341600</v>
      </c>
      <c r="Z447" s="263">
        <v>237200</v>
      </c>
      <c r="AA447" s="35"/>
      <c r="AB447" s="263"/>
      <c r="AC447" s="44">
        <f>ABS(X447/Y447-1)</f>
        <v>8.9999999999999969E-2</v>
      </c>
      <c r="AD447" s="62">
        <v>0.1522</v>
      </c>
      <c r="AE447" s="41">
        <f t="shared" si="79"/>
        <v>-6.2200000000000033E-2</v>
      </c>
      <c r="AF447" s="42">
        <v>6.2199999999999998E-2</v>
      </c>
      <c r="AG447" s="40">
        <f>IF((X447*AE447)&lt;0,0,(X447*AE447))</f>
        <v>0</v>
      </c>
      <c r="AH447" s="65">
        <f t="shared" si="75"/>
        <v>104400</v>
      </c>
      <c r="AI447" s="66">
        <f>AH447/X447</f>
        <v>0.33584682296626089</v>
      </c>
      <c r="AJ447" s="66">
        <f t="shared" si="76"/>
        <v>0.27364682296626092</v>
      </c>
      <c r="AK447" s="65">
        <f>AF447*X447</f>
        <v>19335.243200000001</v>
      </c>
      <c r="AL447" s="40">
        <f t="shared" si="70"/>
        <v>85064.756800000003</v>
      </c>
      <c r="AM447" s="242">
        <f t="shared" si="68"/>
        <v>45230</v>
      </c>
      <c r="AN447" s="242" t="str">
        <f>IF(AQ447="x","",IF(AQ447="x",AM447,IF(EOMONTH(I447,0)=31,"",EOMONTH(I447,0))))</f>
        <v/>
      </c>
      <c r="AO447" s="79">
        <f>IFERROR(IF(VLOOKUP(C447,C448:C1048,1,0)=0,1,0),1)</f>
        <v>0</v>
      </c>
      <c r="AP447" s="79"/>
      <c r="AQ447" s="243" t="str">
        <f t="shared" si="77"/>
        <v/>
      </c>
      <c r="AR447" s="242" t="b">
        <f>IF(AQ447="x",EOMONTH(I447,0))</f>
        <v>0</v>
      </c>
      <c r="AS447" s="79">
        <f t="shared" si="72"/>
        <v>1</v>
      </c>
      <c r="AT447" s="79">
        <f t="shared" si="73"/>
        <v>1</v>
      </c>
      <c r="AU447" s="79" t="str">
        <f t="shared" si="74"/>
        <v>B</v>
      </c>
      <c r="AV447" s="79">
        <f t="shared" si="78"/>
        <v>1</v>
      </c>
      <c r="AW447" s="79" t="str">
        <f>J447&amp;AU447</f>
        <v>IntegralB</v>
      </c>
      <c r="AX447" s="79">
        <f>IF(COUNTIFS(J:J,"Integral",E:E,E447,H:H,"Ativo")=4,1/4,1/10)</f>
        <v>0.1</v>
      </c>
      <c r="AY447" s="79" t="s">
        <v>1332</v>
      </c>
      <c r="AZ447" s="79" t="b">
        <v>1</v>
      </c>
    </row>
    <row r="448" spans="1:52" ht="15.75" customHeight="1">
      <c r="A448" s="54">
        <v>471</v>
      </c>
      <c r="B448" s="403">
        <v>45206</v>
      </c>
      <c r="C448" s="32" t="s">
        <v>1463</v>
      </c>
      <c r="D448" s="32" t="s">
        <v>1467</v>
      </c>
      <c r="E448" s="32" t="s">
        <v>1465</v>
      </c>
      <c r="F448" s="32" t="s">
        <v>1468</v>
      </c>
      <c r="G448" s="60" t="s">
        <v>220</v>
      </c>
      <c r="H448" s="33" t="s">
        <v>90</v>
      </c>
      <c r="I448" s="34"/>
      <c r="J448" s="33" t="s">
        <v>6</v>
      </c>
      <c r="K448" s="35" t="s">
        <v>273</v>
      </c>
      <c r="L448" s="35" t="s">
        <v>273</v>
      </c>
      <c r="M448" s="386" t="s">
        <v>1259</v>
      </c>
      <c r="N448" s="33" t="s">
        <v>68</v>
      </c>
      <c r="O448" s="33" t="s">
        <v>10</v>
      </c>
      <c r="P448" s="33" t="s">
        <v>2</v>
      </c>
      <c r="Q448" s="47"/>
      <c r="R448" s="47"/>
      <c r="S448" s="45" t="s">
        <v>143</v>
      </c>
      <c r="T448" s="45"/>
      <c r="U448" s="37">
        <v>45111</v>
      </c>
      <c r="V448" s="38">
        <f t="shared" si="67"/>
        <v>45206</v>
      </c>
      <c r="W448" s="50">
        <f>V448-U448</f>
        <v>95</v>
      </c>
      <c r="X448" s="261">
        <f>Y448*0.91</f>
        <v>310856</v>
      </c>
      <c r="Y448" s="260">
        <v>341600</v>
      </c>
      <c r="Z448" s="263">
        <v>237200</v>
      </c>
      <c r="AA448" s="35"/>
      <c r="AB448" s="263"/>
      <c r="AC448" s="44">
        <f>ABS(X448/Y448-1)</f>
        <v>8.9999999999999969E-2</v>
      </c>
      <c r="AD448" s="62">
        <v>0.1522</v>
      </c>
      <c r="AE448" s="41">
        <f t="shared" si="79"/>
        <v>-6.2200000000000033E-2</v>
      </c>
      <c r="AF448" s="42">
        <v>6.2199999999999998E-2</v>
      </c>
      <c r="AG448" s="40">
        <f>IF((X448*AE448)&lt;0,0,(X448*AE448))</f>
        <v>0</v>
      </c>
      <c r="AH448" s="65">
        <f t="shared" si="75"/>
        <v>104400</v>
      </c>
      <c r="AI448" s="66">
        <f>AH448/X448</f>
        <v>0.33584682296626089</v>
      </c>
      <c r="AJ448" s="66">
        <f t="shared" si="76"/>
        <v>0.27364682296626092</v>
      </c>
      <c r="AK448" s="65">
        <f>AF448*X448</f>
        <v>19335.243200000001</v>
      </c>
      <c r="AL448" s="40">
        <f t="shared" si="70"/>
        <v>85064.756800000003</v>
      </c>
      <c r="AM448" s="242">
        <f t="shared" si="68"/>
        <v>45230</v>
      </c>
      <c r="AN448" s="242" t="str">
        <f>IF(AQ448="x","",IF(AQ448="x",AM448,IF(EOMONTH(I448,0)=31,"",EOMONTH(I448,0))))</f>
        <v/>
      </c>
      <c r="AO448" s="79">
        <f>IFERROR(IF(VLOOKUP(C448,C449:C1049,1,0)=0,1,0),1)</f>
        <v>0</v>
      </c>
      <c r="AP448" s="79"/>
      <c r="AQ448" s="243" t="str">
        <f t="shared" si="77"/>
        <v/>
      </c>
      <c r="AR448" s="242" t="b">
        <f>IF(AQ448="x",EOMONTH(I448,0))</f>
        <v>0</v>
      </c>
      <c r="AS448" s="79">
        <f t="shared" si="72"/>
        <v>1</v>
      </c>
      <c r="AT448" s="79">
        <f t="shared" si="73"/>
        <v>1</v>
      </c>
      <c r="AU448" s="79" t="str">
        <f t="shared" si="74"/>
        <v>B</v>
      </c>
      <c r="AV448" s="79">
        <f t="shared" si="78"/>
        <v>1</v>
      </c>
      <c r="AW448" s="79" t="str">
        <f>J448&amp;AU448</f>
        <v>IntegralB</v>
      </c>
      <c r="AX448" s="79">
        <f>IF(COUNTIFS(J:J,"Integral",E:E,E448,H:H,"Ativo")=4,1/4,1/10)</f>
        <v>0.1</v>
      </c>
      <c r="AY448" s="79" t="s">
        <v>1332</v>
      </c>
      <c r="AZ448" s="79" t="b">
        <v>1</v>
      </c>
    </row>
    <row r="449" spans="1:52" ht="15.75" customHeight="1">
      <c r="A449" s="54">
        <v>472</v>
      </c>
      <c r="B449" s="403">
        <v>45206</v>
      </c>
      <c r="C449" s="32" t="s">
        <v>1463</v>
      </c>
      <c r="D449" s="32" t="s">
        <v>1469</v>
      </c>
      <c r="E449" s="32" t="s">
        <v>1465</v>
      </c>
      <c r="F449" s="32" t="s">
        <v>1470</v>
      </c>
      <c r="G449" s="60" t="s">
        <v>220</v>
      </c>
      <c r="H449" s="33" t="s">
        <v>90</v>
      </c>
      <c r="I449" s="34"/>
      <c r="J449" s="33" t="s">
        <v>6</v>
      </c>
      <c r="K449" s="35" t="s">
        <v>273</v>
      </c>
      <c r="L449" s="35" t="s">
        <v>273</v>
      </c>
      <c r="M449" s="386" t="s">
        <v>1259</v>
      </c>
      <c r="N449" s="33" t="s">
        <v>68</v>
      </c>
      <c r="O449" s="33" t="s">
        <v>10</v>
      </c>
      <c r="P449" s="33" t="s">
        <v>2</v>
      </c>
      <c r="Q449" s="47"/>
      <c r="R449" s="47"/>
      <c r="S449" s="45" t="s">
        <v>143</v>
      </c>
      <c r="T449" s="45"/>
      <c r="U449" s="37">
        <v>45111</v>
      </c>
      <c r="V449" s="38">
        <f t="shared" si="67"/>
        <v>45206</v>
      </c>
      <c r="W449" s="50">
        <f>V449-U449</f>
        <v>95</v>
      </c>
      <c r="X449" s="261">
        <f>Y449*0.91</f>
        <v>310856</v>
      </c>
      <c r="Y449" s="260">
        <v>341600</v>
      </c>
      <c r="Z449" s="263">
        <v>237200</v>
      </c>
      <c r="AA449" s="35"/>
      <c r="AB449" s="263"/>
      <c r="AC449" s="44">
        <f>ABS(X449/Y449-1)</f>
        <v>8.9999999999999969E-2</v>
      </c>
      <c r="AD449" s="62">
        <v>0.1522</v>
      </c>
      <c r="AE449" s="41">
        <f t="shared" si="79"/>
        <v>-6.2200000000000033E-2</v>
      </c>
      <c r="AF449" s="42">
        <v>6.2199999999999998E-2</v>
      </c>
      <c r="AG449" s="40">
        <f>IF((X449*AE449)&lt;0,0,(X449*AE449))</f>
        <v>0</v>
      </c>
      <c r="AH449" s="65">
        <f t="shared" si="75"/>
        <v>104400</v>
      </c>
      <c r="AI449" s="66">
        <f>AH449/X449</f>
        <v>0.33584682296626089</v>
      </c>
      <c r="AJ449" s="66">
        <f t="shared" si="76"/>
        <v>0.27364682296626092</v>
      </c>
      <c r="AK449" s="65">
        <f>AF449*X449</f>
        <v>19335.243200000001</v>
      </c>
      <c r="AL449" s="40">
        <f t="shared" si="70"/>
        <v>85064.756800000003</v>
      </c>
      <c r="AM449" s="242">
        <f t="shared" si="68"/>
        <v>45230</v>
      </c>
      <c r="AN449" s="242" t="str">
        <f>IF(AQ449="x","",IF(AQ449="x",AM449,IF(EOMONTH(I449,0)=31,"",EOMONTH(I449,0))))</f>
        <v/>
      </c>
      <c r="AO449" s="79">
        <f>IFERROR(IF(VLOOKUP(C449,C450:C1050,1,0)=0,1,0),1)</f>
        <v>0</v>
      </c>
      <c r="AP449" s="79"/>
      <c r="AQ449" s="243" t="str">
        <f t="shared" si="77"/>
        <v/>
      </c>
      <c r="AR449" s="242" t="b">
        <f>IF(AQ449="x",EOMONTH(I449,0))</f>
        <v>0</v>
      </c>
      <c r="AS449" s="79">
        <f t="shared" si="72"/>
        <v>1</v>
      </c>
      <c r="AT449" s="79">
        <f t="shared" si="73"/>
        <v>1</v>
      </c>
      <c r="AU449" s="79" t="str">
        <f t="shared" si="74"/>
        <v>B</v>
      </c>
      <c r="AV449" s="79">
        <f t="shared" si="78"/>
        <v>1</v>
      </c>
      <c r="AW449" s="79" t="str">
        <f>J449&amp;AU449</f>
        <v>IntegralB</v>
      </c>
      <c r="AX449" s="79">
        <f>IF(COUNTIFS(J:J,"Integral",E:E,E449,H:H,"Ativo")=4,1/4,1/10)</f>
        <v>0.1</v>
      </c>
      <c r="AY449" s="79" t="s">
        <v>1332</v>
      </c>
      <c r="AZ449" s="79" t="b">
        <v>1</v>
      </c>
    </row>
    <row r="450" spans="1:52" ht="15.75" customHeight="1">
      <c r="A450" s="54">
        <v>473</v>
      </c>
      <c r="B450" s="403">
        <v>45206</v>
      </c>
      <c r="C450" s="32" t="s">
        <v>1463</v>
      </c>
      <c r="D450" s="32" t="s">
        <v>1471</v>
      </c>
      <c r="E450" s="32" t="s">
        <v>1465</v>
      </c>
      <c r="F450" s="32" t="s">
        <v>1472</v>
      </c>
      <c r="G450" s="60" t="s">
        <v>220</v>
      </c>
      <c r="H450" s="33" t="s">
        <v>90</v>
      </c>
      <c r="I450" s="34"/>
      <c r="J450" s="33" t="s">
        <v>6</v>
      </c>
      <c r="K450" s="35" t="s">
        <v>273</v>
      </c>
      <c r="L450" s="35" t="s">
        <v>273</v>
      </c>
      <c r="M450" s="386" t="s">
        <v>1259</v>
      </c>
      <c r="N450" s="33" t="s">
        <v>68</v>
      </c>
      <c r="O450" s="33" t="s">
        <v>10</v>
      </c>
      <c r="P450" s="33" t="s">
        <v>2</v>
      </c>
      <c r="Q450" s="47"/>
      <c r="R450" s="47"/>
      <c r="S450" s="45" t="s">
        <v>143</v>
      </c>
      <c r="T450" s="45"/>
      <c r="U450" s="37">
        <v>45111</v>
      </c>
      <c r="V450" s="38">
        <f t="shared" ref="V450:V513" si="80">B450</f>
        <v>45206</v>
      </c>
      <c r="W450" s="50">
        <f>V450-U450</f>
        <v>95</v>
      </c>
      <c r="X450" s="261">
        <f>Y450*0.91</f>
        <v>310856</v>
      </c>
      <c r="Y450" s="260">
        <v>341600</v>
      </c>
      <c r="Z450" s="263">
        <v>237200</v>
      </c>
      <c r="AA450" s="35"/>
      <c r="AB450" s="263"/>
      <c r="AC450" s="44">
        <f>ABS(X450/Y450-1)</f>
        <v>8.9999999999999969E-2</v>
      </c>
      <c r="AD450" s="62">
        <v>0.1522</v>
      </c>
      <c r="AE450" s="41">
        <f t="shared" si="79"/>
        <v>-6.2200000000000033E-2</v>
      </c>
      <c r="AF450" s="42">
        <v>6.2199999999999998E-2</v>
      </c>
      <c r="AG450" s="40">
        <f>IF((X450*AE450)&lt;0,0,(X450*AE450))</f>
        <v>0</v>
      </c>
      <c r="AH450" s="65">
        <f t="shared" si="75"/>
        <v>104400</v>
      </c>
      <c r="AI450" s="66">
        <f>AH450/X450</f>
        <v>0.33584682296626089</v>
      </c>
      <c r="AJ450" s="66">
        <f t="shared" si="76"/>
        <v>0.27364682296626092</v>
      </c>
      <c r="AK450" s="65">
        <f>AF450*X450</f>
        <v>19335.243200000001</v>
      </c>
      <c r="AL450" s="40">
        <f t="shared" si="70"/>
        <v>85064.756800000003</v>
      </c>
      <c r="AM450" s="242">
        <f t="shared" ref="AM450:AM513" si="81">IFERROR(EOMONTH(B450,0),"Pendente")</f>
        <v>45230</v>
      </c>
      <c r="AN450" s="242" t="str">
        <f>IF(AQ450="x","",IF(AQ450="x",AM450,IF(EOMONTH(I450,0)=31,"",EOMONTH(I450,0))))</f>
        <v/>
      </c>
      <c r="AO450" s="79">
        <f>IFERROR(IF(VLOOKUP(C450,C451:C1051,1,0)=0,1,0),1)</f>
        <v>0</v>
      </c>
      <c r="AP450" s="79"/>
      <c r="AQ450" s="243" t="str">
        <f t="shared" si="77"/>
        <v/>
      </c>
      <c r="AR450" s="242" t="b">
        <f>IF(AQ450="x",EOMONTH(I450,0))</f>
        <v>0</v>
      </c>
      <c r="AS450" s="79">
        <f t="shared" si="72"/>
        <v>1</v>
      </c>
      <c r="AT450" s="79">
        <f t="shared" si="73"/>
        <v>1</v>
      </c>
      <c r="AU450" s="79" t="str">
        <f t="shared" si="74"/>
        <v>B</v>
      </c>
      <c r="AV450" s="79">
        <f t="shared" si="78"/>
        <v>1</v>
      </c>
      <c r="AW450" s="79" t="str">
        <f>J450&amp;AU450</f>
        <v>IntegralB</v>
      </c>
      <c r="AX450" s="79">
        <f>IF(COUNTIFS(J:J,"Integral",E:E,E450,H:H,"Ativo")=4,1/4,1/10)</f>
        <v>0.1</v>
      </c>
      <c r="AY450" s="79" t="s">
        <v>1332</v>
      </c>
      <c r="AZ450" s="79" t="b">
        <v>1</v>
      </c>
    </row>
    <row r="451" spans="1:52" ht="15.75" customHeight="1">
      <c r="A451" s="54">
        <v>474</v>
      </c>
      <c r="B451" s="403">
        <v>45206</v>
      </c>
      <c r="C451" s="32" t="s">
        <v>1463</v>
      </c>
      <c r="D451" s="32" t="s">
        <v>1473</v>
      </c>
      <c r="E451" s="32" t="s">
        <v>1465</v>
      </c>
      <c r="F451" s="32" t="s">
        <v>1474</v>
      </c>
      <c r="G451" s="60" t="s">
        <v>220</v>
      </c>
      <c r="H451" s="33" t="s">
        <v>90</v>
      </c>
      <c r="I451" s="34"/>
      <c r="J451" s="33" t="s">
        <v>6</v>
      </c>
      <c r="K451" s="35" t="s">
        <v>273</v>
      </c>
      <c r="L451" s="35" t="s">
        <v>273</v>
      </c>
      <c r="M451" s="386" t="s">
        <v>1259</v>
      </c>
      <c r="N451" s="33" t="s">
        <v>68</v>
      </c>
      <c r="O451" s="33" t="s">
        <v>10</v>
      </c>
      <c r="P451" s="33" t="s">
        <v>2</v>
      </c>
      <c r="Q451" s="47"/>
      <c r="R451" s="47"/>
      <c r="S451" s="45" t="s">
        <v>143</v>
      </c>
      <c r="T451" s="45"/>
      <c r="U451" s="37">
        <v>45111</v>
      </c>
      <c r="V451" s="38">
        <f t="shared" si="80"/>
        <v>45206</v>
      </c>
      <c r="W451" s="50">
        <f>V451-U451</f>
        <v>95</v>
      </c>
      <c r="X451" s="261">
        <f>Y451*0.91</f>
        <v>310856</v>
      </c>
      <c r="Y451" s="260">
        <v>341600</v>
      </c>
      <c r="Z451" s="263">
        <v>237200</v>
      </c>
      <c r="AA451" s="35"/>
      <c r="AB451" s="263"/>
      <c r="AC451" s="44">
        <f>ABS(X451/Y451-1)</f>
        <v>8.9999999999999969E-2</v>
      </c>
      <c r="AD451" s="62">
        <v>0.1522</v>
      </c>
      <c r="AE451" s="41">
        <f t="shared" si="79"/>
        <v>-6.2200000000000033E-2</v>
      </c>
      <c r="AF451" s="42">
        <v>6.2199999999999998E-2</v>
      </c>
      <c r="AG451" s="40">
        <f>IF((X451*AE451)&lt;0,0,(X451*AE451))</f>
        <v>0</v>
      </c>
      <c r="AH451" s="65">
        <f t="shared" si="75"/>
        <v>104400</v>
      </c>
      <c r="AI451" s="66">
        <f>AH451/X451</f>
        <v>0.33584682296626089</v>
      </c>
      <c r="AJ451" s="66">
        <f t="shared" si="76"/>
        <v>0.27364682296626092</v>
      </c>
      <c r="AK451" s="65">
        <f>AF451*X451</f>
        <v>19335.243200000001</v>
      </c>
      <c r="AL451" s="40">
        <f t="shared" si="70"/>
        <v>85064.756800000003</v>
      </c>
      <c r="AM451" s="242">
        <f t="shared" si="81"/>
        <v>45230</v>
      </c>
      <c r="AN451" s="242" t="str">
        <f>IF(AQ451="x","",IF(AQ451="x",AM451,IF(EOMONTH(I451,0)=31,"",EOMONTH(I451,0))))</f>
        <v/>
      </c>
      <c r="AO451" s="79">
        <f>IFERROR(IF(VLOOKUP(C451,C452:C1052,1,0)=0,1,0),1)</f>
        <v>0</v>
      </c>
      <c r="AP451" s="79"/>
      <c r="AQ451" s="243" t="str">
        <f t="shared" si="77"/>
        <v/>
      </c>
      <c r="AR451" s="242" t="b">
        <f>IF(AQ451="x",EOMONTH(I451,0))</f>
        <v>0</v>
      </c>
      <c r="AS451" s="79">
        <f t="shared" si="72"/>
        <v>1</v>
      </c>
      <c r="AT451" s="79">
        <f t="shared" si="73"/>
        <v>1</v>
      </c>
      <c r="AU451" s="79" t="str">
        <f t="shared" si="74"/>
        <v>B</v>
      </c>
      <c r="AV451" s="79">
        <f t="shared" si="78"/>
        <v>1</v>
      </c>
      <c r="AW451" s="79" t="str">
        <f>J451&amp;AU451</f>
        <v>IntegralB</v>
      </c>
      <c r="AX451" s="79">
        <f>IF(COUNTIFS(J:J,"Integral",E:E,E451,H:H,"Ativo")=4,1/4,1/10)</f>
        <v>0.1</v>
      </c>
      <c r="AY451" s="79" t="s">
        <v>1332</v>
      </c>
      <c r="AZ451" s="79" t="b">
        <v>1</v>
      </c>
    </row>
    <row r="452" spans="1:52" ht="15.75" customHeight="1">
      <c r="A452" s="54">
        <v>475</v>
      </c>
      <c r="B452" s="403">
        <v>45206</v>
      </c>
      <c r="C452" s="32" t="s">
        <v>1463</v>
      </c>
      <c r="D452" s="32" t="s">
        <v>1475</v>
      </c>
      <c r="E452" s="32" t="s">
        <v>1465</v>
      </c>
      <c r="F452" s="32" t="s">
        <v>1476</v>
      </c>
      <c r="G452" s="60" t="s">
        <v>220</v>
      </c>
      <c r="H452" s="33" t="s">
        <v>90</v>
      </c>
      <c r="I452" s="34"/>
      <c r="J452" s="33" t="s">
        <v>6</v>
      </c>
      <c r="K452" s="35" t="s">
        <v>273</v>
      </c>
      <c r="L452" s="35" t="s">
        <v>273</v>
      </c>
      <c r="M452" s="386" t="s">
        <v>1259</v>
      </c>
      <c r="N452" s="33" t="s">
        <v>68</v>
      </c>
      <c r="O452" s="33" t="s">
        <v>10</v>
      </c>
      <c r="P452" s="33" t="s">
        <v>2</v>
      </c>
      <c r="Q452" s="47"/>
      <c r="R452" s="47"/>
      <c r="S452" s="45" t="s">
        <v>143</v>
      </c>
      <c r="T452" s="45"/>
      <c r="U452" s="37">
        <v>45111</v>
      </c>
      <c r="V452" s="38">
        <f t="shared" si="80"/>
        <v>45206</v>
      </c>
      <c r="W452" s="50">
        <f>V452-U452</f>
        <v>95</v>
      </c>
      <c r="X452" s="261">
        <f>Y452*0.91</f>
        <v>310856</v>
      </c>
      <c r="Y452" s="260">
        <v>341600</v>
      </c>
      <c r="Z452" s="263">
        <v>237200</v>
      </c>
      <c r="AA452" s="35"/>
      <c r="AB452" s="263"/>
      <c r="AC452" s="44">
        <f>ABS(X452/Y452-1)</f>
        <v>8.9999999999999969E-2</v>
      </c>
      <c r="AD452" s="62">
        <v>0.1522</v>
      </c>
      <c r="AE452" s="41">
        <f t="shared" si="79"/>
        <v>-6.2200000000000033E-2</v>
      </c>
      <c r="AF452" s="42">
        <v>6.2199999999999998E-2</v>
      </c>
      <c r="AG452" s="40">
        <f>IF((X452*AE452)&lt;0,0,(X452*AE452))</f>
        <v>0</v>
      </c>
      <c r="AH452" s="65">
        <f t="shared" si="75"/>
        <v>104400</v>
      </c>
      <c r="AI452" s="66">
        <f>AH452/X452</f>
        <v>0.33584682296626089</v>
      </c>
      <c r="AJ452" s="66">
        <f t="shared" si="76"/>
        <v>0.27364682296626092</v>
      </c>
      <c r="AK452" s="65">
        <f>AF452*X452</f>
        <v>19335.243200000001</v>
      </c>
      <c r="AL452" s="40">
        <f t="shared" si="70"/>
        <v>85064.756800000003</v>
      </c>
      <c r="AM452" s="242">
        <f t="shared" si="81"/>
        <v>45230</v>
      </c>
      <c r="AN452" s="242" t="str">
        <f>IF(AQ452="x","",IF(AQ452="x",AM452,IF(EOMONTH(I452,0)=31,"",EOMONTH(I452,0))))</f>
        <v/>
      </c>
      <c r="AO452" s="79">
        <f>IFERROR(IF(VLOOKUP(C452,C453:C1053,1,0)=0,1,0),1)</f>
        <v>0</v>
      </c>
      <c r="AP452" s="79"/>
      <c r="AQ452" s="243" t="str">
        <f t="shared" si="77"/>
        <v/>
      </c>
      <c r="AR452" s="242" t="b">
        <f>IF(AQ452="x",EOMONTH(I452,0))</f>
        <v>0</v>
      </c>
      <c r="AS452" s="79">
        <f t="shared" si="72"/>
        <v>1</v>
      </c>
      <c r="AT452" s="79">
        <f t="shared" si="73"/>
        <v>1</v>
      </c>
      <c r="AU452" s="79" t="str">
        <f t="shared" si="74"/>
        <v>B</v>
      </c>
      <c r="AV452" s="79">
        <f t="shared" si="78"/>
        <v>1</v>
      </c>
      <c r="AW452" s="79" t="str">
        <f>J452&amp;AU452</f>
        <v>IntegralB</v>
      </c>
      <c r="AX452" s="79">
        <f>IF(COUNTIFS(J:J,"Integral",E:E,E452,H:H,"Ativo")=4,1/4,1/10)</f>
        <v>0.1</v>
      </c>
      <c r="AY452" s="79" t="s">
        <v>1332</v>
      </c>
      <c r="AZ452" s="79" t="b">
        <v>1</v>
      </c>
    </row>
    <row r="453" spans="1:52" ht="15.75" customHeight="1">
      <c r="A453" s="54">
        <v>477</v>
      </c>
      <c r="B453" s="403">
        <v>45206</v>
      </c>
      <c r="C453" s="32" t="s">
        <v>1463</v>
      </c>
      <c r="D453" s="32" t="s">
        <v>1477</v>
      </c>
      <c r="E453" s="32" t="s">
        <v>1465</v>
      </c>
      <c r="F453" s="32" t="s">
        <v>1478</v>
      </c>
      <c r="G453" s="60" t="s">
        <v>220</v>
      </c>
      <c r="H453" s="33" t="s">
        <v>90</v>
      </c>
      <c r="I453" s="34"/>
      <c r="J453" s="33" t="s">
        <v>6</v>
      </c>
      <c r="K453" s="35" t="s">
        <v>273</v>
      </c>
      <c r="L453" s="35" t="s">
        <v>273</v>
      </c>
      <c r="M453" s="386" t="s">
        <v>1259</v>
      </c>
      <c r="N453" s="33" t="s">
        <v>68</v>
      </c>
      <c r="O453" s="33" t="s">
        <v>10</v>
      </c>
      <c r="P453" s="33" t="s">
        <v>2</v>
      </c>
      <c r="Q453" s="47"/>
      <c r="R453" s="47"/>
      <c r="S453" s="45" t="s">
        <v>143</v>
      </c>
      <c r="T453" s="45"/>
      <c r="U453" s="37">
        <v>45111</v>
      </c>
      <c r="V453" s="38">
        <f t="shared" si="80"/>
        <v>45206</v>
      </c>
      <c r="W453" s="50">
        <f>V453-U453</f>
        <v>95</v>
      </c>
      <c r="X453" s="261">
        <f>Y453*0.91</f>
        <v>310856</v>
      </c>
      <c r="Y453" s="260">
        <v>341600</v>
      </c>
      <c r="Z453" s="263">
        <v>237200</v>
      </c>
      <c r="AA453" s="35"/>
      <c r="AB453" s="263"/>
      <c r="AC453" s="44">
        <f>ABS(X453/Y453-1)</f>
        <v>8.9999999999999969E-2</v>
      </c>
      <c r="AD453" s="62">
        <v>0.1522</v>
      </c>
      <c r="AE453" s="41">
        <f t="shared" si="79"/>
        <v>-6.2200000000000033E-2</v>
      </c>
      <c r="AF453" s="42">
        <v>6.2199999999999998E-2</v>
      </c>
      <c r="AG453" s="40">
        <f>IF((X453*AE453)&lt;0,0,(X453*AE453))</f>
        <v>0</v>
      </c>
      <c r="AH453" s="65">
        <f t="shared" si="75"/>
        <v>104400</v>
      </c>
      <c r="AI453" s="66">
        <f>AH453/X453</f>
        <v>0.33584682296626089</v>
      </c>
      <c r="AJ453" s="66">
        <f t="shared" si="76"/>
        <v>0.27364682296626092</v>
      </c>
      <c r="AK453" s="65">
        <f>AF453*X453</f>
        <v>19335.243200000001</v>
      </c>
      <c r="AL453" s="40">
        <f t="shared" si="70"/>
        <v>85064.756800000003</v>
      </c>
      <c r="AM453" s="242">
        <f t="shared" si="81"/>
        <v>45230</v>
      </c>
      <c r="AN453" s="242" t="str">
        <f>IF(AQ453="x","",IF(AQ453="x",AM453,IF(EOMONTH(I453,0)=31,"",EOMONTH(I453,0))))</f>
        <v/>
      </c>
      <c r="AO453" s="79">
        <f>IFERROR(IF(VLOOKUP(C453,C454:C1054,1,0)=0,1,0),1)</f>
        <v>0</v>
      </c>
      <c r="AP453" s="79"/>
      <c r="AQ453" s="243" t="str">
        <f t="shared" si="77"/>
        <v/>
      </c>
      <c r="AR453" s="242" t="b">
        <f>IF(AQ453="x",EOMONTH(I453,0))</f>
        <v>0</v>
      </c>
      <c r="AS453" s="79">
        <f t="shared" si="72"/>
        <v>1</v>
      </c>
      <c r="AT453" s="79">
        <f t="shared" si="73"/>
        <v>1</v>
      </c>
      <c r="AU453" s="79" t="str">
        <f t="shared" si="74"/>
        <v>B</v>
      </c>
      <c r="AV453" s="79">
        <f t="shared" si="78"/>
        <v>1</v>
      </c>
      <c r="AW453" s="79" t="str">
        <f>J453&amp;AU453</f>
        <v>IntegralB</v>
      </c>
      <c r="AX453" s="79">
        <f>IF(COUNTIFS(J:J,"Integral",E:E,E453,H:H,"Ativo")=4,1/4,1/10)</f>
        <v>0.1</v>
      </c>
      <c r="AY453" s="79" t="s">
        <v>1332</v>
      </c>
      <c r="AZ453" s="79" t="b">
        <v>1</v>
      </c>
    </row>
    <row r="454" spans="1:52" ht="15.75" customHeight="1">
      <c r="A454" s="54">
        <v>478</v>
      </c>
      <c r="B454" s="403">
        <v>45206</v>
      </c>
      <c r="C454" s="32" t="s">
        <v>1463</v>
      </c>
      <c r="D454" s="32" t="s">
        <v>1479</v>
      </c>
      <c r="E454" s="32" t="s">
        <v>1465</v>
      </c>
      <c r="F454" s="32" t="s">
        <v>1480</v>
      </c>
      <c r="G454" s="60" t="s">
        <v>220</v>
      </c>
      <c r="H454" s="33" t="s">
        <v>90</v>
      </c>
      <c r="I454" s="34"/>
      <c r="J454" s="33" t="s">
        <v>6</v>
      </c>
      <c r="K454" s="35" t="s">
        <v>273</v>
      </c>
      <c r="L454" s="35" t="s">
        <v>273</v>
      </c>
      <c r="M454" s="386" t="s">
        <v>1259</v>
      </c>
      <c r="N454" s="33" t="s">
        <v>68</v>
      </c>
      <c r="O454" s="33" t="s">
        <v>10</v>
      </c>
      <c r="P454" s="33" t="s">
        <v>2</v>
      </c>
      <c r="Q454" s="47"/>
      <c r="R454" s="47"/>
      <c r="S454" s="45" t="s">
        <v>143</v>
      </c>
      <c r="T454" s="45"/>
      <c r="U454" s="37">
        <v>45111</v>
      </c>
      <c r="V454" s="38">
        <f t="shared" si="80"/>
        <v>45206</v>
      </c>
      <c r="W454" s="50">
        <f>V454-U454</f>
        <v>95</v>
      </c>
      <c r="X454" s="261">
        <f>Y454*0.91</f>
        <v>310856</v>
      </c>
      <c r="Y454" s="260">
        <v>341600</v>
      </c>
      <c r="Z454" s="263">
        <v>237200</v>
      </c>
      <c r="AA454" s="35"/>
      <c r="AB454" s="263"/>
      <c r="AC454" s="44">
        <f>ABS(X454/Y454-1)</f>
        <v>8.9999999999999969E-2</v>
      </c>
      <c r="AD454" s="62">
        <v>0.1522</v>
      </c>
      <c r="AE454" s="41">
        <f t="shared" si="79"/>
        <v>-6.2200000000000033E-2</v>
      </c>
      <c r="AF454" s="42">
        <v>6.2199999999999998E-2</v>
      </c>
      <c r="AG454" s="40">
        <f>IF((X454*AE454)&lt;0,0,(X454*AE454))</f>
        <v>0</v>
      </c>
      <c r="AH454" s="65">
        <f t="shared" si="75"/>
        <v>104400</v>
      </c>
      <c r="AI454" s="66">
        <f>AH454/X454</f>
        <v>0.33584682296626089</v>
      </c>
      <c r="AJ454" s="66">
        <f t="shared" si="76"/>
        <v>0.27364682296626092</v>
      </c>
      <c r="AK454" s="65">
        <f>AF454*X454</f>
        <v>19335.243200000001</v>
      </c>
      <c r="AL454" s="40">
        <f t="shared" si="70"/>
        <v>85064.756800000003</v>
      </c>
      <c r="AM454" s="242">
        <f t="shared" si="81"/>
        <v>45230</v>
      </c>
      <c r="AN454" s="242" t="str">
        <f>IF(AQ454="x","",IF(AQ454="x",AM454,IF(EOMONTH(I454,0)=31,"",EOMONTH(I454,0))))</f>
        <v/>
      </c>
      <c r="AO454" s="79">
        <f>IFERROR(IF(VLOOKUP(C454,C455:C1055,1,0)=0,1,0),1)</f>
        <v>0</v>
      </c>
      <c r="AP454" s="79"/>
      <c r="AQ454" s="243" t="str">
        <f t="shared" si="77"/>
        <v/>
      </c>
      <c r="AR454" s="242" t="b">
        <f>IF(AQ454="x",EOMONTH(I454,0))</f>
        <v>0</v>
      </c>
      <c r="AS454" s="79">
        <f t="shared" si="72"/>
        <v>1</v>
      </c>
      <c r="AT454" s="79">
        <f t="shared" si="73"/>
        <v>1</v>
      </c>
      <c r="AU454" s="79" t="str">
        <f t="shared" si="74"/>
        <v>B</v>
      </c>
      <c r="AV454" s="79">
        <f t="shared" si="78"/>
        <v>1</v>
      </c>
      <c r="AW454" s="79" t="str">
        <f>J454&amp;AU454</f>
        <v>IntegralB</v>
      </c>
      <c r="AX454" s="79">
        <f>IF(COUNTIFS(J:J,"Integral",E:E,E454,H:H,"Ativo")=4,1/4,1/10)</f>
        <v>0.1</v>
      </c>
      <c r="AY454" s="79" t="s">
        <v>1332</v>
      </c>
      <c r="AZ454" s="79" t="b">
        <v>1</v>
      </c>
    </row>
    <row r="455" spans="1:52" ht="15.75" customHeight="1">
      <c r="A455" s="54">
        <v>479</v>
      </c>
      <c r="B455" s="403">
        <v>45206</v>
      </c>
      <c r="C455" s="32" t="s">
        <v>1463</v>
      </c>
      <c r="D455" s="32" t="s">
        <v>1481</v>
      </c>
      <c r="E455" s="32" t="s">
        <v>1465</v>
      </c>
      <c r="F455" s="32" t="s">
        <v>1482</v>
      </c>
      <c r="G455" s="60" t="s">
        <v>220</v>
      </c>
      <c r="H455" s="33" t="s">
        <v>90</v>
      </c>
      <c r="I455" s="34"/>
      <c r="J455" s="33" t="s">
        <v>6</v>
      </c>
      <c r="K455" s="35" t="s">
        <v>273</v>
      </c>
      <c r="L455" s="35" t="s">
        <v>273</v>
      </c>
      <c r="M455" s="386" t="s">
        <v>1259</v>
      </c>
      <c r="N455" s="33" t="s">
        <v>68</v>
      </c>
      <c r="O455" s="33" t="s">
        <v>10</v>
      </c>
      <c r="P455" s="33" t="s">
        <v>2</v>
      </c>
      <c r="Q455" s="47"/>
      <c r="R455" s="47"/>
      <c r="S455" s="45" t="s">
        <v>143</v>
      </c>
      <c r="T455" s="45"/>
      <c r="U455" s="37">
        <v>45111</v>
      </c>
      <c r="V455" s="38">
        <f t="shared" si="80"/>
        <v>45206</v>
      </c>
      <c r="W455" s="50">
        <f>V455-U455</f>
        <v>95</v>
      </c>
      <c r="X455" s="261">
        <f>Y455*0.91</f>
        <v>310856</v>
      </c>
      <c r="Y455" s="260">
        <v>341600</v>
      </c>
      <c r="Z455" s="263">
        <v>237200</v>
      </c>
      <c r="AA455" s="35"/>
      <c r="AB455" s="263"/>
      <c r="AC455" s="44">
        <f>ABS(X455/Y455-1)</f>
        <v>8.9999999999999969E-2</v>
      </c>
      <c r="AD455" s="62">
        <v>0.1522</v>
      </c>
      <c r="AE455" s="41">
        <f t="shared" si="79"/>
        <v>-6.2200000000000033E-2</v>
      </c>
      <c r="AF455" s="42">
        <v>6.2199999999999998E-2</v>
      </c>
      <c r="AG455" s="40">
        <f>IF((X455*AE455)&lt;0,0,(X455*AE455))</f>
        <v>0</v>
      </c>
      <c r="AH455" s="65">
        <f t="shared" si="75"/>
        <v>104400</v>
      </c>
      <c r="AI455" s="66">
        <f>AH455/X455</f>
        <v>0.33584682296626089</v>
      </c>
      <c r="AJ455" s="66">
        <f t="shared" si="76"/>
        <v>0.27364682296626092</v>
      </c>
      <c r="AK455" s="65">
        <f>AF455*X455</f>
        <v>19335.243200000001</v>
      </c>
      <c r="AL455" s="40">
        <f t="shared" si="70"/>
        <v>85064.756800000003</v>
      </c>
      <c r="AM455" s="242">
        <f t="shared" si="81"/>
        <v>45230</v>
      </c>
      <c r="AN455" s="242" t="str">
        <f>IF(AQ455="x","",IF(AQ455="x",AM455,IF(EOMONTH(I455,0)=31,"",EOMONTH(I455,0))))</f>
        <v/>
      </c>
      <c r="AO455" s="79">
        <f>IFERROR(IF(VLOOKUP(C455,C456:C1056,1,0)=0,1,0),1)</f>
        <v>0</v>
      </c>
      <c r="AP455" s="79"/>
      <c r="AQ455" s="243" t="str">
        <f t="shared" si="77"/>
        <v/>
      </c>
      <c r="AR455" s="242" t="b">
        <f>IF(AQ455="x",EOMONTH(I455,0))</f>
        <v>0</v>
      </c>
      <c r="AS455" s="79">
        <f t="shared" si="72"/>
        <v>1</v>
      </c>
      <c r="AT455" s="79">
        <f t="shared" si="73"/>
        <v>1</v>
      </c>
      <c r="AU455" s="79" t="str">
        <f t="shared" si="74"/>
        <v>B</v>
      </c>
      <c r="AV455" s="79">
        <f t="shared" si="78"/>
        <v>1</v>
      </c>
      <c r="AW455" s="79" t="str">
        <f>J455&amp;AU455</f>
        <v>IntegralB</v>
      </c>
      <c r="AX455" s="79">
        <f>IF(COUNTIFS(J:J,"Integral",E:E,E455,H:H,"Ativo")=4,1/4,1/10)</f>
        <v>0.1</v>
      </c>
      <c r="AY455" s="79" t="s">
        <v>1332</v>
      </c>
      <c r="AZ455" s="79" t="b">
        <v>1</v>
      </c>
    </row>
    <row r="456" spans="1:52" ht="15.75" customHeight="1">
      <c r="A456" s="54">
        <v>480</v>
      </c>
      <c r="B456" s="403">
        <v>45206</v>
      </c>
      <c r="C456" s="32" t="s">
        <v>1463</v>
      </c>
      <c r="D456" s="32" t="s">
        <v>1483</v>
      </c>
      <c r="E456" s="32" t="s">
        <v>1465</v>
      </c>
      <c r="F456" s="32" t="s">
        <v>1484</v>
      </c>
      <c r="G456" s="60" t="s">
        <v>220</v>
      </c>
      <c r="H456" s="33" t="s">
        <v>90</v>
      </c>
      <c r="I456" s="34"/>
      <c r="J456" s="33" t="s">
        <v>6</v>
      </c>
      <c r="K456" s="35" t="s">
        <v>273</v>
      </c>
      <c r="L456" s="35" t="s">
        <v>273</v>
      </c>
      <c r="M456" s="386" t="s">
        <v>1259</v>
      </c>
      <c r="N456" s="33" t="s">
        <v>68</v>
      </c>
      <c r="O456" s="33" t="s">
        <v>10</v>
      </c>
      <c r="P456" s="33" t="s">
        <v>2</v>
      </c>
      <c r="Q456" s="47"/>
      <c r="R456" s="47"/>
      <c r="S456" s="45" t="s">
        <v>143</v>
      </c>
      <c r="T456" s="45"/>
      <c r="U456" s="37">
        <v>45111</v>
      </c>
      <c r="V456" s="38">
        <f t="shared" si="80"/>
        <v>45206</v>
      </c>
      <c r="W456" s="50">
        <f>V456-U456</f>
        <v>95</v>
      </c>
      <c r="X456" s="261">
        <f>Y456*0.91</f>
        <v>310856</v>
      </c>
      <c r="Y456" s="260">
        <v>341600</v>
      </c>
      <c r="Z456" s="263">
        <v>237200</v>
      </c>
      <c r="AA456" s="35"/>
      <c r="AB456" s="263"/>
      <c r="AC456" s="44">
        <f>ABS(X456/Y456-1)</f>
        <v>8.9999999999999969E-2</v>
      </c>
      <c r="AD456" s="62">
        <v>0.1522</v>
      </c>
      <c r="AE456" s="41">
        <f t="shared" si="79"/>
        <v>-6.2200000000000033E-2</v>
      </c>
      <c r="AF456" s="42">
        <v>6.2199999999999998E-2</v>
      </c>
      <c r="AG456" s="40">
        <f>IF((X456*AE456)&lt;0,0,(X456*AE456))</f>
        <v>0</v>
      </c>
      <c r="AH456" s="65">
        <f t="shared" si="75"/>
        <v>104400</v>
      </c>
      <c r="AI456" s="66">
        <f>AH456/X456</f>
        <v>0.33584682296626089</v>
      </c>
      <c r="AJ456" s="66">
        <f t="shared" si="76"/>
        <v>0.27364682296626092</v>
      </c>
      <c r="AK456" s="65">
        <f>AF456*X456</f>
        <v>19335.243200000001</v>
      </c>
      <c r="AL456" s="40">
        <f t="shared" si="70"/>
        <v>85064.756800000003</v>
      </c>
      <c r="AM456" s="242">
        <f t="shared" si="81"/>
        <v>45230</v>
      </c>
      <c r="AN456" s="242" t="str">
        <f>IF(AQ456="x","",IF(AQ456="x",AM456,IF(EOMONTH(I456,0)=31,"",EOMONTH(I456,0))))</f>
        <v/>
      </c>
      <c r="AO456" s="79">
        <f>IFERROR(IF(VLOOKUP(C456,C457:C1057,1,0)=0,1,0),1)</f>
        <v>1</v>
      </c>
      <c r="AP456" s="79"/>
      <c r="AQ456" s="243" t="str">
        <f t="shared" si="77"/>
        <v/>
      </c>
      <c r="AR456" s="242" t="b">
        <f>IF(AQ456="x",EOMONTH(I456,0))</f>
        <v>0</v>
      </c>
      <c r="AS456" s="79">
        <f t="shared" si="72"/>
        <v>1</v>
      </c>
      <c r="AT456" s="79">
        <f t="shared" si="73"/>
        <v>1</v>
      </c>
      <c r="AU456" s="79" t="str">
        <f t="shared" si="74"/>
        <v>B</v>
      </c>
      <c r="AV456" s="79">
        <f t="shared" si="78"/>
        <v>1</v>
      </c>
      <c r="AW456" s="79" t="str">
        <f>J456&amp;AU456</f>
        <v>IntegralB</v>
      </c>
      <c r="AX456" s="79">
        <f>IF(COUNTIFS(J:J,"Integral",E:E,E456,H:H,"Ativo")=4,1/4,1/10)</f>
        <v>0.1</v>
      </c>
      <c r="AY456" s="79" t="s">
        <v>1332</v>
      </c>
      <c r="AZ456" s="79" t="b">
        <v>1</v>
      </c>
    </row>
    <row r="457" spans="1:52" ht="15.75" customHeight="1">
      <c r="A457" s="54">
        <v>481</v>
      </c>
      <c r="B457" s="403">
        <v>45210</v>
      </c>
      <c r="C457" s="32" t="s">
        <v>1485</v>
      </c>
      <c r="D457" s="32" t="s">
        <v>836</v>
      </c>
      <c r="E457" s="32" t="s">
        <v>575</v>
      </c>
      <c r="F457" s="32" t="s">
        <v>1486</v>
      </c>
      <c r="G457" s="60" t="s">
        <v>220</v>
      </c>
      <c r="H457" s="33" t="s">
        <v>337</v>
      </c>
      <c r="I457" s="34">
        <v>45378</v>
      </c>
      <c r="J457" s="33">
        <v>6</v>
      </c>
      <c r="K457" s="35" t="s">
        <v>1154</v>
      </c>
      <c r="L457" s="35" t="s">
        <v>1149</v>
      </c>
      <c r="M457" s="409" t="s">
        <v>1487</v>
      </c>
      <c r="N457" s="33" t="s">
        <v>68</v>
      </c>
      <c r="O457" s="33" t="s">
        <v>10</v>
      </c>
      <c r="P457" s="33" t="s">
        <v>1</v>
      </c>
      <c r="Q457" s="47"/>
      <c r="R457" s="47"/>
      <c r="S457" s="45" t="s">
        <v>147</v>
      </c>
      <c r="T457" s="45"/>
      <c r="U457" s="37">
        <v>44980</v>
      </c>
      <c r="V457" s="38">
        <f t="shared" si="80"/>
        <v>45210</v>
      </c>
      <c r="W457" s="50">
        <f>V457-U457</f>
        <v>230</v>
      </c>
      <c r="X457" s="261">
        <f>Y457*0.91</f>
        <v>376740</v>
      </c>
      <c r="Y457" s="260">
        <v>414000</v>
      </c>
      <c r="Z457" s="263">
        <v>340000</v>
      </c>
      <c r="AA457" s="35" t="s">
        <v>1027</v>
      </c>
      <c r="AB457" s="263"/>
      <c r="AC457" s="44">
        <f>ABS(X457/Y457-1)</f>
        <v>8.9999999999999969E-2</v>
      </c>
      <c r="AD457" s="62">
        <v>8.9999999999999998E-4</v>
      </c>
      <c r="AE457" s="41">
        <f t="shared" si="79"/>
        <v>8.9099999999999971E-2</v>
      </c>
      <c r="AF457" s="42"/>
      <c r="AG457" s="40">
        <f>IF((X457*AE457)&lt;0,0,(X457*AE457))</f>
        <v>33567.533999999992</v>
      </c>
      <c r="AH457" s="65">
        <f t="shared" si="75"/>
        <v>74000</v>
      </c>
      <c r="AI457" s="66">
        <f>AH457/X457</f>
        <v>0.19642193555237034</v>
      </c>
      <c r="AJ457" s="66">
        <f t="shared" si="76"/>
        <v>0.19642193555237034</v>
      </c>
      <c r="AK457" s="65">
        <f>AF457*X457</f>
        <v>0</v>
      </c>
      <c r="AL457" s="40">
        <f t="shared" si="70"/>
        <v>74000</v>
      </c>
      <c r="AM457" s="242">
        <f t="shared" si="81"/>
        <v>45230</v>
      </c>
      <c r="AN457" s="242">
        <f>IF(AQ457="x","",IF(AQ457="x",AM457,IF(EOMONTH(I457,0)=31,"",EOMONTH(I457,0))))</f>
        <v>45382</v>
      </c>
      <c r="AO457" s="79">
        <f>IFERROR(IF(VLOOKUP(C457,C458:C1058,1,0)=0,1,0),1)</f>
        <v>0</v>
      </c>
      <c r="AP457" s="79"/>
      <c r="AQ457" s="243" t="str">
        <f t="shared" si="77"/>
        <v/>
      </c>
      <c r="AR457" s="242" t="b">
        <f>IF(AQ457="x",EOMONTH(I457,0))</f>
        <v>0</v>
      </c>
      <c r="AS457" s="79">
        <f t="shared" si="72"/>
        <v>1</v>
      </c>
      <c r="AT457" s="79">
        <f t="shared" si="73"/>
        <v>1</v>
      </c>
      <c r="AU457" s="79" t="str">
        <f t="shared" si="74"/>
        <v>B</v>
      </c>
      <c r="AV457" s="79">
        <f t="shared" si="78"/>
        <v>1</v>
      </c>
      <c r="AW457" s="79" t="str">
        <f>J457&amp;AU457</f>
        <v>6B</v>
      </c>
      <c r="AX457" s="79">
        <f>IF(COUNTIFS(J:J,"Integral",E:E,E457,H:H,"Ativo")=4,1/4,1/10)</f>
        <v>0.1</v>
      </c>
      <c r="AY457" s="79" t="s">
        <v>1320</v>
      </c>
      <c r="AZ457" s="79" t="b">
        <v>1</v>
      </c>
    </row>
    <row r="458" spans="1:52" ht="15.75" customHeight="1">
      <c r="A458" s="54">
        <v>482</v>
      </c>
      <c r="B458" s="403">
        <v>45211</v>
      </c>
      <c r="C458" s="32" t="s">
        <v>1488</v>
      </c>
      <c r="D458" s="32" t="s">
        <v>1489</v>
      </c>
      <c r="E458" s="32" t="s">
        <v>1454</v>
      </c>
      <c r="F458" s="32" t="s">
        <v>1490</v>
      </c>
      <c r="G458" s="60" t="s">
        <v>220</v>
      </c>
      <c r="H458" s="33" t="s">
        <v>90</v>
      </c>
      <c r="I458" s="34"/>
      <c r="J458" s="33">
        <v>6</v>
      </c>
      <c r="K458" s="35" t="s">
        <v>1149</v>
      </c>
      <c r="L458" s="35" t="s">
        <v>1149</v>
      </c>
      <c r="M458" s="386" t="s">
        <v>1259</v>
      </c>
      <c r="N458" s="33" t="s">
        <v>68</v>
      </c>
      <c r="O458" s="33" t="s">
        <v>12</v>
      </c>
      <c r="P458" s="33" t="s">
        <v>2</v>
      </c>
      <c r="Q458" s="47"/>
      <c r="R458" s="47"/>
      <c r="S458" s="45" t="s">
        <v>160</v>
      </c>
      <c r="T458" s="45"/>
      <c r="U458" s="37">
        <v>45208</v>
      </c>
      <c r="V458" s="38">
        <f t="shared" si="80"/>
        <v>45211</v>
      </c>
      <c r="W458" s="50">
        <f>V458-U458</f>
        <v>3</v>
      </c>
      <c r="X458" s="261">
        <f>Y458*0.91</f>
        <v>342160</v>
      </c>
      <c r="Y458" s="260">
        <v>376000</v>
      </c>
      <c r="Z458" s="263">
        <v>365400</v>
      </c>
      <c r="AA458" s="35"/>
      <c r="AB458" s="263"/>
      <c r="AC458" s="44">
        <f>ABS(X458/Y458-1)</f>
        <v>8.9999999999999969E-2</v>
      </c>
      <c r="AD458" s="62">
        <v>-9.4000000000000004E-3</v>
      </c>
      <c r="AE458" s="41">
        <f t="shared" si="79"/>
        <v>9.9399999999999974E-2</v>
      </c>
      <c r="AF458" s="42"/>
      <c r="AG458" s="40">
        <f>IF((X458*AE458)&lt;0,0,(X458*AE458))</f>
        <v>34010.703999999991</v>
      </c>
      <c r="AH458" s="65">
        <f t="shared" si="75"/>
        <v>10600</v>
      </c>
      <c r="AI458" s="66">
        <f>AH458/X458</f>
        <v>3.0979658639233108E-2</v>
      </c>
      <c r="AJ458" s="66">
        <f t="shared" si="76"/>
        <v>3.0979658639233108E-2</v>
      </c>
      <c r="AK458" s="65">
        <f>AF458*X458</f>
        <v>0</v>
      </c>
      <c r="AL458" s="40">
        <f t="shared" si="70"/>
        <v>10600</v>
      </c>
      <c r="AM458" s="242">
        <f t="shared" si="81"/>
        <v>45230</v>
      </c>
      <c r="AN458" s="242" t="str">
        <f>IF(AQ458="x","",IF(AQ458="x",AM458,IF(EOMONTH(I458,0)=31,"",EOMONTH(I458,0))))</f>
        <v/>
      </c>
      <c r="AO458" s="79">
        <f>IFERROR(IF(VLOOKUP(C458,C459:C1059,1,0)=0,1,0),1)</f>
        <v>1</v>
      </c>
      <c r="AP458" s="79"/>
      <c r="AQ458" s="243" t="str">
        <f t="shared" si="77"/>
        <v/>
      </c>
      <c r="AR458" s="242" t="b">
        <f>IF(AQ458="x",EOMONTH(I458,0))</f>
        <v>0</v>
      </c>
      <c r="AS458" s="79">
        <f t="shared" si="72"/>
        <v>1</v>
      </c>
      <c r="AT458" s="79">
        <f t="shared" si="73"/>
        <v>1</v>
      </c>
      <c r="AU458" s="79" t="str">
        <f t="shared" si="74"/>
        <v>B</v>
      </c>
      <c r="AV458" s="79">
        <f t="shared" si="78"/>
        <v>1</v>
      </c>
      <c r="AW458" s="79" t="str">
        <f>J458&amp;AU458</f>
        <v>6B</v>
      </c>
      <c r="AX458" s="79">
        <f>IF(COUNTIFS(J:J,"Integral",E:E,E458,H:H,"Ativo")=4,1/4,1/10)</f>
        <v>0.1</v>
      </c>
      <c r="AY458" s="79" t="s">
        <v>1320</v>
      </c>
      <c r="AZ458" s="79" t="b">
        <v>1</v>
      </c>
    </row>
    <row r="459" spans="1:52" ht="15.75" customHeight="1">
      <c r="A459" s="54">
        <v>483</v>
      </c>
      <c r="B459" s="403">
        <v>45212</v>
      </c>
      <c r="C459" s="32" t="s">
        <v>1491</v>
      </c>
      <c r="D459" s="32" t="s">
        <v>1492</v>
      </c>
      <c r="E459" s="32" t="s">
        <v>1454</v>
      </c>
      <c r="F459" s="32" t="s">
        <v>1493</v>
      </c>
      <c r="G459" s="60" t="s">
        <v>220</v>
      </c>
      <c r="H459" s="33" t="s">
        <v>90</v>
      </c>
      <c r="I459" s="34"/>
      <c r="J459" s="33">
        <v>6</v>
      </c>
      <c r="K459" s="35" t="s">
        <v>1165</v>
      </c>
      <c r="L459" s="35" t="s">
        <v>1165</v>
      </c>
      <c r="M459" s="386" t="s">
        <v>1259</v>
      </c>
      <c r="N459" s="33" t="s">
        <v>68</v>
      </c>
      <c r="O459" s="33" t="s">
        <v>12</v>
      </c>
      <c r="P459" s="33" t="s">
        <v>2</v>
      </c>
      <c r="Q459" s="47"/>
      <c r="R459" s="47"/>
      <c r="S459" s="45" t="s">
        <v>147</v>
      </c>
      <c r="T459" s="45"/>
      <c r="U459" s="37">
        <v>45149</v>
      </c>
      <c r="V459" s="38">
        <f t="shared" si="80"/>
        <v>45212</v>
      </c>
      <c r="W459" s="50">
        <f>V459-U459</f>
        <v>63</v>
      </c>
      <c r="X459" s="261">
        <f>Y459*0.91</f>
        <v>342160</v>
      </c>
      <c r="Y459" s="260">
        <v>376000</v>
      </c>
      <c r="Z459" s="263">
        <v>355000</v>
      </c>
      <c r="AA459" s="35"/>
      <c r="AB459" s="263"/>
      <c r="AC459" s="44">
        <f>ABS(X459/Y459-1)</f>
        <v>8.9999999999999969E-2</v>
      </c>
      <c r="AD459" s="62">
        <v>-1.84E-2</v>
      </c>
      <c r="AE459" s="41">
        <f t="shared" si="79"/>
        <v>0.10839999999999997</v>
      </c>
      <c r="AF459" s="42"/>
      <c r="AG459" s="40">
        <f>IF((X459*AE459)&lt;0,0,(X459*AE459))</f>
        <v>37090.143999999986</v>
      </c>
      <c r="AH459" s="65">
        <f t="shared" si="75"/>
        <v>21000</v>
      </c>
      <c r="AI459" s="66">
        <f>AH459/X459</f>
        <v>6.137479541734861E-2</v>
      </c>
      <c r="AJ459" s="66">
        <f t="shared" si="76"/>
        <v>6.137479541734861E-2</v>
      </c>
      <c r="AK459" s="65">
        <f>AF459*X459</f>
        <v>0</v>
      </c>
      <c r="AL459" s="40">
        <f t="shared" si="70"/>
        <v>21000</v>
      </c>
      <c r="AM459" s="242">
        <f t="shared" si="81"/>
        <v>45230</v>
      </c>
      <c r="AN459" s="242" t="str">
        <f>IF(AQ459="x","",IF(AQ459="x",AM459,IF(EOMONTH(I459,0)=31,"",EOMONTH(I459,0))))</f>
        <v/>
      </c>
      <c r="AO459" s="79">
        <f>IFERROR(IF(VLOOKUP(C459,C460:C1060,1,0)=0,1,0),1)</f>
        <v>1</v>
      </c>
      <c r="AP459" s="79"/>
      <c r="AQ459" s="243" t="str">
        <f t="shared" si="77"/>
        <v/>
      </c>
      <c r="AR459" s="242" t="b">
        <f>IF(AQ459="x",EOMONTH(I459,0))</f>
        <v>0</v>
      </c>
      <c r="AS459" s="79">
        <f t="shared" si="72"/>
        <v>1</v>
      </c>
      <c r="AT459" s="79">
        <f t="shared" si="73"/>
        <v>1</v>
      </c>
      <c r="AU459" s="79" t="str">
        <f t="shared" si="74"/>
        <v>B</v>
      </c>
      <c r="AV459" s="79">
        <f t="shared" si="78"/>
        <v>1</v>
      </c>
      <c r="AW459" s="79" t="str">
        <f>J459&amp;AU459</f>
        <v>6B</v>
      </c>
      <c r="AX459" s="79">
        <f>IF(COUNTIFS(J:J,"Integral",E:E,E459,H:H,"Ativo")=4,1/4,1/10)</f>
        <v>0.1</v>
      </c>
      <c r="AY459" s="79" t="s">
        <v>1320</v>
      </c>
      <c r="AZ459" s="79" t="b">
        <v>1</v>
      </c>
    </row>
    <row r="460" spans="1:52" ht="15.75" customHeight="1">
      <c r="A460" s="54">
        <v>484</v>
      </c>
      <c r="B460" s="403">
        <v>45212</v>
      </c>
      <c r="C460" s="32" t="s">
        <v>1494</v>
      </c>
      <c r="D460" s="32" t="s">
        <v>1495</v>
      </c>
      <c r="E460" s="32" t="s">
        <v>1454</v>
      </c>
      <c r="F460" s="32" t="s">
        <v>1496</v>
      </c>
      <c r="G460" s="60" t="s">
        <v>220</v>
      </c>
      <c r="H460" s="33" t="s">
        <v>337</v>
      </c>
      <c r="I460" s="34">
        <v>45498</v>
      </c>
      <c r="J460" s="33">
        <v>6</v>
      </c>
      <c r="K460" s="35" t="s">
        <v>1149</v>
      </c>
      <c r="L460" s="35" t="s">
        <v>1149</v>
      </c>
      <c r="M460" s="386" t="s">
        <v>1259</v>
      </c>
      <c r="N460" s="33" t="s">
        <v>68</v>
      </c>
      <c r="O460" s="33" t="s">
        <v>11</v>
      </c>
      <c r="P460" s="33" t="s">
        <v>2</v>
      </c>
      <c r="Q460" s="47"/>
      <c r="R460" s="47"/>
      <c r="S460" s="45" t="s">
        <v>147</v>
      </c>
      <c r="T460" s="45"/>
      <c r="U460" s="37">
        <v>45051</v>
      </c>
      <c r="V460" s="38">
        <f t="shared" si="80"/>
        <v>45212</v>
      </c>
      <c r="W460" s="50">
        <f>V460-U460</f>
        <v>161</v>
      </c>
      <c r="X460" s="261">
        <f>Y460*0.91</f>
        <v>342160</v>
      </c>
      <c r="Y460" s="260">
        <v>376000</v>
      </c>
      <c r="Z460" s="263">
        <v>343000</v>
      </c>
      <c r="AA460" s="35"/>
      <c r="AB460" s="263"/>
      <c r="AC460" s="44">
        <f>ABS(X460/Y460-1)</f>
        <v>8.9999999999999969E-2</v>
      </c>
      <c r="AD460" s="62">
        <v>-4.5999999999999999E-3</v>
      </c>
      <c r="AE460" s="41">
        <f t="shared" si="79"/>
        <v>9.4599999999999962E-2</v>
      </c>
      <c r="AF460" s="42"/>
      <c r="AG460" s="40">
        <f>IF((X460*AE460)&lt;0,0,(X460*AE460))</f>
        <v>32368.335999999988</v>
      </c>
      <c r="AH460" s="65">
        <f t="shared" si="75"/>
        <v>33000</v>
      </c>
      <c r="AI460" s="66">
        <f>AH460/X460</f>
        <v>9.6446107084404958E-2</v>
      </c>
      <c r="AJ460" s="66">
        <f t="shared" si="76"/>
        <v>9.6446107084404958E-2</v>
      </c>
      <c r="AK460" s="65">
        <f>AF460*X460</f>
        <v>0</v>
      </c>
      <c r="AL460" s="40">
        <f t="shared" si="70"/>
        <v>33000</v>
      </c>
      <c r="AM460" s="242">
        <f t="shared" si="81"/>
        <v>45230</v>
      </c>
      <c r="AN460" s="242">
        <f>IF(AQ460="x","",IF(AQ460="x",AM460,IF(EOMONTH(I460,0)=31,"",EOMONTH(I460,0))))</f>
        <v>45504</v>
      </c>
      <c r="AO460" s="79">
        <f>IFERROR(IF(VLOOKUP(C460,C461:C1061,1,0)=0,1,0),1)</f>
        <v>0</v>
      </c>
      <c r="AP460" s="79"/>
      <c r="AQ460" s="243" t="str">
        <f t="shared" si="77"/>
        <v/>
      </c>
      <c r="AR460" s="242" t="b">
        <f>IF(AQ460="x",EOMONTH(I460,0))</f>
        <v>0</v>
      </c>
      <c r="AS460" s="79">
        <f t="shared" si="72"/>
        <v>1</v>
      </c>
      <c r="AT460" s="79">
        <f t="shared" si="73"/>
        <v>1</v>
      </c>
      <c r="AU460" s="79" t="str">
        <f t="shared" si="74"/>
        <v>B</v>
      </c>
      <c r="AV460" s="79">
        <f t="shared" si="78"/>
        <v>1</v>
      </c>
      <c r="AW460" s="79" t="str">
        <f>J460&amp;AU460</f>
        <v>6B</v>
      </c>
      <c r="AX460" s="79">
        <f>IF(COUNTIFS(J:J,"Integral",E:E,E460,H:H,"Ativo")=4,1/4,1/10)</f>
        <v>0.1</v>
      </c>
      <c r="AY460" s="79" t="s">
        <v>1320</v>
      </c>
      <c r="AZ460" s="79" t="b">
        <v>1</v>
      </c>
    </row>
    <row r="461" spans="1:52" ht="15.75" customHeight="1">
      <c r="A461" s="54">
        <v>485</v>
      </c>
      <c r="B461" s="403">
        <v>45213</v>
      </c>
      <c r="C461" s="32" t="s">
        <v>1497</v>
      </c>
      <c r="D461" s="32" t="s">
        <v>1498</v>
      </c>
      <c r="E461" s="32" t="s">
        <v>1499</v>
      </c>
      <c r="F461" s="32" t="s">
        <v>1500</v>
      </c>
      <c r="G461" s="60" t="s">
        <v>220</v>
      </c>
      <c r="H461" s="33" t="s">
        <v>90</v>
      </c>
      <c r="I461" s="34"/>
      <c r="J461" s="33">
        <v>6</v>
      </c>
      <c r="K461" s="35" t="s">
        <v>273</v>
      </c>
      <c r="L461" s="35" t="s">
        <v>273</v>
      </c>
      <c r="M461" s="386" t="s">
        <v>1259</v>
      </c>
      <c r="N461" s="33" t="s">
        <v>68</v>
      </c>
      <c r="O461" s="33" t="s">
        <v>12</v>
      </c>
      <c r="P461" s="33" t="s">
        <v>2</v>
      </c>
      <c r="Q461" s="47"/>
      <c r="R461" s="47"/>
      <c r="S461" s="45" t="s">
        <v>147</v>
      </c>
      <c r="T461" s="45"/>
      <c r="U461" s="37">
        <v>45154</v>
      </c>
      <c r="V461" s="38">
        <f t="shared" si="80"/>
        <v>45213</v>
      </c>
      <c r="W461" s="50">
        <f>V461-U461</f>
        <v>59</v>
      </c>
      <c r="X461" s="261">
        <f>Y461*0.91</f>
        <v>342160</v>
      </c>
      <c r="Y461" s="260">
        <v>376000</v>
      </c>
      <c r="Z461" s="263">
        <v>362100</v>
      </c>
      <c r="AA461" s="35"/>
      <c r="AB461" s="263"/>
      <c r="AC461" s="44">
        <f>ABS(X461/Y461-1)</f>
        <v>8.9999999999999969E-2</v>
      </c>
      <c r="AD461" s="62">
        <v>6.1899999999999997E-2</v>
      </c>
      <c r="AE461" s="41">
        <f t="shared" si="79"/>
        <v>2.8099999999999972E-2</v>
      </c>
      <c r="AF461" s="42"/>
      <c r="AG461" s="40">
        <f>IF((X461*AE461)&lt;0,0,(X461*AE461))</f>
        <v>9614.6959999999908</v>
      </c>
      <c r="AH461" s="65">
        <f t="shared" si="75"/>
        <v>13900</v>
      </c>
      <c r="AI461" s="66">
        <f>AH461/X461</f>
        <v>4.0624269347673603E-2</v>
      </c>
      <c r="AJ461" s="66">
        <f t="shared" si="76"/>
        <v>4.0624269347673603E-2</v>
      </c>
      <c r="AK461" s="65">
        <f>AF461*X461</f>
        <v>0</v>
      </c>
      <c r="AL461" s="40">
        <f t="shared" si="70"/>
        <v>13900</v>
      </c>
      <c r="AM461" s="242">
        <f t="shared" si="81"/>
        <v>45230</v>
      </c>
      <c r="AN461" s="242" t="str">
        <f>IF(AQ461="x","",IF(AQ461="x",AM461,IF(EOMONTH(I461,0)=31,"",EOMONTH(I461,0))))</f>
        <v/>
      </c>
      <c r="AO461" s="79">
        <f>IFERROR(IF(VLOOKUP(C461,C462:C1062,1,0)=0,1,0),1)</f>
        <v>1</v>
      </c>
      <c r="AP461" s="79"/>
      <c r="AQ461" s="243" t="str">
        <f t="shared" si="77"/>
        <v/>
      </c>
      <c r="AR461" s="242" t="b">
        <f>IF(AQ461="x",EOMONTH(I461,0))</f>
        <v>0</v>
      </c>
      <c r="AS461" s="79">
        <f t="shared" si="72"/>
        <v>1</v>
      </c>
      <c r="AT461" s="79">
        <f t="shared" si="73"/>
        <v>1</v>
      </c>
      <c r="AU461" s="79" t="str">
        <f t="shared" si="74"/>
        <v>B</v>
      </c>
      <c r="AV461" s="79">
        <f t="shared" si="78"/>
        <v>1</v>
      </c>
      <c r="AW461" s="79" t="str">
        <f>J461&amp;AU461</f>
        <v>6B</v>
      </c>
      <c r="AX461" s="79">
        <f>IF(COUNTIFS(J:J,"Integral",E:E,E461,H:H,"Ativo")=4,1/4,1/10)</f>
        <v>0.1</v>
      </c>
      <c r="AY461" s="79" t="s">
        <v>1320</v>
      </c>
      <c r="AZ461" s="79" t="b">
        <v>1</v>
      </c>
    </row>
    <row r="462" spans="1:52" ht="15.75" customHeight="1">
      <c r="A462" s="54">
        <v>486</v>
      </c>
      <c r="B462" s="403">
        <v>45213</v>
      </c>
      <c r="C462" s="32" t="s">
        <v>1501</v>
      </c>
      <c r="D462" s="32" t="s">
        <v>1502</v>
      </c>
      <c r="E462" s="32" t="s">
        <v>1499</v>
      </c>
      <c r="F462" s="32" t="s">
        <v>1503</v>
      </c>
      <c r="G462" s="60" t="s">
        <v>220</v>
      </c>
      <c r="H462" s="33" t="s">
        <v>90</v>
      </c>
      <c r="I462" s="34"/>
      <c r="J462" s="33">
        <v>6</v>
      </c>
      <c r="K462" s="35" t="s">
        <v>1026</v>
      </c>
      <c r="L462" s="35" t="s">
        <v>1026</v>
      </c>
      <c r="M462" s="386" t="s">
        <v>1259</v>
      </c>
      <c r="N462" s="33" t="s">
        <v>68</v>
      </c>
      <c r="O462" s="33" t="s">
        <v>12</v>
      </c>
      <c r="P462" s="33" t="s">
        <v>2</v>
      </c>
      <c r="Q462" s="47"/>
      <c r="R462" s="47"/>
      <c r="S462" s="45" t="s">
        <v>147</v>
      </c>
      <c r="T462" s="45"/>
      <c r="U462" s="37">
        <v>45192</v>
      </c>
      <c r="V462" s="38">
        <f t="shared" si="80"/>
        <v>45213</v>
      </c>
      <c r="W462" s="50">
        <f>V462-U462</f>
        <v>21</v>
      </c>
      <c r="X462" s="261">
        <f>Y462*0.91</f>
        <v>342160</v>
      </c>
      <c r="Y462" s="260">
        <v>376000</v>
      </c>
      <c r="Z462" s="263">
        <v>359000</v>
      </c>
      <c r="AA462" s="35"/>
      <c r="AB462" s="263"/>
      <c r="AC462" s="44">
        <f>ABS(X462/Y462-1)</f>
        <v>8.9999999999999969E-2</v>
      </c>
      <c r="AD462" s="62">
        <v>6.8400000000000002E-2</v>
      </c>
      <c r="AE462" s="41">
        <f t="shared" si="79"/>
        <v>2.1599999999999966E-2</v>
      </c>
      <c r="AF462" s="42"/>
      <c r="AG462" s="40">
        <f>IF((X462*AE462)&lt;0,0,(X462*AE462))</f>
        <v>7390.6559999999881</v>
      </c>
      <c r="AH462" s="65">
        <f t="shared" si="75"/>
        <v>17000</v>
      </c>
      <c r="AI462" s="66">
        <f>AH462/X462</f>
        <v>4.9684358194996496E-2</v>
      </c>
      <c r="AJ462" s="66">
        <f t="shared" si="76"/>
        <v>4.9684358194996496E-2</v>
      </c>
      <c r="AK462" s="65">
        <f>AF462*X462</f>
        <v>0</v>
      </c>
      <c r="AL462" s="40">
        <f t="shared" si="70"/>
        <v>17000</v>
      </c>
      <c r="AM462" s="242">
        <f t="shared" si="81"/>
        <v>45230</v>
      </c>
      <c r="AN462" s="242" t="str">
        <f>IF(AQ462="x","",IF(AQ462="x",AM462,IF(EOMONTH(I462,0)=31,"",EOMONTH(I462,0))))</f>
        <v/>
      </c>
      <c r="AO462" s="79">
        <f>IFERROR(IF(VLOOKUP(C462,C463:C1063,1,0)=0,1,0),1)</f>
        <v>1</v>
      </c>
      <c r="AP462" s="79"/>
      <c r="AQ462" s="243" t="str">
        <f t="shared" si="77"/>
        <v/>
      </c>
      <c r="AR462" s="242" t="b">
        <f>IF(AQ462="x",EOMONTH(I462,0))</f>
        <v>0</v>
      </c>
      <c r="AS462" s="79">
        <f t="shared" si="72"/>
        <v>1</v>
      </c>
      <c r="AT462" s="79">
        <f t="shared" si="73"/>
        <v>1</v>
      </c>
      <c r="AU462" s="79" t="str">
        <f t="shared" si="74"/>
        <v>B</v>
      </c>
      <c r="AV462" s="79">
        <f t="shared" si="78"/>
        <v>1</v>
      </c>
      <c r="AW462" s="79" t="str">
        <f>J462&amp;AU462</f>
        <v>6B</v>
      </c>
      <c r="AX462" s="79">
        <f>IF(COUNTIFS(J:J,"Integral",E:E,E462,H:H,"Ativo")=4,1/4,1/10)</f>
        <v>0.1</v>
      </c>
      <c r="AY462" s="79" t="s">
        <v>1320</v>
      </c>
      <c r="AZ462" s="79" t="b">
        <v>1</v>
      </c>
    </row>
    <row r="463" spans="1:52" ht="15.75" customHeight="1">
      <c r="A463" s="54">
        <v>487</v>
      </c>
      <c r="B463" s="403">
        <v>45214</v>
      </c>
      <c r="C463" s="32" t="s">
        <v>1504</v>
      </c>
      <c r="D463" s="32" t="s">
        <v>851</v>
      </c>
      <c r="E463" s="32" t="s">
        <v>575</v>
      </c>
      <c r="F463" s="32" t="s">
        <v>1505</v>
      </c>
      <c r="G463" s="60" t="s">
        <v>220</v>
      </c>
      <c r="H463" s="33" t="s">
        <v>90</v>
      </c>
      <c r="I463" s="34"/>
      <c r="J463" s="33">
        <v>6</v>
      </c>
      <c r="K463" s="35" t="s">
        <v>1007</v>
      </c>
      <c r="L463" s="35" t="s">
        <v>1007</v>
      </c>
      <c r="M463" s="386" t="s">
        <v>246</v>
      </c>
      <c r="N463" s="33" t="s">
        <v>68</v>
      </c>
      <c r="O463" s="33" t="s">
        <v>12</v>
      </c>
      <c r="P463" s="33" t="s">
        <v>2</v>
      </c>
      <c r="Q463" s="47"/>
      <c r="R463" s="47"/>
      <c r="S463" s="45" t="s">
        <v>145</v>
      </c>
      <c r="T463" s="45"/>
      <c r="U463" s="68">
        <v>45177</v>
      </c>
      <c r="V463" s="48">
        <f t="shared" si="80"/>
        <v>45214</v>
      </c>
      <c r="W463" s="50">
        <f>V463-U463</f>
        <v>37</v>
      </c>
      <c r="X463" s="261">
        <f>Y463*0.91</f>
        <v>376740</v>
      </c>
      <c r="Y463" s="260">
        <v>414000</v>
      </c>
      <c r="Z463" s="263">
        <v>414000</v>
      </c>
      <c r="AA463" s="35"/>
      <c r="AB463" s="263"/>
      <c r="AC463" s="44">
        <f>ABS(X463/Y463-1)</f>
        <v>8.9999999999999969E-2</v>
      </c>
      <c r="AD463" s="62">
        <v>0</v>
      </c>
      <c r="AE463" s="41">
        <f t="shared" si="79"/>
        <v>8.9999999999999969E-2</v>
      </c>
      <c r="AF463" s="42"/>
      <c r="AG463" s="40">
        <f>IF((X463*AE463)&lt;0,0,(X463*AE463))</f>
        <v>33906.599999999991</v>
      </c>
      <c r="AH463" s="65">
        <f t="shared" si="75"/>
        <v>0</v>
      </c>
      <c r="AI463" s="66">
        <f>AH463/X463</f>
        <v>0</v>
      </c>
      <c r="AJ463" s="66">
        <f t="shared" si="76"/>
        <v>0</v>
      </c>
      <c r="AK463" s="65">
        <f>AF463*X463</f>
        <v>0</v>
      </c>
      <c r="AL463" s="40">
        <f t="shared" si="70"/>
        <v>0</v>
      </c>
      <c r="AM463" s="242">
        <f t="shared" si="81"/>
        <v>45230</v>
      </c>
      <c r="AN463" s="242" t="str">
        <f>IF(AQ463="x","",IF(AQ463="x",AM463,IF(EOMONTH(I463,0)=31,"",EOMONTH(I463,0))))</f>
        <v/>
      </c>
      <c r="AO463" s="79">
        <f>IFERROR(IF(VLOOKUP(C463,C464:C1064,1,0)=0,1,0),1)</f>
        <v>0</v>
      </c>
      <c r="AP463" s="79"/>
      <c r="AQ463" s="243" t="str">
        <f t="shared" si="77"/>
        <v/>
      </c>
      <c r="AR463" s="242" t="b">
        <f>IF(AQ463="x",EOMONTH(I463,0))</f>
        <v>0</v>
      </c>
      <c r="AS463" s="79">
        <f t="shared" si="72"/>
        <v>1</v>
      </c>
      <c r="AT463" s="79">
        <f t="shared" si="73"/>
        <v>1</v>
      </c>
      <c r="AU463" s="79" t="str">
        <f t="shared" si="74"/>
        <v>B</v>
      </c>
      <c r="AV463" s="79">
        <f t="shared" si="78"/>
        <v>1</v>
      </c>
      <c r="AW463" s="79" t="str">
        <f>J463&amp;AU463</f>
        <v>6B</v>
      </c>
      <c r="AX463" s="79">
        <f>IF(COUNTIFS(J:J,"Integral",E:E,E463,H:H,"Ativo")=4,1/4,1/10)</f>
        <v>0.1</v>
      </c>
      <c r="AY463" s="79" t="s">
        <v>1320</v>
      </c>
      <c r="AZ463" s="79" t="b">
        <v>1</v>
      </c>
    </row>
    <row r="464" spans="1:52" ht="15.75" customHeight="1">
      <c r="A464" s="54">
        <v>488</v>
      </c>
      <c r="B464" s="403">
        <v>45215</v>
      </c>
      <c r="C464" s="32" t="s">
        <v>1506</v>
      </c>
      <c r="D464" s="32" t="s">
        <v>1507</v>
      </c>
      <c r="E464" s="32" t="s">
        <v>1499</v>
      </c>
      <c r="F464" s="32" t="s">
        <v>1508</v>
      </c>
      <c r="G464" s="60" t="s">
        <v>220</v>
      </c>
      <c r="H464" s="33" t="s">
        <v>90</v>
      </c>
      <c r="I464" s="34"/>
      <c r="J464" s="33">
        <v>6</v>
      </c>
      <c r="K464" s="35" t="s">
        <v>1094</v>
      </c>
      <c r="L464" s="35" t="s">
        <v>1094</v>
      </c>
      <c r="M464" s="386" t="s">
        <v>246</v>
      </c>
      <c r="N464" s="33" t="s">
        <v>68</v>
      </c>
      <c r="O464" s="33" t="s">
        <v>12</v>
      </c>
      <c r="P464" s="33" t="s">
        <v>1</v>
      </c>
      <c r="Q464" s="47"/>
      <c r="R464" s="47"/>
      <c r="S464" s="45" t="s">
        <v>150</v>
      </c>
      <c r="T464" s="45"/>
      <c r="U464" s="68">
        <v>45174</v>
      </c>
      <c r="V464" s="48">
        <f t="shared" si="80"/>
        <v>45215</v>
      </c>
      <c r="W464" s="50">
        <f>V464-U464</f>
        <v>41</v>
      </c>
      <c r="X464" s="261">
        <f>Y464*0.91</f>
        <v>342160</v>
      </c>
      <c r="Y464" s="260">
        <v>376000</v>
      </c>
      <c r="Z464" s="263">
        <v>376000</v>
      </c>
      <c r="AA464" s="35" t="s">
        <v>1246</v>
      </c>
      <c r="AB464" s="263"/>
      <c r="AC464" s="44">
        <f>ABS(X464/Y464-1)</f>
        <v>8.9999999999999969E-2</v>
      </c>
      <c r="AD464" s="62">
        <v>1.11E-2</v>
      </c>
      <c r="AE464" s="41">
        <f t="shared" si="79"/>
        <v>7.889999999999997E-2</v>
      </c>
      <c r="AF464" s="42"/>
      <c r="AG464" s="40">
        <f>IF((X464*AE464)&lt;0,0,(X464*AE464))</f>
        <v>26996.423999999988</v>
      </c>
      <c r="AH464" s="65">
        <f t="shared" si="75"/>
        <v>0</v>
      </c>
      <c r="AI464" s="66">
        <f>AH464/X464</f>
        <v>0</v>
      </c>
      <c r="AJ464" s="66">
        <f t="shared" si="76"/>
        <v>0</v>
      </c>
      <c r="AK464" s="65">
        <f>AF464*X464</f>
        <v>0</v>
      </c>
      <c r="AL464" s="40">
        <f t="shared" si="70"/>
        <v>0</v>
      </c>
      <c r="AM464" s="242">
        <f t="shared" si="81"/>
        <v>45230</v>
      </c>
      <c r="AN464" s="242" t="str">
        <f>IF(AQ464="x","",IF(AQ464="x",AM464,IF(EOMONTH(I464,0)=31,"",EOMONTH(I464,0))))</f>
        <v/>
      </c>
      <c r="AO464" s="79">
        <f>IFERROR(IF(VLOOKUP(C464,C465:C1065,1,0)=0,1,0),1)</f>
        <v>1</v>
      </c>
      <c r="AP464" s="79"/>
      <c r="AQ464" s="243" t="str">
        <f t="shared" si="77"/>
        <v/>
      </c>
      <c r="AR464" s="242" t="b">
        <f>IF(AQ464="x",EOMONTH(I464,0))</f>
        <v>0</v>
      </c>
      <c r="AS464" s="79">
        <f t="shared" si="72"/>
        <v>1</v>
      </c>
      <c r="AT464" s="79">
        <f t="shared" si="73"/>
        <v>1</v>
      </c>
      <c r="AU464" s="79" t="str">
        <f t="shared" si="74"/>
        <v>B</v>
      </c>
      <c r="AV464" s="79">
        <f t="shared" si="78"/>
        <v>1</v>
      </c>
      <c r="AW464" s="79" t="str">
        <f>J464&amp;AU464</f>
        <v>6B</v>
      </c>
      <c r="AX464" s="79">
        <f>IF(COUNTIFS(J:J,"Integral",E:E,E464,H:H,"Ativo")=4,1/4,1/10)</f>
        <v>0.1</v>
      </c>
      <c r="AY464" s="79" t="s">
        <v>1332</v>
      </c>
      <c r="AZ464" s="79" t="b">
        <v>1</v>
      </c>
    </row>
    <row r="465" spans="1:52" ht="15.75" customHeight="1">
      <c r="A465" s="54">
        <v>489</v>
      </c>
      <c r="B465" s="403">
        <v>45215</v>
      </c>
      <c r="C465" s="32" t="s">
        <v>1509</v>
      </c>
      <c r="D465" s="32" t="s">
        <v>1510</v>
      </c>
      <c r="E465" s="32" t="s">
        <v>1499</v>
      </c>
      <c r="F465" s="32" t="s">
        <v>1511</v>
      </c>
      <c r="G465" s="60" t="s">
        <v>243</v>
      </c>
      <c r="H465" s="33" t="s">
        <v>244</v>
      </c>
      <c r="I465" s="34">
        <v>45218</v>
      </c>
      <c r="J465" s="33">
        <v>6</v>
      </c>
      <c r="K465" s="35" t="s">
        <v>1512</v>
      </c>
      <c r="L465" s="35" t="s">
        <v>1513</v>
      </c>
      <c r="M465" s="386" t="s">
        <v>246</v>
      </c>
      <c r="N465" s="33" t="s">
        <v>68</v>
      </c>
      <c r="O465" s="33" t="s">
        <v>12</v>
      </c>
      <c r="P465" s="33" t="s">
        <v>1</v>
      </c>
      <c r="Q465" s="47"/>
      <c r="R465" s="47"/>
      <c r="S465" s="45" t="s">
        <v>147</v>
      </c>
      <c r="T465" s="45"/>
      <c r="U465" s="68">
        <v>45174</v>
      </c>
      <c r="V465" s="48">
        <f t="shared" si="80"/>
        <v>45215</v>
      </c>
      <c r="W465" s="50">
        <f>V465-U465</f>
        <v>41</v>
      </c>
      <c r="X465" s="265">
        <f>Y465*0.91</f>
        <v>342160</v>
      </c>
      <c r="Y465" s="67">
        <v>376000</v>
      </c>
      <c r="Z465" s="267">
        <v>383090</v>
      </c>
      <c r="AA465" s="56" t="s">
        <v>911</v>
      </c>
      <c r="AB465" s="267"/>
      <c r="AC465" s="44">
        <f>ABS(X465/Y465-1)</f>
        <v>8.9999999999999969E-2</v>
      </c>
      <c r="AD465" s="62">
        <v>1.49E-2</v>
      </c>
      <c r="AE465" s="41">
        <f t="shared" si="79"/>
        <v>7.5099999999999972E-2</v>
      </c>
      <c r="AF465" s="42"/>
      <c r="AG465" s="40">
        <f>IF((X465*AE465)&lt;0,0,(X465*AE465))</f>
        <v>25696.215999999989</v>
      </c>
      <c r="AH465" s="65">
        <f t="shared" si="75"/>
        <v>-7090</v>
      </c>
      <c r="AI465" s="66">
        <f>AH465/X465</f>
        <v>-2.0721299976619124E-2</v>
      </c>
      <c r="AJ465" s="66">
        <f t="shared" si="76"/>
        <v>-2.0721299976619124E-2</v>
      </c>
      <c r="AK465" s="65">
        <f>AF465*X465</f>
        <v>0</v>
      </c>
      <c r="AL465" s="40">
        <f t="shared" si="70"/>
        <v>-7090</v>
      </c>
      <c r="AM465" s="242">
        <f t="shared" si="81"/>
        <v>45230</v>
      </c>
      <c r="AN465" s="242" t="str">
        <f>IF(AQ465="x","",IF(AQ465="x",AM465,IF(EOMONTH(I465,0)=31,"",EOMONTH(I465,0))))</f>
        <v/>
      </c>
      <c r="AO465" s="79">
        <f>IFERROR(IF(VLOOKUP(C465,C466:C1066,1,0)=0,1,0),1)</f>
        <v>1</v>
      </c>
      <c r="AP465" s="79"/>
      <c r="AQ465" s="243" t="str">
        <f t="shared" si="77"/>
        <v>x</v>
      </c>
      <c r="AR465" s="242">
        <f>IF(AQ465="x",EOMONTH(I465,0))</f>
        <v>45230</v>
      </c>
      <c r="AS465" s="79">
        <f t="shared" si="72"/>
        <v>0</v>
      </c>
      <c r="AT465" s="79">
        <f t="shared" si="73"/>
        <v>0</v>
      </c>
      <c r="AU465" s="79" t="str">
        <f t="shared" si="74"/>
        <v>B</v>
      </c>
      <c r="AV465" s="79">
        <f t="shared" si="78"/>
        <v>1</v>
      </c>
      <c r="AW465" s="79" t="str">
        <f>J465&amp;AU465</f>
        <v>6B</v>
      </c>
      <c r="AX465" s="79">
        <f>IF(COUNTIFS(J:J,"Integral",E:E,E465,H:H,"Ativo")=4,1/4,1/10)</f>
        <v>0.1</v>
      </c>
      <c r="AY465" s="79" t="s">
        <v>1320</v>
      </c>
      <c r="AZ465" s="79" t="b">
        <v>1</v>
      </c>
    </row>
    <row r="466" spans="1:52" ht="15.75" customHeight="1">
      <c r="A466" s="54">
        <v>490</v>
      </c>
      <c r="B466" s="403">
        <v>45218</v>
      </c>
      <c r="C466" s="32" t="s">
        <v>1514</v>
      </c>
      <c r="D466" s="32" t="s">
        <v>1515</v>
      </c>
      <c r="E466" s="32" t="s">
        <v>1499</v>
      </c>
      <c r="F466" s="32" t="s">
        <v>1516</v>
      </c>
      <c r="G466" s="60" t="s">
        <v>220</v>
      </c>
      <c r="H466" s="33" t="s">
        <v>90</v>
      </c>
      <c r="I466" s="34"/>
      <c r="J466" s="33">
        <v>6</v>
      </c>
      <c r="K466" s="35" t="s">
        <v>1094</v>
      </c>
      <c r="L466" s="35" t="s">
        <v>1517</v>
      </c>
      <c r="M466" s="386" t="s">
        <v>246</v>
      </c>
      <c r="N466" s="33" t="s">
        <v>68</v>
      </c>
      <c r="O466" s="33" t="s">
        <v>12</v>
      </c>
      <c r="P466" s="33" t="s">
        <v>2</v>
      </c>
      <c r="Q466" s="47"/>
      <c r="R466" s="47"/>
      <c r="S466" s="45" t="s">
        <v>143</v>
      </c>
      <c r="T466" s="45"/>
      <c r="U466" s="37">
        <v>45214</v>
      </c>
      <c r="V466" s="38">
        <f t="shared" si="80"/>
        <v>45218</v>
      </c>
      <c r="W466" s="50">
        <f>V466-U466</f>
        <v>4</v>
      </c>
      <c r="X466" s="261">
        <f>Y466*0.91</f>
        <v>342160</v>
      </c>
      <c r="Y466" s="260">
        <v>376000</v>
      </c>
      <c r="Z466" s="263">
        <v>391000</v>
      </c>
      <c r="AA466" s="35"/>
      <c r="AB466" s="263"/>
      <c r="AC466" s="44">
        <f>ABS(X466/Y466-1)</f>
        <v>8.9999999999999969E-2</v>
      </c>
      <c r="AD466" s="62">
        <v>2.1499999999999998E-2</v>
      </c>
      <c r="AE466" s="41">
        <f t="shared" ref="AE466:AE497" si="82">AC466-AD466</f>
        <v>6.8499999999999978E-2</v>
      </c>
      <c r="AF466" s="42"/>
      <c r="AG466" s="40">
        <f>IF((X466*AE466)&lt;0,0,(X466*AE466))</f>
        <v>23437.959999999992</v>
      </c>
      <c r="AH466" s="65">
        <f t="shared" si="75"/>
        <v>-15000</v>
      </c>
      <c r="AI466" s="66">
        <f>AH466/X466</f>
        <v>-4.3839139583820436E-2</v>
      </c>
      <c r="AJ466" s="66">
        <f t="shared" si="76"/>
        <v>-4.3839139583820436E-2</v>
      </c>
      <c r="AK466" s="65">
        <f>AF466*X466</f>
        <v>0</v>
      </c>
      <c r="AL466" s="40">
        <f t="shared" si="70"/>
        <v>-15000</v>
      </c>
      <c r="AM466" s="242">
        <f t="shared" si="81"/>
        <v>45230</v>
      </c>
      <c r="AN466" s="242" t="str">
        <f>IF(AQ466="x","",IF(AQ466="x",AM466,IF(EOMONTH(I466,0)=31,"",EOMONTH(I466,0))))</f>
        <v/>
      </c>
      <c r="AO466" s="79">
        <f>IFERROR(IF(VLOOKUP(C466,C467:C1067,1,0)=0,1,0),1)</f>
        <v>1</v>
      </c>
      <c r="AP466" s="79"/>
      <c r="AQ466" s="243" t="str">
        <f t="shared" si="77"/>
        <v/>
      </c>
      <c r="AR466" s="242" t="b">
        <f>IF(AQ466="x",EOMONTH(I466,0))</f>
        <v>0</v>
      </c>
      <c r="AS466" s="79">
        <f t="shared" si="72"/>
        <v>0</v>
      </c>
      <c r="AT466" s="79">
        <f t="shared" si="73"/>
        <v>0</v>
      </c>
      <c r="AU466" s="79" t="str">
        <f t="shared" si="74"/>
        <v>B</v>
      </c>
      <c r="AV466" s="79">
        <f t="shared" si="78"/>
        <v>1</v>
      </c>
      <c r="AW466" s="79" t="str">
        <f>J466&amp;AU466</f>
        <v>6B</v>
      </c>
      <c r="AX466" s="79">
        <f>IF(COUNTIFS(J:J,"Integral",E:E,E466,H:H,"Ativo")=4,1/4,1/10)</f>
        <v>0.1</v>
      </c>
      <c r="AY466" s="79" t="s">
        <v>1320</v>
      </c>
      <c r="AZ466" s="79" t="b">
        <v>1</v>
      </c>
    </row>
    <row r="467" spans="1:52" ht="15.75" customHeight="1">
      <c r="A467" s="54">
        <v>491</v>
      </c>
      <c r="B467" s="403">
        <v>45219</v>
      </c>
      <c r="C467" s="32" t="s">
        <v>1518</v>
      </c>
      <c r="D467" s="32" t="s">
        <v>1519</v>
      </c>
      <c r="E467" s="32" t="s">
        <v>575</v>
      </c>
      <c r="F467" s="32" t="s">
        <v>1520</v>
      </c>
      <c r="G467" s="60" t="s">
        <v>220</v>
      </c>
      <c r="H467" s="33" t="s">
        <v>90</v>
      </c>
      <c r="I467" s="34"/>
      <c r="J467" s="33">
        <v>6</v>
      </c>
      <c r="K467" s="35" t="s">
        <v>1149</v>
      </c>
      <c r="L467" s="35" t="s">
        <v>1154</v>
      </c>
      <c r="M467" s="409" t="s">
        <v>1487</v>
      </c>
      <c r="N467" s="33" t="s">
        <v>68</v>
      </c>
      <c r="O467" s="33" t="s">
        <v>10</v>
      </c>
      <c r="P467" s="33" t="s">
        <v>1</v>
      </c>
      <c r="Q467" s="47"/>
      <c r="R467" s="47"/>
      <c r="S467" s="45" t="s">
        <v>147</v>
      </c>
      <c r="T467" s="45"/>
      <c r="U467" s="37">
        <v>44980</v>
      </c>
      <c r="V467" s="38">
        <f t="shared" si="80"/>
        <v>45219</v>
      </c>
      <c r="W467" s="50">
        <f>V467-U467</f>
        <v>239</v>
      </c>
      <c r="X467" s="261">
        <f>Y467*0.91</f>
        <v>376740</v>
      </c>
      <c r="Y467" s="260">
        <v>414000</v>
      </c>
      <c r="Z467" s="263">
        <v>330000</v>
      </c>
      <c r="AA467" s="35" t="s">
        <v>1027</v>
      </c>
      <c r="AB467" s="263"/>
      <c r="AC467" s="44">
        <f>ABS(X467/Y467-1)</f>
        <v>8.9999999999999969E-2</v>
      </c>
      <c r="AD467" s="62">
        <v>1.29E-2</v>
      </c>
      <c r="AE467" s="41">
        <f t="shared" si="82"/>
        <v>7.7099999999999974E-2</v>
      </c>
      <c r="AF467" s="42"/>
      <c r="AG467" s="40">
        <f>IF((X467*AE467)&lt;0,0,(X467*AE467))</f>
        <v>29046.653999999991</v>
      </c>
      <c r="AH467" s="65">
        <f t="shared" si="75"/>
        <v>84000</v>
      </c>
      <c r="AI467" s="66">
        <f>AH467/X467</f>
        <v>0.2229654403567447</v>
      </c>
      <c r="AJ467" s="66">
        <f t="shared" si="76"/>
        <v>0.2229654403567447</v>
      </c>
      <c r="AK467" s="65">
        <f>AF467*X467</f>
        <v>0</v>
      </c>
      <c r="AL467" s="40">
        <f t="shared" si="70"/>
        <v>84000</v>
      </c>
      <c r="AM467" s="242">
        <f t="shared" si="81"/>
        <v>45230</v>
      </c>
      <c r="AN467" s="242" t="str">
        <f>IF(AQ467="x","",IF(AQ467="x",AM467,IF(EOMONTH(I467,0)=31,"",EOMONTH(I467,0))))</f>
        <v/>
      </c>
      <c r="AO467" s="79">
        <f>IFERROR(IF(VLOOKUP(C467,C468:C1068,1,0)=0,1,0),1)</f>
        <v>1</v>
      </c>
      <c r="AP467" s="79"/>
      <c r="AQ467" s="243" t="str">
        <f t="shared" si="77"/>
        <v/>
      </c>
      <c r="AR467" s="242" t="b">
        <f>IF(AQ467="x",EOMONTH(I467,0))</f>
        <v>0</v>
      </c>
      <c r="AS467" s="79">
        <f t="shared" si="72"/>
        <v>1</v>
      </c>
      <c r="AT467" s="79">
        <f t="shared" si="73"/>
        <v>1</v>
      </c>
      <c r="AU467" s="79" t="str">
        <f t="shared" si="74"/>
        <v>B</v>
      </c>
      <c r="AV467" s="79">
        <f t="shared" si="78"/>
        <v>1</v>
      </c>
      <c r="AW467" s="79" t="str">
        <f>J467&amp;AU467</f>
        <v>6B</v>
      </c>
      <c r="AX467" s="79">
        <f>IF(COUNTIFS(J:J,"Integral",E:E,E467,H:H,"Ativo")=4,1/4,1/10)</f>
        <v>0.1</v>
      </c>
      <c r="AY467" s="79" t="s">
        <v>1320</v>
      </c>
      <c r="AZ467" s="79" t="b">
        <v>1</v>
      </c>
    </row>
    <row r="468" spans="1:52" ht="15.75" customHeight="1">
      <c r="A468" s="54">
        <v>492</v>
      </c>
      <c r="B468" s="403">
        <v>45219</v>
      </c>
      <c r="C468" s="32" t="s">
        <v>1521</v>
      </c>
      <c r="D468" s="32" t="s">
        <v>817</v>
      </c>
      <c r="E468" s="32" t="s">
        <v>811</v>
      </c>
      <c r="F468" s="32" t="s">
        <v>1522</v>
      </c>
      <c r="G468" s="60" t="s">
        <v>220</v>
      </c>
      <c r="H468" s="33" t="s">
        <v>90</v>
      </c>
      <c r="I468" s="34"/>
      <c r="J468" s="33">
        <v>13</v>
      </c>
      <c r="K468" s="35" t="s">
        <v>289</v>
      </c>
      <c r="L468" s="35" t="s">
        <v>977</v>
      </c>
      <c r="M468" s="386" t="s">
        <v>1259</v>
      </c>
      <c r="N468" s="33" t="s">
        <v>68</v>
      </c>
      <c r="O468" s="33" t="s">
        <v>12</v>
      </c>
      <c r="P468" s="33" t="s">
        <v>1</v>
      </c>
      <c r="Q468" s="47" t="s">
        <v>97</v>
      </c>
      <c r="R468" s="47"/>
      <c r="S468" s="45" t="s">
        <v>147</v>
      </c>
      <c r="T468" s="45"/>
      <c r="U468" s="37">
        <v>45196</v>
      </c>
      <c r="V468" s="38">
        <f t="shared" si="80"/>
        <v>45219</v>
      </c>
      <c r="W468" s="50">
        <f>V468-U468</f>
        <v>23</v>
      </c>
      <c r="X468" s="261">
        <f>Y468*0.91</f>
        <v>1558830</v>
      </c>
      <c r="Y468" s="260">
        <v>1713000</v>
      </c>
      <c r="Z468" s="263">
        <v>1400000</v>
      </c>
      <c r="AA468" s="35"/>
      <c r="AB468" s="263"/>
      <c r="AC468" s="44">
        <f>ABS(X468/Y468-1)</f>
        <v>8.9999999999999969E-2</v>
      </c>
      <c r="AD468" s="62">
        <v>0.2087</v>
      </c>
      <c r="AE468" s="41">
        <f t="shared" si="82"/>
        <v>-0.11870000000000003</v>
      </c>
      <c r="AF468" s="42">
        <v>0.1187</v>
      </c>
      <c r="AG468" s="40">
        <f>IF((X468*AE468)&lt;0,0,(X468*AE468))</f>
        <v>0</v>
      </c>
      <c r="AH468" s="65">
        <f t="shared" si="75"/>
        <v>313000</v>
      </c>
      <c r="AI468" s="66">
        <f>AH468/X468</f>
        <v>0.20079161935554229</v>
      </c>
      <c r="AJ468" s="66">
        <f t="shared" si="76"/>
        <v>8.2091619355542295E-2</v>
      </c>
      <c r="AK468" s="65">
        <f>AF468*X468</f>
        <v>185033.12100000001</v>
      </c>
      <c r="AL468" s="40">
        <f t="shared" ref="AL468:AL531" si="83">AH468-AK468</f>
        <v>127966.87899999999</v>
      </c>
      <c r="AM468" s="242">
        <f t="shared" si="81"/>
        <v>45230</v>
      </c>
      <c r="AN468" s="242" t="str">
        <f>IF(AQ468="x","",IF(AQ468="x",AM468,IF(EOMONTH(I468,0)=31,"",EOMONTH(I468,0))))</f>
        <v/>
      </c>
      <c r="AO468" s="79">
        <f>IFERROR(IF(VLOOKUP(C468,C469:C1069,1,0)=0,1,0),1)</f>
        <v>1</v>
      </c>
      <c r="AP468" s="79"/>
      <c r="AQ468" s="243" t="str">
        <f t="shared" si="77"/>
        <v/>
      </c>
      <c r="AR468" s="242" t="b">
        <f>IF(AQ468="x",EOMONTH(I468,0))</f>
        <v>0</v>
      </c>
      <c r="AS468" s="79">
        <f t="shared" si="72"/>
        <v>1</v>
      </c>
      <c r="AT468" s="79">
        <f t="shared" si="73"/>
        <v>1</v>
      </c>
      <c r="AU468" s="79" t="str">
        <f t="shared" si="74"/>
        <v>A</v>
      </c>
      <c r="AV468" s="79">
        <f t="shared" si="78"/>
        <v>1</v>
      </c>
      <c r="AW468" s="79" t="str">
        <f>J468&amp;AU468</f>
        <v>13A</v>
      </c>
      <c r="AX468" s="79">
        <f>IF(COUNTIFS(J:J,"Integral",E:E,E468,H:H,"Ativo")=4,1/4,1/10)</f>
        <v>0.1</v>
      </c>
      <c r="AY468" s="79" t="s">
        <v>1320</v>
      </c>
      <c r="AZ468" s="79" t="b">
        <v>1</v>
      </c>
    </row>
    <row r="469" spans="1:52" ht="15.75" customHeight="1">
      <c r="A469" s="54">
        <v>493</v>
      </c>
      <c r="B469" s="403">
        <v>45219</v>
      </c>
      <c r="C469" s="32" t="s">
        <v>1523</v>
      </c>
      <c r="D469" s="32" t="s">
        <v>1524</v>
      </c>
      <c r="E469" s="32" t="s">
        <v>1499</v>
      </c>
      <c r="F469" s="32" t="s">
        <v>1525</v>
      </c>
      <c r="G469" s="60" t="s">
        <v>220</v>
      </c>
      <c r="H469" s="33" t="s">
        <v>90</v>
      </c>
      <c r="I469" s="34"/>
      <c r="J469" s="33">
        <v>6</v>
      </c>
      <c r="K469" s="35" t="s">
        <v>1026</v>
      </c>
      <c r="L469" s="35" t="s">
        <v>1403</v>
      </c>
      <c r="M469" s="386" t="s">
        <v>1259</v>
      </c>
      <c r="N469" s="33" t="s">
        <v>68</v>
      </c>
      <c r="O469" s="33" t="s">
        <v>12</v>
      </c>
      <c r="P469" s="33" t="s">
        <v>1</v>
      </c>
      <c r="Q469" s="47"/>
      <c r="R469" s="47"/>
      <c r="S469" s="45" t="s">
        <v>143</v>
      </c>
      <c r="T469" s="45"/>
      <c r="U469" s="37">
        <v>45037</v>
      </c>
      <c r="V469" s="38">
        <f t="shared" si="80"/>
        <v>45219</v>
      </c>
      <c r="W469" s="50">
        <f>V469-U469</f>
        <v>182</v>
      </c>
      <c r="X469" s="261">
        <f>Y469*0.91</f>
        <v>342160</v>
      </c>
      <c r="Y469" s="260">
        <v>376000</v>
      </c>
      <c r="Z469" s="263">
        <v>369200</v>
      </c>
      <c r="AA469" s="35" t="s">
        <v>1027</v>
      </c>
      <c r="AB469" s="263"/>
      <c r="AC469" s="44">
        <f>ABS(X469/Y469-1)</f>
        <v>8.9999999999999969E-2</v>
      </c>
      <c r="AD469" s="62">
        <v>-8.0000000000000004E-4</v>
      </c>
      <c r="AE469" s="41">
        <f t="shared" si="82"/>
        <v>9.0799999999999964E-2</v>
      </c>
      <c r="AF469" s="42"/>
      <c r="AG469" s="40">
        <f>IF((X469*AE469)&lt;0,0,(X469*AE469))</f>
        <v>31068.127999999986</v>
      </c>
      <c r="AH469" s="65">
        <f t="shared" si="75"/>
        <v>6800</v>
      </c>
      <c r="AI469" s="66">
        <f>AH469/X469</f>
        <v>1.9873743277998596E-2</v>
      </c>
      <c r="AJ469" s="66">
        <f t="shared" si="76"/>
        <v>1.9873743277998596E-2</v>
      </c>
      <c r="AK469" s="65">
        <f>AF469*X469</f>
        <v>0</v>
      </c>
      <c r="AL469" s="40">
        <f t="shared" si="83"/>
        <v>6800</v>
      </c>
      <c r="AM469" s="242">
        <f t="shared" si="81"/>
        <v>45230</v>
      </c>
      <c r="AN469" s="242" t="str">
        <f>IF(AQ469="x","",IF(AQ469="x",AM469,IF(EOMONTH(I469,0)=31,"",EOMONTH(I469,0))))</f>
        <v/>
      </c>
      <c r="AO469" s="79">
        <f>IFERROR(IF(VLOOKUP(C469,C470:C1070,1,0)=0,1,0),1)</f>
        <v>1</v>
      </c>
      <c r="AP469" s="79"/>
      <c r="AQ469" s="243" t="str">
        <f t="shared" si="77"/>
        <v/>
      </c>
      <c r="AR469" s="242" t="b">
        <f>IF(AQ469="x",EOMONTH(I469,0))</f>
        <v>0</v>
      </c>
      <c r="AS469" s="79">
        <f t="shared" si="72"/>
        <v>1</v>
      </c>
      <c r="AT469" s="79">
        <f t="shared" si="73"/>
        <v>1</v>
      </c>
      <c r="AU469" s="79" t="str">
        <f t="shared" si="74"/>
        <v>B</v>
      </c>
      <c r="AV469" s="79">
        <f t="shared" si="78"/>
        <v>1</v>
      </c>
      <c r="AW469" s="79" t="str">
        <f>J469&amp;AU469</f>
        <v>6B</v>
      </c>
      <c r="AX469" s="79">
        <f>IF(COUNTIFS(J:J,"Integral",E:E,E469,H:H,"Ativo")=4,1/4,1/10)</f>
        <v>0.1</v>
      </c>
      <c r="AY469" s="79" t="s">
        <v>1320</v>
      </c>
      <c r="AZ469" s="79" t="b">
        <v>1</v>
      </c>
    </row>
    <row r="470" spans="1:52" ht="15.75" customHeight="1">
      <c r="A470" s="54">
        <v>494</v>
      </c>
      <c r="B470" s="403">
        <v>45222</v>
      </c>
      <c r="C470" s="32" t="s">
        <v>1526</v>
      </c>
      <c r="D470" s="32" t="s">
        <v>520</v>
      </c>
      <c r="E470" s="32" t="s">
        <v>235</v>
      </c>
      <c r="F470" s="32" t="s">
        <v>1527</v>
      </c>
      <c r="G470" s="60" t="s">
        <v>220</v>
      </c>
      <c r="H470" s="33" t="s">
        <v>90</v>
      </c>
      <c r="I470" s="34"/>
      <c r="J470" s="33">
        <v>13</v>
      </c>
      <c r="K470" s="35" t="s">
        <v>289</v>
      </c>
      <c r="L470" s="35" t="s">
        <v>289</v>
      </c>
      <c r="M470" s="386" t="s">
        <v>246</v>
      </c>
      <c r="N470" s="33" t="s">
        <v>68</v>
      </c>
      <c r="O470" s="33" t="s">
        <v>12</v>
      </c>
      <c r="P470" s="33" t="s">
        <v>1</v>
      </c>
      <c r="Q470" s="47"/>
      <c r="R470" s="47"/>
      <c r="S470" s="45" t="s">
        <v>143</v>
      </c>
      <c r="T470" s="45"/>
      <c r="U470" s="37">
        <v>45220</v>
      </c>
      <c r="V470" s="38">
        <f t="shared" si="80"/>
        <v>45222</v>
      </c>
      <c r="W470" s="50">
        <f>V470-U470</f>
        <v>2</v>
      </c>
      <c r="X470" s="261">
        <f>Y470*0.91</f>
        <v>1167530</v>
      </c>
      <c r="Y470" s="260">
        <v>1283000</v>
      </c>
      <c r="Z470" s="263">
        <v>1242800</v>
      </c>
      <c r="AA470" s="35" t="s">
        <v>1246</v>
      </c>
      <c r="AB470" s="263"/>
      <c r="AC470" s="44">
        <f>ABS(X470/Y470-1)</f>
        <v>8.9999999999999969E-2</v>
      </c>
      <c r="AD470" s="62">
        <v>3.32E-2</v>
      </c>
      <c r="AE470" s="41">
        <f t="shared" si="82"/>
        <v>5.6799999999999969E-2</v>
      </c>
      <c r="AF470" s="42"/>
      <c r="AG470" s="40">
        <f>IF((X470*AE470)&lt;0,0,(X470*AE470))</f>
        <v>66315.703999999969</v>
      </c>
      <c r="AH470" s="65">
        <f t="shared" si="75"/>
        <v>40200</v>
      </c>
      <c r="AI470" s="66">
        <f>AH470/X470</f>
        <v>3.4431663426207466E-2</v>
      </c>
      <c r="AJ470" s="66">
        <f t="shared" si="76"/>
        <v>3.4431663426207466E-2</v>
      </c>
      <c r="AK470" s="65">
        <f>AF470*X470</f>
        <v>0</v>
      </c>
      <c r="AL470" s="40">
        <f t="shared" si="83"/>
        <v>40200</v>
      </c>
      <c r="AM470" s="242">
        <f t="shared" si="81"/>
        <v>45230</v>
      </c>
      <c r="AN470" s="242" t="str">
        <f>IF(AQ470="x","",IF(AQ470="x",AM470,IF(EOMONTH(I470,0)=31,"",EOMONTH(I470,0))))</f>
        <v/>
      </c>
      <c r="AO470" s="79">
        <f>IFERROR(IF(VLOOKUP(C470,C471:C1071,1,0)=0,1,0),1)</f>
        <v>1</v>
      </c>
      <c r="AP470" s="79"/>
      <c r="AQ470" s="243" t="str">
        <f t="shared" si="77"/>
        <v/>
      </c>
      <c r="AR470" s="242" t="b">
        <f>IF(AQ470="x",EOMONTH(I470,0))</f>
        <v>0</v>
      </c>
      <c r="AS470" s="79">
        <f t="shared" si="72"/>
        <v>1</v>
      </c>
      <c r="AT470" s="79">
        <f t="shared" si="73"/>
        <v>1</v>
      </c>
      <c r="AU470" s="79" t="str">
        <f t="shared" si="74"/>
        <v>A</v>
      </c>
      <c r="AV470" s="79">
        <f t="shared" si="78"/>
        <v>1</v>
      </c>
      <c r="AW470" s="79" t="str">
        <f>J470&amp;AU470</f>
        <v>13A</v>
      </c>
      <c r="AX470" s="79">
        <f>IF(COUNTIFS(J:J,"Integral",E:E,E470,H:H,"Ativo")=4,1/4,1/10)</f>
        <v>0.1</v>
      </c>
      <c r="AY470" s="79" t="s">
        <v>1320</v>
      </c>
      <c r="AZ470" s="79" t="b">
        <v>1</v>
      </c>
    </row>
    <row r="471" spans="1:52" ht="15.75" customHeight="1">
      <c r="A471" s="54">
        <v>495</v>
      </c>
      <c r="B471" s="403">
        <v>45223</v>
      </c>
      <c r="C471" s="32" t="s">
        <v>1528</v>
      </c>
      <c r="D471" s="32" t="s">
        <v>379</v>
      </c>
      <c r="E471" s="32" t="s">
        <v>376</v>
      </c>
      <c r="F471" s="32" t="s">
        <v>1529</v>
      </c>
      <c r="G471" s="60" t="s">
        <v>220</v>
      </c>
      <c r="H471" s="33" t="s">
        <v>90</v>
      </c>
      <c r="I471" s="34"/>
      <c r="J471" s="33">
        <v>13</v>
      </c>
      <c r="K471" s="56" t="s">
        <v>378</v>
      </c>
      <c r="L471" s="35" t="s">
        <v>1293</v>
      </c>
      <c r="M471" s="386" t="s">
        <v>246</v>
      </c>
      <c r="N471" s="33" t="s">
        <v>68</v>
      </c>
      <c r="O471" s="33" t="s">
        <v>12</v>
      </c>
      <c r="P471" s="33" t="s">
        <v>85</v>
      </c>
      <c r="Q471" s="47"/>
      <c r="R471" s="47"/>
      <c r="S471" s="45" t="s">
        <v>147</v>
      </c>
      <c r="T471" s="45"/>
      <c r="U471" s="37">
        <v>45088</v>
      </c>
      <c r="V471" s="38">
        <f t="shared" si="80"/>
        <v>45223</v>
      </c>
      <c r="W471" s="50">
        <f>V471-U471</f>
        <v>135</v>
      </c>
      <c r="X471" s="261">
        <f>Y471*0.91</f>
        <v>1167530</v>
      </c>
      <c r="Y471" s="260">
        <v>1283000</v>
      </c>
      <c r="Z471" s="263">
        <v>1180000</v>
      </c>
      <c r="AA471" s="35"/>
      <c r="AB471" s="263"/>
      <c r="AC471" s="44">
        <f>ABS(X471/Y471-1)</f>
        <v>8.9999999999999969E-2</v>
      </c>
      <c r="AD471" s="62">
        <v>0.109</v>
      </c>
      <c r="AE471" s="41">
        <f t="shared" si="82"/>
        <v>-1.9000000000000031E-2</v>
      </c>
      <c r="AF471" s="42">
        <v>1.9E-2</v>
      </c>
      <c r="AG471" s="40">
        <f>IF((X471*AE471)&lt;0,0,(X471*AE471))</f>
        <v>0</v>
      </c>
      <c r="AH471" s="65">
        <f t="shared" si="75"/>
        <v>103000</v>
      </c>
      <c r="AI471" s="66">
        <f>AH471/X471</f>
        <v>8.8220431166650959E-2</v>
      </c>
      <c r="AJ471" s="66">
        <f t="shared" si="76"/>
        <v>6.9220431166650956E-2</v>
      </c>
      <c r="AK471" s="65">
        <f>AF471*X471</f>
        <v>22183.07</v>
      </c>
      <c r="AL471" s="40">
        <f t="shared" si="83"/>
        <v>80816.929999999993</v>
      </c>
      <c r="AM471" s="242">
        <f t="shared" si="81"/>
        <v>45230</v>
      </c>
      <c r="AN471" s="242" t="str">
        <f>IF(AQ471="x","",IF(AQ471="x",AM471,IF(EOMONTH(I471,0)=31,"",EOMONTH(I471,0))))</f>
        <v/>
      </c>
      <c r="AO471" s="79">
        <f>IFERROR(IF(VLOOKUP(C471,C472:C1072,1,0)=0,1,0),1)</f>
        <v>1</v>
      </c>
      <c r="AP471" s="79"/>
      <c r="AQ471" s="243" t="str">
        <f t="shared" si="77"/>
        <v/>
      </c>
      <c r="AR471" s="242" t="b">
        <f>IF(AQ471="x",EOMONTH(I471,0))</f>
        <v>0</v>
      </c>
      <c r="AS471" s="79">
        <f t="shared" si="72"/>
        <v>1</v>
      </c>
      <c r="AT471" s="79">
        <f t="shared" si="73"/>
        <v>1</v>
      </c>
      <c r="AU471" s="79" t="str">
        <f t="shared" si="74"/>
        <v>A</v>
      </c>
      <c r="AV471" s="79">
        <f t="shared" si="78"/>
        <v>1</v>
      </c>
      <c r="AW471" s="79" t="str">
        <f>J471&amp;AU471</f>
        <v>13A</v>
      </c>
      <c r="AX471" s="79">
        <f>IF(COUNTIFS(J:J,"Integral",E:E,E471,H:H,"Ativo")=4,1/4,1/10)</f>
        <v>0.1</v>
      </c>
      <c r="AY471" s="79" t="s">
        <v>1332</v>
      </c>
      <c r="AZ471" s="79" t="b">
        <v>1</v>
      </c>
    </row>
    <row r="472" spans="1:52" ht="15.75" customHeight="1">
      <c r="A472" s="54">
        <v>496</v>
      </c>
      <c r="B472" s="403">
        <v>45223</v>
      </c>
      <c r="C472" s="32" t="s">
        <v>1530</v>
      </c>
      <c r="D472" s="32" t="s">
        <v>940</v>
      </c>
      <c r="E472" s="32" t="s">
        <v>700</v>
      </c>
      <c r="F472" s="32" t="s">
        <v>1531</v>
      </c>
      <c r="G472" s="60" t="s">
        <v>220</v>
      </c>
      <c r="H472" s="33" t="s">
        <v>90</v>
      </c>
      <c r="I472" s="34"/>
      <c r="J472" s="33">
        <v>6</v>
      </c>
      <c r="K472" s="35" t="s">
        <v>1026</v>
      </c>
      <c r="L472" s="35" t="s">
        <v>1026</v>
      </c>
      <c r="M472" s="386" t="s">
        <v>1259</v>
      </c>
      <c r="N472" s="33" t="s">
        <v>68</v>
      </c>
      <c r="O472" s="33" t="s">
        <v>12</v>
      </c>
      <c r="P472" s="33" t="s">
        <v>2</v>
      </c>
      <c r="Q472" s="47"/>
      <c r="R472" s="47"/>
      <c r="S472" s="45" t="s">
        <v>147</v>
      </c>
      <c r="T472" s="45"/>
      <c r="U472" s="68">
        <v>45223</v>
      </c>
      <c r="V472" s="48">
        <f t="shared" si="80"/>
        <v>45223</v>
      </c>
      <c r="W472" s="50">
        <f>V472-U472</f>
        <v>0</v>
      </c>
      <c r="X472" s="261">
        <f>Y472*0.91</f>
        <v>342160</v>
      </c>
      <c r="Y472" s="260">
        <v>376000</v>
      </c>
      <c r="Z472" s="263">
        <v>376000</v>
      </c>
      <c r="AA472" s="35"/>
      <c r="AB472" s="263"/>
      <c r="AC472" s="44">
        <f>ABS(X472/Y472-1)</f>
        <v>8.9999999999999969E-2</v>
      </c>
      <c r="AD472" s="62">
        <v>1.52E-2</v>
      </c>
      <c r="AE472" s="41">
        <f t="shared" si="82"/>
        <v>7.4799999999999964E-2</v>
      </c>
      <c r="AF472" s="42"/>
      <c r="AG472" s="40">
        <f>IF((X472*AE472)&lt;0,0,(X472*AE472))</f>
        <v>25593.567999999988</v>
      </c>
      <c r="AH472" s="65">
        <f t="shared" si="75"/>
        <v>0</v>
      </c>
      <c r="AI472" s="66">
        <f>AH472/X472</f>
        <v>0</v>
      </c>
      <c r="AJ472" s="66">
        <f t="shared" si="76"/>
        <v>0</v>
      </c>
      <c r="AK472" s="65">
        <f>AF472*X472</f>
        <v>0</v>
      </c>
      <c r="AL472" s="40">
        <f t="shared" si="83"/>
        <v>0</v>
      </c>
      <c r="AM472" s="242">
        <f t="shared" si="81"/>
        <v>45230</v>
      </c>
      <c r="AN472" s="242" t="str">
        <f>IF(AQ472="x","",IF(AQ472="x",AM472,IF(EOMONTH(I472,0)=31,"",EOMONTH(I472,0))))</f>
        <v/>
      </c>
      <c r="AO472" s="79">
        <f>IFERROR(IF(VLOOKUP(C472,C473:C1073,1,0)=0,1,0),1)</f>
        <v>1</v>
      </c>
      <c r="AP472" s="79"/>
      <c r="AQ472" s="243" t="str">
        <f t="shared" si="77"/>
        <v/>
      </c>
      <c r="AR472" s="242" t="b">
        <f>IF(AQ472="x",EOMONTH(I472,0))</f>
        <v>0</v>
      </c>
      <c r="AS472" s="79">
        <f t="shared" si="72"/>
        <v>1</v>
      </c>
      <c r="AT472" s="79">
        <f t="shared" si="73"/>
        <v>1</v>
      </c>
      <c r="AU472" s="79" t="str">
        <f t="shared" si="74"/>
        <v>B</v>
      </c>
      <c r="AV472" s="79">
        <f t="shared" si="78"/>
        <v>1</v>
      </c>
      <c r="AW472" s="79" t="str">
        <f>J472&amp;AU472</f>
        <v>6B</v>
      </c>
      <c r="AX472" s="79">
        <f>IF(COUNTIFS(J:J,"Integral",E:E,E472,H:H,"Ativo")=4,1/4,1/10)</f>
        <v>0.1</v>
      </c>
      <c r="AY472" s="79" t="s">
        <v>1332</v>
      </c>
      <c r="AZ472" s="79" t="b">
        <v>1</v>
      </c>
    </row>
    <row r="473" spans="1:52" ht="15.75" customHeight="1">
      <c r="A473" s="54">
        <v>497</v>
      </c>
      <c r="B473" s="403">
        <v>45224</v>
      </c>
      <c r="C473" s="32" t="s">
        <v>1532</v>
      </c>
      <c r="D473" s="32" t="s">
        <v>1533</v>
      </c>
      <c r="E473" s="32" t="s">
        <v>700</v>
      </c>
      <c r="F473" s="32" t="s">
        <v>1534</v>
      </c>
      <c r="G473" s="60" t="s">
        <v>220</v>
      </c>
      <c r="H473" s="33" t="s">
        <v>90</v>
      </c>
      <c r="I473" s="34"/>
      <c r="J473" s="33">
        <v>6</v>
      </c>
      <c r="K473" s="35" t="s">
        <v>1460</v>
      </c>
      <c r="L473" s="35" t="s">
        <v>1460</v>
      </c>
      <c r="M473" s="386" t="s">
        <v>1259</v>
      </c>
      <c r="N473" s="33" t="s">
        <v>68</v>
      </c>
      <c r="O473" s="33" t="s">
        <v>12</v>
      </c>
      <c r="P473" s="33" t="s">
        <v>1</v>
      </c>
      <c r="Q473" s="47"/>
      <c r="R473" s="47"/>
      <c r="S473" s="45" t="s">
        <v>144</v>
      </c>
      <c r="T473" s="45"/>
      <c r="U473" s="68">
        <v>45221</v>
      </c>
      <c r="V473" s="48">
        <f t="shared" si="80"/>
        <v>45224</v>
      </c>
      <c r="W473" s="50">
        <f>V473-U473</f>
        <v>3</v>
      </c>
      <c r="X473" s="261">
        <f>Y473*0.91</f>
        <v>342160</v>
      </c>
      <c r="Y473" s="260">
        <v>376000</v>
      </c>
      <c r="Z473" s="263">
        <v>376000</v>
      </c>
      <c r="AA473" s="56" t="s">
        <v>1210</v>
      </c>
      <c r="AB473" s="263"/>
      <c r="AC473" s="44">
        <f>ABS(X473/Y473-1)</f>
        <v>8.9999999999999969E-2</v>
      </c>
      <c r="AD473" s="62">
        <v>0</v>
      </c>
      <c r="AE473" s="41">
        <f t="shared" si="82"/>
        <v>8.9999999999999969E-2</v>
      </c>
      <c r="AF473" s="42"/>
      <c r="AG473" s="40">
        <f>IF((X473*AE473)&lt;0,0,(X473*AE473))</f>
        <v>30794.399999999991</v>
      </c>
      <c r="AH473" s="65">
        <f t="shared" si="75"/>
        <v>0</v>
      </c>
      <c r="AI473" s="66">
        <f>AH473/X473</f>
        <v>0</v>
      </c>
      <c r="AJ473" s="66">
        <f t="shared" si="76"/>
        <v>0</v>
      </c>
      <c r="AK473" s="65">
        <f>AF473*X473</f>
        <v>0</v>
      </c>
      <c r="AL473" s="40">
        <f t="shared" si="83"/>
        <v>0</v>
      </c>
      <c r="AM473" s="242">
        <f t="shared" si="81"/>
        <v>45230</v>
      </c>
      <c r="AN473" s="242" t="str">
        <f>IF(AQ473="x","",IF(AQ473="x",AM473,IF(EOMONTH(I473,0)=31,"",EOMONTH(I473,0))))</f>
        <v/>
      </c>
      <c r="AO473" s="79">
        <f>IFERROR(IF(VLOOKUP(C473,C474:C1074,1,0)=0,1,0),1)</f>
        <v>1</v>
      </c>
      <c r="AP473" s="79"/>
      <c r="AQ473" s="243" t="str">
        <f t="shared" si="77"/>
        <v/>
      </c>
      <c r="AR473" s="242" t="b">
        <f>IF(AQ473="x",EOMONTH(I473,0))</f>
        <v>0</v>
      </c>
      <c r="AS473" s="79">
        <f t="shared" si="72"/>
        <v>1</v>
      </c>
      <c r="AT473" s="79">
        <f t="shared" si="73"/>
        <v>1</v>
      </c>
      <c r="AU473" s="79" t="str">
        <f t="shared" si="74"/>
        <v>B</v>
      </c>
      <c r="AV473" s="79">
        <f t="shared" si="78"/>
        <v>1</v>
      </c>
      <c r="AW473" s="79" t="str">
        <f>J473&amp;AU473</f>
        <v>6B</v>
      </c>
      <c r="AX473" s="79">
        <f>IF(COUNTIFS(J:J,"Integral",E:E,E473,H:H,"Ativo")=4,1/4,1/10)</f>
        <v>0.1</v>
      </c>
      <c r="AY473" s="79" t="s">
        <v>1535</v>
      </c>
      <c r="AZ473" s="79" t="b">
        <v>1</v>
      </c>
    </row>
    <row r="474" spans="1:52" ht="15.75" customHeight="1">
      <c r="A474" s="54">
        <v>498</v>
      </c>
      <c r="B474" s="403">
        <v>45224</v>
      </c>
      <c r="C474" s="32" t="s">
        <v>1536</v>
      </c>
      <c r="D474" s="32" t="s">
        <v>1537</v>
      </c>
      <c r="E474" s="32" t="s">
        <v>1538</v>
      </c>
      <c r="F474" s="32" t="s">
        <v>1539</v>
      </c>
      <c r="G474" s="60" t="s">
        <v>220</v>
      </c>
      <c r="H474" s="33" t="s">
        <v>90</v>
      </c>
      <c r="I474" s="34"/>
      <c r="J474" s="33" t="s">
        <v>6</v>
      </c>
      <c r="K474" s="35" t="s">
        <v>273</v>
      </c>
      <c r="L474" s="35" t="s">
        <v>273</v>
      </c>
      <c r="M474" s="386" t="s">
        <v>1259</v>
      </c>
      <c r="N474" s="33" t="s">
        <v>68</v>
      </c>
      <c r="O474" s="33" t="s">
        <v>1235</v>
      </c>
      <c r="P474" s="33" t="s">
        <v>2</v>
      </c>
      <c r="Q474" s="47"/>
      <c r="R474" s="47"/>
      <c r="S474" s="45" t="s">
        <v>148</v>
      </c>
      <c r="T474" s="45"/>
      <c r="U474" s="37">
        <v>45139</v>
      </c>
      <c r="V474" s="38">
        <f t="shared" si="80"/>
        <v>45224</v>
      </c>
      <c r="W474" s="50">
        <f>V474-U474</f>
        <v>85</v>
      </c>
      <c r="X474" s="261">
        <f>Y474*0.91</f>
        <v>310856</v>
      </c>
      <c r="Y474" s="260">
        <v>341600</v>
      </c>
      <c r="Z474" s="263">
        <v>294000</v>
      </c>
      <c r="AA474" s="56"/>
      <c r="AB474" s="263"/>
      <c r="AC474" s="44">
        <f>ABS(X474/Y474-1)</f>
        <v>8.9999999999999969E-2</v>
      </c>
      <c r="AD474" s="62">
        <v>0.1449</v>
      </c>
      <c r="AE474" s="41">
        <f t="shared" si="82"/>
        <v>-5.4900000000000032E-2</v>
      </c>
      <c r="AF474" s="42">
        <v>5.4899999999999997E-2</v>
      </c>
      <c r="AG474" s="40">
        <f>IF((X474*AE474)&lt;0,0,(X474*AE474))</f>
        <v>0</v>
      </c>
      <c r="AH474" s="65">
        <f t="shared" si="75"/>
        <v>47600</v>
      </c>
      <c r="AI474" s="66">
        <f>AH474/X474</f>
        <v>0.15312556296162855</v>
      </c>
      <c r="AJ474" s="66">
        <f t="shared" si="76"/>
        <v>9.8225562961628543E-2</v>
      </c>
      <c r="AK474" s="65">
        <f>AF474*X474</f>
        <v>17065.9944</v>
      </c>
      <c r="AL474" s="40">
        <f t="shared" si="83"/>
        <v>30534.0056</v>
      </c>
      <c r="AM474" s="242">
        <f t="shared" si="81"/>
        <v>45230</v>
      </c>
      <c r="AN474" s="242" t="str">
        <f>IF(AQ474="x","",IF(AQ474="x",AM474,IF(EOMONTH(I474,0)=31,"",EOMONTH(I474,0))))</f>
        <v/>
      </c>
      <c r="AO474" s="79">
        <f>IFERROR(IF(VLOOKUP(C474,C475:C1075,1,0)=0,1,0),1)</f>
        <v>0</v>
      </c>
      <c r="AP474" s="79"/>
      <c r="AQ474" s="243" t="str">
        <f t="shared" si="77"/>
        <v/>
      </c>
      <c r="AR474" s="242" t="b">
        <f>IF(AQ474="x",EOMONTH(I474,0))</f>
        <v>0</v>
      </c>
      <c r="AS474" s="79">
        <f t="shared" si="72"/>
        <v>1</v>
      </c>
      <c r="AT474" s="79">
        <f t="shared" si="73"/>
        <v>1</v>
      </c>
      <c r="AU474" s="79" t="str">
        <f t="shared" si="74"/>
        <v>B</v>
      </c>
      <c r="AV474" s="79">
        <f t="shared" si="78"/>
        <v>1</v>
      </c>
      <c r="AW474" s="79" t="str">
        <f>J474&amp;AU474</f>
        <v>IntegralB</v>
      </c>
      <c r="AX474" s="79">
        <f>IF(COUNTIFS(J:J,"Integral",E:E,E474,H:H,"Ativo")=4,1/4,1/10)</f>
        <v>0.1</v>
      </c>
      <c r="AY474" s="79" t="s">
        <v>1332</v>
      </c>
      <c r="AZ474" s="79" t="b">
        <v>1</v>
      </c>
    </row>
    <row r="475" spans="1:52" ht="15.75" customHeight="1">
      <c r="A475" s="54">
        <v>499</v>
      </c>
      <c r="B475" s="403">
        <v>45224</v>
      </c>
      <c r="C475" s="32" t="s">
        <v>1536</v>
      </c>
      <c r="D475" s="32" t="s">
        <v>1540</v>
      </c>
      <c r="E475" s="32" t="s">
        <v>1541</v>
      </c>
      <c r="F475" s="32" t="s">
        <v>1542</v>
      </c>
      <c r="G475" s="60" t="s">
        <v>220</v>
      </c>
      <c r="H475" s="33" t="s">
        <v>90</v>
      </c>
      <c r="I475" s="34"/>
      <c r="J475" s="33" t="s">
        <v>6</v>
      </c>
      <c r="K475" s="35" t="s">
        <v>273</v>
      </c>
      <c r="L475" s="35" t="s">
        <v>273</v>
      </c>
      <c r="M475" s="386" t="s">
        <v>1259</v>
      </c>
      <c r="N475" s="33" t="s">
        <v>68</v>
      </c>
      <c r="O475" s="33" t="s">
        <v>1235</v>
      </c>
      <c r="P475" s="33" t="s">
        <v>2</v>
      </c>
      <c r="Q475" s="47"/>
      <c r="R475" s="47"/>
      <c r="S475" s="45" t="s">
        <v>148</v>
      </c>
      <c r="T475" s="45"/>
      <c r="U475" s="37">
        <v>45139</v>
      </c>
      <c r="V475" s="38">
        <f t="shared" si="80"/>
        <v>45224</v>
      </c>
      <c r="W475" s="50">
        <f>V475-U475</f>
        <v>85</v>
      </c>
      <c r="X475" s="261">
        <f>Y475*0.91</f>
        <v>322504</v>
      </c>
      <c r="Y475" s="260">
        <v>354400</v>
      </c>
      <c r="Z475" s="263">
        <v>294000</v>
      </c>
      <c r="AA475" s="56"/>
      <c r="AB475" s="263"/>
      <c r="AC475" s="44">
        <f>ABS(X475/Y475-1)</f>
        <v>8.9999999999999969E-2</v>
      </c>
      <c r="AD475" s="62">
        <v>0.17580000000000001</v>
      </c>
      <c r="AE475" s="41">
        <f t="shared" si="82"/>
        <v>-8.5800000000000043E-2</v>
      </c>
      <c r="AF475" s="42">
        <v>8.5800000000000001E-2</v>
      </c>
      <c r="AG475" s="40">
        <f>IF((X475*AE475)&lt;0,0,(X475*AE475))</f>
        <v>0</v>
      </c>
      <c r="AH475" s="65">
        <f t="shared" si="75"/>
        <v>60400</v>
      </c>
      <c r="AI475" s="66">
        <f>AH475/X475</f>
        <v>0.18728449879691414</v>
      </c>
      <c r="AJ475" s="66">
        <f t="shared" si="76"/>
        <v>0.10148449879691414</v>
      </c>
      <c r="AK475" s="65">
        <f>AF475*X475</f>
        <v>27670.843199999999</v>
      </c>
      <c r="AL475" s="40">
        <f t="shared" si="83"/>
        <v>32729.156800000001</v>
      </c>
      <c r="AM475" s="242">
        <f t="shared" si="81"/>
        <v>45230</v>
      </c>
      <c r="AN475" s="242" t="str">
        <f>IF(AQ475="x","",IF(AQ475="x",AM475,IF(EOMONTH(I475,0)=31,"",EOMONTH(I475,0))))</f>
        <v/>
      </c>
      <c r="AO475" s="79">
        <f>IFERROR(IF(VLOOKUP(C475,C476:C1076,1,0)=0,1,0),1)</f>
        <v>0</v>
      </c>
      <c r="AP475" s="79"/>
      <c r="AQ475" s="243" t="str">
        <f t="shared" si="77"/>
        <v/>
      </c>
      <c r="AR475" s="242" t="b">
        <f>IF(AQ475="x",EOMONTH(I475,0))</f>
        <v>0</v>
      </c>
      <c r="AS475" s="79">
        <f t="shared" si="72"/>
        <v>1</v>
      </c>
      <c r="AT475" s="79">
        <f t="shared" si="73"/>
        <v>1</v>
      </c>
      <c r="AU475" s="79" t="str">
        <f t="shared" si="74"/>
        <v>B</v>
      </c>
      <c r="AV475" s="79">
        <f t="shared" si="78"/>
        <v>1</v>
      </c>
      <c r="AW475" s="79" t="str">
        <f>J475&amp;AU475</f>
        <v>IntegralB</v>
      </c>
      <c r="AX475" s="79">
        <f>IF(COUNTIFS(J:J,"Integral",E:E,E475,H:H,"Ativo")=4,1/4,1/10)</f>
        <v>0.1</v>
      </c>
      <c r="AY475" s="79" t="s">
        <v>1332</v>
      </c>
      <c r="AZ475" s="79" t="b">
        <v>1</v>
      </c>
    </row>
    <row r="476" spans="1:52" ht="15.75" customHeight="1">
      <c r="A476" s="54">
        <v>500</v>
      </c>
      <c r="B476" s="403">
        <v>45224</v>
      </c>
      <c r="C476" s="32" t="s">
        <v>1536</v>
      </c>
      <c r="D476" s="32" t="s">
        <v>1543</v>
      </c>
      <c r="E476" s="32" t="s">
        <v>1538</v>
      </c>
      <c r="F476" s="32" t="s">
        <v>1544</v>
      </c>
      <c r="G476" s="60" t="s">
        <v>220</v>
      </c>
      <c r="H476" s="33" t="s">
        <v>90</v>
      </c>
      <c r="I476" s="34"/>
      <c r="J476" s="33" t="s">
        <v>6</v>
      </c>
      <c r="K476" s="35" t="s">
        <v>273</v>
      </c>
      <c r="L476" s="35" t="s">
        <v>273</v>
      </c>
      <c r="M476" s="386" t="s">
        <v>1259</v>
      </c>
      <c r="N476" s="33" t="s">
        <v>68</v>
      </c>
      <c r="O476" s="33" t="s">
        <v>1235</v>
      </c>
      <c r="P476" s="33" t="s">
        <v>2</v>
      </c>
      <c r="Q476" s="47"/>
      <c r="R476" s="47"/>
      <c r="S476" s="45" t="s">
        <v>148</v>
      </c>
      <c r="T476" s="45"/>
      <c r="U476" s="37">
        <v>45139</v>
      </c>
      <c r="V476" s="38">
        <f t="shared" si="80"/>
        <v>45224</v>
      </c>
      <c r="W476" s="50">
        <f>V476-U476</f>
        <v>85</v>
      </c>
      <c r="X476" s="261">
        <f>Y476*0.91</f>
        <v>310856</v>
      </c>
      <c r="Y476" s="260">
        <v>341600</v>
      </c>
      <c r="Z476" s="263">
        <v>294000</v>
      </c>
      <c r="AA476" s="56"/>
      <c r="AB476" s="263"/>
      <c r="AC476" s="44">
        <f>ABS(X476/Y476-1)</f>
        <v>8.9999999999999969E-2</v>
      </c>
      <c r="AD476" s="62">
        <v>0.1449</v>
      </c>
      <c r="AE476" s="41">
        <f t="shared" si="82"/>
        <v>-5.4900000000000032E-2</v>
      </c>
      <c r="AF476" s="42">
        <v>5.4899999999999997E-2</v>
      </c>
      <c r="AG476" s="40">
        <f>IF((X476*AE476)&lt;0,0,(X476*AE476))</f>
        <v>0</v>
      </c>
      <c r="AH476" s="65">
        <f t="shared" si="75"/>
        <v>47600</v>
      </c>
      <c r="AI476" s="66">
        <f>AH476/X476</f>
        <v>0.15312556296162855</v>
      </c>
      <c r="AJ476" s="66">
        <f t="shared" si="76"/>
        <v>9.8225562961628543E-2</v>
      </c>
      <c r="AK476" s="65">
        <f>AF476*X476</f>
        <v>17065.9944</v>
      </c>
      <c r="AL476" s="40">
        <f t="shared" si="83"/>
        <v>30534.0056</v>
      </c>
      <c r="AM476" s="242">
        <f t="shared" si="81"/>
        <v>45230</v>
      </c>
      <c r="AN476" s="242" t="str">
        <f>IF(AQ476="x","",IF(AQ476="x",AM476,IF(EOMONTH(I476,0)=31,"",EOMONTH(I476,0))))</f>
        <v/>
      </c>
      <c r="AO476" s="79">
        <f>IFERROR(IF(VLOOKUP(C476,C477:C1077,1,0)=0,1,0),1)</f>
        <v>0</v>
      </c>
      <c r="AP476" s="79"/>
      <c r="AQ476" s="243" t="str">
        <f t="shared" si="77"/>
        <v/>
      </c>
      <c r="AR476" s="242" t="b">
        <f>IF(AQ476="x",EOMONTH(I476,0))</f>
        <v>0</v>
      </c>
      <c r="AS476" s="79">
        <f t="shared" si="72"/>
        <v>1</v>
      </c>
      <c r="AT476" s="79">
        <f t="shared" si="73"/>
        <v>1</v>
      </c>
      <c r="AU476" s="79" t="str">
        <f t="shared" si="74"/>
        <v>B</v>
      </c>
      <c r="AV476" s="79">
        <f t="shared" si="78"/>
        <v>1</v>
      </c>
      <c r="AW476" s="79" t="str">
        <f>J476&amp;AU476</f>
        <v>IntegralB</v>
      </c>
      <c r="AX476" s="79">
        <f>IF(COUNTIFS(J:J,"Integral",E:E,E476,H:H,"Ativo")=4,1/4,1/10)</f>
        <v>0.1</v>
      </c>
      <c r="AY476" s="79" t="s">
        <v>1332</v>
      </c>
      <c r="AZ476" s="79" t="b">
        <v>1</v>
      </c>
    </row>
    <row r="477" spans="1:52" ht="15.75" customHeight="1">
      <c r="A477" s="54">
        <v>501</v>
      </c>
      <c r="B477" s="403">
        <v>45224</v>
      </c>
      <c r="C477" s="32" t="s">
        <v>1536</v>
      </c>
      <c r="D477" s="32" t="s">
        <v>1545</v>
      </c>
      <c r="E477" s="32" t="s">
        <v>1538</v>
      </c>
      <c r="F477" s="32" t="s">
        <v>1546</v>
      </c>
      <c r="G477" s="60" t="s">
        <v>220</v>
      </c>
      <c r="H477" s="33" t="s">
        <v>90</v>
      </c>
      <c r="I477" s="34"/>
      <c r="J477" s="33" t="s">
        <v>6</v>
      </c>
      <c r="K477" s="35" t="s">
        <v>273</v>
      </c>
      <c r="L477" s="35" t="s">
        <v>273</v>
      </c>
      <c r="M477" s="386" t="s">
        <v>1259</v>
      </c>
      <c r="N477" s="33" t="s">
        <v>68</v>
      </c>
      <c r="O477" s="33" t="s">
        <v>1235</v>
      </c>
      <c r="P477" s="33" t="s">
        <v>2</v>
      </c>
      <c r="Q477" s="47"/>
      <c r="R477" s="47"/>
      <c r="S477" s="45" t="s">
        <v>148</v>
      </c>
      <c r="T477" s="45"/>
      <c r="U477" s="37">
        <v>45139</v>
      </c>
      <c r="V477" s="38">
        <f t="shared" si="80"/>
        <v>45224</v>
      </c>
      <c r="W477" s="50">
        <f>V477-U477</f>
        <v>85</v>
      </c>
      <c r="X477" s="261">
        <f>Y477*0.91</f>
        <v>310856</v>
      </c>
      <c r="Y477" s="260">
        <v>341600</v>
      </c>
      <c r="Z477" s="263">
        <v>294000</v>
      </c>
      <c r="AA477" s="56"/>
      <c r="AB477" s="263"/>
      <c r="AC477" s="44">
        <f>ABS(X477/Y477-1)</f>
        <v>8.9999999999999969E-2</v>
      </c>
      <c r="AD477" s="62">
        <v>0.1449</v>
      </c>
      <c r="AE477" s="41">
        <f t="shared" si="82"/>
        <v>-5.4900000000000032E-2</v>
      </c>
      <c r="AF477" s="42">
        <v>5.4899999999999997E-2</v>
      </c>
      <c r="AG477" s="40">
        <f>IF((X477*AE477)&lt;0,0,(X477*AE477))</f>
        <v>0</v>
      </c>
      <c r="AH477" s="65">
        <f t="shared" si="75"/>
        <v>47600</v>
      </c>
      <c r="AI477" s="66">
        <f>AH477/X477</f>
        <v>0.15312556296162855</v>
      </c>
      <c r="AJ477" s="66">
        <f t="shared" si="76"/>
        <v>9.8225562961628543E-2</v>
      </c>
      <c r="AK477" s="65">
        <f>AF477*X477</f>
        <v>17065.9944</v>
      </c>
      <c r="AL477" s="40">
        <f t="shared" si="83"/>
        <v>30534.0056</v>
      </c>
      <c r="AM477" s="242">
        <f t="shared" si="81"/>
        <v>45230</v>
      </c>
      <c r="AN477" s="242" t="str">
        <f>IF(AQ477="x","",IF(AQ477="x",AM477,IF(EOMONTH(I477,0)=31,"",EOMONTH(I477,0))))</f>
        <v/>
      </c>
      <c r="AO477" s="79">
        <f>IFERROR(IF(VLOOKUP(C477,C478:C1078,1,0)=0,1,0),1)</f>
        <v>0</v>
      </c>
      <c r="AP477" s="79"/>
      <c r="AQ477" s="243" t="str">
        <f t="shared" si="77"/>
        <v/>
      </c>
      <c r="AR477" s="242" t="b">
        <f>IF(AQ477="x",EOMONTH(I477,0))</f>
        <v>0</v>
      </c>
      <c r="AS477" s="79">
        <f t="shared" si="72"/>
        <v>1</v>
      </c>
      <c r="AT477" s="79">
        <f t="shared" si="73"/>
        <v>1</v>
      </c>
      <c r="AU477" s="79" t="str">
        <f t="shared" si="74"/>
        <v>B</v>
      </c>
      <c r="AV477" s="79">
        <f t="shared" si="78"/>
        <v>1</v>
      </c>
      <c r="AW477" s="79" t="str">
        <f>J477&amp;AU477</f>
        <v>IntegralB</v>
      </c>
      <c r="AX477" s="79">
        <f>IF(COUNTIFS(J:J,"Integral",E:E,E477,H:H,"Ativo")=4,1/4,1/10)</f>
        <v>0.1</v>
      </c>
      <c r="AY477" s="79" t="s">
        <v>1332</v>
      </c>
      <c r="AZ477" s="79" t="b">
        <v>1</v>
      </c>
    </row>
    <row r="478" spans="1:52" ht="15.75" customHeight="1">
      <c r="A478" s="54">
        <v>502</v>
      </c>
      <c r="B478" s="403">
        <v>45224</v>
      </c>
      <c r="C478" s="32" t="s">
        <v>1536</v>
      </c>
      <c r="D478" s="32" t="s">
        <v>1547</v>
      </c>
      <c r="E478" s="32" t="s">
        <v>1538</v>
      </c>
      <c r="F478" s="32" t="s">
        <v>1548</v>
      </c>
      <c r="G478" s="60" t="s">
        <v>220</v>
      </c>
      <c r="H478" s="33" t="s">
        <v>90</v>
      </c>
      <c r="I478" s="34"/>
      <c r="J478" s="33" t="s">
        <v>6</v>
      </c>
      <c r="K478" s="35" t="s">
        <v>273</v>
      </c>
      <c r="L478" s="35" t="s">
        <v>273</v>
      </c>
      <c r="M478" s="386" t="s">
        <v>1259</v>
      </c>
      <c r="N478" s="33" t="s">
        <v>68</v>
      </c>
      <c r="O478" s="33" t="s">
        <v>1235</v>
      </c>
      <c r="P478" s="33" t="s">
        <v>2</v>
      </c>
      <c r="Q478" s="47"/>
      <c r="R478" s="47"/>
      <c r="S478" s="45" t="s">
        <v>148</v>
      </c>
      <c r="T478" s="45"/>
      <c r="U478" s="37">
        <v>45139</v>
      </c>
      <c r="V478" s="38">
        <f t="shared" si="80"/>
        <v>45224</v>
      </c>
      <c r="W478" s="50">
        <f>V478-U478</f>
        <v>85</v>
      </c>
      <c r="X478" s="261">
        <f>Y478*0.91</f>
        <v>310856</v>
      </c>
      <c r="Y478" s="260">
        <v>341600</v>
      </c>
      <c r="Z478" s="263">
        <v>294000</v>
      </c>
      <c r="AA478" s="56"/>
      <c r="AB478" s="263"/>
      <c r="AC478" s="44">
        <f>ABS(X478/Y478-1)</f>
        <v>8.9999999999999969E-2</v>
      </c>
      <c r="AD478" s="62">
        <v>0.1449</v>
      </c>
      <c r="AE478" s="41">
        <f t="shared" si="82"/>
        <v>-5.4900000000000032E-2</v>
      </c>
      <c r="AF478" s="42">
        <v>5.4899999999999997E-2</v>
      </c>
      <c r="AG478" s="40">
        <f>IF((X478*AE478)&lt;0,0,(X478*AE478))</f>
        <v>0</v>
      </c>
      <c r="AH478" s="65">
        <f t="shared" si="75"/>
        <v>47600</v>
      </c>
      <c r="AI478" s="66">
        <f>AH478/X478</f>
        <v>0.15312556296162855</v>
      </c>
      <c r="AJ478" s="66">
        <f t="shared" si="76"/>
        <v>9.8225562961628543E-2</v>
      </c>
      <c r="AK478" s="65">
        <f>AF478*X478</f>
        <v>17065.9944</v>
      </c>
      <c r="AL478" s="40">
        <f t="shared" si="83"/>
        <v>30534.0056</v>
      </c>
      <c r="AM478" s="242">
        <f t="shared" si="81"/>
        <v>45230</v>
      </c>
      <c r="AN478" s="242" t="str">
        <f>IF(AQ478="x","",IF(AQ478="x",AM478,IF(EOMONTH(I478,0)=31,"",EOMONTH(I478,0))))</f>
        <v/>
      </c>
      <c r="AO478" s="79">
        <f>IFERROR(IF(VLOOKUP(C478,C479:C1079,1,0)=0,1,0),1)</f>
        <v>0</v>
      </c>
      <c r="AP478" s="79"/>
      <c r="AQ478" s="243" t="str">
        <f t="shared" si="77"/>
        <v/>
      </c>
      <c r="AR478" s="242" t="b">
        <f>IF(AQ478="x",EOMONTH(I478,0))</f>
        <v>0</v>
      </c>
      <c r="AS478" s="79">
        <f t="shared" si="72"/>
        <v>1</v>
      </c>
      <c r="AT478" s="79">
        <f t="shared" si="73"/>
        <v>1</v>
      </c>
      <c r="AU478" s="79" t="str">
        <f t="shared" si="74"/>
        <v>B</v>
      </c>
      <c r="AV478" s="79">
        <f t="shared" si="78"/>
        <v>1</v>
      </c>
      <c r="AW478" s="79" t="str">
        <f>J478&amp;AU478</f>
        <v>IntegralB</v>
      </c>
      <c r="AX478" s="79">
        <f>IF(COUNTIFS(J:J,"Integral",E:E,E478,H:H,"Ativo")=4,1/4,1/10)</f>
        <v>0.1</v>
      </c>
      <c r="AY478" s="79" t="s">
        <v>1332</v>
      </c>
      <c r="AZ478" s="79" t="b">
        <v>1</v>
      </c>
    </row>
    <row r="479" spans="1:52" ht="15.75" customHeight="1">
      <c r="A479" s="54">
        <v>503</v>
      </c>
      <c r="B479" s="403">
        <v>45224</v>
      </c>
      <c r="C479" s="32" t="s">
        <v>1536</v>
      </c>
      <c r="D479" s="32" t="s">
        <v>1549</v>
      </c>
      <c r="E479" s="32" t="s">
        <v>1538</v>
      </c>
      <c r="F479" s="32" t="s">
        <v>1550</v>
      </c>
      <c r="G479" s="60" t="s">
        <v>220</v>
      </c>
      <c r="H479" s="33" t="s">
        <v>90</v>
      </c>
      <c r="I479" s="34"/>
      <c r="J479" s="33" t="s">
        <v>6</v>
      </c>
      <c r="K479" s="35" t="s">
        <v>273</v>
      </c>
      <c r="L479" s="35" t="s">
        <v>273</v>
      </c>
      <c r="M479" s="386" t="s">
        <v>1259</v>
      </c>
      <c r="N479" s="33" t="s">
        <v>68</v>
      </c>
      <c r="O479" s="33" t="s">
        <v>1235</v>
      </c>
      <c r="P479" s="33" t="s">
        <v>2</v>
      </c>
      <c r="Q479" s="47"/>
      <c r="R479" s="47"/>
      <c r="S479" s="45" t="s">
        <v>148</v>
      </c>
      <c r="T479" s="45"/>
      <c r="U479" s="37">
        <v>45139</v>
      </c>
      <c r="V479" s="38">
        <f t="shared" si="80"/>
        <v>45224</v>
      </c>
      <c r="W479" s="50">
        <f>V479-U479</f>
        <v>85</v>
      </c>
      <c r="X479" s="261">
        <f>Y479*0.91</f>
        <v>310856</v>
      </c>
      <c r="Y479" s="260">
        <v>341600</v>
      </c>
      <c r="Z479" s="263">
        <v>294000</v>
      </c>
      <c r="AA479" s="56"/>
      <c r="AB479" s="263"/>
      <c r="AC479" s="44">
        <f>ABS(X479/Y479-1)</f>
        <v>8.9999999999999969E-2</v>
      </c>
      <c r="AD479" s="62">
        <v>0.1449</v>
      </c>
      <c r="AE479" s="41">
        <f t="shared" si="82"/>
        <v>-5.4900000000000032E-2</v>
      </c>
      <c r="AF479" s="42">
        <v>5.4899999999999997E-2</v>
      </c>
      <c r="AG479" s="40">
        <f>IF((X479*AE479)&lt;0,0,(X479*AE479))</f>
        <v>0</v>
      </c>
      <c r="AH479" s="65">
        <f t="shared" si="75"/>
        <v>47600</v>
      </c>
      <c r="AI479" s="66">
        <f>AH479/X479</f>
        <v>0.15312556296162855</v>
      </c>
      <c r="AJ479" s="66">
        <f t="shared" si="76"/>
        <v>9.8225562961628543E-2</v>
      </c>
      <c r="AK479" s="65">
        <f>AF479*X479</f>
        <v>17065.9944</v>
      </c>
      <c r="AL479" s="40">
        <f t="shared" si="83"/>
        <v>30534.0056</v>
      </c>
      <c r="AM479" s="242">
        <f t="shared" si="81"/>
        <v>45230</v>
      </c>
      <c r="AN479" s="242" t="str">
        <f>IF(AQ479="x","",IF(AQ479="x",AM479,IF(EOMONTH(I479,0)=31,"",EOMONTH(I479,0))))</f>
        <v/>
      </c>
      <c r="AO479" s="79">
        <f>IFERROR(IF(VLOOKUP(C479,C480:C1080,1,0)=0,1,0),1)</f>
        <v>0</v>
      </c>
      <c r="AP479" s="79"/>
      <c r="AQ479" s="243" t="str">
        <f t="shared" si="77"/>
        <v/>
      </c>
      <c r="AR479" s="242" t="b">
        <f>IF(AQ479="x",EOMONTH(I479,0))</f>
        <v>0</v>
      </c>
      <c r="AS479" s="79">
        <f t="shared" si="72"/>
        <v>1</v>
      </c>
      <c r="AT479" s="79">
        <f t="shared" si="73"/>
        <v>1</v>
      </c>
      <c r="AU479" s="79" t="str">
        <f t="shared" si="74"/>
        <v>B</v>
      </c>
      <c r="AV479" s="79">
        <f t="shared" si="78"/>
        <v>1</v>
      </c>
      <c r="AW479" s="79" t="str">
        <f>J479&amp;AU479</f>
        <v>IntegralB</v>
      </c>
      <c r="AX479" s="79">
        <f>IF(COUNTIFS(J:J,"Integral",E:E,E479,H:H,"Ativo")=4,1/4,1/10)</f>
        <v>0.1</v>
      </c>
      <c r="AY479" s="79" t="s">
        <v>1332</v>
      </c>
      <c r="AZ479" s="79" t="b">
        <v>1</v>
      </c>
    </row>
    <row r="480" spans="1:52" ht="15.75" customHeight="1">
      <c r="A480" s="54">
        <v>504</v>
      </c>
      <c r="B480" s="403">
        <v>45224</v>
      </c>
      <c r="C480" s="32" t="s">
        <v>1536</v>
      </c>
      <c r="D480" s="32" t="s">
        <v>1551</v>
      </c>
      <c r="E480" s="32" t="s">
        <v>1538</v>
      </c>
      <c r="F480" s="32" t="s">
        <v>1552</v>
      </c>
      <c r="G480" s="60" t="s">
        <v>220</v>
      </c>
      <c r="H480" s="33" t="s">
        <v>90</v>
      </c>
      <c r="I480" s="34"/>
      <c r="J480" s="33" t="s">
        <v>6</v>
      </c>
      <c r="K480" s="35" t="s">
        <v>273</v>
      </c>
      <c r="L480" s="35" t="s">
        <v>273</v>
      </c>
      <c r="M480" s="386" t="s">
        <v>1259</v>
      </c>
      <c r="N480" s="33" t="s">
        <v>68</v>
      </c>
      <c r="O480" s="33" t="s">
        <v>1235</v>
      </c>
      <c r="P480" s="33" t="s">
        <v>2</v>
      </c>
      <c r="Q480" s="47"/>
      <c r="R480" s="47"/>
      <c r="S480" s="45" t="s">
        <v>148</v>
      </c>
      <c r="T480" s="45"/>
      <c r="U480" s="37">
        <v>45139</v>
      </c>
      <c r="V480" s="38">
        <f t="shared" si="80"/>
        <v>45224</v>
      </c>
      <c r="W480" s="50">
        <f>V480-U480</f>
        <v>85</v>
      </c>
      <c r="X480" s="261">
        <f>Y480*0.91</f>
        <v>310856</v>
      </c>
      <c r="Y480" s="260">
        <v>341600</v>
      </c>
      <c r="Z480" s="263">
        <v>294000</v>
      </c>
      <c r="AA480" s="56"/>
      <c r="AB480" s="263"/>
      <c r="AC480" s="44">
        <f>ABS(X480/Y480-1)</f>
        <v>8.9999999999999969E-2</v>
      </c>
      <c r="AD480" s="62">
        <v>0.1449</v>
      </c>
      <c r="AE480" s="41">
        <f t="shared" si="82"/>
        <v>-5.4900000000000032E-2</v>
      </c>
      <c r="AF480" s="42">
        <v>5.4899999999999997E-2</v>
      </c>
      <c r="AG480" s="40">
        <f>IF((X480*AE480)&lt;0,0,(X480*AE480))</f>
        <v>0</v>
      </c>
      <c r="AH480" s="65">
        <f t="shared" si="75"/>
        <v>47600</v>
      </c>
      <c r="AI480" s="66">
        <f>AH480/X480</f>
        <v>0.15312556296162855</v>
      </c>
      <c r="AJ480" s="66">
        <f t="shared" si="76"/>
        <v>9.8225562961628543E-2</v>
      </c>
      <c r="AK480" s="65">
        <f>AF480*X480</f>
        <v>17065.9944</v>
      </c>
      <c r="AL480" s="40">
        <f t="shared" si="83"/>
        <v>30534.0056</v>
      </c>
      <c r="AM480" s="242">
        <f t="shared" si="81"/>
        <v>45230</v>
      </c>
      <c r="AN480" s="242" t="str">
        <f>IF(AQ480="x","",IF(AQ480="x",AM480,IF(EOMONTH(I480,0)=31,"",EOMONTH(I480,0))))</f>
        <v/>
      </c>
      <c r="AO480" s="79">
        <f>IFERROR(IF(VLOOKUP(C480,C481:C1081,1,0)=0,1,0),1)</f>
        <v>0</v>
      </c>
      <c r="AP480" s="79"/>
      <c r="AQ480" s="243" t="str">
        <f t="shared" si="77"/>
        <v/>
      </c>
      <c r="AR480" s="242" t="b">
        <f>IF(AQ480="x",EOMONTH(I480,0))</f>
        <v>0</v>
      </c>
      <c r="AS480" s="79">
        <f t="shared" si="72"/>
        <v>1</v>
      </c>
      <c r="AT480" s="79">
        <f t="shared" si="73"/>
        <v>1</v>
      </c>
      <c r="AU480" s="79" t="str">
        <f t="shared" si="74"/>
        <v>B</v>
      </c>
      <c r="AV480" s="79">
        <f t="shared" si="78"/>
        <v>1</v>
      </c>
      <c r="AW480" s="79" t="str">
        <f>J480&amp;AU480</f>
        <v>IntegralB</v>
      </c>
      <c r="AX480" s="79">
        <f>IF(COUNTIFS(J:J,"Integral",E:E,E480,H:H,"Ativo")=4,1/4,1/10)</f>
        <v>0.1</v>
      </c>
      <c r="AY480" s="79" t="s">
        <v>1332</v>
      </c>
      <c r="AZ480" s="79" t="b">
        <v>1</v>
      </c>
    </row>
    <row r="481" spans="1:52" ht="15.75" customHeight="1">
      <c r="A481" s="54">
        <v>505</v>
      </c>
      <c r="B481" s="403">
        <v>45224</v>
      </c>
      <c r="C481" s="32" t="s">
        <v>1536</v>
      </c>
      <c r="D481" s="32" t="s">
        <v>1553</v>
      </c>
      <c r="E481" s="32" t="s">
        <v>1538</v>
      </c>
      <c r="F481" s="32" t="s">
        <v>1554</v>
      </c>
      <c r="G481" s="60" t="s">
        <v>220</v>
      </c>
      <c r="H481" s="33" t="s">
        <v>90</v>
      </c>
      <c r="I481" s="34"/>
      <c r="J481" s="33" t="s">
        <v>6</v>
      </c>
      <c r="K481" s="35" t="s">
        <v>273</v>
      </c>
      <c r="L481" s="35" t="s">
        <v>273</v>
      </c>
      <c r="M481" s="386" t="s">
        <v>1259</v>
      </c>
      <c r="N481" s="33" t="s">
        <v>68</v>
      </c>
      <c r="O481" s="33" t="s">
        <v>1235</v>
      </c>
      <c r="P481" s="33" t="s">
        <v>2</v>
      </c>
      <c r="Q481" s="47"/>
      <c r="R481" s="47"/>
      <c r="S481" s="45" t="s">
        <v>148</v>
      </c>
      <c r="T481" s="45"/>
      <c r="U481" s="37">
        <v>45139</v>
      </c>
      <c r="V481" s="38">
        <f t="shared" si="80"/>
        <v>45224</v>
      </c>
      <c r="W481" s="50">
        <f>V481-U481</f>
        <v>85</v>
      </c>
      <c r="X481" s="261">
        <f>Y481*0.91</f>
        <v>310856</v>
      </c>
      <c r="Y481" s="260">
        <v>341600</v>
      </c>
      <c r="Z481" s="263">
        <v>294000</v>
      </c>
      <c r="AA481" s="56"/>
      <c r="AB481" s="263"/>
      <c r="AC481" s="44">
        <f>ABS(X481/Y481-1)</f>
        <v>8.9999999999999969E-2</v>
      </c>
      <c r="AD481" s="62">
        <v>0.1449</v>
      </c>
      <c r="AE481" s="41">
        <f t="shared" si="82"/>
        <v>-5.4900000000000032E-2</v>
      </c>
      <c r="AF481" s="42">
        <v>5.4899999999999997E-2</v>
      </c>
      <c r="AG481" s="40">
        <f>IF((X481*AE481)&lt;0,0,(X481*AE481))</f>
        <v>0</v>
      </c>
      <c r="AH481" s="65">
        <f t="shared" si="75"/>
        <v>47600</v>
      </c>
      <c r="AI481" s="66">
        <f>AH481/X481</f>
        <v>0.15312556296162855</v>
      </c>
      <c r="AJ481" s="66">
        <f t="shared" si="76"/>
        <v>9.8225562961628543E-2</v>
      </c>
      <c r="AK481" s="65">
        <f>AF481*X481</f>
        <v>17065.9944</v>
      </c>
      <c r="AL481" s="40">
        <f t="shared" si="83"/>
        <v>30534.0056</v>
      </c>
      <c r="AM481" s="242">
        <f t="shared" si="81"/>
        <v>45230</v>
      </c>
      <c r="AN481" s="242" t="str">
        <f>IF(AQ481="x","",IF(AQ481="x",AM481,IF(EOMONTH(I481,0)=31,"",EOMONTH(I481,0))))</f>
        <v/>
      </c>
      <c r="AO481" s="79">
        <f>IFERROR(IF(VLOOKUP(C481,C482:C1082,1,0)=0,1,0),1)</f>
        <v>0</v>
      </c>
      <c r="AP481" s="79"/>
      <c r="AQ481" s="243" t="str">
        <f t="shared" si="77"/>
        <v/>
      </c>
      <c r="AR481" s="242" t="b">
        <f>IF(AQ481="x",EOMONTH(I481,0))</f>
        <v>0</v>
      </c>
      <c r="AS481" s="79">
        <f t="shared" si="72"/>
        <v>1</v>
      </c>
      <c r="AT481" s="79">
        <f t="shared" si="73"/>
        <v>1</v>
      </c>
      <c r="AU481" s="79" t="str">
        <f t="shared" si="74"/>
        <v>B</v>
      </c>
      <c r="AV481" s="79">
        <f t="shared" si="78"/>
        <v>1</v>
      </c>
      <c r="AW481" s="79" t="str">
        <f>J481&amp;AU481</f>
        <v>IntegralB</v>
      </c>
      <c r="AX481" s="79">
        <f>IF(COUNTIFS(J:J,"Integral",E:E,E481,H:H,"Ativo")=4,1/4,1/10)</f>
        <v>0.1</v>
      </c>
      <c r="AY481" s="79" t="s">
        <v>1332</v>
      </c>
      <c r="AZ481" s="79" t="b">
        <v>1</v>
      </c>
    </row>
    <row r="482" spans="1:52" ht="15.75" customHeight="1">
      <c r="A482" s="54">
        <v>506</v>
      </c>
      <c r="B482" s="403">
        <v>45224</v>
      </c>
      <c r="C482" s="32" t="s">
        <v>1536</v>
      </c>
      <c r="D482" s="32" t="s">
        <v>1555</v>
      </c>
      <c r="E482" s="32" t="s">
        <v>1538</v>
      </c>
      <c r="F482" s="32" t="s">
        <v>1556</v>
      </c>
      <c r="G482" s="60" t="s">
        <v>220</v>
      </c>
      <c r="H482" s="33" t="s">
        <v>90</v>
      </c>
      <c r="I482" s="34"/>
      <c r="J482" s="33" t="s">
        <v>6</v>
      </c>
      <c r="K482" s="35" t="s">
        <v>273</v>
      </c>
      <c r="L482" s="35" t="s">
        <v>273</v>
      </c>
      <c r="M482" s="386" t="s">
        <v>1259</v>
      </c>
      <c r="N482" s="33" t="s">
        <v>68</v>
      </c>
      <c r="O482" s="33" t="s">
        <v>1235</v>
      </c>
      <c r="P482" s="33" t="s">
        <v>2</v>
      </c>
      <c r="Q482" s="47"/>
      <c r="R482" s="47"/>
      <c r="S482" s="45" t="s">
        <v>148</v>
      </c>
      <c r="T482" s="45"/>
      <c r="U482" s="37">
        <v>45139</v>
      </c>
      <c r="V482" s="38">
        <f t="shared" si="80"/>
        <v>45224</v>
      </c>
      <c r="W482" s="50">
        <f>V482-U482</f>
        <v>85</v>
      </c>
      <c r="X482" s="261">
        <f>Y482*0.91</f>
        <v>310856</v>
      </c>
      <c r="Y482" s="260">
        <v>341600</v>
      </c>
      <c r="Z482" s="263">
        <v>294000</v>
      </c>
      <c r="AA482" s="56"/>
      <c r="AB482" s="263"/>
      <c r="AC482" s="44">
        <f>ABS(X482/Y482-1)</f>
        <v>8.9999999999999969E-2</v>
      </c>
      <c r="AD482" s="62">
        <v>0.1449</v>
      </c>
      <c r="AE482" s="41">
        <f t="shared" si="82"/>
        <v>-5.4900000000000032E-2</v>
      </c>
      <c r="AF482" s="42">
        <v>5.4899999999999997E-2</v>
      </c>
      <c r="AG482" s="40">
        <f>IF((X482*AE482)&lt;0,0,(X482*AE482))</f>
        <v>0</v>
      </c>
      <c r="AH482" s="65">
        <f t="shared" si="75"/>
        <v>47600</v>
      </c>
      <c r="AI482" s="66">
        <f>AH482/X482</f>
        <v>0.15312556296162855</v>
      </c>
      <c r="AJ482" s="66">
        <f t="shared" si="76"/>
        <v>9.8225562961628543E-2</v>
      </c>
      <c r="AK482" s="65">
        <f>AF482*X482</f>
        <v>17065.9944</v>
      </c>
      <c r="AL482" s="40">
        <f t="shared" si="83"/>
        <v>30534.0056</v>
      </c>
      <c r="AM482" s="242">
        <f t="shared" si="81"/>
        <v>45230</v>
      </c>
      <c r="AN482" s="242" t="str">
        <f>IF(AQ482="x","",IF(AQ482="x",AM482,IF(EOMONTH(I482,0)=31,"",EOMONTH(I482,0))))</f>
        <v/>
      </c>
      <c r="AO482" s="79">
        <f>IFERROR(IF(VLOOKUP(C482,C483:C1083,1,0)=0,1,0),1)</f>
        <v>0</v>
      </c>
      <c r="AP482" s="79"/>
      <c r="AQ482" s="243" t="str">
        <f t="shared" si="77"/>
        <v/>
      </c>
      <c r="AR482" s="242" t="b">
        <f>IF(AQ482="x",EOMONTH(I482,0))</f>
        <v>0</v>
      </c>
      <c r="AS482" s="79">
        <f t="shared" si="72"/>
        <v>1</v>
      </c>
      <c r="AT482" s="79">
        <f t="shared" si="73"/>
        <v>1</v>
      </c>
      <c r="AU482" s="79" t="str">
        <f t="shared" si="74"/>
        <v>B</v>
      </c>
      <c r="AV482" s="79">
        <f t="shared" si="78"/>
        <v>1</v>
      </c>
      <c r="AW482" s="79" t="str">
        <f>J482&amp;AU482</f>
        <v>IntegralB</v>
      </c>
      <c r="AX482" s="79">
        <f>IF(COUNTIFS(J:J,"Integral",E:E,E482,H:H,"Ativo")=4,1/4,1/10)</f>
        <v>0.1</v>
      </c>
      <c r="AY482" s="79" t="s">
        <v>1332</v>
      </c>
      <c r="AZ482" s="79" t="b">
        <v>1</v>
      </c>
    </row>
    <row r="483" spans="1:52" ht="15.75" customHeight="1">
      <c r="A483" s="54">
        <v>507</v>
      </c>
      <c r="B483" s="403">
        <v>45224</v>
      </c>
      <c r="C483" s="32" t="s">
        <v>1536</v>
      </c>
      <c r="D483" s="32" t="s">
        <v>1557</v>
      </c>
      <c r="E483" s="32" t="s">
        <v>1538</v>
      </c>
      <c r="F483" s="32" t="s">
        <v>1558</v>
      </c>
      <c r="G483" s="60" t="s">
        <v>220</v>
      </c>
      <c r="H483" s="33" t="s">
        <v>90</v>
      </c>
      <c r="I483" s="34"/>
      <c r="J483" s="33" t="s">
        <v>6</v>
      </c>
      <c r="K483" s="35" t="s">
        <v>273</v>
      </c>
      <c r="L483" s="35" t="s">
        <v>273</v>
      </c>
      <c r="M483" s="386" t="s">
        <v>1259</v>
      </c>
      <c r="N483" s="33" t="s">
        <v>68</v>
      </c>
      <c r="O483" s="33" t="s">
        <v>1235</v>
      </c>
      <c r="P483" s="33" t="s">
        <v>2</v>
      </c>
      <c r="Q483" s="47"/>
      <c r="R483" s="47"/>
      <c r="S483" s="45" t="s">
        <v>148</v>
      </c>
      <c r="T483" s="45"/>
      <c r="U483" s="37">
        <v>45139</v>
      </c>
      <c r="V483" s="38">
        <f t="shared" si="80"/>
        <v>45224</v>
      </c>
      <c r="W483" s="50">
        <f>V483-U483</f>
        <v>85</v>
      </c>
      <c r="X483" s="261">
        <f>Y483*0.91</f>
        <v>310856</v>
      </c>
      <c r="Y483" s="260">
        <v>341600</v>
      </c>
      <c r="Z483" s="263">
        <v>294000</v>
      </c>
      <c r="AA483" s="56"/>
      <c r="AB483" s="263"/>
      <c r="AC483" s="44">
        <f>ABS(X483/Y483-1)</f>
        <v>8.9999999999999969E-2</v>
      </c>
      <c r="AD483" s="62">
        <v>0.1449</v>
      </c>
      <c r="AE483" s="41">
        <f t="shared" si="82"/>
        <v>-5.4900000000000032E-2</v>
      </c>
      <c r="AF483" s="42">
        <v>5.4899999999999997E-2</v>
      </c>
      <c r="AG483" s="40">
        <f>IF((X483*AE483)&lt;0,0,(X483*AE483))</f>
        <v>0</v>
      </c>
      <c r="AH483" s="65">
        <f t="shared" si="75"/>
        <v>47600</v>
      </c>
      <c r="AI483" s="66">
        <f>AH483/X483</f>
        <v>0.15312556296162855</v>
      </c>
      <c r="AJ483" s="66">
        <f t="shared" si="76"/>
        <v>9.8225562961628543E-2</v>
      </c>
      <c r="AK483" s="65">
        <f>AF483*X483</f>
        <v>17065.9944</v>
      </c>
      <c r="AL483" s="40">
        <f t="shared" si="83"/>
        <v>30534.0056</v>
      </c>
      <c r="AM483" s="242">
        <f t="shared" si="81"/>
        <v>45230</v>
      </c>
      <c r="AN483" s="242" t="str">
        <f>IF(AQ483="x","",IF(AQ483="x",AM483,IF(EOMONTH(I483,0)=31,"",EOMONTH(I483,0))))</f>
        <v/>
      </c>
      <c r="AO483" s="79">
        <f>IFERROR(IF(VLOOKUP(C483,C484:C1084,1,0)=0,1,0),1)</f>
        <v>0</v>
      </c>
      <c r="AP483" s="79"/>
      <c r="AQ483" s="243" t="str">
        <f t="shared" si="77"/>
        <v/>
      </c>
      <c r="AR483" s="242" t="b">
        <f>IF(AQ483="x",EOMONTH(I483,0))</f>
        <v>0</v>
      </c>
      <c r="AS483" s="79">
        <f t="shared" si="72"/>
        <v>1</v>
      </c>
      <c r="AT483" s="79">
        <f t="shared" si="73"/>
        <v>1</v>
      </c>
      <c r="AU483" s="79" t="str">
        <f t="shared" si="74"/>
        <v>B</v>
      </c>
      <c r="AV483" s="79">
        <f t="shared" si="78"/>
        <v>1</v>
      </c>
      <c r="AW483" s="79" t="str">
        <f>J483&amp;AU483</f>
        <v>IntegralB</v>
      </c>
      <c r="AX483" s="79">
        <f>IF(COUNTIFS(J:J,"Integral",E:E,E483,H:H,"Ativo")=4,1/4,1/10)</f>
        <v>0.1</v>
      </c>
      <c r="AY483" s="79" t="s">
        <v>1332</v>
      </c>
      <c r="AZ483" s="79" t="b">
        <v>1</v>
      </c>
    </row>
    <row r="484" spans="1:52" ht="15.75" customHeight="1">
      <c r="A484" s="54">
        <v>508</v>
      </c>
      <c r="B484" s="403">
        <v>45224</v>
      </c>
      <c r="C484" s="32" t="s">
        <v>1536</v>
      </c>
      <c r="D484" s="32" t="s">
        <v>1559</v>
      </c>
      <c r="E484" s="32" t="s">
        <v>1538</v>
      </c>
      <c r="F484" s="32" t="s">
        <v>1560</v>
      </c>
      <c r="G484" s="60" t="s">
        <v>220</v>
      </c>
      <c r="H484" s="33" t="s">
        <v>90</v>
      </c>
      <c r="I484" s="34"/>
      <c r="J484" s="33" t="s">
        <v>6</v>
      </c>
      <c r="K484" s="35" t="s">
        <v>273</v>
      </c>
      <c r="L484" s="35" t="s">
        <v>273</v>
      </c>
      <c r="M484" s="386" t="s">
        <v>1259</v>
      </c>
      <c r="N484" s="33" t="s">
        <v>68</v>
      </c>
      <c r="O484" s="33" t="s">
        <v>1235</v>
      </c>
      <c r="P484" s="33" t="s">
        <v>2</v>
      </c>
      <c r="Q484" s="47"/>
      <c r="R484" s="47"/>
      <c r="S484" s="45" t="s">
        <v>148</v>
      </c>
      <c r="T484" s="45"/>
      <c r="U484" s="37">
        <v>45139</v>
      </c>
      <c r="V484" s="38">
        <f t="shared" si="80"/>
        <v>45224</v>
      </c>
      <c r="W484" s="50">
        <f>V484-U484</f>
        <v>85</v>
      </c>
      <c r="X484" s="261">
        <f>Y484*0.91</f>
        <v>310856</v>
      </c>
      <c r="Y484" s="260">
        <v>341600</v>
      </c>
      <c r="Z484" s="263">
        <v>294000</v>
      </c>
      <c r="AA484" s="56"/>
      <c r="AB484" s="263"/>
      <c r="AC484" s="44">
        <f>ABS(X484/Y484-1)</f>
        <v>8.9999999999999969E-2</v>
      </c>
      <c r="AD484" s="62">
        <v>0.1449</v>
      </c>
      <c r="AE484" s="41">
        <f t="shared" si="82"/>
        <v>-5.4900000000000032E-2</v>
      </c>
      <c r="AF484" s="42">
        <v>5.4899999999999997E-2</v>
      </c>
      <c r="AG484" s="40">
        <f>IF((X484*AE484)&lt;0,0,(X484*AE484))</f>
        <v>0</v>
      </c>
      <c r="AH484" s="65">
        <f t="shared" si="75"/>
        <v>47600</v>
      </c>
      <c r="AI484" s="66">
        <f>AH484/X484</f>
        <v>0.15312556296162855</v>
      </c>
      <c r="AJ484" s="66">
        <f t="shared" si="76"/>
        <v>9.8225562961628543E-2</v>
      </c>
      <c r="AK484" s="65">
        <f>AF484*X484</f>
        <v>17065.9944</v>
      </c>
      <c r="AL484" s="40">
        <f t="shared" si="83"/>
        <v>30534.0056</v>
      </c>
      <c r="AM484" s="242">
        <f t="shared" si="81"/>
        <v>45230</v>
      </c>
      <c r="AN484" s="242" t="str">
        <f>IF(AQ484="x","",IF(AQ484="x",AM484,IF(EOMONTH(I484,0)=31,"",EOMONTH(I484,0))))</f>
        <v/>
      </c>
      <c r="AO484" s="79">
        <f>IFERROR(IF(VLOOKUP(C484,C485:C1085,1,0)=0,1,0),1)</f>
        <v>0</v>
      </c>
      <c r="AP484" s="79"/>
      <c r="AQ484" s="243" t="str">
        <f t="shared" si="77"/>
        <v/>
      </c>
      <c r="AR484" s="242" t="b">
        <f>IF(AQ484="x",EOMONTH(I484,0))</f>
        <v>0</v>
      </c>
      <c r="AS484" s="79">
        <f t="shared" ref="AS484:AS547" si="84">IF(AH484&lt;0,0,1)</f>
        <v>1</v>
      </c>
      <c r="AT484" s="79">
        <f t="shared" ref="AT484:AT547" si="85">IF(AL484&lt;0,0,1)</f>
        <v>1</v>
      </c>
      <c r="AU484" s="79" t="str">
        <f t="shared" ref="AU484:AU547" si="86">MID(E484,1,1)</f>
        <v>B</v>
      </c>
      <c r="AV484" s="79">
        <f t="shared" si="78"/>
        <v>1</v>
      </c>
      <c r="AW484" s="79" t="str">
        <f>J484&amp;AU484</f>
        <v>IntegralB</v>
      </c>
      <c r="AX484" s="79">
        <f>IF(COUNTIFS(J:J,"Integral",E:E,E484,H:H,"Ativo")=4,1/4,1/10)</f>
        <v>0.1</v>
      </c>
      <c r="AY484" s="79" t="s">
        <v>1332</v>
      </c>
      <c r="AZ484" s="79" t="b">
        <v>1</v>
      </c>
    </row>
    <row r="485" spans="1:52" ht="15.75" customHeight="1">
      <c r="A485" s="54">
        <v>509</v>
      </c>
      <c r="B485" s="403">
        <v>45224</v>
      </c>
      <c r="C485" s="32" t="s">
        <v>1536</v>
      </c>
      <c r="D485" s="32" t="s">
        <v>1561</v>
      </c>
      <c r="E485" s="32" t="s">
        <v>1541</v>
      </c>
      <c r="F485" s="32" t="s">
        <v>1562</v>
      </c>
      <c r="G485" s="60" t="s">
        <v>220</v>
      </c>
      <c r="H485" s="33" t="s">
        <v>90</v>
      </c>
      <c r="I485" s="34"/>
      <c r="J485" s="33" t="s">
        <v>6</v>
      </c>
      <c r="K485" s="35" t="s">
        <v>273</v>
      </c>
      <c r="L485" s="35" t="s">
        <v>273</v>
      </c>
      <c r="M485" s="386" t="s">
        <v>1259</v>
      </c>
      <c r="N485" s="33" t="s">
        <v>68</v>
      </c>
      <c r="O485" s="33" t="s">
        <v>1235</v>
      </c>
      <c r="P485" s="33" t="s">
        <v>2</v>
      </c>
      <c r="Q485" s="47"/>
      <c r="R485" s="47"/>
      <c r="S485" s="45" t="s">
        <v>148</v>
      </c>
      <c r="T485" s="45"/>
      <c r="U485" s="37">
        <v>45139</v>
      </c>
      <c r="V485" s="38">
        <f t="shared" si="80"/>
        <v>45224</v>
      </c>
      <c r="W485" s="50">
        <f>V485-U485</f>
        <v>85</v>
      </c>
      <c r="X485" s="261">
        <f>Y485*0.91</f>
        <v>322504</v>
      </c>
      <c r="Y485" s="260">
        <v>354400</v>
      </c>
      <c r="Z485" s="263">
        <v>294000</v>
      </c>
      <c r="AA485" s="56"/>
      <c r="AB485" s="263"/>
      <c r="AC485" s="44">
        <f>ABS(X485/Y485-1)</f>
        <v>8.9999999999999969E-2</v>
      </c>
      <c r="AD485" s="62">
        <v>0.17580000000000001</v>
      </c>
      <c r="AE485" s="41">
        <f t="shared" si="82"/>
        <v>-8.5800000000000043E-2</v>
      </c>
      <c r="AF485" s="42">
        <v>8.5800000000000001E-2</v>
      </c>
      <c r="AG485" s="40">
        <f>IF((X485*AE485)&lt;0,0,(X485*AE485))</f>
        <v>0</v>
      </c>
      <c r="AH485" s="65">
        <f t="shared" si="75"/>
        <v>60400</v>
      </c>
      <c r="AI485" s="66">
        <f>AH485/X485</f>
        <v>0.18728449879691414</v>
      </c>
      <c r="AJ485" s="66">
        <f t="shared" si="76"/>
        <v>0.10148449879691414</v>
      </c>
      <c r="AK485" s="65">
        <f>AF485*X485</f>
        <v>27670.843199999999</v>
      </c>
      <c r="AL485" s="40">
        <f t="shared" si="83"/>
        <v>32729.156800000001</v>
      </c>
      <c r="AM485" s="242">
        <f t="shared" si="81"/>
        <v>45230</v>
      </c>
      <c r="AN485" s="242" t="str">
        <f>IF(AQ485="x","",IF(AQ485="x",AM485,IF(EOMONTH(I485,0)=31,"",EOMONTH(I485,0))))</f>
        <v/>
      </c>
      <c r="AO485" s="79">
        <f>IFERROR(IF(VLOOKUP(C485,C486:C1086,1,0)=0,1,0),1)</f>
        <v>0</v>
      </c>
      <c r="AP485" s="79"/>
      <c r="AQ485" s="243" t="str">
        <f t="shared" si="77"/>
        <v/>
      </c>
      <c r="AR485" s="242" t="b">
        <f>IF(AQ485="x",EOMONTH(I485,0))</f>
        <v>0</v>
      </c>
      <c r="AS485" s="79">
        <f t="shared" si="84"/>
        <v>1</v>
      </c>
      <c r="AT485" s="79">
        <f t="shared" si="85"/>
        <v>1</v>
      </c>
      <c r="AU485" s="79" t="str">
        <f t="shared" si="86"/>
        <v>B</v>
      </c>
      <c r="AV485" s="79">
        <f t="shared" si="78"/>
        <v>1</v>
      </c>
      <c r="AW485" s="79" t="str">
        <f>J485&amp;AU485</f>
        <v>IntegralB</v>
      </c>
      <c r="AX485" s="79">
        <f>IF(COUNTIFS(J:J,"Integral",E:E,E485,H:H,"Ativo")=4,1/4,1/10)</f>
        <v>0.1</v>
      </c>
      <c r="AY485" s="79" t="s">
        <v>1332</v>
      </c>
      <c r="AZ485" s="79" t="b">
        <v>1</v>
      </c>
    </row>
    <row r="486" spans="1:52" ht="15.75" customHeight="1">
      <c r="A486" s="54">
        <v>510</v>
      </c>
      <c r="B486" s="403">
        <v>45224</v>
      </c>
      <c r="C486" s="32" t="s">
        <v>1536</v>
      </c>
      <c r="D486" s="32" t="s">
        <v>1563</v>
      </c>
      <c r="E486" s="32" t="s">
        <v>1541</v>
      </c>
      <c r="F486" s="32" t="s">
        <v>1564</v>
      </c>
      <c r="G486" s="60" t="s">
        <v>220</v>
      </c>
      <c r="H486" s="33" t="s">
        <v>90</v>
      </c>
      <c r="I486" s="34"/>
      <c r="J486" s="33" t="s">
        <v>6</v>
      </c>
      <c r="K486" s="35" t="s">
        <v>273</v>
      </c>
      <c r="L486" s="35" t="s">
        <v>273</v>
      </c>
      <c r="M486" s="386" t="s">
        <v>1259</v>
      </c>
      <c r="N486" s="33" t="s">
        <v>68</v>
      </c>
      <c r="O486" s="33" t="s">
        <v>1235</v>
      </c>
      <c r="P486" s="33" t="s">
        <v>2</v>
      </c>
      <c r="Q486" s="47"/>
      <c r="R486" s="47"/>
      <c r="S486" s="45" t="s">
        <v>148</v>
      </c>
      <c r="T486" s="45"/>
      <c r="U486" s="37">
        <v>45139</v>
      </c>
      <c r="V486" s="38">
        <f t="shared" si="80"/>
        <v>45224</v>
      </c>
      <c r="W486" s="50">
        <f>V486-U486</f>
        <v>85</v>
      </c>
      <c r="X486" s="261">
        <f>Y486*0.91</f>
        <v>322504</v>
      </c>
      <c r="Y486" s="260">
        <v>354400</v>
      </c>
      <c r="Z486" s="263">
        <v>294000</v>
      </c>
      <c r="AA486" s="56"/>
      <c r="AB486" s="263"/>
      <c r="AC486" s="44">
        <f>ABS(X486/Y486-1)</f>
        <v>8.9999999999999969E-2</v>
      </c>
      <c r="AD486" s="62">
        <v>0.17580000000000001</v>
      </c>
      <c r="AE486" s="41">
        <f t="shared" si="82"/>
        <v>-8.5800000000000043E-2</v>
      </c>
      <c r="AF486" s="42">
        <v>8.5800000000000001E-2</v>
      </c>
      <c r="AG486" s="40">
        <f>IF((X486*AE486)&lt;0,0,(X486*AE486))</f>
        <v>0</v>
      </c>
      <c r="AH486" s="65">
        <f t="shared" ref="AH486:AH549" si="87">Y486-Z486</f>
        <v>60400</v>
      </c>
      <c r="AI486" s="66">
        <f>AH486/X486</f>
        <v>0.18728449879691414</v>
      </c>
      <c r="AJ486" s="66">
        <f t="shared" ref="AJ486:AJ549" si="88">AI486-AF486</f>
        <v>0.10148449879691414</v>
      </c>
      <c r="AK486" s="65">
        <f>AF486*X486</f>
        <v>27670.843199999999</v>
      </c>
      <c r="AL486" s="40">
        <f t="shared" si="83"/>
        <v>32729.156800000001</v>
      </c>
      <c r="AM486" s="242">
        <f t="shared" si="81"/>
        <v>45230</v>
      </c>
      <c r="AN486" s="242" t="str">
        <f>IF(AQ486="x","",IF(AQ486="x",AM486,IF(EOMONTH(I486,0)=31,"",EOMONTH(I486,0))))</f>
        <v/>
      </c>
      <c r="AO486" s="79">
        <f>IFERROR(IF(VLOOKUP(C486,C487:C1087,1,0)=0,1,0),1)</f>
        <v>0</v>
      </c>
      <c r="AP486" s="79"/>
      <c r="AQ486" s="243" t="str">
        <f t="shared" si="77"/>
        <v/>
      </c>
      <c r="AR486" s="242" t="b">
        <f>IF(AQ486="x",EOMONTH(I486,0))</f>
        <v>0</v>
      </c>
      <c r="AS486" s="79">
        <f t="shared" si="84"/>
        <v>1</v>
      </c>
      <c r="AT486" s="79">
        <f t="shared" si="85"/>
        <v>1</v>
      </c>
      <c r="AU486" s="79" t="str">
        <f t="shared" si="86"/>
        <v>B</v>
      </c>
      <c r="AV486" s="79">
        <f t="shared" si="78"/>
        <v>1</v>
      </c>
      <c r="AW486" s="79" t="str">
        <f>J486&amp;AU486</f>
        <v>IntegralB</v>
      </c>
      <c r="AX486" s="79">
        <f>IF(COUNTIFS(J:J,"Integral",E:E,E486,H:H,"Ativo")=4,1/4,1/10)</f>
        <v>0.1</v>
      </c>
      <c r="AY486" s="79" t="s">
        <v>1332</v>
      </c>
      <c r="AZ486" s="79" t="b">
        <v>1</v>
      </c>
    </row>
    <row r="487" spans="1:52" ht="15.75" customHeight="1">
      <c r="A487" s="54">
        <v>511</v>
      </c>
      <c r="B487" s="403">
        <v>45224</v>
      </c>
      <c r="C487" s="32" t="s">
        <v>1536</v>
      </c>
      <c r="D487" s="32" t="s">
        <v>1565</v>
      </c>
      <c r="E487" s="32" t="s">
        <v>1541</v>
      </c>
      <c r="F487" s="32" t="s">
        <v>1566</v>
      </c>
      <c r="G487" s="60" t="s">
        <v>220</v>
      </c>
      <c r="H487" s="33" t="s">
        <v>90</v>
      </c>
      <c r="I487" s="34"/>
      <c r="J487" s="33" t="s">
        <v>6</v>
      </c>
      <c r="K487" s="35" t="s">
        <v>273</v>
      </c>
      <c r="L487" s="35" t="s">
        <v>273</v>
      </c>
      <c r="M487" s="386" t="s">
        <v>1259</v>
      </c>
      <c r="N487" s="33" t="s">
        <v>68</v>
      </c>
      <c r="O487" s="33" t="s">
        <v>1235</v>
      </c>
      <c r="P487" s="33" t="s">
        <v>2</v>
      </c>
      <c r="Q487" s="47"/>
      <c r="R487" s="47"/>
      <c r="S487" s="45" t="s">
        <v>148</v>
      </c>
      <c r="T487" s="45"/>
      <c r="U487" s="37">
        <v>45139</v>
      </c>
      <c r="V487" s="38">
        <f t="shared" si="80"/>
        <v>45224</v>
      </c>
      <c r="W487" s="50">
        <f>V487-U487</f>
        <v>85</v>
      </c>
      <c r="X487" s="261">
        <f>Y487*0.91</f>
        <v>322504</v>
      </c>
      <c r="Y487" s="260">
        <v>354400</v>
      </c>
      <c r="Z487" s="263">
        <v>294000</v>
      </c>
      <c r="AA487" s="56"/>
      <c r="AB487" s="263"/>
      <c r="AC487" s="44">
        <f>ABS(X487/Y487-1)</f>
        <v>8.9999999999999969E-2</v>
      </c>
      <c r="AD487" s="62">
        <v>0.17580000000000001</v>
      </c>
      <c r="AE487" s="41">
        <f t="shared" si="82"/>
        <v>-8.5800000000000043E-2</v>
      </c>
      <c r="AF487" s="42">
        <v>8.5800000000000001E-2</v>
      </c>
      <c r="AG487" s="40">
        <f>IF((X487*AE487)&lt;0,0,(X487*AE487))</f>
        <v>0</v>
      </c>
      <c r="AH487" s="65">
        <f t="shared" si="87"/>
        <v>60400</v>
      </c>
      <c r="AI487" s="66">
        <f>AH487/X487</f>
        <v>0.18728449879691414</v>
      </c>
      <c r="AJ487" s="66">
        <f t="shared" si="88"/>
        <v>0.10148449879691414</v>
      </c>
      <c r="AK487" s="65">
        <f>AF487*X487</f>
        <v>27670.843199999999</v>
      </c>
      <c r="AL487" s="40">
        <f t="shared" si="83"/>
        <v>32729.156800000001</v>
      </c>
      <c r="AM487" s="242">
        <f t="shared" si="81"/>
        <v>45230</v>
      </c>
      <c r="AN487" s="242" t="str">
        <f>IF(AQ487="x","",IF(AQ487="x",AM487,IF(EOMONTH(I487,0)=31,"",EOMONTH(I487,0))))</f>
        <v/>
      </c>
      <c r="AO487" s="79">
        <f>IFERROR(IF(VLOOKUP(C487,C488:C1088,1,0)=0,1,0),1)</f>
        <v>0</v>
      </c>
      <c r="AP487" s="79"/>
      <c r="AQ487" s="243" t="str">
        <f t="shared" si="77"/>
        <v/>
      </c>
      <c r="AR487" s="242" t="b">
        <f>IF(AQ487="x",EOMONTH(I487,0))</f>
        <v>0</v>
      </c>
      <c r="AS487" s="79">
        <f t="shared" si="84"/>
        <v>1</v>
      </c>
      <c r="AT487" s="79">
        <f t="shared" si="85"/>
        <v>1</v>
      </c>
      <c r="AU487" s="79" t="str">
        <f t="shared" si="86"/>
        <v>B</v>
      </c>
      <c r="AV487" s="79">
        <f t="shared" si="78"/>
        <v>1</v>
      </c>
      <c r="AW487" s="79" t="str">
        <f>J487&amp;AU487</f>
        <v>IntegralB</v>
      </c>
      <c r="AX487" s="79">
        <f>IF(COUNTIFS(J:J,"Integral",E:E,E487,H:H,"Ativo")=4,1/4,1/10)</f>
        <v>0.1</v>
      </c>
      <c r="AY487" s="79" t="s">
        <v>1332</v>
      </c>
      <c r="AZ487" s="79" t="b">
        <v>1</v>
      </c>
    </row>
    <row r="488" spans="1:52" ht="15.75" customHeight="1">
      <c r="A488" s="54">
        <v>512</v>
      </c>
      <c r="B488" s="403">
        <v>45224</v>
      </c>
      <c r="C488" s="32" t="s">
        <v>1536</v>
      </c>
      <c r="D488" s="32" t="s">
        <v>1567</v>
      </c>
      <c r="E488" s="32" t="s">
        <v>1541</v>
      </c>
      <c r="F488" s="32" t="s">
        <v>1568</v>
      </c>
      <c r="G488" s="60" t="s">
        <v>220</v>
      </c>
      <c r="H488" s="33" t="s">
        <v>90</v>
      </c>
      <c r="I488" s="34"/>
      <c r="J488" s="33" t="s">
        <v>6</v>
      </c>
      <c r="K488" s="35" t="s">
        <v>273</v>
      </c>
      <c r="L488" s="35" t="s">
        <v>273</v>
      </c>
      <c r="M488" s="386" t="s">
        <v>1259</v>
      </c>
      <c r="N488" s="33" t="s">
        <v>68</v>
      </c>
      <c r="O488" s="33" t="s">
        <v>1235</v>
      </c>
      <c r="P488" s="33" t="s">
        <v>2</v>
      </c>
      <c r="Q488" s="47"/>
      <c r="R488" s="47"/>
      <c r="S488" s="45" t="s">
        <v>148</v>
      </c>
      <c r="T488" s="45"/>
      <c r="U488" s="37">
        <v>45139</v>
      </c>
      <c r="V488" s="38">
        <f t="shared" si="80"/>
        <v>45224</v>
      </c>
      <c r="W488" s="50">
        <f>V488-U488</f>
        <v>85</v>
      </c>
      <c r="X488" s="261">
        <f>Y488*0.91</f>
        <v>322504</v>
      </c>
      <c r="Y488" s="260">
        <v>354400</v>
      </c>
      <c r="Z488" s="263">
        <v>294000</v>
      </c>
      <c r="AA488" s="56"/>
      <c r="AB488" s="263"/>
      <c r="AC488" s="44">
        <f>ABS(X488/Y488-1)</f>
        <v>8.9999999999999969E-2</v>
      </c>
      <c r="AD488" s="62">
        <v>0.17580000000000001</v>
      </c>
      <c r="AE488" s="41">
        <f t="shared" si="82"/>
        <v>-8.5800000000000043E-2</v>
      </c>
      <c r="AF488" s="42">
        <v>8.5800000000000001E-2</v>
      </c>
      <c r="AG488" s="40">
        <f>IF((X488*AE488)&lt;0,0,(X488*AE488))</f>
        <v>0</v>
      </c>
      <c r="AH488" s="65">
        <f t="shared" si="87"/>
        <v>60400</v>
      </c>
      <c r="AI488" s="66">
        <f>AH488/X488</f>
        <v>0.18728449879691414</v>
      </c>
      <c r="AJ488" s="66">
        <f t="shared" si="88"/>
        <v>0.10148449879691414</v>
      </c>
      <c r="AK488" s="65">
        <f>AF488*X488</f>
        <v>27670.843199999999</v>
      </c>
      <c r="AL488" s="40">
        <f t="shared" si="83"/>
        <v>32729.156800000001</v>
      </c>
      <c r="AM488" s="242">
        <f t="shared" si="81"/>
        <v>45230</v>
      </c>
      <c r="AN488" s="242" t="str">
        <f>IF(AQ488="x","",IF(AQ488="x",AM488,IF(EOMONTH(I488,0)=31,"",EOMONTH(I488,0))))</f>
        <v/>
      </c>
      <c r="AO488" s="79">
        <f>IFERROR(IF(VLOOKUP(C488,C489:C1089,1,0)=0,1,0),1)</f>
        <v>0</v>
      </c>
      <c r="AP488" s="79"/>
      <c r="AQ488" s="243" t="str">
        <f t="shared" si="77"/>
        <v/>
      </c>
      <c r="AR488" s="242" t="b">
        <f>IF(AQ488="x",EOMONTH(I488,0))</f>
        <v>0</v>
      </c>
      <c r="AS488" s="79">
        <f t="shared" si="84"/>
        <v>1</v>
      </c>
      <c r="AT488" s="79">
        <f t="shared" si="85"/>
        <v>1</v>
      </c>
      <c r="AU488" s="79" t="str">
        <f t="shared" si="86"/>
        <v>B</v>
      </c>
      <c r="AV488" s="79">
        <f t="shared" si="78"/>
        <v>1</v>
      </c>
      <c r="AW488" s="79" t="str">
        <f>J488&amp;AU488</f>
        <v>IntegralB</v>
      </c>
      <c r="AX488" s="79">
        <f>IF(COUNTIFS(J:J,"Integral",E:E,E488,H:H,"Ativo")=4,1/4,1/10)</f>
        <v>0.1</v>
      </c>
      <c r="AY488" s="79" t="s">
        <v>1332</v>
      </c>
      <c r="AZ488" s="79" t="b">
        <v>1</v>
      </c>
    </row>
    <row r="489" spans="1:52" ht="15.75" customHeight="1">
      <c r="A489" s="54">
        <v>513</v>
      </c>
      <c r="B489" s="403">
        <v>45224</v>
      </c>
      <c r="C489" s="32" t="s">
        <v>1536</v>
      </c>
      <c r="D489" s="32" t="s">
        <v>1569</v>
      </c>
      <c r="E489" s="32" t="s">
        <v>1541</v>
      </c>
      <c r="F489" s="32" t="s">
        <v>1570</v>
      </c>
      <c r="G489" s="60" t="s">
        <v>220</v>
      </c>
      <c r="H489" s="33" t="s">
        <v>90</v>
      </c>
      <c r="I489" s="34"/>
      <c r="J489" s="33" t="s">
        <v>6</v>
      </c>
      <c r="K489" s="35" t="s">
        <v>273</v>
      </c>
      <c r="L489" s="35" t="s">
        <v>273</v>
      </c>
      <c r="M489" s="386" t="s">
        <v>1259</v>
      </c>
      <c r="N489" s="33" t="s">
        <v>68</v>
      </c>
      <c r="O489" s="33" t="s">
        <v>1235</v>
      </c>
      <c r="P489" s="33" t="s">
        <v>2</v>
      </c>
      <c r="Q489" s="47"/>
      <c r="R489" s="47"/>
      <c r="S489" s="45" t="s">
        <v>148</v>
      </c>
      <c r="T489" s="45"/>
      <c r="U489" s="37">
        <v>45139</v>
      </c>
      <c r="V489" s="38">
        <f t="shared" si="80"/>
        <v>45224</v>
      </c>
      <c r="W489" s="50">
        <f>V489-U489</f>
        <v>85</v>
      </c>
      <c r="X489" s="261">
        <f>Y489*0.91</f>
        <v>322504</v>
      </c>
      <c r="Y489" s="260">
        <v>354400</v>
      </c>
      <c r="Z489" s="263">
        <v>294000</v>
      </c>
      <c r="AA489" s="56"/>
      <c r="AB489" s="263"/>
      <c r="AC489" s="44">
        <f>ABS(X489/Y489-1)</f>
        <v>8.9999999999999969E-2</v>
      </c>
      <c r="AD489" s="62">
        <v>0.17580000000000001</v>
      </c>
      <c r="AE489" s="41">
        <f t="shared" si="82"/>
        <v>-8.5800000000000043E-2</v>
      </c>
      <c r="AF489" s="42">
        <v>8.5800000000000001E-2</v>
      </c>
      <c r="AG489" s="40">
        <f>IF((X489*AE489)&lt;0,0,(X489*AE489))</f>
        <v>0</v>
      </c>
      <c r="AH489" s="65">
        <f t="shared" si="87"/>
        <v>60400</v>
      </c>
      <c r="AI489" s="66">
        <f>AH489/X489</f>
        <v>0.18728449879691414</v>
      </c>
      <c r="AJ489" s="66">
        <f t="shared" si="88"/>
        <v>0.10148449879691414</v>
      </c>
      <c r="AK489" s="65">
        <f>AF489*X489</f>
        <v>27670.843199999999</v>
      </c>
      <c r="AL489" s="40">
        <f t="shared" si="83"/>
        <v>32729.156800000001</v>
      </c>
      <c r="AM489" s="242">
        <f t="shared" si="81"/>
        <v>45230</v>
      </c>
      <c r="AN489" s="242" t="str">
        <f>IF(AQ489="x","",IF(AQ489="x",AM489,IF(EOMONTH(I489,0)=31,"",EOMONTH(I489,0))))</f>
        <v/>
      </c>
      <c r="AO489" s="79">
        <f>IFERROR(IF(VLOOKUP(C489,C490:C1090,1,0)=0,1,0),1)</f>
        <v>0</v>
      </c>
      <c r="AP489" s="79"/>
      <c r="AQ489" s="243" t="str">
        <f t="shared" ref="AQ489:AQ552" si="89">IF(MID(G489,1,15)="NAO ASSINADO","x","")</f>
        <v/>
      </c>
      <c r="AR489" s="242" t="b">
        <f>IF(AQ489="x",EOMONTH(I489,0))</f>
        <v>0</v>
      </c>
      <c r="AS489" s="79">
        <f t="shared" si="84"/>
        <v>1</v>
      </c>
      <c r="AT489" s="79">
        <f t="shared" si="85"/>
        <v>1</v>
      </c>
      <c r="AU489" s="79" t="str">
        <f t="shared" si="86"/>
        <v>B</v>
      </c>
      <c r="AV489" s="79">
        <f t="shared" si="78"/>
        <v>1</v>
      </c>
      <c r="AW489" s="79" t="str">
        <f>J489&amp;AU489</f>
        <v>IntegralB</v>
      </c>
      <c r="AX489" s="79">
        <f>IF(COUNTIFS(J:J,"Integral",E:E,E489,H:H,"Ativo")=4,1/4,1/10)</f>
        <v>0.1</v>
      </c>
      <c r="AY489" s="79" t="s">
        <v>1332</v>
      </c>
      <c r="AZ489" s="79" t="b">
        <v>1</v>
      </c>
    </row>
    <row r="490" spans="1:52" ht="15.75" customHeight="1">
      <c r="A490" s="54">
        <v>514</v>
      </c>
      <c r="B490" s="403">
        <v>45224</v>
      </c>
      <c r="C490" s="32" t="s">
        <v>1536</v>
      </c>
      <c r="D490" s="32" t="s">
        <v>1571</v>
      </c>
      <c r="E490" s="32" t="s">
        <v>1541</v>
      </c>
      <c r="F490" s="32" t="s">
        <v>1572</v>
      </c>
      <c r="G490" s="60" t="s">
        <v>220</v>
      </c>
      <c r="H490" s="33" t="s">
        <v>90</v>
      </c>
      <c r="I490" s="34"/>
      <c r="J490" s="33" t="s">
        <v>6</v>
      </c>
      <c r="K490" s="35" t="s">
        <v>273</v>
      </c>
      <c r="L490" s="35" t="s">
        <v>273</v>
      </c>
      <c r="M490" s="386" t="s">
        <v>1259</v>
      </c>
      <c r="N490" s="33" t="s">
        <v>68</v>
      </c>
      <c r="O490" s="33" t="s">
        <v>1235</v>
      </c>
      <c r="P490" s="33" t="s">
        <v>2</v>
      </c>
      <c r="Q490" s="47"/>
      <c r="R490" s="47"/>
      <c r="S490" s="45" t="s">
        <v>148</v>
      </c>
      <c r="T490" s="45"/>
      <c r="U490" s="37">
        <v>45139</v>
      </c>
      <c r="V490" s="38">
        <f t="shared" si="80"/>
        <v>45224</v>
      </c>
      <c r="W490" s="50">
        <f>V490-U490</f>
        <v>85</v>
      </c>
      <c r="X490" s="261">
        <f>Y490*0.91</f>
        <v>322504</v>
      </c>
      <c r="Y490" s="260">
        <v>354400</v>
      </c>
      <c r="Z490" s="263">
        <v>294000</v>
      </c>
      <c r="AA490" s="56"/>
      <c r="AB490" s="263"/>
      <c r="AC490" s="44">
        <f>ABS(X490/Y490-1)</f>
        <v>8.9999999999999969E-2</v>
      </c>
      <c r="AD490" s="62">
        <v>0.17580000000000001</v>
      </c>
      <c r="AE490" s="41">
        <f t="shared" si="82"/>
        <v>-8.5800000000000043E-2</v>
      </c>
      <c r="AF490" s="42">
        <v>8.5800000000000001E-2</v>
      </c>
      <c r="AG490" s="40">
        <f>IF((X490*AE490)&lt;0,0,(X490*AE490))</f>
        <v>0</v>
      </c>
      <c r="AH490" s="65">
        <f t="shared" si="87"/>
        <v>60400</v>
      </c>
      <c r="AI490" s="66">
        <f>AH490/X490</f>
        <v>0.18728449879691414</v>
      </c>
      <c r="AJ490" s="66">
        <f t="shared" si="88"/>
        <v>0.10148449879691414</v>
      </c>
      <c r="AK490" s="65">
        <f>AF490*X490</f>
        <v>27670.843199999999</v>
      </c>
      <c r="AL490" s="40">
        <f t="shared" si="83"/>
        <v>32729.156800000001</v>
      </c>
      <c r="AM490" s="242">
        <f t="shared" si="81"/>
        <v>45230</v>
      </c>
      <c r="AN490" s="242" t="str">
        <f>IF(AQ490="x","",IF(AQ490="x",AM490,IF(EOMONTH(I490,0)=31,"",EOMONTH(I490,0))))</f>
        <v/>
      </c>
      <c r="AO490" s="79">
        <f>IFERROR(IF(VLOOKUP(C490,C491:C1091,1,0)=0,1,0),1)</f>
        <v>0</v>
      </c>
      <c r="AP490" s="79"/>
      <c r="AQ490" s="243" t="str">
        <f t="shared" si="89"/>
        <v/>
      </c>
      <c r="AR490" s="242" t="b">
        <f>IF(AQ490="x",EOMONTH(I490,0))</f>
        <v>0</v>
      </c>
      <c r="AS490" s="79">
        <f t="shared" si="84"/>
        <v>1</v>
      </c>
      <c r="AT490" s="79">
        <f t="shared" si="85"/>
        <v>1</v>
      </c>
      <c r="AU490" s="79" t="str">
        <f t="shared" si="86"/>
        <v>B</v>
      </c>
      <c r="AV490" s="79">
        <f t="shared" si="78"/>
        <v>1</v>
      </c>
      <c r="AW490" s="79" t="str">
        <f>J490&amp;AU490</f>
        <v>IntegralB</v>
      </c>
      <c r="AX490" s="79">
        <f>IF(COUNTIFS(J:J,"Integral",E:E,E490,H:H,"Ativo")=4,1/4,1/10)</f>
        <v>0.1</v>
      </c>
      <c r="AY490" s="79" t="s">
        <v>1332</v>
      </c>
      <c r="AZ490" s="79" t="b">
        <v>1</v>
      </c>
    </row>
    <row r="491" spans="1:52" ht="15.75" customHeight="1">
      <c r="A491" s="54">
        <v>515</v>
      </c>
      <c r="B491" s="403">
        <v>45224</v>
      </c>
      <c r="C491" s="32" t="s">
        <v>1536</v>
      </c>
      <c r="D491" s="32" t="s">
        <v>1573</v>
      </c>
      <c r="E491" s="32" t="s">
        <v>1541</v>
      </c>
      <c r="F491" s="32" t="s">
        <v>1574</v>
      </c>
      <c r="G491" s="60" t="s">
        <v>220</v>
      </c>
      <c r="H491" s="33" t="s">
        <v>90</v>
      </c>
      <c r="I491" s="34"/>
      <c r="J491" s="33" t="s">
        <v>6</v>
      </c>
      <c r="K491" s="35" t="s">
        <v>273</v>
      </c>
      <c r="L491" s="35" t="s">
        <v>273</v>
      </c>
      <c r="M491" s="386" t="s">
        <v>1259</v>
      </c>
      <c r="N491" s="33" t="s">
        <v>68</v>
      </c>
      <c r="O491" s="33" t="s">
        <v>1235</v>
      </c>
      <c r="P491" s="33" t="s">
        <v>2</v>
      </c>
      <c r="Q491" s="47"/>
      <c r="R491" s="47"/>
      <c r="S491" s="45" t="s">
        <v>148</v>
      </c>
      <c r="T491" s="45"/>
      <c r="U491" s="37">
        <v>45139</v>
      </c>
      <c r="V491" s="38">
        <f t="shared" si="80"/>
        <v>45224</v>
      </c>
      <c r="W491" s="50">
        <f>V491-U491</f>
        <v>85</v>
      </c>
      <c r="X491" s="261">
        <f>Y491*0.91</f>
        <v>322504</v>
      </c>
      <c r="Y491" s="260">
        <v>354400</v>
      </c>
      <c r="Z491" s="263">
        <v>294000</v>
      </c>
      <c r="AA491" s="56"/>
      <c r="AB491" s="263"/>
      <c r="AC491" s="44">
        <f>ABS(X491/Y491-1)</f>
        <v>8.9999999999999969E-2</v>
      </c>
      <c r="AD491" s="62">
        <v>0.17580000000000001</v>
      </c>
      <c r="AE491" s="41">
        <f t="shared" si="82"/>
        <v>-8.5800000000000043E-2</v>
      </c>
      <c r="AF491" s="42">
        <v>8.5800000000000001E-2</v>
      </c>
      <c r="AG491" s="40">
        <f>IF((X491*AE491)&lt;0,0,(X491*AE491))</f>
        <v>0</v>
      </c>
      <c r="AH491" s="65">
        <f t="shared" si="87"/>
        <v>60400</v>
      </c>
      <c r="AI491" s="66">
        <f>AH491/X491</f>
        <v>0.18728449879691414</v>
      </c>
      <c r="AJ491" s="66">
        <f t="shared" si="88"/>
        <v>0.10148449879691414</v>
      </c>
      <c r="AK491" s="65">
        <f>AF491*X491</f>
        <v>27670.843199999999</v>
      </c>
      <c r="AL491" s="40">
        <f t="shared" si="83"/>
        <v>32729.156800000001</v>
      </c>
      <c r="AM491" s="242">
        <f t="shared" si="81"/>
        <v>45230</v>
      </c>
      <c r="AN491" s="242" t="str">
        <f>IF(AQ491="x","",IF(AQ491="x",AM491,IF(EOMONTH(I491,0)=31,"",EOMONTH(I491,0))))</f>
        <v/>
      </c>
      <c r="AO491" s="79">
        <f>IFERROR(IF(VLOOKUP(C491,C492:C1092,1,0)=0,1,0),1)</f>
        <v>0</v>
      </c>
      <c r="AP491" s="79"/>
      <c r="AQ491" s="243" t="str">
        <f t="shared" si="89"/>
        <v/>
      </c>
      <c r="AR491" s="242" t="b">
        <f>IF(AQ491="x",EOMONTH(I491,0))</f>
        <v>0</v>
      </c>
      <c r="AS491" s="79">
        <f t="shared" si="84"/>
        <v>1</v>
      </c>
      <c r="AT491" s="79">
        <f t="shared" si="85"/>
        <v>1</v>
      </c>
      <c r="AU491" s="79" t="str">
        <f t="shared" si="86"/>
        <v>B</v>
      </c>
      <c r="AV491" s="79">
        <f t="shared" si="78"/>
        <v>1</v>
      </c>
      <c r="AW491" s="79" t="str">
        <f>J491&amp;AU491</f>
        <v>IntegralB</v>
      </c>
      <c r="AX491" s="79">
        <f>IF(COUNTIFS(J:J,"Integral",E:E,E491,H:H,"Ativo")=4,1/4,1/10)</f>
        <v>0.1</v>
      </c>
      <c r="AY491" s="79" t="s">
        <v>1332</v>
      </c>
      <c r="AZ491" s="79" t="b">
        <v>1</v>
      </c>
    </row>
    <row r="492" spans="1:52" ht="15.75" customHeight="1">
      <c r="A492" s="54">
        <v>516</v>
      </c>
      <c r="B492" s="403">
        <v>45224</v>
      </c>
      <c r="C492" s="32" t="s">
        <v>1536</v>
      </c>
      <c r="D492" s="32" t="s">
        <v>1575</v>
      </c>
      <c r="E492" s="32" t="s">
        <v>1541</v>
      </c>
      <c r="F492" s="32" t="s">
        <v>1576</v>
      </c>
      <c r="G492" s="60" t="s">
        <v>220</v>
      </c>
      <c r="H492" s="33" t="s">
        <v>90</v>
      </c>
      <c r="I492" s="34"/>
      <c r="J492" s="33" t="s">
        <v>6</v>
      </c>
      <c r="K492" s="35" t="s">
        <v>273</v>
      </c>
      <c r="L492" s="35" t="s">
        <v>273</v>
      </c>
      <c r="M492" s="386" t="s">
        <v>1259</v>
      </c>
      <c r="N492" s="33" t="s">
        <v>68</v>
      </c>
      <c r="O492" s="33" t="s">
        <v>1235</v>
      </c>
      <c r="P492" s="33" t="s">
        <v>2</v>
      </c>
      <c r="Q492" s="47"/>
      <c r="R492" s="47"/>
      <c r="S492" s="45" t="s">
        <v>148</v>
      </c>
      <c r="T492" s="45"/>
      <c r="U492" s="37">
        <v>45139</v>
      </c>
      <c r="V492" s="38">
        <f t="shared" si="80"/>
        <v>45224</v>
      </c>
      <c r="W492" s="50">
        <f>V492-U492</f>
        <v>85</v>
      </c>
      <c r="X492" s="261">
        <f>Y492*0.91</f>
        <v>322504</v>
      </c>
      <c r="Y492" s="260">
        <v>354400</v>
      </c>
      <c r="Z492" s="263">
        <v>294000</v>
      </c>
      <c r="AA492" s="56"/>
      <c r="AB492" s="263"/>
      <c r="AC492" s="44">
        <f>ABS(X492/Y492-1)</f>
        <v>8.9999999999999969E-2</v>
      </c>
      <c r="AD492" s="62">
        <v>0.17580000000000001</v>
      </c>
      <c r="AE492" s="41">
        <f t="shared" si="82"/>
        <v>-8.5800000000000043E-2</v>
      </c>
      <c r="AF492" s="42">
        <v>8.5800000000000001E-2</v>
      </c>
      <c r="AG492" s="40">
        <f>IF((X492*AE492)&lt;0,0,(X492*AE492))</f>
        <v>0</v>
      </c>
      <c r="AH492" s="65">
        <f t="shared" si="87"/>
        <v>60400</v>
      </c>
      <c r="AI492" s="66">
        <f>AH492/X492</f>
        <v>0.18728449879691414</v>
      </c>
      <c r="AJ492" s="66">
        <f t="shared" si="88"/>
        <v>0.10148449879691414</v>
      </c>
      <c r="AK492" s="65">
        <f>AF492*X492</f>
        <v>27670.843199999999</v>
      </c>
      <c r="AL492" s="40">
        <f t="shared" si="83"/>
        <v>32729.156800000001</v>
      </c>
      <c r="AM492" s="242">
        <f t="shared" si="81"/>
        <v>45230</v>
      </c>
      <c r="AN492" s="242" t="str">
        <f>IF(AQ492="x","",IF(AQ492="x",AM492,IF(EOMONTH(I492,0)=31,"",EOMONTH(I492,0))))</f>
        <v/>
      </c>
      <c r="AO492" s="79">
        <f>IFERROR(IF(VLOOKUP(C492,C493:C1093,1,0)=0,1,0),1)</f>
        <v>0</v>
      </c>
      <c r="AP492" s="79"/>
      <c r="AQ492" s="243" t="str">
        <f t="shared" si="89"/>
        <v/>
      </c>
      <c r="AR492" s="242" t="b">
        <f>IF(AQ492="x",EOMONTH(I492,0))</f>
        <v>0</v>
      </c>
      <c r="AS492" s="79">
        <f t="shared" si="84"/>
        <v>1</v>
      </c>
      <c r="AT492" s="79">
        <f t="shared" si="85"/>
        <v>1</v>
      </c>
      <c r="AU492" s="79" t="str">
        <f t="shared" si="86"/>
        <v>B</v>
      </c>
      <c r="AV492" s="79">
        <f t="shared" si="78"/>
        <v>1</v>
      </c>
      <c r="AW492" s="79" t="str">
        <f>J492&amp;AU492</f>
        <v>IntegralB</v>
      </c>
      <c r="AX492" s="79">
        <f>IF(COUNTIFS(J:J,"Integral",E:E,E492,H:H,"Ativo")=4,1/4,1/10)</f>
        <v>0.1</v>
      </c>
      <c r="AY492" s="79" t="s">
        <v>1332</v>
      </c>
      <c r="AZ492" s="79" t="b">
        <v>1</v>
      </c>
    </row>
    <row r="493" spans="1:52" ht="15.75" customHeight="1">
      <c r="A493" s="54">
        <v>517</v>
      </c>
      <c r="B493" s="403">
        <v>45224</v>
      </c>
      <c r="C493" s="32" t="s">
        <v>1536</v>
      </c>
      <c r="D493" s="32" t="s">
        <v>1577</v>
      </c>
      <c r="E493" s="32" t="s">
        <v>1541</v>
      </c>
      <c r="F493" s="32" t="s">
        <v>1578</v>
      </c>
      <c r="G493" s="60" t="s">
        <v>220</v>
      </c>
      <c r="H493" s="33" t="s">
        <v>90</v>
      </c>
      <c r="I493" s="34"/>
      <c r="J493" s="33" t="s">
        <v>6</v>
      </c>
      <c r="K493" s="35" t="s">
        <v>273</v>
      </c>
      <c r="L493" s="35" t="s">
        <v>273</v>
      </c>
      <c r="M493" s="386" t="s">
        <v>1259</v>
      </c>
      <c r="N493" s="33" t="s">
        <v>68</v>
      </c>
      <c r="O493" s="33" t="s">
        <v>1235</v>
      </c>
      <c r="P493" s="33" t="s">
        <v>2</v>
      </c>
      <c r="Q493" s="47"/>
      <c r="R493" s="47"/>
      <c r="S493" s="45" t="s">
        <v>148</v>
      </c>
      <c r="T493" s="45"/>
      <c r="U493" s="37">
        <v>45139</v>
      </c>
      <c r="V493" s="38">
        <f t="shared" si="80"/>
        <v>45224</v>
      </c>
      <c r="W493" s="50">
        <f>V493-U493</f>
        <v>85</v>
      </c>
      <c r="X493" s="261">
        <f>Y493*0.91</f>
        <v>322504</v>
      </c>
      <c r="Y493" s="260">
        <v>354400</v>
      </c>
      <c r="Z493" s="263">
        <v>294000</v>
      </c>
      <c r="AA493" s="56"/>
      <c r="AB493" s="263"/>
      <c r="AC493" s="44">
        <f>ABS(X493/Y493-1)</f>
        <v>8.9999999999999969E-2</v>
      </c>
      <c r="AD493" s="62">
        <v>0.17580000000000001</v>
      </c>
      <c r="AE493" s="41">
        <f t="shared" si="82"/>
        <v>-8.5800000000000043E-2</v>
      </c>
      <c r="AF493" s="42">
        <v>8.5800000000000001E-2</v>
      </c>
      <c r="AG493" s="40">
        <f>IF((X493*AE493)&lt;0,0,(X493*AE493))</f>
        <v>0</v>
      </c>
      <c r="AH493" s="65">
        <f t="shared" si="87"/>
        <v>60400</v>
      </c>
      <c r="AI493" s="66">
        <f>AH493/X493</f>
        <v>0.18728449879691414</v>
      </c>
      <c r="AJ493" s="66">
        <f t="shared" si="88"/>
        <v>0.10148449879691414</v>
      </c>
      <c r="AK493" s="65">
        <f>AF493*X493</f>
        <v>27670.843199999999</v>
      </c>
      <c r="AL493" s="40">
        <f t="shared" si="83"/>
        <v>32729.156800000001</v>
      </c>
      <c r="AM493" s="242">
        <f t="shared" si="81"/>
        <v>45230</v>
      </c>
      <c r="AN493" s="242" t="str">
        <f>IF(AQ493="x","",IF(AQ493="x",AM493,IF(EOMONTH(I493,0)=31,"",EOMONTH(I493,0))))</f>
        <v/>
      </c>
      <c r="AO493" s="79">
        <f>IFERROR(IF(VLOOKUP(C493,C494:C1094,1,0)=0,1,0),1)</f>
        <v>1</v>
      </c>
      <c r="AP493" s="79"/>
      <c r="AQ493" s="243" t="str">
        <f t="shared" si="89"/>
        <v/>
      </c>
      <c r="AR493" s="242" t="b">
        <f>IF(AQ493="x",EOMONTH(I493,0))</f>
        <v>0</v>
      </c>
      <c r="AS493" s="79">
        <f t="shared" si="84"/>
        <v>1</v>
      </c>
      <c r="AT493" s="79">
        <f t="shared" si="85"/>
        <v>1</v>
      </c>
      <c r="AU493" s="79" t="str">
        <f t="shared" si="86"/>
        <v>B</v>
      </c>
      <c r="AV493" s="79">
        <f t="shared" si="78"/>
        <v>1</v>
      </c>
      <c r="AW493" s="79" t="str">
        <f>J493&amp;AU493</f>
        <v>IntegralB</v>
      </c>
      <c r="AX493" s="79">
        <f>IF(COUNTIFS(J:J,"Integral",E:E,E493,H:H,"Ativo")=4,1/4,1/10)</f>
        <v>0.1</v>
      </c>
      <c r="AY493" s="79" t="s">
        <v>1332</v>
      </c>
      <c r="AZ493" s="79" t="b">
        <v>1</v>
      </c>
    </row>
    <row r="494" spans="1:52" ht="15.75" customHeight="1">
      <c r="A494" s="54">
        <v>518</v>
      </c>
      <c r="B494" s="403">
        <v>45225</v>
      </c>
      <c r="C494" s="32" t="s">
        <v>1579</v>
      </c>
      <c r="D494" s="32" t="s">
        <v>1580</v>
      </c>
      <c r="E494" s="32" t="s">
        <v>700</v>
      </c>
      <c r="F494" s="32" t="s">
        <v>1581</v>
      </c>
      <c r="G494" s="60" t="s">
        <v>220</v>
      </c>
      <c r="H494" s="33" t="s">
        <v>90</v>
      </c>
      <c r="I494" s="34"/>
      <c r="J494" s="33">
        <v>6</v>
      </c>
      <c r="K494" s="35" t="s">
        <v>289</v>
      </c>
      <c r="L494" s="35" t="s">
        <v>289</v>
      </c>
      <c r="M494" s="386" t="s">
        <v>246</v>
      </c>
      <c r="N494" s="33" t="s">
        <v>68</v>
      </c>
      <c r="O494" s="33" t="s">
        <v>1235</v>
      </c>
      <c r="P494" s="33" t="s">
        <v>1</v>
      </c>
      <c r="Q494" s="47"/>
      <c r="R494" s="47"/>
      <c r="S494" s="45" t="s">
        <v>143</v>
      </c>
      <c r="T494" s="45"/>
      <c r="U494" s="37">
        <v>45225</v>
      </c>
      <c r="V494" s="38">
        <f t="shared" si="80"/>
        <v>45225</v>
      </c>
      <c r="W494" s="50">
        <f>V494-U494</f>
        <v>0</v>
      </c>
      <c r="X494" s="261">
        <f>Y494*0.91</f>
        <v>342160</v>
      </c>
      <c r="Y494" s="260">
        <v>376000</v>
      </c>
      <c r="Z494" s="263">
        <v>378000</v>
      </c>
      <c r="AA494" s="56"/>
      <c r="AB494" s="263"/>
      <c r="AC494" s="44">
        <f>ABS(X494/Y494-1)</f>
        <v>8.9999999999999969E-2</v>
      </c>
      <c r="AD494" s="62">
        <v>2.7199999999999998E-2</v>
      </c>
      <c r="AE494" s="41">
        <f t="shared" si="82"/>
        <v>6.2799999999999967E-2</v>
      </c>
      <c r="AF494" s="42"/>
      <c r="AG494" s="40">
        <f>IF((X494*AE494)&lt;0,0,(X494*AE494))</f>
        <v>21487.64799999999</v>
      </c>
      <c r="AH494" s="65">
        <f t="shared" si="87"/>
        <v>-2000</v>
      </c>
      <c r="AI494" s="66">
        <f>AH494/X494</f>
        <v>-5.8452186111760578E-3</v>
      </c>
      <c r="AJ494" s="66">
        <f t="shared" si="88"/>
        <v>-5.8452186111760578E-3</v>
      </c>
      <c r="AK494" s="65">
        <f>AF494*X494</f>
        <v>0</v>
      </c>
      <c r="AL494" s="40">
        <f t="shared" si="83"/>
        <v>-2000</v>
      </c>
      <c r="AM494" s="242">
        <f t="shared" si="81"/>
        <v>45230</v>
      </c>
      <c r="AN494" s="242" t="str">
        <f>IF(AQ494="x","",IF(AQ494="x",AM494,IF(EOMONTH(I494,0)=31,"",EOMONTH(I494,0))))</f>
        <v/>
      </c>
      <c r="AO494" s="79">
        <f>IFERROR(IF(VLOOKUP(C494,C495:C1095,1,0)=0,1,0),1)</f>
        <v>1</v>
      </c>
      <c r="AP494" s="79"/>
      <c r="AQ494" s="243" t="str">
        <f t="shared" si="89"/>
        <v/>
      </c>
      <c r="AR494" s="242" t="b">
        <f>IF(AQ494="x",EOMONTH(I494,0))</f>
        <v>0</v>
      </c>
      <c r="AS494" s="79">
        <f t="shared" si="84"/>
        <v>0</v>
      </c>
      <c r="AT494" s="79">
        <f t="shared" si="85"/>
        <v>0</v>
      </c>
      <c r="AU494" s="79" t="str">
        <f t="shared" si="86"/>
        <v>B</v>
      </c>
      <c r="AV494" s="79">
        <f t="shared" si="78"/>
        <v>1</v>
      </c>
      <c r="AW494" s="79" t="str">
        <f>J494&amp;AU494</f>
        <v>6B</v>
      </c>
      <c r="AX494" s="79">
        <f>IF(COUNTIFS(J:J,"Integral",E:E,E494,H:H,"Ativo")=4,1/4,1/10)</f>
        <v>0.1</v>
      </c>
      <c r="AY494" s="79" t="s">
        <v>1320</v>
      </c>
      <c r="AZ494" s="79" t="b">
        <v>1</v>
      </c>
    </row>
    <row r="495" spans="1:52" ht="15.75" customHeight="1">
      <c r="A495" s="54">
        <v>519</v>
      </c>
      <c r="B495" s="403">
        <v>45225</v>
      </c>
      <c r="C495" s="32" t="s">
        <v>583</v>
      </c>
      <c r="D495" s="32" t="s">
        <v>375</v>
      </c>
      <c r="E495" s="32" t="s">
        <v>376</v>
      </c>
      <c r="F495" s="32" t="s">
        <v>1582</v>
      </c>
      <c r="G495" s="60" t="s">
        <v>220</v>
      </c>
      <c r="H495" s="33" t="s">
        <v>90</v>
      </c>
      <c r="I495" s="34"/>
      <c r="J495" s="33">
        <v>13</v>
      </c>
      <c r="K495" s="35" t="s">
        <v>1517</v>
      </c>
      <c r="L495" s="35" t="s">
        <v>1517</v>
      </c>
      <c r="M495" s="386" t="s">
        <v>246</v>
      </c>
      <c r="N495" s="33" t="s">
        <v>68</v>
      </c>
      <c r="O495" s="33" t="s">
        <v>1235</v>
      </c>
      <c r="P495" s="33" t="s">
        <v>1</v>
      </c>
      <c r="Q495" s="47" t="s">
        <v>84</v>
      </c>
      <c r="R495" s="47"/>
      <c r="S495" s="45" t="s">
        <v>143</v>
      </c>
      <c r="T495" s="45"/>
      <c r="U495" s="37">
        <v>44883</v>
      </c>
      <c r="V495" s="38">
        <f t="shared" si="80"/>
        <v>45225</v>
      </c>
      <c r="W495" s="50">
        <f>V495-U495</f>
        <v>342</v>
      </c>
      <c r="X495" s="261">
        <f>Y495*0.91</f>
        <v>1167530</v>
      </c>
      <c r="Y495" s="260">
        <v>1283000</v>
      </c>
      <c r="Z495" s="263">
        <v>942531.49</v>
      </c>
      <c r="AA495" s="56"/>
      <c r="AB495" s="263"/>
      <c r="AC495" s="44">
        <f>ABS(X495/Y495-1)</f>
        <v>8.9999999999999969E-2</v>
      </c>
      <c r="AD495" s="62">
        <v>0.1946</v>
      </c>
      <c r="AE495" s="41">
        <f t="shared" si="82"/>
        <v>-0.10460000000000003</v>
      </c>
      <c r="AF495" s="42">
        <v>0.1046</v>
      </c>
      <c r="AG495" s="40">
        <f>IF((X495*AE495)&lt;0,0,(X495*AE495))</f>
        <v>0</v>
      </c>
      <c r="AH495" s="65">
        <f t="shared" si="87"/>
        <v>340468.51</v>
      </c>
      <c r="AI495" s="66">
        <f>AH495/X495</f>
        <v>0.29161435680453607</v>
      </c>
      <c r="AJ495" s="66">
        <f t="shared" si="88"/>
        <v>0.18701435680453607</v>
      </c>
      <c r="AK495" s="65">
        <f>AF495*X495</f>
        <v>122123.63799999999</v>
      </c>
      <c r="AL495" s="40">
        <f t="shared" si="83"/>
        <v>218344.87200000003</v>
      </c>
      <c r="AM495" s="242">
        <f t="shared" si="81"/>
        <v>45230</v>
      </c>
      <c r="AN495" s="242" t="str">
        <f>IF(AQ495="x","",IF(AQ495="x",AM495,IF(EOMONTH(I495,0)=31,"",EOMONTH(I495,0))))</f>
        <v/>
      </c>
      <c r="AO495" s="350">
        <f>IFERROR(IF(VLOOKUP(C495,C496:C1096,1,0)=0,1,0),1)</f>
        <v>1</v>
      </c>
      <c r="AP495" s="350"/>
      <c r="AQ495" s="243" t="str">
        <f t="shared" si="89"/>
        <v/>
      </c>
      <c r="AR495" s="242" t="b">
        <f>IF(AQ495="x",EOMONTH(I495,0))</f>
        <v>0</v>
      </c>
      <c r="AS495" s="79">
        <f t="shared" si="84"/>
        <v>1</v>
      </c>
      <c r="AT495" s="79">
        <f t="shared" si="85"/>
        <v>1</v>
      </c>
      <c r="AU495" s="79" t="str">
        <f t="shared" si="86"/>
        <v>A</v>
      </c>
      <c r="AV495" s="79">
        <f t="shared" si="78"/>
        <v>1</v>
      </c>
      <c r="AW495" s="79" t="str">
        <f>J495&amp;AU495</f>
        <v>13A</v>
      </c>
      <c r="AX495" s="79">
        <f>IF(COUNTIFS(J:J,"Integral",E:E,E495,H:H,"Ativo")=4,1/4,1/10)</f>
        <v>0.1</v>
      </c>
      <c r="AY495" s="79" t="s">
        <v>1320</v>
      </c>
      <c r="AZ495" s="79" t="b">
        <v>1</v>
      </c>
    </row>
    <row r="496" spans="1:52" ht="15.75" customHeight="1">
      <c r="A496" s="54">
        <v>520</v>
      </c>
      <c r="B496" s="403">
        <v>45226</v>
      </c>
      <c r="C496" s="32" t="s">
        <v>1583</v>
      </c>
      <c r="D496" s="32" t="s">
        <v>1584</v>
      </c>
      <c r="E496" s="32" t="s">
        <v>960</v>
      </c>
      <c r="F496" s="32" t="s">
        <v>1585</v>
      </c>
      <c r="G496" s="60" t="s">
        <v>220</v>
      </c>
      <c r="H496" s="33" t="s">
        <v>90</v>
      </c>
      <c r="I496" s="34"/>
      <c r="J496" s="33">
        <v>6</v>
      </c>
      <c r="K496" s="35" t="s">
        <v>1165</v>
      </c>
      <c r="L496" s="35" t="s">
        <v>1165</v>
      </c>
      <c r="M496" s="386" t="s">
        <v>1259</v>
      </c>
      <c r="N496" s="33" t="s">
        <v>68</v>
      </c>
      <c r="O496" s="33" t="s">
        <v>1235</v>
      </c>
      <c r="P496" s="33" t="s">
        <v>2</v>
      </c>
      <c r="Q496" s="47"/>
      <c r="R496" s="47"/>
      <c r="S496" s="45" t="s">
        <v>162</v>
      </c>
      <c r="T496" s="45"/>
      <c r="U496" s="37">
        <v>45163</v>
      </c>
      <c r="V496" s="38">
        <f t="shared" si="80"/>
        <v>45226</v>
      </c>
      <c r="W496" s="50">
        <f>V496-U496</f>
        <v>63</v>
      </c>
      <c r="X496" s="261">
        <f>Y496*0.91</f>
        <v>342160</v>
      </c>
      <c r="Y496" s="260">
        <v>376000</v>
      </c>
      <c r="Z496" s="263">
        <v>374000</v>
      </c>
      <c r="AA496" s="56"/>
      <c r="AB496" s="263"/>
      <c r="AC496" s="44">
        <f>ABS(X496/Y496-1)</f>
        <v>8.9999999999999969E-2</v>
      </c>
      <c r="AD496" s="62">
        <v>2.7E-2</v>
      </c>
      <c r="AE496" s="41">
        <f t="shared" si="82"/>
        <v>6.2999999999999973E-2</v>
      </c>
      <c r="AF496" s="42"/>
      <c r="AG496" s="40">
        <f>IF((X496*AE496)&lt;0,0,(X496*AE496))</f>
        <v>21556.079999999991</v>
      </c>
      <c r="AH496" s="65">
        <f t="shared" si="87"/>
        <v>2000</v>
      </c>
      <c r="AI496" s="66">
        <f>AH496/X496</f>
        <v>5.8452186111760578E-3</v>
      </c>
      <c r="AJ496" s="66">
        <f t="shared" si="88"/>
        <v>5.8452186111760578E-3</v>
      </c>
      <c r="AK496" s="65">
        <f>AF496*X496</f>
        <v>0</v>
      </c>
      <c r="AL496" s="40">
        <f t="shared" si="83"/>
        <v>2000</v>
      </c>
      <c r="AM496" s="242">
        <f t="shared" si="81"/>
        <v>45230</v>
      </c>
      <c r="AN496" s="242" t="str">
        <f>IF(AQ496="x","",IF(AQ496="x",AM496,IF(EOMONTH(I496,0)=31,"",EOMONTH(I496,0))))</f>
        <v/>
      </c>
      <c r="AO496" s="79">
        <f>IFERROR(IF(VLOOKUP(C496,C497:C1097,1,0)=0,1,0),1)</f>
        <v>1</v>
      </c>
      <c r="AP496" s="79"/>
      <c r="AQ496" s="243" t="str">
        <f t="shared" si="89"/>
        <v/>
      </c>
      <c r="AR496" s="242" t="b">
        <f>IF(AQ496="x",EOMONTH(I496,0))</f>
        <v>0</v>
      </c>
      <c r="AS496" s="79">
        <f t="shared" si="84"/>
        <v>1</v>
      </c>
      <c r="AT496" s="79">
        <f t="shared" si="85"/>
        <v>1</v>
      </c>
      <c r="AU496" s="79" t="str">
        <f t="shared" si="86"/>
        <v>B</v>
      </c>
      <c r="AV496" s="79">
        <f t="shared" si="78"/>
        <v>1</v>
      </c>
      <c r="AW496" s="79" t="str">
        <f>J496&amp;AU496</f>
        <v>6B</v>
      </c>
      <c r="AX496" s="79">
        <f>IF(COUNTIFS(J:J,"Integral",E:E,E496,H:H,"Ativo")=4,1/4,1/10)</f>
        <v>0.1</v>
      </c>
      <c r="AY496" s="79" t="s">
        <v>1332</v>
      </c>
      <c r="AZ496" s="79" t="b">
        <v>1</v>
      </c>
    </row>
    <row r="497" spans="1:52" ht="15.75" customHeight="1">
      <c r="A497" s="54">
        <v>521</v>
      </c>
      <c r="B497" s="403">
        <v>45226</v>
      </c>
      <c r="C497" s="32" t="s">
        <v>1072</v>
      </c>
      <c r="D497" s="32" t="s">
        <v>1412</v>
      </c>
      <c r="E497" s="32" t="s">
        <v>1409</v>
      </c>
      <c r="F497" s="32" t="s">
        <v>1586</v>
      </c>
      <c r="G497" s="60" t="s">
        <v>220</v>
      </c>
      <c r="H497" s="33" t="s">
        <v>90</v>
      </c>
      <c r="I497" s="34"/>
      <c r="J497" s="33">
        <v>6</v>
      </c>
      <c r="K497" s="35" t="s">
        <v>1007</v>
      </c>
      <c r="L497" s="35" t="s">
        <v>1007</v>
      </c>
      <c r="M497" s="386" t="s">
        <v>246</v>
      </c>
      <c r="N497" s="33" t="s">
        <v>68</v>
      </c>
      <c r="O497" s="33" t="s">
        <v>10</v>
      </c>
      <c r="P497" s="33" t="s">
        <v>2</v>
      </c>
      <c r="Q497" s="47"/>
      <c r="R497" s="47"/>
      <c r="S497" s="45" t="s">
        <v>145</v>
      </c>
      <c r="T497" s="45"/>
      <c r="U497" s="37">
        <v>45056</v>
      </c>
      <c r="V497" s="38">
        <f t="shared" si="80"/>
        <v>45226</v>
      </c>
      <c r="W497" s="50">
        <f>V497-U497</f>
        <v>170</v>
      </c>
      <c r="X497" s="261">
        <f>Y497*0.91</f>
        <v>342160</v>
      </c>
      <c r="Y497" s="260">
        <v>376000</v>
      </c>
      <c r="Z497" s="263">
        <v>303700</v>
      </c>
      <c r="AA497" s="56"/>
      <c r="AB497" s="263"/>
      <c r="AC497" s="44">
        <f>ABS(X497/Y497-1)</f>
        <v>8.9999999999999969E-2</v>
      </c>
      <c r="AD497" s="62">
        <v>-2.0000000000000001E-4</v>
      </c>
      <c r="AE497" s="41">
        <f t="shared" si="82"/>
        <v>9.0199999999999975E-2</v>
      </c>
      <c r="AF497" s="42"/>
      <c r="AG497" s="40">
        <f>IF((X497*AE497)&lt;0,0,(X497*AE497))</f>
        <v>30862.831999999991</v>
      </c>
      <c r="AH497" s="65">
        <f t="shared" si="87"/>
        <v>72300</v>
      </c>
      <c r="AI497" s="66">
        <f>AH497/X497</f>
        <v>0.2113046527940145</v>
      </c>
      <c r="AJ497" s="66">
        <f t="shared" si="88"/>
        <v>0.2113046527940145</v>
      </c>
      <c r="AK497" s="65">
        <f>AF497*X497</f>
        <v>0</v>
      </c>
      <c r="AL497" s="40">
        <f t="shared" si="83"/>
        <v>72300</v>
      </c>
      <c r="AM497" s="242">
        <f t="shared" si="81"/>
        <v>45230</v>
      </c>
      <c r="AN497" s="242" t="str">
        <f>IF(AQ497="x","",IF(AQ497="x",AM497,IF(EOMONTH(I497,0)=31,"",EOMONTH(I497,0))))</f>
        <v/>
      </c>
      <c r="AO497" s="79">
        <f>IFERROR(IF(VLOOKUP(C497,C498:C1098,1,0)=0,1,0),1)</f>
        <v>1</v>
      </c>
      <c r="AP497" s="79"/>
      <c r="AQ497" s="243" t="str">
        <f t="shared" si="89"/>
        <v/>
      </c>
      <c r="AR497" s="242" t="b">
        <f>IF(AQ497="x",EOMONTH(I497,0))</f>
        <v>0</v>
      </c>
      <c r="AS497" s="79">
        <f t="shared" si="84"/>
        <v>1</v>
      </c>
      <c r="AT497" s="79">
        <f t="shared" si="85"/>
        <v>1</v>
      </c>
      <c r="AU497" s="79" t="str">
        <f t="shared" si="86"/>
        <v>B</v>
      </c>
      <c r="AV497" s="79">
        <f t="shared" ref="AV497:AV560" si="90">IF(AG497&lt;0,0,1)</f>
        <v>1</v>
      </c>
      <c r="AW497" s="79" t="str">
        <f>J497&amp;AU497</f>
        <v>6B</v>
      </c>
      <c r="AX497" s="79">
        <f>IF(COUNTIFS(J:J,"Integral",E:E,E497,H:H,"Ativo")=4,1/4,1/10)</f>
        <v>0.1</v>
      </c>
      <c r="AY497" s="79" t="s">
        <v>1332</v>
      </c>
      <c r="AZ497" s="79" t="b">
        <v>1</v>
      </c>
    </row>
    <row r="498" spans="1:52" ht="15.75" customHeight="1">
      <c r="A498" s="54">
        <v>522</v>
      </c>
      <c r="B498" s="403">
        <v>45227</v>
      </c>
      <c r="C498" s="32" t="s">
        <v>1587</v>
      </c>
      <c r="D498" s="32" t="s">
        <v>1588</v>
      </c>
      <c r="E498" s="32" t="s">
        <v>431</v>
      </c>
      <c r="F498" s="32" t="s">
        <v>1589</v>
      </c>
      <c r="G498" s="60" t="s">
        <v>220</v>
      </c>
      <c r="H498" s="33" t="s">
        <v>244</v>
      </c>
      <c r="I498" s="34">
        <v>45419</v>
      </c>
      <c r="J498" s="33">
        <v>6</v>
      </c>
      <c r="K498" s="35" t="s">
        <v>1101</v>
      </c>
      <c r="L498" s="35" t="s">
        <v>1101</v>
      </c>
      <c r="M498" s="386" t="s">
        <v>1259</v>
      </c>
      <c r="N498" s="33" t="s">
        <v>68</v>
      </c>
      <c r="O498" s="33" t="s">
        <v>1235</v>
      </c>
      <c r="P498" s="33" t="s">
        <v>1</v>
      </c>
      <c r="Q498" s="47"/>
      <c r="R498" s="47"/>
      <c r="S498" s="45" t="s">
        <v>147</v>
      </c>
      <c r="T498" s="45"/>
      <c r="U498" s="37">
        <v>45197</v>
      </c>
      <c r="V498" s="38">
        <f t="shared" si="80"/>
        <v>45227</v>
      </c>
      <c r="W498" s="50">
        <f>V498-U498</f>
        <v>30</v>
      </c>
      <c r="X498" s="261">
        <f>Y498*0.91</f>
        <v>418600</v>
      </c>
      <c r="Y498" s="260">
        <v>460000</v>
      </c>
      <c r="Z498" s="263">
        <v>428000</v>
      </c>
      <c r="AA498" s="56" t="s">
        <v>1250</v>
      </c>
      <c r="AB498" s="263"/>
      <c r="AC498" s="44">
        <f>ABS(X498/Y498-1)</f>
        <v>8.9999999999999969E-2</v>
      </c>
      <c r="AD498" s="62">
        <v>8.5999999999999993E-2</v>
      </c>
      <c r="AE498" s="41">
        <f t="shared" ref="AE498:AE529" si="91">AC498-AD498</f>
        <v>3.9999999999999758E-3</v>
      </c>
      <c r="AF498" s="42"/>
      <c r="AG498" s="40">
        <f>IF((X498*AE498)&lt;0,0,(X498*AE498))</f>
        <v>1674.3999999999899</v>
      </c>
      <c r="AH498" s="65">
        <f t="shared" si="87"/>
        <v>32000</v>
      </c>
      <c r="AI498" s="66">
        <f>AH498/X498</f>
        <v>7.6445293836598191E-2</v>
      </c>
      <c r="AJ498" s="66">
        <f t="shared" si="88"/>
        <v>7.6445293836598191E-2</v>
      </c>
      <c r="AK498" s="65">
        <f>AF498*X498</f>
        <v>0</v>
      </c>
      <c r="AL498" s="40">
        <f t="shared" si="83"/>
        <v>32000</v>
      </c>
      <c r="AM498" s="242">
        <f t="shared" si="81"/>
        <v>45230</v>
      </c>
      <c r="AN498" s="242">
        <f>IF(AQ498="x","",IF(AQ498="x",AM498,IF(EOMONTH(I498,0)=31,"",EOMONTH(I498,0))))</f>
        <v>45443</v>
      </c>
      <c r="AO498" s="79">
        <f>IFERROR(IF(VLOOKUP(C498,C499:C1099,1,0)=0,1,0),1)</f>
        <v>1</v>
      </c>
      <c r="AP498" s="79"/>
      <c r="AQ498" s="243" t="str">
        <f t="shared" si="89"/>
        <v/>
      </c>
      <c r="AR498" s="242" t="b">
        <f>IF(AQ498="x",EOMONTH(I498,0))</f>
        <v>0</v>
      </c>
      <c r="AS498" s="79">
        <f t="shared" si="84"/>
        <v>1</v>
      </c>
      <c r="AT498" s="79">
        <f t="shared" si="85"/>
        <v>1</v>
      </c>
      <c r="AU498" s="79" t="str">
        <f t="shared" si="86"/>
        <v>B</v>
      </c>
      <c r="AV498" s="79">
        <f t="shared" si="90"/>
        <v>1</v>
      </c>
      <c r="AW498" s="79" t="str">
        <f>J498&amp;AU498</f>
        <v>6B</v>
      </c>
      <c r="AX498" s="79">
        <f>IF(COUNTIFS(J:J,"Integral",E:E,E498,H:H,"Ativo")=4,1/4,1/10)</f>
        <v>0.1</v>
      </c>
      <c r="AY498" s="79" t="s">
        <v>1332</v>
      </c>
      <c r="AZ498" s="79" t="b">
        <v>1</v>
      </c>
    </row>
    <row r="499" spans="1:52" ht="15.75" customHeight="1">
      <c r="A499" s="54">
        <v>523</v>
      </c>
      <c r="B499" s="403">
        <v>45227</v>
      </c>
      <c r="C499" s="32" t="s">
        <v>1590</v>
      </c>
      <c r="D499" s="32" t="s">
        <v>1591</v>
      </c>
      <c r="E499" s="32" t="s">
        <v>960</v>
      </c>
      <c r="F499" s="32" t="s">
        <v>1592</v>
      </c>
      <c r="G499" s="60" t="s">
        <v>220</v>
      </c>
      <c r="H499" s="33" t="s">
        <v>90</v>
      </c>
      <c r="I499" s="34"/>
      <c r="J499" s="33">
        <v>6</v>
      </c>
      <c r="K499" s="35" t="s">
        <v>327</v>
      </c>
      <c r="L499" s="35" t="s">
        <v>327</v>
      </c>
      <c r="M499" s="386" t="s">
        <v>246</v>
      </c>
      <c r="N499" s="33" t="s">
        <v>68</v>
      </c>
      <c r="O499" s="33" t="s">
        <v>10</v>
      </c>
      <c r="P499" s="33" t="s">
        <v>2</v>
      </c>
      <c r="Q499" s="47"/>
      <c r="R499" s="47"/>
      <c r="S499" s="45" t="s">
        <v>144</v>
      </c>
      <c r="T499" s="45"/>
      <c r="U499" s="37">
        <v>45218</v>
      </c>
      <c r="V499" s="38">
        <f t="shared" si="80"/>
        <v>45227</v>
      </c>
      <c r="W499" s="50">
        <f>V499-U499</f>
        <v>9</v>
      </c>
      <c r="X499" s="261">
        <f>Y499*0.91</f>
        <v>342160</v>
      </c>
      <c r="Y499" s="260">
        <v>376000</v>
      </c>
      <c r="Z499" s="263">
        <v>303634</v>
      </c>
      <c r="AA499" s="56"/>
      <c r="AB499" s="263"/>
      <c r="AC499" s="44">
        <f>ABS(X499/Y499-1)</f>
        <v>8.9999999999999969E-2</v>
      </c>
      <c r="AD499" s="62">
        <v>7.1000000000000004E-3</v>
      </c>
      <c r="AE499" s="41">
        <f t="shared" si="91"/>
        <v>8.2899999999999974E-2</v>
      </c>
      <c r="AF499" s="42"/>
      <c r="AG499" s="40">
        <f>IF((X499*AE499)&lt;0,0,(X499*AE499))</f>
        <v>28365.063999999991</v>
      </c>
      <c r="AH499" s="65">
        <f t="shared" si="87"/>
        <v>72366</v>
      </c>
      <c r="AI499" s="66">
        <f>AH499/X499</f>
        <v>0.2114975450081833</v>
      </c>
      <c r="AJ499" s="66">
        <f t="shared" si="88"/>
        <v>0.2114975450081833</v>
      </c>
      <c r="AK499" s="65">
        <f>AF499*X499</f>
        <v>0</v>
      </c>
      <c r="AL499" s="40">
        <f t="shared" si="83"/>
        <v>72366</v>
      </c>
      <c r="AM499" s="242">
        <f t="shared" si="81"/>
        <v>45230</v>
      </c>
      <c r="AN499" s="242" t="str">
        <f>IF(AQ499="x","",IF(AQ499="x",AM499,IF(EOMONTH(I499,0)=31,"",EOMONTH(I499,0))))</f>
        <v/>
      </c>
      <c r="AO499" s="79">
        <f>IFERROR(IF(VLOOKUP(C499,C500:C1100,1,0)=0,1,0),1)</f>
        <v>1</v>
      </c>
      <c r="AP499" s="79"/>
      <c r="AQ499" s="243" t="str">
        <f t="shared" si="89"/>
        <v/>
      </c>
      <c r="AR499" s="242" t="b">
        <f>IF(AQ499="x",EOMONTH(I499,0))</f>
        <v>0</v>
      </c>
      <c r="AS499" s="79">
        <f t="shared" si="84"/>
        <v>1</v>
      </c>
      <c r="AT499" s="79">
        <f t="shared" si="85"/>
        <v>1</v>
      </c>
      <c r="AU499" s="79" t="str">
        <f t="shared" si="86"/>
        <v>B</v>
      </c>
      <c r="AV499" s="79">
        <f t="shared" si="90"/>
        <v>1</v>
      </c>
      <c r="AW499" s="79" t="str">
        <f>J499&amp;AU499</f>
        <v>6B</v>
      </c>
      <c r="AX499" s="79">
        <f>IF(COUNTIFS(J:J,"Integral",E:E,E499,H:H,"Ativo")=4,1/4,1/10)</f>
        <v>0.1</v>
      </c>
      <c r="AY499" s="79" t="s">
        <v>1332</v>
      </c>
      <c r="AZ499" s="79" t="b">
        <v>1</v>
      </c>
    </row>
    <row r="500" spans="1:52" ht="15.75" customHeight="1">
      <c r="A500" s="54">
        <v>524</v>
      </c>
      <c r="B500" s="403">
        <v>45228</v>
      </c>
      <c r="C500" s="32" t="s">
        <v>1593</v>
      </c>
      <c r="D500" s="32" t="s">
        <v>1594</v>
      </c>
      <c r="E500" s="32" t="s">
        <v>960</v>
      </c>
      <c r="F500" s="32" t="s">
        <v>1595</v>
      </c>
      <c r="G500" s="60" t="s">
        <v>220</v>
      </c>
      <c r="H500" s="33" t="s">
        <v>90</v>
      </c>
      <c r="I500" s="34"/>
      <c r="J500" s="33">
        <v>6</v>
      </c>
      <c r="K500" s="35" t="s">
        <v>273</v>
      </c>
      <c r="L500" s="35" t="s">
        <v>273</v>
      </c>
      <c r="M500" s="386" t="s">
        <v>1259</v>
      </c>
      <c r="N500" s="33" t="s">
        <v>68</v>
      </c>
      <c r="O500" s="33" t="s">
        <v>1235</v>
      </c>
      <c r="P500" s="33" t="s">
        <v>2</v>
      </c>
      <c r="Q500" s="47"/>
      <c r="R500" s="47"/>
      <c r="S500" s="45" t="s">
        <v>143</v>
      </c>
      <c r="T500" s="45"/>
      <c r="U500" s="37">
        <v>45176</v>
      </c>
      <c r="V500" s="38">
        <f t="shared" si="80"/>
        <v>45228</v>
      </c>
      <c r="W500" s="50">
        <f>V500-U500</f>
        <v>52</v>
      </c>
      <c r="X500" s="261">
        <f>Y500*0.91</f>
        <v>342160</v>
      </c>
      <c r="Y500" s="260">
        <v>376000</v>
      </c>
      <c r="Z500" s="263">
        <v>367120</v>
      </c>
      <c r="AA500" s="56" t="s">
        <v>1596</v>
      </c>
      <c r="AB500" s="263"/>
      <c r="AC500" s="44">
        <f>ABS(X500/Y500-1)</f>
        <v>8.9999999999999969E-2</v>
      </c>
      <c r="AD500" s="62">
        <v>2.8299999999999999E-2</v>
      </c>
      <c r="AE500" s="41">
        <f t="shared" si="91"/>
        <v>6.169999999999997E-2</v>
      </c>
      <c r="AF500" s="42"/>
      <c r="AG500" s="40">
        <f>IF((X500*AE500)&lt;0,0,(X500*AE500))</f>
        <v>21111.27199999999</v>
      </c>
      <c r="AH500" s="65">
        <f t="shared" si="87"/>
        <v>8880</v>
      </c>
      <c r="AI500" s="66">
        <f>AH500/X500</f>
        <v>2.5952770633621697E-2</v>
      </c>
      <c r="AJ500" s="66">
        <f t="shared" si="88"/>
        <v>2.5952770633621697E-2</v>
      </c>
      <c r="AK500" s="65">
        <f>AF500*X500</f>
        <v>0</v>
      </c>
      <c r="AL500" s="40">
        <f t="shared" si="83"/>
        <v>8880</v>
      </c>
      <c r="AM500" s="242">
        <f t="shared" si="81"/>
        <v>45230</v>
      </c>
      <c r="AN500" s="242" t="str">
        <f>IF(AQ500="x","",IF(AQ500="x",AM500,IF(EOMONTH(I500,0)=31,"",EOMONTH(I500,0))))</f>
        <v/>
      </c>
      <c r="AO500" s="79">
        <f>IFERROR(IF(VLOOKUP(C500,C501:C1101,1,0)=0,1,0),1)</f>
        <v>1</v>
      </c>
      <c r="AP500" s="79"/>
      <c r="AQ500" s="243" t="str">
        <f t="shared" si="89"/>
        <v/>
      </c>
      <c r="AR500" s="242" t="b">
        <f>IF(AQ500="x",EOMONTH(I500,0))</f>
        <v>0</v>
      </c>
      <c r="AS500" s="79">
        <f t="shared" si="84"/>
        <v>1</v>
      </c>
      <c r="AT500" s="79">
        <f t="shared" si="85"/>
        <v>1</v>
      </c>
      <c r="AU500" s="79" t="str">
        <f t="shared" si="86"/>
        <v>B</v>
      </c>
      <c r="AV500" s="79">
        <f t="shared" si="90"/>
        <v>1</v>
      </c>
      <c r="AW500" s="79" t="str">
        <f>J500&amp;AU500</f>
        <v>6B</v>
      </c>
      <c r="AX500" s="79">
        <f>IF(COUNTIFS(J:J,"Integral",E:E,E500,H:H,"Ativo")=4,1/4,1/10)</f>
        <v>0.1</v>
      </c>
      <c r="AY500" s="79" t="s">
        <v>1332</v>
      </c>
      <c r="AZ500" s="79" t="b">
        <v>1</v>
      </c>
    </row>
    <row r="501" spans="1:52" ht="15.75" customHeight="1">
      <c r="A501" s="54">
        <v>525</v>
      </c>
      <c r="B501" s="403">
        <v>45231</v>
      </c>
      <c r="C501" s="32" t="s">
        <v>1597</v>
      </c>
      <c r="D501" s="32" t="s">
        <v>1598</v>
      </c>
      <c r="E501" s="32" t="s">
        <v>960</v>
      </c>
      <c r="F501" s="32" t="s">
        <v>1599</v>
      </c>
      <c r="G501" s="60" t="s">
        <v>220</v>
      </c>
      <c r="H501" s="33" t="s">
        <v>90</v>
      </c>
      <c r="I501" s="34"/>
      <c r="J501" s="33">
        <v>6</v>
      </c>
      <c r="K501" s="35" t="s">
        <v>1149</v>
      </c>
      <c r="L501" s="35" t="s">
        <v>1149</v>
      </c>
      <c r="M501" s="386" t="s">
        <v>1259</v>
      </c>
      <c r="N501" s="33" t="s">
        <v>68</v>
      </c>
      <c r="O501" s="33" t="s">
        <v>1235</v>
      </c>
      <c r="P501" s="33" t="s">
        <v>2</v>
      </c>
      <c r="Q501" s="47"/>
      <c r="R501" s="47"/>
      <c r="S501" s="45" t="s">
        <v>145</v>
      </c>
      <c r="T501" s="45"/>
      <c r="U501" s="37">
        <v>45212</v>
      </c>
      <c r="V501" s="38">
        <f t="shared" si="80"/>
        <v>45231</v>
      </c>
      <c r="W501" s="50">
        <f>V501-U501</f>
        <v>19</v>
      </c>
      <c r="X501" s="261">
        <f>Y501*0.91</f>
        <v>342160</v>
      </c>
      <c r="Y501" s="260">
        <v>376000</v>
      </c>
      <c r="Z501" s="263">
        <v>404000</v>
      </c>
      <c r="AA501" s="56"/>
      <c r="AB501" s="263"/>
      <c r="AC501" s="44">
        <f>ABS(X501/Y501-1)</f>
        <v>8.9999999999999969E-2</v>
      </c>
      <c r="AD501" s="62">
        <v>1.49E-2</v>
      </c>
      <c r="AE501" s="41">
        <f t="shared" si="91"/>
        <v>7.5099999999999972E-2</v>
      </c>
      <c r="AF501" s="42"/>
      <c r="AG501" s="40">
        <f>IF((X501*AE501)&lt;0,0,(X501*AE501))</f>
        <v>25696.215999999989</v>
      </c>
      <c r="AH501" s="65">
        <f t="shared" si="87"/>
        <v>-28000</v>
      </c>
      <c r="AI501" s="66">
        <f>AH501/X501</f>
        <v>-8.1833060556464818E-2</v>
      </c>
      <c r="AJ501" s="66">
        <f t="shared" si="88"/>
        <v>-8.1833060556464818E-2</v>
      </c>
      <c r="AK501" s="65">
        <f>AF501*X501</f>
        <v>0</v>
      </c>
      <c r="AL501" s="40">
        <f t="shared" si="83"/>
        <v>-28000</v>
      </c>
      <c r="AM501" s="242">
        <f t="shared" si="81"/>
        <v>45260</v>
      </c>
      <c r="AN501" s="242" t="str">
        <f>IF(AQ501="x","",IF(AQ501="x",AM501,IF(EOMONTH(I501,0)=31,"",EOMONTH(I501,0))))</f>
        <v/>
      </c>
      <c r="AO501" s="79">
        <f>IFERROR(IF(VLOOKUP(C501,C502:C1102,1,0)=0,1,0),1)</f>
        <v>1</v>
      </c>
      <c r="AP501" s="79"/>
      <c r="AQ501" s="243" t="str">
        <f t="shared" si="89"/>
        <v/>
      </c>
      <c r="AR501" s="242" t="b">
        <f>IF(AQ501="x",EOMONTH(I501,0))</f>
        <v>0</v>
      </c>
      <c r="AS501" s="79">
        <f t="shared" si="84"/>
        <v>0</v>
      </c>
      <c r="AT501" s="79">
        <f t="shared" si="85"/>
        <v>0</v>
      </c>
      <c r="AU501" s="79" t="str">
        <f t="shared" si="86"/>
        <v>B</v>
      </c>
      <c r="AV501" s="79">
        <f t="shared" si="90"/>
        <v>1</v>
      </c>
      <c r="AW501" s="79" t="str">
        <f>J501&amp;AU501</f>
        <v>6B</v>
      </c>
      <c r="AX501" s="79">
        <f>IF(COUNTIFS(J:J,"Integral",E:E,E501,H:H,"Ativo")=4,1/4,1/10)</f>
        <v>0.1</v>
      </c>
      <c r="AY501" s="79" t="s">
        <v>1332</v>
      </c>
      <c r="AZ501" s="79" t="b">
        <v>1</v>
      </c>
    </row>
    <row r="502" spans="1:52" ht="15.75" customHeight="1">
      <c r="A502" s="54">
        <v>526</v>
      </c>
      <c r="B502" s="403">
        <v>45230</v>
      </c>
      <c r="C502" s="32" t="s">
        <v>1600</v>
      </c>
      <c r="D502" s="32" t="s">
        <v>1601</v>
      </c>
      <c r="E502" s="32" t="s">
        <v>1442</v>
      </c>
      <c r="F502" s="32" t="s">
        <v>1602</v>
      </c>
      <c r="G502" s="60" t="s">
        <v>220</v>
      </c>
      <c r="H502" s="33" t="s">
        <v>244</v>
      </c>
      <c r="I502" s="34">
        <v>45239</v>
      </c>
      <c r="J502" s="33">
        <v>6</v>
      </c>
      <c r="K502" s="35" t="s">
        <v>1603</v>
      </c>
      <c r="L502" s="35" t="s">
        <v>1604</v>
      </c>
      <c r="M502" s="386" t="s">
        <v>246</v>
      </c>
      <c r="N502" s="33" t="s">
        <v>68</v>
      </c>
      <c r="O502" s="33" t="s">
        <v>1235</v>
      </c>
      <c r="P502" s="33" t="s">
        <v>1</v>
      </c>
      <c r="Q502" s="47"/>
      <c r="R502" s="47"/>
      <c r="S502" s="45" t="s">
        <v>149</v>
      </c>
      <c r="T502" s="45"/>
      <c r="U502" s="68">
        <v>45230</v>
      </c>
      <c r="V502" s="48">
        <f t="shared" si="80"/>
        <v>45230</v>
      </c>
      <c r="W502" s="50">
        <f>V502-U502</f>
        <v>0</v>
      </c>
      <c r="X502" s="265">
        <f>Y502*0.91</f>
        <v>342160</v>
      </c>
      <c r="Y502" s="67">
        <v>376000</v>
      </c>
      <c r="Z502" s="267">
        <v>370000</v>
      </c>
      <c r="AA502" s="56" t="s">
        <v>1205</v>
      </c>
      <c r="AB502" s="267"/>
      <c r="AC502" s="44">
        <f>ABS(X502/Y502-1)</f>
        <v>8.9999999999999969E-2</v>
      </c>
      <c r="AD502" s="62">
        <v>2.9399999999999999E-2</v>
      </c>
      <c r="AE502" s="41">
        <f t="shared" si="91"/>
        <v>6.0599999999999973E-2</v>
      </c>
      <c r="AF502" s="42"/>
      <c r="AG502" s="40">
        <f>IF((X502*AE502)&lt;0,0,(X502*AE502))</f>
        <v>20734.89599999999</v>
      </c>
      <c r="AH502" s="65">
        <f t="shared" si="87"/>
        <v>6000</v>
      </c>
      <c r="AI502" s="66">
        <f>AH502/X502</f>
        <v>1.7535655833528174E-2</v>
      </c>
      <c r="AJ502" s="66">
        <f t="shared" si="88"/>
        <v>1.7535655833528174E-2</v>
      </c>
      <c r="AK502" s="65">
        <f>AF502*X502</f>
        <v>0</v>
      </c>
      <c r="AL502" s="40">
        <f t="shared" si="83"/>
        <v>6000</v>
      </c>
      <c r="AM502" s="242">
        <f t="shared" si="81"/>
        <v>45230</v>
      </c>
      <c r="AN502" s="242">
        <f>IF(AQ502="x","",IF(AQ502="x",AM502,IF(EOMONTH(I502,0)=31,"",EOMONTH(I502,0))))</f>
        <v>45260</v>
      </c>
      <c r="AO502" s="79">
        <f>IFERROR(IF(VLOOKUP(C502,C503:C1103,1,0)=0,1,0),1)</f>
        <v>1</v>
      </c>
      <c r="AP502" s="79"/>
      <c r="AQ502" s="243" t="str">
        <f t="shared" si="89"/>
        <v/>
      </c>
      <c r="AR502" s="242" t="b">
        <f>IF(AQ502="x",EOMONTH(I502,0))</f>
        <v>0</v>
      </c>
      <c r="AS502" s="79">
        <f t="shared" si="84"/>
        <v>1</v>
      </c>
      <c r="AT502" s="79">
        <f t="shared" si="85"/>
        <v>1</v>
      </c>
      <c r="AU502" s="79" t="str">
        <f t="shared" si="86"/>
        <v>B</v>
      </c>
      <c r="AV502" s="79">
        <f t="shared" si="90"/>
        <v>1</v>
      </c>
      <c r="AW502" s="79" t="str">
        <f>J502&amp;AU502</f>
        <v>6B</v>
      </c>
      <c r="AX502" s="79">
        <f>IF(COUNTIFS(J:J,"Integral",E:E,E502,H:H,"Ativo")=4,1/4,1/10)</f>
        <v>0.1</v>
      </c>
      <c r="AY502" s="79" t="s">
        <v>1332</v>
      </c>
      <c r="AZ502" s="79" t="b">
        <v>1</v>
      </c>
    </row>
    <row r="503" spans="1:52" ht="15.75" customHeight="1">
      <c r="A503" s="54">
        <v>527</v>
      </c>
      <c r="B503" s="403">
        <v>45230</v>
      </c>
      <c r="C503" s="32" t="s">
        <v>1605</v>
      </c>
      <c r="D503" s="32" t="s">
        <v>1606</v>
      </c>
      <c r="E503" s="32" t="s">
        <v>1442</v>
      </c>
      <c r="F503" s="32" t="s">
        <v>1607</v>
      </c>
      <c r="G503" s="60" t="s">
        <v>220</v>
      </c>
      <c r="H503" s="33" t="s">
        <v>90</v>
      </c>
      <c r="I503" s="34"/>
      <c r="J503" s="33">
        <v>6</v>
      </c>
      <c r="K503" s="35" t="s">
        <v>1094</v>
      </c>
      <c r="L503" s="35" t="s">
        <v>1094</v>
      </c>
      <c r="M503" s="386" t="s">
        <v>246</v>
      </c>
      <c r="N503" s="33" t="s">
        <v>68</v>
      </c>
      <c r="O503" s="33" t="s">
        <v>1235</v>
      </c>
      <c r="P503" s="33" t="s">
        <v>2</v>
      </c>
      <c r="Q503" s="47"/>
      <c r="R503" s="47"/>
      <c r="S503" s="45" t="s">
        <v>145</v>
      </c>
      <c r="T503" s="45"/>
      <c r="U503" s="37">
        <v>45216</v>
      </c>
      <c r="V503" s="38">
        <f t="shared" si="80"/>
        <v>45230</v>
      </c>
      <c r="W503" s="50">
        <f>V503-U503</f>
        <v>14</v>
      </c>
      <c r="X503" s="261">
        <f>Y503*0.91</f>
        <v>342160</v>
      </c>
      <c r="Y503" s="260">
        <v>376000</v>
      </c>
      <c r="Z503" s="263">
        <v>358978</v>
      </c>
      <c r="AA503" s="56"/>
      <c r="AB503" s="263"/>
      <c r="AC503" s="44">
        <v>7.0000000000000007E-2</v>
      </c>
      <c r="AD503" s="62">
        <v>3.2099999999999997E-2</v>
      </c>
      <c r="AE503" s="41">
        <f t="shared" si="91"/>
        <v>3.790000000000001E-2</v>
      </c>
      <c r="AF503" s="42"/>
      <c r="AG503" s="40">
        <f>IF((X503*AE503)&lt;0,0,(X503*AE503))</f>
        <v>12967.864000000003</v>
      </c>
      <c r="AH503" s="65">
        <f t="shared" si="87"/>
        <v>17022</v>
      </c>
      <c r="AI503" s="66">
        <f>AH503/X503</f>
        <v>4.974865559971943E-2</v>
      </c>
      <c r="AJ503" s="66">
        <f t="shared" si="88"/>
        <v>4.974865559971943E-2</v>
      </c>
      <c r="AK503" s="65">
        <f>AF503*X503</f>
        <v>0</v>
      </c>
      <c r="AL503" s="40">
        <f t="shared" si="83"/>
        <v>17022</v>
      </c>
      <c r="AM503" s="242">
        <f t="shared" si="81"/>
        <v>45230</v>
      </c>
      <c r="AN503" s="242" t="str">
        <f>IF(AQ503="x","",IF(AQ503="x",AM503,IF(EOMONTH(I503,0)=31,"",EOMONTH(I503,0))))</f>
        <v/>
      </c>
      <c r="AO503" s="79">
        <f>IFERROR(IF(VLOOKUP(C503,C504:C1104,1,0)=0,1,0),1)</f>
        <v>0</v>
      </c>
      <c r="AP503" s="79"/>
      <c r="AQ503" s="243" t="str">
        <f t="shared" si="89"/>
        <v/>
      </c>
      <c r="AR503" s="242" t="b">
        <f>IF(AQ503="x",EOMONTH(I503,0))</f>
        <v>0</v>
      </c>
      <c r="AS503" s="79">
        <f t="shared" si="84"/>
        <v>1</v>
      </c>
      <c r="AT503" s="79">
        <f t="shared" si="85"/>
        <v>1</v>
      </c>
      <c r="AU503" s="79" t="str">
        <f t="shared" si="86"/>
        <v>B</v>
      </c>
      <c r="AV503" s="79">
        <f t="shared" si="90"/>
        <v>1</v>
      </c>
      <c r="AW503" s="79" t="str">
        <f>J503&amp;AU503</f>
        <v>6B</v>
      </c>
      <c r="AX503" s="79">
        <f>IF(COUNTIFS(J:J,"Integral",E:E,E503,H:H,"Ativo")=4,1/4,1/10)</f>
        <v>0.1</v>
      </c>
      <c r="AY503" s="79" t="s">
        <v>1332</v>
      </c>
      <c r="AZ503" s="79" t="b">
        <v>1</v>
      </c>
    </row>
    <row r="504" spans="1:52" ht="15.75" customHeight="1">
      <c r="A504" s="54">
        <v>528</v>
      </c>
      <c r="B504" s="403">
        <v>45230</v>
      </c>
      <c r="C504" s="32" t="s">
        <v>1605</v>
      </c>
      <c r="D504" s="32" t="s">
        <v>1608</v>
      </c>
      <c r="E504" s="32" t="s">
        <v>1442</v>
      </c>
      <c r="F504" s="32" t="s">
        <v>1609</v>
      </c>
      <c r="G504" s="60" t="s">
        <v>220</v>
      </c>
      <c r="H504" s="33" t="s">
        <v>90</v>
      </c>
      <c r="I504" s="34"/>
      <c r="J504" s="33">
        <v>6</v>
      </c>
      <c r="K504" s="35" t="s">
        <v>1094</v>
      </c>
      <c r="L504" s="35" t="s">
        <v>1094</v>
      </c>
      <c r="M504" s="386" t="s">
        <v>246</v>
      </c>
      <c r="N504" s="33" t="s">
        <v>68</v>
      </c>
      <c r="O504" s="33" t="s">
        <v>1235</v>
      </c>
      <c r="P504" s="33" t="s">
        <v>2</v>
      </c>
      <c r="Q504" s="47"/>
      <c r="R504" s="47"/>
      <c r="S504" s="45" t="s">
        <v>145</v>
      </c>
      <c r="T504" s="45"/>
      <c r="U504" s="37">
        <v>45216</v>
      </c>
      <c r="V504" s="38">
        <f t="shared" si="80"/>
        <v>45230</v>
      </c>
      <c r="W504" s="50">
        <f>V504-U504</f>
        <v>14</v>
      </c>
      <c r="X504" s="261">
        <f>Y504*0.91</f>
        <v>342160</v>
      </c>
      <c r="Y504" s="260">
        <v>376000</v>
      </c>
      <c r="Z504" s="263">
        <v>358978</v>
      </c>
      <c r="AA504" s="56"/>
      <c r="AB504" s="263"/>
      <c r="AC504" s="44">
        <v>7.0000000000000007E-2</v>
      </c>
      <c r="AD504" s="62">
        <v>3.2099999999999997E-2</v>
      </c>
      <c r="AE504" s="41">
        <f t="shared" si="91"/>
        <v>3.790000000000001E-2</v>
      </c>
      <c r="AF504" s="42"/>
      <c r="AG504" s="40">
        <f>IF((X504*AE504)&lt;0,0,(X504*AE504))</f>
        <v>12967.864000000003</v>
      </c>
      <c r="AH504" s="65">
        <f t="shared" si="87"/>
        <v>17022</v>
      </c>
      <c r="AI504" s="66">
        <f>AH504/X504</f>
        <v>4.974865559971943E-2</v>
      </c>
      <c r="AJ504" s="66">
        <f t="shared" si="88"/>
        <v>4.974865559971943E-2</v>
      </c>
      <c r="AK504" s="65">
        <f>AF504*X504</f>
        <v>0</v>
      </c>
      <c r="AL504" s="40">
        <f t="shared" si="83"/>
        <v>17022</v>
      </c>
      <c r="AM504" s="242">
        <f t="shared" si="81"/>
        <v>45230</v>
      </c>
      <c r="AN504" s="242" t="str">
        <f>IF(AQ504="x","",IF(AQ504="x",AM504,IF(EOMONTH(I504,0)=31,"",EOMONTH(I504,0))))</f>
        <v/>
      </c>
      <c r="AO504" s="79">
        <f>IFERROR(IF(VLOOKUP(C504,C505:C1105,1,0)=0,1,0),1)</f>
        <v>1</v>
      </c>
      <c r="AP504" s="79"/>
      <c r="AQ504" s="243" t="str">
        <f t="shared" si="89"/>
        <v/>
      </c>
      <c r="AR504" s="242" t="b">
        <f>IF(AQ504="x",EOMONTH(I504,0))</f>
        <v>0</v>
      </c>
      <c r="AS504" s="79">
        <f t="shared" si="84"/>
        <v>1</v>
      </c>
      <c r="AT504" s="79">
        <f t="shared" si="85"/>
        <v>1</v>
      </c>
      <c r="AU504" s="79" t="str">
        <f t="shared" si="86"/>
        <v>B</v>
      </c>
      <c r="AV504" s="79">
        <f t="shared" si="90"/>
        <v>1</v>
      </c>
      <c r="AW504" s="79" t="str">
        <f>J504&amp;AU504</f>
        <v>6B</v>
      </c>
      <c r="AX504" s="79">
        <f>IF(COUNTIFS(J:J,"Integral",E:E,E504,H:H,"Ativo")=4,1/4,1/10)</f>
        <v>0.1</v>
      </c>
      <c r="AY504" s="79" t="s">
        <v>1332</v>
      </c>
      <c r="AZ504" s="79" t="b">
        <v>1</v>
      </c>
    </row>
    <row r="505" spans="1:52" ht="15.75" customHeight="1">
      <c r="A505" s="54">
        <v>529</v>
      </c>
      <c r="B505" s="403">
        <v>45230</v>
      </c>
      <c r="C505" s="32" t="s">
        <v>1610</v>
      </c>
      <c r="D505" s="32" t="s">
        <v>1611</v>
      </c>
      <c r="E505" s="32" t="s">
        <v>1612</v>
      </c>
      <c r="F505" s="32" t="s">
        <v>1613</v>
      </c>
      <c r="G505" s="60" t="s">
        <v>220</v>
      </c>
      <c r="H505" s="33" t="s">
        <v>90</v>
      </c>
      <c r="I505" s="34"/>
      <c r="J505" s="33" t="s">
        <v>6</v>
      </c>
      <c r="K505" s="35" t="s">
        <v>273</v>
      </c>
      <c r="L505" s="35" t="s">
        <v>273</v>
      </c>
      <c r="M505" s="386" t="s">
        <v>1259</v>
      </c>
      <c r="N505" s="33" t="s">
        <v>68</v>
      </c>
      <c r="O505" s="33" t="s">
        <v>1235</v>
      </c>
      <c r="P505" s="33" t="s">
        <v>2</v>
      </c>
      <c r="Q505" s="47"/>
      <c r="R505" s="47"/>
      <c r="S505" s="45" t="s">
        <v>148</v>
      </c>
      <c r="T505" s="45"/>
      <c r="U505" s="37">
        <v>45139</v>
      </c>
      <c r="V505" s="38">
        <f t="shared" si="80"/>
        <v>45230</v>
      </c>
      <c r="W505" s="50">
        <f>V505-U505</f>
        <v>91</v>
      </c>
      <c r="X505" s="261">
        <f>Y505*0.91</f>
        <v>336609</v>
      </c>
      <c r="Y505" s="260">
        <v>369900</v>
      </c>
      <c r="Z505" s="263">
        <v>299000</v>
      </c>
      <c r="AA505" s="56"/>
      <c r="AB505" s="263"/>
      <c r="AC505" s="44">
        <v>0.09</v>
      </c>
      <c r="AD505" s="62">
        <v>0.20039999999999999</v>
      </c>
      <c r="AE505" s="41">
        <f t="shared" si="91"/>
        <v>-0.1104</v>
      </c>
      <c r="AF505" s="42">
        <v>0.1104</v>
      </c>
      <c r="AG505" s="40">
        <f>IF((X505*AE505)&lt;0,0,(X505*AE505))</f>
        <v>0</v>
      </c>
      <c r="AH505" s="65">
        <f t="shared" si="87"/>
        <v>70900</v>
      </c>
      <c r="AI505" s="66">
        <f>AH505/X505</f>
        <v>0.2106301376374369</v>
      </c>
      <c r="AJ505" s="66">
        <f t="shared" si="88"/>
        <v>0.10023013763743691</v>
      </c>
      <c r="AK505" s="65">
        <f>AF505*X505</f>
        <v>37161.633600000001</v>
      </c>
      <c r="AL505" s="40">
        <f t="shared" si="83"/>
        <v>33738.366399999999</v>
      </c>
      <c r="AM505" s="242">
        <f t="shared" si="81"/>
        <v>45230</v>
      </c>
      <c r="AN505" s="242" t="str">
        <f>IF(AQ505="x","",IF(AQ505="x",AM505,IF(EOMONTH(I505,0)=31,"",EOMONTH(I505,0))))</f>
        <v/>
      </c>
      <c r="AO505" s="79">
        <f>IFERROR(IF(VLOOKUP(C505,C506:C1106,1,0)=0,1,0),1)</f>
        <v>0</v>
      </c>
      <c r="AP505" s="79"/>
      <c r="AQ505" s="243" t="str">
        <f t="shared" si="89"/>
        <v/>
      </c>
      <c r="AR505" s="242" t="b">
        <f>IF(AQ505="x",EOMONTH(I505,0))</f>
        <v>0</v>
      </c>
      <c r="AS505" s="79">
        <f t="shared" si="84"/>
        <v>1</v>
      </c>
      <c r="AT505" s="79">
        <f t="shared" si="85"/>
        <v>1</v>
      </c>
      <c r="AU505" s="79" t="str">
        <f t="shared" si="86"/>
        <v>B</v>
      </c>
      <c r="AV505" s="79">
        <f t="shared" si="90"/>
        <v>1</v>
      </c>
      <c r="AW505" s="79" t="str">
        <f>J505&amp;AU505</f>
        <v>IntegralB</v>
      </c>
      <c r="AX505" s="79">
        <f>IF(COUNTIFS(J:J,"Integral",E:E,E505,H:H,"Ativo")=4,1/4,1/10)</f>
        <v>0.1</v>
      </c>
      <c r="AY505" s="79" t="s">
        <v>1332</v>
      </c>
      <c r="AZ505" s="79" t="b">
        <v>1</v>
      </c>
    </row>
    <row r="506" spans="1:52" ht="15.75" customHeight="1">
      <c r="A506" s="54">
        <v>530</v>
      </c>
      <c r="B506" s="403">
        <v>45230</v>
      </c>
      <c r="C506" s="32" t="s">
        <v>1610</v>
      </c>
      <c r="D506" s="32" t="s">
        <v>1614</v>
      </c>
      <c r="E506" s="32" t="s">
        <v>1612</v>
      </c>
      <c r="F506" s="32" t="s">
        <v>1615</v>
      </c>
      <c r="G506" s="60" t="s">
        <v>220</v>
      </c>
      <c r="H506" s="33" t="s">
        <v>90</v>
      </c>
      <c r="I506" s="34"/>
      <c r="J506" s="33" t="s">
        <v>6</v>
      </c>
      <c r="K506" s="35" t="s">
        <v>273</v>
      </c>
      <c r="L506" s="35" t="s">
        <v>273</v>
      </c>
      <c r="M506" s="386" t="s">
        <v>1259</v>
      </c>
      <c r="N506" s="33" t="s">
        <v>68</v>
      </c>
      <c r="O506" s="33" t="s">
        <v>1235</v>
      </c>
      <c r="P506" s="33" t="s">
        <v>2</v>
      </c>
      <c r="Q506" s="47"/>
      <c r="R506" s="47"/>
      <c r="S506" s="45" t="s">
        <v>148</v>
      </c>
      <c r="T506" s="45"/>
      <c r="U506" s="37">
        <v>45139</v>
      </c>
      <c r="V506" s="38">
        <f t="shared" si="80"/>
        <v>45230</v>
      </c>
      <c r="W506" s="50">
        <f>V506-U506</f>
        <v>91</v>
      </c>
      <c r="X506" s="261">
        <f>Y506*0.91</f>
        <v>336609</v>
      </c>
      <c r="Y506" s="260">
        <v>369900</v>
      </c>
      <c r="Z506" s="263">
        <v>299000</v>
      </c>
      <c r="AA506" s="56"/>
      <c r="AB506" s="263"/>
      <c r="AC506" s="44">
        <v>0.09</v>
      </c>
      <c r="AD506" s="62">
        <v>0.20039999999999999</v>
      </c>
      <c r="AE506" s="41">
        <f t="shared" si="91"/>
        <v>-0.1104</v>
      </c>
      <c r="AF506" s="42">
        <v>0.1104</v>
      </c>
      <c r="AG506" s="40">
        <f>IF((X506*AE506)&lt;0,0,(X506*AE506))</f>
        <v>0</v>
      </c>
      <c r="AH506" s="65">
        <f t="shared" si="87"/>
        <v>70900</v>
      </c>
      <c r="AI506" s="66">
        <f>AH506/X506</f>
        <v>0.2106301376374369</v>
      </c>
      <c r="AJ506" s="66">
        <f t="shared" si="88"/>
        <v>0.10023013763743691</v>
      </c>
      <c r="AK506" s="65">
        <f>AF506*X506</f>
        <v>37161.633600000001</v>
      </c>
      <c r="AL506" s="40">
        <f t="shared" si="83"/>
        <v>33738.366399999999</v>
      </c>
      <c r="AM506" s="242">
        <f t="shared" si="81"/>
        <v>45230</v>
      </c>
      <c r="AN506" s="242" t="str">
        <f>IF(AQ506="x","",IF(AQ506="x",AM506,IF(EOMONTH(I506,0)=31,"",EOMONTH(I506,0))))</f>
        <v/>
      </c>
      <c r="AO506" s="79">
        <f>IFERROR(IF(VLOOKUP(C506,C507:C1107,1,0)=0,1,0),1)</f>
        <v>0</v>
      </c>
      <c r="AP506" s="79"/>
      <c r="AQ506" s="243" t="str">
        <f t="shared" si="89"/>
        <v/>
      </c>
      <c r="AR506" s="242" t="b">
        <f>IF(AQ506="x",EOMONTH(I506,0))</f>
        <v>0</v>
      </c>
      <c r="AS506" s="79">
        <f t="shared" si="84"/>
        <v>1</v>
      </c>
      <c r="AT506" s="79">
        <f t="shared" si="85"/>
        <v>1</v>
      </c>
      <c r="AU506" s="79" t="str">
        <f t="shared" si="86"/>
        <v>B</v>
      </c>
      <c r="AV506" s="79">
        <f t="shared" si="90"/>
        <v>1</v>
      </c>
      <c r="AW506" s="79" t="str">
        <f>J506&amp;AU506</f>
        <v>IntegralB</v>
      </c>
      <c r="AX506" s="79">
        <f>IF(COUNTIFS(J:J,"Integral",E:E,E506,H:H,"Ativo")=4,1/4,1/10)</f>
        <v>0.1</v>
      </c>
      <c r="AY506" s="79" t="s">
        <v>1332</v>
      </c>
      <c r="AZ506" s="79" t="b">
        <v>1</v>
      </c>
    </row>
    <row r="507" spans="1:52" ht="15.75" customHeight="1">
      <c r="A507" s="54">
        <v>531</v>
      </c>
      <c r="B507" s="403">
        <v>45230</v>
      </c>
      <c r="C507" s="32" t="s">
        <v>1610</v>
      </c>
      <c r="D507" s="32" t="s">
        <v>1616</v>
      </c>
      <c r="E507" s="32" t="s">
        <v>1612</v>
      </c>
      <c r="F507" s="32" t="s">
        <v>1617</v>
      </c>
      <c r="G507" s="60" t="s">
        <v>220</v>
      </c>
      <c r="H507" s="33" t="s">
        <v>90</v>
      </c>
      <c r="I507" s="34"/>
      <c r="J507" s="33" t="s">
        <v>6</v>
      </c>
      <c r="K507" s="35" t="s">
        <v>273</v>
      </c>
      <c r="L507" s="35" t="s">
        <v>273</v>
      </c>
      <c r="M507" s="386" t="s">
        <v>1259</v>
      </c>
      <c r="N507" s="33" t="s">
        <v>68</v>
      </c>
      <c r="O507" s="33" t="s">
        <v>1235</v>
      </c>
      <c r="P507" s="33" t="s">
        <v>2</v>
      </c>
      <c r="Q507" s="47"/>
      <c r="R507" s="47"/>
      <c r="S507" s="45" t="s">
        <v>148</v>
      </c>
      <c r="T507" s="45"/>
      <c r="U507" s="37">
        <v>45139</v>
      </c>
      <c r="V507" s="38">
        <f t="shared" si="80"/>
        <v>45230</v>
      </c>
      <c r="W507" s="50">
        <f>V507-U507</f>
        <v>91</v>
      </c>
      <c r="X507" s="261">
        <f>Y507*0.91</f>
        <v>336609</v>
      </c>
      <c r="Y507" s="260">
        <v>369900</v>
      </c>
      <c r="Z507" s="263">
        <v>299000</v>
      </c>
      <c r="AA507" s="56"/>
      <c r="AB507" s="263"/>
      <c r="AC507" s="44">
        <v>0.09</v>
      </c>
      <c r="AD507" s="62">
        <v>0.20039999999999999</v>
      </c>
      <c r="AE507" s="41">
        <f t="shared" si="91"/>
        <v>-0.1104</v>
      </c>
      <c r="AF507" s="42">
        <v>0.1104</v>
      </c>
      <c r="AG507" s="40">
        <f>IF((X507*AE507)&lt;0,0,(X507*AE507))</f>
        <v>0</v>
      </c>
      <c r="AH507" s="65">
        <f t="shared" si="87"/>
        <v>70900</v>
      </c>
      <c r="AI507" s="66">
        <f>AH507/X507</f>
        <v>0.2106301376374369</v>
      </c>
      <c r="AJ507" s="66">
        <f t="shared" si="88"/>
        <v>0.10023013763743691</v>
      </c>
      <c r="AK507" s="65">
        <f>AF507*X507</f>
        <v>37161.633600000001</v>
      </c>
      <c r="AL507" s="40">
        <f t="shared" si="83"/>
        <v>33738.366399999999</v>
      </c>
      <c r="AM507" s="242">
        <f t="shared" si="81"/>
        <v>45230</v>
      </c>
      <c r="AN507" s="242" t="str">
        <f>IF(AQ507="x","",IF(AQ507="x",AM507,IF(EOMONTH(I507,0)=31,"",EOMONTH(I507,0))))</f>
        <v/>
      </c>
      <c r="AO507" s="79">
        <f>IFERROR(IF(VLOOKUP(C507,C508:C1108,1,0)=0,1,0),1)</f>
        <v>0</v>
      </c>
      <c r="AP507" s="79"/>
      <c r="AQ507" s="243" t="str">
        <f t="shared" si="89"/>
        <v/>
      </c>
      <c r="AR507" s="242" t="b">
        <f>IF(AQ507="x",EOMONTH(I507,0))</f>
        <v>0</v>
      </c>
      <c r="AS507" s="79">
        <f t="shared" si="84"/>
        <v>1</v>
      </c>
      <c r="AT507" s="79">
        <f t="shared" si="85"/>
        <v>1</v>
      </c>
      <c r="AU507" s="79" t="str">
        <f t="shared" si="86"/>
        <v>B</v>
      </c>
      <c r="AV507" s="79">
        <f t="shared" si="90"/>
        <v>1</v>
      </c>
      <c r="AW507" s="79" t="str">
        <f>J507&amp;AU507</f>
        <v>IntegralB</v>
      </c>
      <c r="AX507" s="79">
        <f>IF(COUNTIFS(J:J,"Integral",E:E,E507,H:H,"Ativo")=4,1/4,1/10)</f>
        <v>0.1</v>
      </c>
      <c r="AY507" s="79" t="s">
        <v>1332</v>
      </c>
      <c r="AZ507" s="79" t="b">
        <v>1</v>
      </c>
    </row>
    <row r="508" spans="1:52" ht="15.75" customHeight="1">
      <c r="A508" s="54">
        <v>532</v>
      </c>
      <c r="B508" s="403">
        <v>45230</v>
      </c>
      <c r="C508" s="32" t="s">
        <v>1610</v>
      </c>
      <c r="D508" s="32" t="s">
        <v>1618</v>
      </c>
      <c r="E508" s="32" t="s">
        <v>1612</v>
      </c>
      <c r="F508" s="32" t="s">
        <v>1619</v>
      </c>
      <c r="G508" s="60" t="s">
        <v>220</v>
      </c>
      <c r="H508" s="33" t="s">
        <v>90</v>
      </c>
      <c r="I508" s="34"/>
      <c r="J508" s="33" t="s">
        <v>6</v>
      </c>
      <c r="K508" s="35" t="s">
        <v>273</v>
      </c>
      <c r="L508" s="35" t="s">
        <v>273</v>
      </c>
      <c r="M508" s="386" t="s">
        <v>1259</v>
      </c>
      <c r="N508" s="33" t="s">
        <v>68</v>
      </c>
      <c r="O508" s="33" t="s">
        <v>1235</v>
      </c>
      <c r="P508" s="33" t="s">
        <v>2</v>
      </c>
      <c r="Q508" s="47"/>
      <c r="R508" s="47"/>
      <c r="S508" s="45" t="s">
        <v>148</v>
      </c>
      <c r="T508" s="45"/>
      <c r="U508" s="37">
        <v>45139</v>
      </c>
      <c r="V508" s="38">
        <f t="shared" si="80"/>
        <v>45230</v>
      </c>
      <c r="W508" s="50">
        <f>V508-U508</f>
        <v>91</v>
      </c>
      <c r="X508" s="261">
        <f>Y508*0.91</f>
        <v>336609</v>
      </c>
      <c r="Y508" s="260">
        <v>369900</v>
      </c>
      <c r="Z508" s="263">
        <v>299000</v>
      </c>
      <c r="AA508" s="56"/>
      <c r="AB508" s="263"/>
      <c r="AC508" s="44">
        <v>0.09</v>
      </c>
      <c r="AD508" s="62">
        <v>0.20039999999999999</v>
      </c>
      <c r="AE508" s="41">
        <f t="shared" si="91"/>
        <v>-0.1104</v>
      </c>
      <c r="AF508" s="42">
        <v>0.1104</v>
      </c>
      <c r="AG508" s="40">
        <f>IF((X508*AE508)&lt;0,0,(X508*AE508))</f>
        <v>0</v>
      </c>
      <c r="AH508" s="65">
        <f t="shared" si="87"/>
        <v>70900</v>
      </c>
      <c r="AI508" s="66">
        <f>AH508/X508</f>
        <v>0.2106301376374369</v>
      </c>
      <c r="AJ508" s="66">
        <f t="shared" si="88"/>
        <v>0.10023013763743691</v>
      </c>
      <c r="AK508" s="65">
        <f>AF508*X508</f>
        <v>37161.633600000001</v>
      </c>
      <c r="AL508" s="40">
        <f t="shared" si="83"/>
        <v>33738.366399999999</v>
      </c>
      <c r="AM508" s="242">
        <f t="shared" si="81"/>
        <v>45230</v>
      </c>
      <c r="AN508" s="242" t="str">
        <f>IF(AQ508="x","",IF(AQ508="x",AM508,IF(EOMONTH(I508,0)=31,"",EOMONTH(I508,0))))</f>
        <v/>
      </c>
      <c r="AO508" s="79">
        <f>IFERROR(IF(VLOOKUP(C508,C509:C1109,1,0)=0,1,0),1)</f>
        <v>0</v>
      </c>
      <c r="AP508" s="79"/>
      <c r="AQ508" s="243" t="str">
        <f t="shared" si="89"/>
        <v/>
      </c>
      <c r="AR508" s="242" t="b">
        <f>IF(AQ508="x",EOMONTH(I508,0))</f>
        <v>0</v>
      </c>
      <c r="AS508" s="79">
        <f t="shared" si="84"/>
        <v>1</v>
      </c>
      <c r="AT508" s="79">
        <f t="shared" si="85"/>
        <v>1</v>
      </c>
      <c r="AU508" s="79" t="str">
        <f t="shared" si="86"/>
        <v>B</v>
      </c>
      <c r="AV508" s="79">
        <f t="shared" si="90"/>
        <v>1</v>
      </c>
      <c r="AW508" s="79" t="str">
        <f>J508&amp;AU508</f>
        <v>IntegralB</v>
      </c>
      <c r="AX508" s="79">
        <f>IF(COUNTIFS(J:J,"Integral",E:E,E508,H:H,"Ativo")=4,1/4,1/10)</f>
        <v>0.1</v>
      </c>
      <c r="AY508" s="79" t="s">
        <v>1332</v>
      </c>
      <c r="AZ508" s="79" t="b">
        <v>1</v>
      </c>
    </row>
    <row r="509" spans="1:52" ht="15.75" customHeight="1">
      <c r="A509" s="54">
        <v>533</v>
      </c>
      <c r="B509" s="403">
        <v>45230</v>
      </c>
      <c r="C509" s="32" t="s">
        <v>1610</v>
      </c>
      <c r="D509" s="32" t="s">
        <v>1620</v>
      </c>
      <c r="E509" s="32" t="s">
        <v>1612</v>
      </c>
      <c r="F509" s="32" t="s">
        <v>1621</v>
      </c>
      <c r="G509" s="60" t="s">
        <v>220</v>
      </c>
      <c r="H509" s="33" t="s">
        <v>90</v>
      </c>
      <c r="I509" s="34"/>
      <c r="J509" s="33" t="s">
        <v>6</v>
      </c>
      <c r="K509" s="35" t="s">
        <v>273</v>
      </c>
      <c r="L509" s="35" t="s">
        <v>273</v>
      </c>
      <c r="M509" s="386" t="s">
        <v>1259</v>
      </c>
      <c r="N509" s="33" t="s">
        <v>68</v>
      </c>
      <c r="O509" s="33" t="s">
        <v>1235</v>
      </c>
      <c r="P509" s="33" t="s">
        <v>2</v>
      </c>
      <c r="Q509" s="47"/>
      <c r="R509" s="47"/>
      <c r="S509" s="45" t="s">
        <v>148</v>
      </c>
      <c r="T509" s="45"/>
      <c r="U509" s="37">
        <v>45139</v>
      </c>
      <c r="V509" s="38">
        <f t="shared" si="80"/>
        <v>45230</v>
      </c>
      <c r="W509" s="50">
        <f>V509-U509</f>
        <v>91</v>
      </c>
      <c r="X509" s="261">
        <f>Y509*0.91</f>
        <v>336609</v>
      </c>
      <c r="Y509" s="260">
        <v>369900</v>
      </c>
      <c r="Z509" s="263">
        <v>299000</v>
      </c>
      <c r="AA509" s="56"/>
      <c r="AB509" s="263"/>
      <c r="AC509" s="44">
        <v>0.09</v>
      </c>
      <c r="AD509" s="62">
        <v>0.20039999999999999</v>
      </c>
      <c r="AE509" s="41">
        <f t="shared" si="91"/>
        <v>-0.1104</v>
      </c>
      <c r="AF509" s="42">
        <v>0.1104</v>
      </c>
      <c r="AG509" s="40">
        <f>IF((X509*AE509)&lt;0,0,(X509*AE509))</f>
        <v>0</v>
      </c>
      <c r="AH509" s="65">
        <f t="shared" si="87"/>
        <v>70900</v>
      </c>
      <c r="AI509" s="66">
        <f>AH509/X509</f>
        <v>0.2106301376374369</v>
      </c>
      <c r="AJ509" s="66">
        <f t="shared" si="88"/>
        <v>0.10023013763743691</v>
      </c>
      <c r="AK509" s="65">
        <f>AF509*X509</f>
        <v>37161.633600000001</v>
      </c>
      <c r="AL509" s="40">
        <f t="shared" si="83"/>
        <v>33738.366399999999</v>
      </c>
      <c r="AM509" s="242">
        <f t="shared" si="81"/>
        <v>45230</v>
      </c>
      <c r="AN509" s="242" t="str">
        <f>IF(AQ509="x","",IF(AQ509="x",AM509,IF(EOMONTH(I509,0)=31,"",EOMONTH(I509,0))))</f>
        <v/>
      </c>
      <c r="AO509" s="79">
        <f>IFERROR(IF(VLOOKUP(C509,C510:C1110,1,0)=0,1,0),1)</f>
        <v>0</v>
      </c>
      <c r="AP509" s="79"/>
      <c r="AQ509" s="243" t="str">
        <f t="shared" si="89"/>
        <v/>
      </c>
      <c r="AR509" s="242" t="b">
        <f>IF(AQ509="x",EOMONTH(I509,0))</f>
        <v>0</v>
      </c>
      <c r="AS509" s="79">
        <f t="shared" si="84"/>
        <v>1</v>
      </c>
      <c r="AT509" s="79">
        <f t="shared" si="85"/>
        <v>1</v>
      </c>
      <c r="AU509" s="79" t="str">
        <f t="shared" si="86"/>
        <v>B</v>
      </c>
      <c r="AV509" s="79">
        <f t="shared" si="90"/>
        <v>1</v>
      </c>
      <c r="AW509" s="79" t="str">
        <f>J509&amp;AU509</f>
        <v>IntegralB</v>
      </c>
      <c r="AX509" s="79">
        <f>IF(COUNTIFS(J:J,"Integral",E:E,E509,H:H,"Ativo")=4,1/4,1/10)</f>
        <v>0.1</v>
      </c>
      <c r="AY509" s="79" t="s">
        <v>1332</v>
      </c>
      <c r="AZ509" s="79" t="b">
        <v>1</v>
      </c>
    </row>
    <row r="510" spans="1:52" ht="15.75" customHeight="1">
      <c r="A510" s="54">
        <v>534</v>
      </c>
      <c r="B510" s="403">
        <v>45230</v>
      </c>
      <c r="C510" s="32" t="s">
        <v>1610</v>
      </c>
      <c r="D510" s="32" t="s">
        <v>1622</v>
      </c>
      <c r="E510" s="32" t="s">
        <v>1612</v>
      </c>
      <c r="F510" s="32" t="s">
        <v>1623</v>
      </c>
      <c r="G510" s="60" t="s">
        <v>220</v>
      </c>
      <c r="H510" s="33" t="s">
        <v>90</v>
      </c>
      <c r="I510" s="34"/>
      <c r="J510" s="33" t="s">
        <v>6</v>
      </c>
      <c r="K510" s="35" t="s">
        <v>273</v>
      </c>
      <c r="L510" s="35" t="s">
        <v>273</v>
      </c>
      <c r="M510" s="386" t="s">
        <v>1259</v>
      </c>
      <c r="N510" s="33" t="s">
        <v>68</v>
      </c>
      <c r="O510" s="33" t="s">
        <v>1235</v>
      </c>
      <c r="P510" s="33" t="s">
        <v>2</v>
      </c>
      <c r="Q510" s="47"/>
      <c r="R510" s="47"/>
      <c r="S510" s="45" t="s">
        <v>148</v>
      </c>
      <c r="T510" s="45"/>
      <c r="U510" s="37">
        <v>45139</v>
      </c>
      <c r="V510" s="38">
        <f t="shared" si="80"/>
        <v>45230</v>
      </c>
      <c r="W510" s="50">
        <f>V510-U510</f>
        <v>91</v>
      </c>
      <c r="X510" s="261">
        <f>Y510*0.91</f>
        <v>336609</v>
      </c>
      <c r="Y510" s="260">
        <v>369900</v>
      </c>
      <c r="Z510" s="263">
        <v>299000</v>
      </c>
      <c r="AA510" s="56"/>
      <c r="AB510" s="263"/>
      <c r="AC510" s="44">
        <v>0.09</v>
      </c>
      <c r="AD510" s="62">
        <v>0.20039999999999999</v>
      </c>
      <c r="AE510" s="41">
        <f t="shared" si="91"/>
        <v>-0.1104</v>
      </c>
      <c r="AF510" s="42">
        <v>0.1104</v>
      </c>
      <c r="AG510" s="40">
        <f>IF((X510*AE510)&lt;0,0,(X510*AE510))</f>
        <v>0</v>
      </c>
      <c r="AH510" s="65">
        <f t="shared" si="87"/>
        <v>70900</v>
      </c>
      <c r="AI510" s="66">
        <f>AH510/X510</f>
        <v>0.2106301376374369</v>
      </c>
      <c r="AJ510" s="66">
        <f t="shared" si="88"/>
        <v>0.10023013763743691</v>
      </c>
      <c r="AK510" s="65">
        <f>AF510*X510</f>
        <v>37161.633600000001</v>
      </c>
      <c r="AL510" s="40">
        <f t="shared" si="83"/>
        <v>33738.366399999999</v>
      </c>
      <c r="AM510" s="242">
        <f t="shared" si="81"/>
        <v>45230</v>
      </c>
      <c r="AN510" s="242" t="str">
        <f>IF(AQ510="x","",IF(AQ510="x",AM510,IF(EOMONTH(I510,0)=31,"",EOMONTH(I510,0))))</f>
        <v/>
      </c>
      <c r="AO510" s="79">
        <f>IFERROR(IF(VLOOKUP(C510,C511:C1111,1,0)=0,1,0),1)</f>
        <v>0</v>
      </c>
      <c r="AP510" s="79"/>
      <c r="AQ510" s="243" t="str">
        <f t="shared" si="89"/>
        <v/>
      </c>
      <c r="AR510" s="242" t="b">
        <f>IF(AQ510="x",EOMONTH(I510,0))</f>
        <v>0</v>
      </c>
      <c r="AS510" s="79">
        <f t="shared" si="84"/>
        <v>1</v>
      </c>
      <c r="AT510" s="79">
        <f t="shared" si="85"/>
        <v>1</v>
      </c>
      <c r="AU510" s="79" t="str">
        <f t="shared" si="86"/>
        <v>B</v>
      </c>
      <c r="AV510" s="79">
        <f t="shared" si="90"/>
        <v>1</v>
      </c>
      <c r="AW510" s="79" t="str">
        <f>J510&amp;AU510</f>
        <v>IntegralB</v>
      </c>
      <c r="AX510" s="79">
        <f>IF(COUNTIFS(J:J,"Integral",E:E,E510,H:H,"Ativo")=4,1/4,1/10)</f>
        <v>0.1</v>
      </c>
      <c r="AY510" s="79" t="s">
        <v>1332</v>
      </c>
      <c r="AZ510" s="79" t="b">
        <v>1</v>
      </c>
    </row>
    <row r="511" spans="1:52" ht="15.75" customHeight="1">
      <c r="A511" s="54">
        <v>535</v>
      </c>
      <c r="B511" s="403">
        <v>45230</v>
      </c>
      <c r="C511" s="32" t="s">
        <v>1610</v>
      </c>
      <c r="D511" s="32" t="s">
        <v>1624</v>
      </c>
      <c r="E511" s="32" t="s">
        <v>1612</v>
      </c>
      <c r="F511" s="32" t="s">
        <v>1625</v>
      </c>
      <c r="G511" s="60" t="s">
        <v>220</v>
      </c>
      <c r="H511" s="33" t="s">
        <v>90</v>
      </c>
      <c r="I511" s="34"/>
      <c r="J511" s="33" t="s">
        <v>6</v>
      </c>
      <c r="K511" s="35" t="s">
        <v>273</v>
      </c>
      <c r="L511" s="35" t="s">
        <v>273</v>
      </c>
      <c r="M511" s="386" t="s">
        <v>1259</v>
      </c>
      <c r="N511" s="33" t="s">
        <v>68</v>
      </c>
      <c r="O511" s="33" t="s">
        <v>1235</v>
      </c>
      <c r="P511" s="33" t="s">
        <v>2</v>
      </c>
      <c r="Q511" s="47"/>
      <c r="R511" s="47"/>
      <c r="S511" s="45" t="s">
        <v>148</v>
      </c>
      <c r="T511" s="45"/>
      <c r="U511" s="37">
        <v>45139</v>
      </c>
      <c r="V511" s="38">
        <f t="shared" si="80"/>
        <v>45230</v>
      </c>
      <c r="W511" s="50">
        <f>V511-U511</f>
        <v>91</v>
      </c>
      <c r="X511" s="261">
        <f>Y511*0.91</f>
        <v>336609</v>
      </c>
      <c r="Y511" s="260">
        <v>369900</v>
      </c>
      <c r="Z511" s="263">
        <v>299000</v>
      </c>
      <c r="AA511" s="56"/>
      <c r="AB511" s="263"/>
      <c r="AC511" s="44">
        <v>0.09</v>
      </c>
      <c r="AD511" s="62">
        <v>0.20039999999999999</v>
      </c>
      <c r="AE511" s="41">
        <f t="shared" si="91"/>
        <v>-0.1104</v>
      </c>
      <c r="AF511" s="42">
        <v>0.1104</v>
      </c>
      <c r="AG511" s="40">
        <f>IF((X511*AE511)&lt;0,0,(X511*AE511))</f>
        <v>0</v>
      </c>
      <c r="AH511" s="65">
        <f t="shared" si="87"/>
        <v>70900</v>
      </c>
      <c r="AI511" s="66">
        <f>AH511/X511</f>
        <v>0.2106301376374369</v>
      </c>
      <c r="AJ511" s="66">
        <f t="shared" si="88"/>
        <v>0.10023013763743691</v>
      </c>
      <c r="AK511" s="65">
        <f>AF511*X511</f>
        <v>37161.633600000001</v>
      </c>
      <c r="AL511" s="40">
        <f t="shared" si="83"/>
        <v>33738.366399999999</v>
      </c>
      <c r="AM511" s="242">
        <f t="shared" si="81"/>
        <v>45230</v>
      </c>
      <c r="AN511" s="242" t="str">
        <f>IF(AQ511="x","",IF(AQ511="x",AM511,IF(EOMONTH(I511,0)=31,"",EOMONTH(I511,0))))</f>
        <v/>
      </c>
      <c r="AO511" s="79">
        <f>IFERROR(IF(VLOOKUP(C511,C512:C1112,1,0)=0,1,0),1)</f>
        <v>0</v>
      </c>
      <c r="AP511" s="79"/>
      <c r="AQ511" s="243" t="str">
        <f t="shared" si="89"/>
        <v/>
      </c>
      <c r="AR511" s="242" t="b">
        <f>IF(AQ511="x",EOMONTH(I511,0))</f>
        <v>0</v>
      </c>
      <c r="AS511" s="79">
        <f t="shared" si="84"/>
        <v>1</v>
      </c>
      <c r="AT511" s="79">
        <f t="shared" si="85"/>
        <v>1</v>
      </c>
      <c r="AU511" s="79" t="str">
        <f t="shared" si="86"/>
        <v>B</v>
      </c>
      <c r="AV511" s="79">
        <f t="shared" si="90"/>
        <v>1</v>
      </c>
      <c r="AW511" s="79" t="str">
        <f>J511&amp;AU511</f>
        <v>IntegralB</v>
      </c>
      <c r="AX511" s="79">
        <f>IF(COUNTIFS(J:J,"Integral",E:E,E511,H:H,"Ativo")=4,1/4,1/10)</f>
        <v>0.1</v>
      </c>
      <c r="AY511" s="79" t="s">
        <v>1332</v>
      </c>
      <c r="AZ511" s="79" t="b">
        <v>1</v>
      </c>
    </row>
    <row r="512" spans="1:52" ht="15.75" customHeight="1">
      <c r="A512" s="54">
        <v>536</v>
      </c>
      <c r="B512" s="403">
        <v>45230</v>
      </c>
      <c r="C512" s="32" t="s">
        <v>1610</v>
      </c>
      <c r="D512" s="32" t="s">
        <v>1626</v>
      </c>
      <c r="E512" s="32" t="s">
        <v>1612</v>
      </c>
      <c r="F512" s="32" t="s">
        <v>1627</v>
      </c>
      <c r="G512" s="60" t="s">
        <v>220</v>
      </c>
      <c r="H512" s="33" t="s">
        <v>90</v>
      </c>
      <c r="I512" s="34"/>
      <c r="J512" s="33" t="s">
        <v>6</v>
      </c>
      <c r="K512" s="35" t="s">
        <v>273</v>
      </c>
      <c r="L512" s="35" t="s">
        <v>273</v>
      </c>
      <c r="M512" s="386" t="s">
        <v>1259</v>
      </c>
      <c r="N512" s="33" t="s">
        <v>68</v>
      </c>
      <c r="O512" s="33" t="s">
        <v>1235</v>
      </c>
      <c r="P512" s="33" t="s">
        <v>2</v>
      </c>
      <c r="Q512" s="47"/>
      <c r="R512" s="47"/>
      <c r="S512" s="45" t="s">
        <v>148</v>
      </c>
      <c r="T512" s="45"/>
      <c r="U512" s="37">
        <v>45139</v>
      </c>
      <c r="V512" s="38">
        <f t="shared" si="80"/>
        <v>45230</v>
      </c>
      <c r="W512" s="50">
        <f>V512-U512</f>
        <v>91</v>
      </c>
      <c r="X512" s="261">
        <f>Y512*0.91</f>
        <v>336609</v>
      </c>
      <c r="Y512" s="260">
        <v>369900</v>
      </c>
      <c r="Z512" s="263">
        <v>299000</v>
      </c>
      <c r="AA512" s="56"/>
      <c r="AB512" s="263"/>
      <c r="AC512" s="44">
        <v>0.09</v>
      </c>
      <c r="AD512" s="62">
        <v>0.20039999999999999</v>
      </c>
      <c r="AE512" s="41">
        <f t="shared" si="91"/>
        <v>-0.1104</v>
      </c>
      <c r="AF512" s="42">
        <v>0.1104</v>
      </c>
      <c r="AG512" s="40">
        <f>IF((X512*AE512)&lt;0,0,(X512*AE512))</f>
        <v>0</v>
      </c>
      <c r="AH512" s="65">
        <f t="shared" si="87"/>
        <v>70900</v>
      </c>
      <c r="AI512" s="66">
        <f>AH512/X512</f>
        <v>0.2106301376374369</v>
      </c>
      <c r="AJ512" s="66">
        <f t="shared" si="88"/>
        <v>0.10023013763743691</v>
      </c>
      <c r="AK512" s="65">
        <f>AF512*X512</f>
        <v>37161.633600000001</v>
      </c>
      <c r="AL512" s="40">
        <f t="shared" si="83"/>
        <v>33738.366399999999</v>
      </c>
      <c r="AM512" s="242">
        <f t="shared" si="81"/>
        <v>45230</v>
      </c>
      <c r="AN512" s="242" t="str">
        <f>IF(AQ512="x","",IF(AQ512="x",AM512,IF(EOMONTH(I512,0)=31,"",EOMONTH(I512,0))))</f>
        <v/>
      </c>
      <c r="AO512" s="79">
        <f>IFERROR(IF(VLOOKUP(C512,C513:C1113,1,0)=0,1,0),1)</f>
        <v>0</v>
      </c>
      <c r="AP512" s="79"/>
      <c r="AQ512" s="243" t="str">
        <f t="shared" si="89"/>
        <v/>
      </c>
      <c r="AR512" s="242" t="b">
        <f>IF(AQ512="x",EOMONTH(I512,0))</f>
        <v>0</v>
      </c>
      <c r="AS512" s="79">
        <f t="shared" si="84"/>
        <v>1</v>
      </c>
      <c r="AT512" s="79">
        <f t="shared" si="85"/>
        <v>1</v>
      </c>
      <c r="AU512" s="79" t="str">
        <f t="shared" si="86"/>
        <v>B</v>
      </c>
      <c r="AV512" s="79">
        <f t="shared" si="90"/>
        <v>1</v>
      </c>
      <c r="AW512" s="79" t="str">
        <f>J512&amp;AU512</f>
        <v>IntegralB</v>
      </c>
      <c r="AX512" s="79">
        <f>IF(COUNTIFS(J:J,"Integral",E:E,E512,H:H,"Ativo")=4,1/4,1/10)</f>
        <v>0.1</v>
      </c>
      <c r="AY512" s="79" t="s">
        <v>1332</v>
      </c>
      <c r="AZ512" s="79" t="b">
        <v>1</v>
      </c>
    </row>
    <row r="513" spans="1:52" ht="15.75" customHeight="1">
      <c r="A513" s="54">
        <v>537</v>
      </c>
      <c r="B513" s="403">
        <v>45230</v>
      </c>
      <c r="C513" s="32" t="s">
        <v>1610</v>
      </c>
      <c r="D513" s="32" t="s">
        <v>1628</v>
      </c>
      <c r="E513" s="32" t="s">
        <v>1612</v>
      </c>
      <c r="F513" s="32" t="s">
        <v>1629</v>
      </c>
      <c r="G513" s="60" t="s">
        <v>220</v>
      </c>
      <c r="H513" s="33" t="s">
        <v>90</v>
      </c>
      <c r="I513" s="34"/>
      <c r="J513" s="33" t="s">
        <v>6</v>
      </c>
      <c r="K513" s="35" t="s">
        <v>273</v>
      </c>
      <c r="L513" s="35" t="s">
        <v>273</v>
      </c>
      <c r="M513" s="386" t="s">
        <v>1259</v>
      </c>
      <c r="N513" s="33" t="s">
        <v>68</v>
      </c>
      <c r="O513" s="33" t="s">
        <v>1235</v>
      </c>
      <c r="P513" s="33" t="s">
        <v>2</v>
      </c>
      <c r="Q513" s="47"/>
      <c r="R513" s="47"/>
      <c r="S513" s="45" t="s">
        <v>148</v>
      </c>
      <c r="T513" s="45"/>
      <c r="U513" s="37">
        <v>45139</v>
      </c>
      <c r="V513" s="38">
        <f t="shared" si="80"/>
        <v>45230</v>
      </c>
      <c r="W513" s="50">
        <f>V513-U513</f>
        <v>91</v>
      </c>
      <c r="X513" s="261">
        <f>Y513*0.91</f>
        <v>336609</v>
      </c>
      <c r="Y513" s="260">
        <v>369900</v>
      </c>
      <c r="Z513" s="263">
        <v>299000</v>
      </c>
      <c r="AA513" s="56"/>
      <c r="AB513" s="263"/>
      <c r="AC513" s="44">
        <v>0.09</v>
      </c>
      <c r="AD513" s="62">
        <v>0.20039999999999999</v>
      </c>
      <c r="AE513" s="41">
        <f t="shared" si="91"/>
        <v>-0.1104</v>
      </c>
      <c r="AF513" s="42">
        <v>0.1104</v>
      </c>
      <c r="AG513" s="40">
        <f>IF((X513*AE513)&lt;0,0,(X513*AE513))</f>
        <v>0</v>
      </c>
      <c r="AH513" s="65">
        <f t="shared" si="87"/>
        <v>70900</v>
      </c>
      <c r="AI513" s="66">
        <f>AH513/X513</f>
        <v>0.2106301376374369</v>
      </c>
      <c r="AJ513" s="66">
        <f t="shared" si="88"/>
        <v>0.10023013763743691</v>
      </c>
      <c r="AK513" s="65">
        <f>AF513*X513</f>
        <v>37161.633600000001</v>
      </c>
      <c r="AL513" s="40">
        <f t="shared" si="83"/>
        <v>33738.366399999999</v>
      </c>
      <c r="AM513" s="242">
        <f t="shared" si="81"/>
        <v>45230</v>
      </c>
      <c r="AN513" s="242" t="str">
        <f>IF(AQ513="x","",IF(AQ513="x",AM513,IF(EOMONTH(I513,0)=31,"",EOMONTH(I513,0))))</f>
        <v/>
      </c>
      <c r="AO513" s="79">
        <f>IFERROR(IF(VLOOKUP(C513,C514:C1114,1,0)=0,1,0),1)</f>
        <v>0</v>
      </c>
      <c r="AP513" s="79"/>
      <c r="AQ513" s="243" t="str">
        <f t="shared" si="89"/>
        <v/>
      </c>
      <c r="AR513" s="242" t="b">
        <f>IF(AQ513="x",EOMONTH(I513,0))</f>
        <v>0</v>
      </c>
      <c r="AS513" s="79">
        <f t="shared" si="84"/>
        <v>1</v>
      </c>
      <c r="AT513" s="79">
        <f t="shared" si="85"/>
        <v>1</v>
      </c>
      <c r="AU513" s="79" t="str">
        <f t="shared" si="86"/>
        <v>B</v>
      </c>
      <c r="AV513" s="79">
        <f t="shared" si="90"/>
        <v>1</v>
      </c>
      <c r="AW513" s="79" t="str">
        <f>J513&amp;AU513</f>
        <v>IntegralB</v>
      </c>
      <c r="AX513" s="79">
        <f>IF(COUNTIFS(J:J,"Integral",E:E,E513,H:H,"Ativo")=4,1/4,1/10)</f>
        <v>0.1</v>
      </c>
      <c r="AY513" s="79" t="s">
        <v>1332</v>
      </c>
      <c r="AZ513" s="79" t="b">
        <v>1</v>
      </c>
    </row>
    <row r="514" spans="1:52" ht="15.75" customHeight="1">
      <c r="A514" s="54">
        <v>538</v>
      </c>
      <c r="B514" s="403">
        <v>45230</v>
      </c>
      <c r="C514" s="32" t="s">
        <v>1610</v>
      </c>
      <c r="D514" s="32" t="s">
        <v>1630</v>
      </c>
      <c r="E514" s="32" t="s">
        <v>1612</v>
      </c>
      <c r="F514" s="32" t="s">
        <v>1631</v>
      </c>
      <c r="G514" s="60" t="s">
        <v>220</v>
      </c>
      <c r="H514" s="33" t="s">
        <v>90</v>
      </c>
      <c r="I514" s="34"/>
      <c r="J514" s="33" t="s">
        <v>6</v>
      </c>
      <c r="K514" s="35" t="s">
        <v>273</v>
      </c>
      <c r="L514" s="35" t="s">
        <v>273</v>
      </c>
      <c r="M514" s="386" t="s">
        <v>1259</v>
      </c>
      <c r="N514" s="33" t="s">
        <v>68</v>
      </c>
      <c r="O514" s="33" t="s">
        <v>1235</v>
      </c>
      <c r="P514" s="33" t="s">
        <v>2</v>
      </c>
      <c r="Q514" s="47"/>
      <c r="R514" s="47"/>
      <c r="S514" s="45" t="s">
        <v>148</v>
      </c>
      <c r="T514" s="45"/>
      <c r="U514" s="37">
        <v>45139</v>
      </c>
      <c r="V514" s="38">
        <f t="shared" ref="V514:V576" si="92">B514</f>
        <v>45230</v>
      </c>
      <c r="W514" s="50">
        <f>V514-U514</f>
        <v>91</v>
      </c>
      <c r="X514" s="261">
        <f>Y514*0.91</f>
        <v>336609</v>
      </c>
      <c r="Y514" s="260">
        <v>369900</v>
      </c>
      <c r="Z514" s="263">
        <v>299000</v>
      </c>
      <c r="AA514" s="56"/>
      <c r="AB514" s="263"/>
      <c r="AC514" s="44">
        <v>0.09</v>
      </c>
      <c r="AD514" s="62">
        <v>0.20039999999999999</v>
      </c>
      <c r="AE514" s="41">
        <f t="shared" si="91"/>
        <v>-0.1104</v>
      </c>
      <c r="AF514" s="42">
        <v>0.1104</v>
      </c>
      <c r="AG514" s="40">
        <f>IF((X514*AE514)&lt;0,0,(X514*AE514))</f>
        <v>0</v>
      </c>
      <c r="AH514" s="65">
        <f t="shared" si="87"/>
        <v>70900</v>
      </c>
      <c r="AI514" s="66">
        <f>AH514/X514</f>
        <v>0.2106301376374369</v>
      </c>
      <c r="AJ514" s="66">
        <f t="shared" si="88"/>
        <v>0.10023013763743691</v>
      </c>
      <c r="AK514" s="65">
        <f>AF514*X514</f>
        <v>37161.633600000001</v>
      </c>
      <c r="AL514" s="40">
        <f t="shared" si="83"/>
        <v>33738.366399999999</v>
      </c>
      <c r="AM514" s="242">
        <f t="shared" ref="AM514:AM576" si="93">IFERROR(EOMONTH(B514,0),"Pendente")</f>
        <v>45230</v>
      </c>
      <c r="AN514" s="242" t="str">
        <f>IF(AQ514="x","",IF(AQ514="x",AM514,IF(EOMONTH(I514,0)=31,"",EOMONTH(I514,0))))</f>
        <v/>
      </c>
      <c r="AO514" s="79">
        <f>IFERROR(IF(VLOOKUP(C514,C515:C1115,1,0)=0,1,0),1)</f>
        <v>1</v>
      </c>
      <c r="AP514" s="79"/>
      <c r="AQ514" s="243" t="str">
        <f t="shared" si="89"/>
        <v/>
      </c>
      <c r="AR514" s="242" t="b">
        <f>IF(AQ514="x",EOMONTH(I514,0))</f>
        <v>0</v>
      </c>
      <c r="AS514" s="79">
        <f t="shared" si="84"/>
        <v>1</v>
      </c>
      <c r="AT514" s="79">
        <f t="shared" si="85"/>
        <v>1</v>
      </c>
      <c r="AU514" s="79" t="str">
        <f t="shared" si="86"/>
        <v>B</v>
      </c>
      <c r="AV514" s="79">
        <f t="shared" si="90"/>
        <v>1</v>
      </c>
      <c r="AW514" s="79" t="str">
        <f>J514&amp;AU514</f>
        <v>IntegralB</v>
      </c>
      <c r="AX514" s="79">
        <f>IF(COUNTIFS(J:J,"Integral",E:E,E514,H:H,"Ativo")=4,1/4,1/10)</f>
        <v>0.1</v>
      </c>
      <c r="AY514" s="79" t="s">
        <v>1332</v>
      </c>
      <c r="AZ514" s="79" t="b">
        <v>1</v>
      </c>
    </row>
    <row r="515" spans="1:52" ht="15.75" customHeight="1">
      <c r="A515" s="54">
        <v>539</v>
      </c>
      <c r="B515" s="403">
        <v>45234</v>
      </c>
      <c r="C515" s="32" t="s">
        <v>1632</v>
      </c>
      <c r="D515" s="32" t="s">
        <v>758</v>
      </c>
      <c r="E515" s="32" t="s">
        <v>249</v>
      </c>
      <c r="F515" s="32" t="s">
        <v>1633</v>
      </c>
      <c r="G515" s="60" t="s">
        <v>220</v>
      </c>
      <c r="H515" s="33" t="s">
        <v>90</v>
      </c>
      <c r="I515" s="34"/>
      <c r="J515" s="33">
        <v>13</v>
      </c>
      <c r="K515" s="35" t="s">
        <v>333</v>
      </c>
      <c r="L515" s="35" t="s">
        <v>333</v>
      </c>
      <c r="M515" s="386" t="s">
        <v>246</v>
      </c>
      <c r="N515" s="33" t="s">
        <v>68</v>
      </c>
      <c r="O515" s="33" t="s">
        <v>1235</v>
      </c>
      <c r="P515" s="33" t="s">
        <v>2</v>
      </c>
      <c r="Q515" s="47"/>
      <c r="R515" s="47"/>
      <c r="S515" s="45" t="s">
        <v>147</v>
      </c>
      <c r="T515" s="45"/>
      <c r="U515" s="37">
        <v>45045</v>
      </c>
      <c r="V515" s="38">
        <f t="shared" si="92"/>
        <v>45234</v>
      </c>
      <c r="W515" s="50">
        <f>V515-U515</f>
        <v>189</v>
      </c>
      <c r="X515" s="261">
        <f>Y515*0.91</f>
        <v>1487850</v>
      </c>
      <c r="Y515" s="260">
        <v>1635000</v>
      </c>
      <c r="Z515" s="263">
        <v>1589000</v>
      </c>
      <c r="AA515" s="56"/>
      <c r="AB515" s="263"/>
      <c r="AC515" s="44">
        <v>0.09</v>
      </c>
      <c r="AD515" s="62">
        <v>2.81E-2</v>
      </c>
      <c r="AE515" s="41">
        <f t="shared" si="91"/>
        <v>6.1899999999999997E-2</v>
      </c>
      <c r="AF515" s="42"/>
      <c r="AG515" s="40">
        <f>IF((X515*AE515)&lt;0,0,(X515*AE515))</f>
        <v>92097.914999999994</v>
      </c>
      <c r="AH515" s="65">
        <f t="shared" si="87"/>
        <v>46000</v>
      </c>
      <c r="AI515" s="66">
        <f>AH515/X515</f>
        <v>3.0917095137278625E-2</v>
      </c>
      <c r="AJ515" s="66">
        <f t="shared" si="88"/>
        <v>3.0917095137278625E-2</v>
      </c>
      <c r="AK515" s="65">
        <f>AF515*X515</f>
        <v>0</v>
      </c>
      <c r="AL515" s="40">
        <f t="shared" si="83"/>
        <v>46000</v>
      </c>
      <c r="AM515" s="242">
        <f t="shared" si="93"/>
        <v>45260</v>
      </c>
      <c r="AN515" s="242" t="str">
        <f>IF(AQ515="x","",IF(AQ515="x",AM515,IF(EOMONTH(I515,0)=31,"",EOMONTH(I515,0))))</f>
        <v/>
      </c>
      <c r="AO515" s="79">
        <f>IFERROR(IF(VLOOKUP(C515,C516:C1116,1,0)=0,1,0),1)</f>
        <v>1</v>
      </c>
      <c r="AP515" s="79"/>
      <c r="AQ515" s="243" t="str">
        <f t="shared" si="89"/>
        <v/>
      </c>
      <c r="AR515" s="242" t="b">
        <f>IF(AQ515="x",EOMONTH(I515,0))</f>
        <v>0</v>
      </c>
      <c r="AS515" s="79">
        <f t="shared" si="84"/>
        <v>1</v>
      </c>
      <c r="AT515" s="79">
        <f t="shared" si="85"/>
        <v>1</v>
      </c>
      <c r="AU515" s="79" t="str">
        <f t="shared" si="86"/>
        <v>A</v>
      </c>
      <c r="AV515" s="79">
        <f t="shared" si="90"/>
        <v>1</v>
      </c>
      <c r="AW515" s="79" t="str">
        <f>J515&amp;AU515</f>
        <v>13A</v>
      </c>
      <c r="AX515" s="79">
        <f>IF(COUNTIFS(J:J,"Integral",E:E,E515,H:H,"Ativo")=4,1/4,1/10)</f>
        <v>0.1</v>
      </c>
      <c r="AY515" s="79" t="s">
        <v>1332</v>
      </c>
      <c r="AZ515" s="79" t="b">
        <v>1</v>
      </c>
    </row>
    <row r="516" spans="1:52" ht="15.75" customHeight="1">
      <c r="A516" s="54">
        <v>540</v>
      </c>
      <c r="B516" s="403">
        <v>45234</v>
      </c>
      <c r="C516" s="32" t="s">
        <v>1634</v>
      </c>
      <c r="D516" s="32" t="s">
        <v>1635</v>
      </c>
      <c r="E516" s="32" t="s">
        <v>1442</v>
      </c>
      <c r="F516" s="32" t="s">
        <v>1636</v>
      </c>
      <c r="G516" s="60" t="s">
        <v>243</v>
      </c>
      <c r="H516" s="33" t="s">
        <v>244</v>
      </c>
      <c r="I516" s="34">
        <v>45258</v>
      </c>
      <c r="J516" s="33">
        <v>6</v>
      </c>
      <c r="K516" s="35" t="s">
        <v>1007</v>
      </c>
      <c r="L516" s="35" t="s">
        <v>1007</v>
      </c>
      <c r="M516" s="386" t="s">
        <v>246</v>
      </c>
      <c r="N516" s="33" t="s">
        <v>68</v>
      </c>
      <c r="O516" s="33" t="s">
        <v>10</v>
      </c>
      <c r="P516" s="33" t="s">
        <v>2</v>
      </c>
      <c r="Q516" s="47"/>
      <c r="R516" s="47"/>
      <c r="S516" s="45" t="s">
        <v>147</v>
      </c>
      <c r="T516" s="45"/>
      <c r="U516" s="68">
        <v>45231</v>
      </c>
      <c r="V516" s="48">
        <f t="shared" si="92"/>
        <v>45234</v>
      </c>
      <c r="W516" s="50">
        <f>V516-U516</f>
        <v>3</v>
      </c>
      <c r="X516" s="265">
        <f>Y516*0.91</f>
        <v>359450</v>
      </c>
      <c r="Y516" s="67">
        <v>395000</v>
      </c>
      <c r="Z516" s="267">
        <v>320000</v>
      </c>
      <c r="AA516" s="56"/>
      <c r="AB516" s="267"/>
      <c r="AC516" s="44">
        <v>0.09</v>
      </c>
      <c r="AD516" s="62">
        <v>-3.2000000000000002E-3</v>
      </c>
      <c r="AE516" s="41">
        <f t="shared" si="91"/>
        <v>9.3199999999999991E-2</v>
      </c>
      <c r="AF516" s="42"/>
      <c r="AG516" s="40">
        <f>IF((X516*AE516)&lt;0,0,(X516*AE516))</f>
        <v>33500.74</v>
      </c>
      <c r="AH516" s="65">
        <f t="shared" si="87"/>
        <v>75000</v>
      </c>
      <c r="AI516" s="66">
        <f>AH516/X516</f>
        <v>0.20865210738628459</v>
      </c>
      <c r="AJ516" s="66">
        <f t="shared" si="88"/>
        <v>0.20865210738628459</v>
      </c>
      <c r="AK516" s="65">
        <f>AF516*X516</f>
        <v>0</v>
      </c>
      <c r="AL516" s="40">
        <f t="shared" si="83"/>
        <v>75000</v>
      </c>
      <c r="AM516" s="242">
        <f t="shared" si="93"/>
        <v>45260</v>
      </c>
      <c r="AN516" s="242" t="str">
        <f>IF(AQ516="x","",IF(AQ516="x",AM516,IF(EOMONTH(I516,0)=31,"",EOMONTH(I516,0))))</f>
        <v/>
      </c>
      <c r="AO516" s="79">
        <f>IFERROR(IF(VLOOKUP(C516,C517:C1117,1,0)=0,1,0),1)</f>
        <v>1</v>
      </c>
      <c r="AP516" s="79"/>
      <c r="AQ516" s="243" t="str">
        <f t="shared" si="89"/>
        <v>x</v>
      </c>
      <c r="AR516" s="242">
        <f>IF(AQ516="x",EOMONTH(I516,0))</f>
        <v>45260</v>
      </c>
      <c r="AS516" s="79">
        <f t="shared" si="84"/>
        <v>1</v>
      </c>
      <c r="AT516" s="79">
        <f t="shared" si="85"/>
        <v>1</v>
      </c>
      <c r="AU516" s="79" t="str">
        <f t="shared" si="86"/>
        <v>B</v>
      </c>
      <c r="AV516" s="79">
        <f t="shared" si="90"/>
        <v>1</v>
      </c>
      <c r="AW516" s="79" t="str">
        <f>J516&amp;AU516</f>
        <v>6B</v>
      </c>
      <c r="AX516" s="79">
        <f>IF(COUNTIFS(J:J,"Integral",E:E,E516,H:H,"Ativo")=4,1/4,1/10)</f>
        <v>0.1</v>
      </c>
      <c r="AY516" s="79" t="s">
        <v>1332</v>
      </c>
      <c r="AZ516" s="79" t="b">
        <v>1</v>
      </c>
    </row>
    <row r="517" spans="1:52" ht="15.75" customHeight="1">
      <c r="A517" s="54">
        <v>541</v>
      </c>
      <c r="B517" s="403">
        <v>45239</v>
      </c>
      <c r="C517" s="32" t="s">
        <v>1637</v>
      </c>
      <c r="D517" s="32" t="s">
        <v>1638</v>
      </c>
      <c r="E517" s="32" t="s">
        <v>944</v>
      </c>
      <c r="F517" s="32" t="s">
        <v>1639</v>
      </c>
      <c r="G517" s="60" t="s">
        <v>220</v>
      </c>
      <c r="H517" s="33" t="s">
        <v>90</v>
      </c>
      <c r="I517" s="34"/>
      <c r="J517" s="33">
        <v>13</v>
      </c>
      <c r="K517" s="35" t="s">
        <v>274</v>
      </c>
      <c r="L517" s="35" t="s">
        <v>274</v>
      </c>
      <c r="M517" s="386" t="s">
        <v>246</v>
      </c>
      <c r="N517" s="33" t="s">
        <v>68</v>
      </c>
      <c r="O517" s="33" t="s">
        <v>11</v>
      </c>
      <c r="P517" s="33" t="s">
        <v>2</v>
      </c>
      <c r="Q517" s="47"/>
      <c r="R517" s="47"/>
      <c r="S517" s="45" t="s">
        <v>145</v>
      </c>
      <c r="T517" s="45"/>
      <c r="U517" s="37">
        <v>45218</v>
      </c>
      <c r="V517" s="38">
        <f t="shared" si="92"/>
        <v>45239</v>
      </c>
      <c r="W517" s="50">
        <f>V517-U517</f>
        <v>21</v>
      </c>
      <c r="X517" s="261">
        <f>Y517*0.91</f>
        <v>1638000</v>
      </c>
      <c r="Y517" s="260">
        <v>1800000</v>
      </c>
      <c r="Z517" s="263">
        <v>1549000</v>
      </c>
      <c r="AA517" s="56"/>
      <c r="AB517" s="263"/>
      <c r="AC517" s="44">
        <v>0.09</v>
      </c>
      <c r="AD517" s="62">
        <v>2.63E-2</v>
      </c>
      <c r="AE517" s="41">
        <f t="shared" si="91"/>
        <v>6.3699999999999993E-2</v>
      </c>
      <c r="AF517" s="42"/>
      <c r="AG517" s="40">
        <f>IF((X517*AE517)&lt;0,0,(X517*AE517))</f>
        <v>104340.59999999999</v>
      </c>
      <c r="AH517" s="65">
        <f t="shared" si="87"/>
        <v>251000</v>
      </c>
      <c r="AI517" s="66">
        <f>AH517/X517</f>
        <v>0.15323565323565325</v>
      </c>
      <c r="AJ517" s="66">
        <f t="shared" si="88"/>
        <v>0.15323565323565325</v>
      </c>
      <c r="AK517" s="65">
        <f>AF517*X517</f>
        <v>0</v>
      </c>
      <c r="AL517" s="40">
        <f t="shared" si="83"/>
        <v>251000</v>
      </c>
      <c r="AM517" s="242">
        <f t="shared" si="93"/>
        <v>45260</v>
      </c>
      <c r="AN517" s="242" t="str">
        <f>IF(AQ517="x","",IF(AQ517="x",AM517,IF(EOMONTH(I517,0)=31,"",EOMONTH(I517,0))))</f>
        <v/>
      </c>
      <c r="AO517" s="79">
        <f>IFERROR(IF(VLOOKUP(C517,C518:C1118,1,0)=0,1,0),1)</f>
        <v>1</v>
      </c>
      <c r="AP517" s="79"/>
      <c r="AQ517" s="243" t="str">
        <f t="shared" si="89"/>
        <v/>
      </c>
      <c r="AR517" s="242" t="b">
        <f>IF(AQ517="x",EOMONTH(I517,0))</f>
        <v>0</v>
      </c>
      <c r="AS517" s="79">
        <f t="shared" si="84"/>
        <v>1</v>
      </c>
      <c r="AT517" s="79">
        <f t="shared" si="85"/>
        <v>1</v>
      </c>
      <c r="AU517" s="79" t="str">
        <f t="shared" si="86"/>
        <v>A</v>
      </c>
      <c r="AV517" s="79">
        <f t="shared" si="90"/>
        <v>1</v>
      </c>
      <c r="AW517" s="79" t="str">
        <f>J517&amp;AU517</f>
        <v>13A</v>
      </c>
      <c r="AX517" s="79">
        <f>IF(COUNTIFS(J:J,"Integral",E:E,E517,H:H,"Ativo")=4,1/4,1/10)</f>
        <v>0.1</v>
      </c>
      <c r="AY517" s="79" t="s">
        <v>1535</v>
      </c>
      <c r="AZ517" s="79" t="b">
        <v>1</v>
      </c>
    </row>
    <row r="518" spans="1:52" ht="15.75" customHeight="1">
      <c r="A518" s="54">
        <v>542</v>
      </c>
      <c r="B518" s="403">
        <v>45242</v>
      </c>
      <c r="C518" s="32" t="s">
        <v>1640</v>
      </c>
      <c r="D518" s="32" t="s">
        <v>1641</v>
      </c>
      <c r="E518" s="32" t="s">
        <v>1642</v>
      </c>
      <c r="F518" s="32" t="s">
        <v>1643</v>
      </c>
      <c r="G518" s="60" t="s">
        <v>220</v>
      </c>
      <c r="H518" s="33" t="s">
        <v>90</v>
      </c>
      <c r="I518" s="34"/>
      <c r="J518" s="33">
        <v>6</v>
      </c>
      <c r="K518" s="35" t="s">
        <v>1644</v>
      </c>
      <c r="L518" s="35" t="s">
        <v>1645</v>
      </c>
      <c r="M518" s="409" t="s">
        <v>1487</v>
      </c>
      <c r="N518" s="33" t="s">
        <v>68</v>
      </c>
      <c r="O518" s="33" t="s">
        <v>1235</v>
      </c>
      <c r="P518" s="33" t="s">
        <v>1</v>
      </c>
      <c r="Q518" s="47"/>
      <c r="R518" s="47"/>
      <c r="S518" s="45" t="s">
        <v>157</v>
      </c>
      <c r="T518" s="45"/>
      <c r="U518" s="37">
        <v>45242</v>
      </c>
      <c r="V518" s="38">
        <f t="shared" si="92"/>
        <v>45242</v>
      </c>
      <c r="W518" s="50">
        <f>V518-U518</f>
        <v>0</v>
      </c>
      <c r="X518" s="261">
        <f>Y518*0.91</f>
        <v>394940</v>
      </c>
      <c r="Y518" s="260">
        <v>434000</v>
      </c>
      <c r="Z518" s="263">
        <v>433960.02</v>
      </c>
      <c r="AA518" s="56" t="s">
        <v>1205</v>
      </c>
      <c r="AB518" s="263"/>
      <c r="AC518" s="44">
        <v>0.09</v>
      </c>
      <c r="AD518" s="62">
        <v>8.4400000000000003E-2</v>
      </c>
      <c r="AE518" s="41">
        <f t="shared" si="91"/>
        <v>5.5999999999999939E-3</v>
      </c>
      <c r="AF518" s="42"/>
      <c r="AG518" s="40">
        <f>IF((X518*AE518)&lt;0,0,(X518*AE518))</f>
        <v>2211.6639999999975</v>
      </c>
      <c r="AH518" s="65">
        <f t="shared" si="87"/>
        <v>39.979999999981374</v>
      </c>
      <c r="AI518" s="66">
        <f>AH518/X518</f>
        <v>1.0123056666830752E-4</v>
      </c>
      <c r="AJ518" s="66">
        <f t="shared" si="88"/>
        <v>1.0123056666830752E-4</v>
      </c>
      <c r="AK518" s="65">
        <f>AF518*X518</f>
        <v>0</v>
      </c>
      <c r="AL518" s="40">
        <f t="shared" si="83"/>
        <v>39.979999999981374</v>
      </c>
      <c r="AM518" s="242">
        <f t="shared" si="93"/>
        <v>45260</v>
      </c>
      <c r="AN518" s="242" t="str">
        <f>IF(AQ518="x","",IF(AQ518="x",AM518,IF(EOMONTH(I518,0)=31,"",EOMONTH(I518,0))))</f>
        <v/>
      </c>
      <c r="AO518" s="79">
        <f>IFERROR(IF(VLOOKUP(C518,C519:C1119,1,0)=0,1,0),1)</f>
        <v>1</v>
      </c>
      <c r="AP518" s="79"/>
      <c r="AQ518" s="243" t="str">
        <f t="shared" si="89"/>
        <v/>
      </c>
      <c r="AR518" s="242" t="b">
        <f>IF(AQ518="x",EOMONTH(I518,0))</f>
        <v>0</v>
      </c>
      <c r="AS518" s="79">
        <f t="shared" si="84"/>
        <v>1</v>
      </c>
      <c r="AT518" s="79">
        <f t="shared" si="85"/>
        <v>1</v>
      </c>
      <c r="AU518" s="79" t="str">
        <f t="shared" si="86"/>
        <v>B</v>
      </c>
      <c r="AV518" s="79">
        <f t="shared" si="90"/>
        <v>1</v>
      </c>
      <c r="AW518" s="79" t="str">
        <f>J518&amp;AU518</f>
        <v>6B</v>
      </c>
      <c r="AX518" s="79">
        <f>IF(COUNTIFS(J:J,"Integral",E:E,E518,H:H,"Ativo")=4,1/4,1/10)</f>
        <v>0.1</v>
      </c>
      <c r="AY518" s="79" t="s">
        <v>1320</v>
      </c>
      <c r="AZ518" s="79" t="b">
        <v>1</v>
      </c>
    </row>
    <row r="519" spans="1:52" ht="15.75" customHeight="1">
      <c r="A519" s="54">
        <v>543</v>
      </c>
      <c r="B519" s="403">
        <v>45243</v>
      </c>
      <c r="C519" s="32" t="s">
        <v>1646</v>
      </c>
      <c r="D519" s="32" t="s">
        <v>1647</v>
      </c>
      <c r="E519" s="32" t="s">
        <v>1342</v>
      </c>
      <c r="F519" s="32" t="s">
        <v>1648</v>
      </c>
      <c r="G519" s="60" t="s">
        <v>220</v>
      </c>
      <c r="H519" s="33" t="s">
        <v>90</v>
      </c>
      <c r="I519" s="34"/>
      <c r="J519" s="33">
        <v>6</v>
      </c>
      <c r="K519" s="35" t="s">
        <v>1149</v>
      </c>
      <c r="L519" s="35" t="s">
        <v>1149</v>
      </c>
      <c r="M519" s="386" t="s">
        <v>1259</v>
      </c>
      <c r="N519" s="33" t="s">
        <v>68</v>
      </c>
      <c r="O519" s="33" t="s">
        <v>11</v>
      </c>
      <c r="P519" s="33" t="s">
        <v>2</v>
      </c>
      <c r="Q519" s="47"/>
      <c r="R519" s="47"/>
      <c r="S519" s="45" t="s">
        <v>143</v>
      </c>
      <c r="T519" s="45"/>
      <c r="U519" s="37">
        <v>45234</v>
      </c>
      <c r="V519" s="38">
        <f t="shared" si="92"/>
        <v>45243</v>
      </c>
      <c r="W519" s="50">
        <f>V519-U519</f>
        <v>9</v>
      </c>
      <c r="X519" s="261">
        <f>Y519*0.91</f>
        <v>359450</v>
      </c>
      <c r="Y519" s="260">
        <v>395000</v>
      </c>
      <c r="Z519" s="263">
        <v>348032</v>
      </c>
      <c r="AA519" s="56"/>
      <c r="AB519" s="263"/>
      <c r="AC519" s="44">
        <v>0.09</v>
      </c>
      <c r="AD519" s="62">
        <v>0.03</v>
      </c>
      <c r="AE519" s="41">
        <f t="shared" si="91"/>
        <v>0.06</v>
      </c>
      <c r="AF519" s="42"/>
      <c r="AG519" s="40">
        <f>IF((X519*AE519)&lt;0,0,(X519*AE519))</f>
        <v>21567</v>
      </c>
      <c r="AH519" s="65">
        <f t="shared" si="87"/>
        <v>46968</v>
      </c>
      <c r="AI519" s="66">
        <f>AH519/X519</f>
        <v>0.13066629572958688</v>
      </c>
      <c r="AJ519" s="66">
        <f t="shared" si="88"/>
        <v>0.13066629572958688</v>
      </c>
      <c r="AK519" s="65">
        <f>AF519*X519</f>
        <v>0</v>
      </c>
      <c r="AL519" s="40">
        <f t="shared" si="83"/>
        <v>46968</v>
      </c>
      <c r="AM519" s="242">
        <f t="shared" si="93"/>
        <v>45260</v>
      </c>
      <c r="AN519" s="242" t="str">
        <f>IF(AQ519="x","",IF(AQ519="x",AM519,IF(EOMONTH(I519,0)=31,"",EOMONTH(I519,0))))</f>
        <v/>
      </c>
      <c r="AO519" s="79">
        <f>IFERROR(IF(VLOOKUP(C519,C520:C1120,1,0)=0,1,0),1)</f>
        <v>1</v>
      </c>
      <c r="AP519" s="79"/>
      <c r="AQ519" s="243" t="str">
        <f t="shared" si="89"/>
        <v/>
      </c>
      <c r="AR519" s="242" t="b">
        <f>IF(AQ519="x",EOMONTH(I519,0))</f>
        <v>0</v>
      </c>
      <c r="AS519" s="79">
        <f t="shared" si="84"/>
        <v>1</v>
      </c>
      <c r="AT519" s="79">
        <f t="shared" si="85"/>
        <v>1</v>
      </c>
      <c r="AU519" s="79" t="str">
        <f t="shared" si="86"/>
        <v>B</v>
      </c>
      <c r="AV519" s="79">
        <f t="shared" si="90"/>
        <v>1</v>
      </c>
      <c r="AW519" s="79" t="str">
        <f>J519&amp;AU519</f>
        <v>6B</v>
      </c>
      <c r="AX519" s="79">
        <f>IF(COUNTIFS(J:J,"Integral",E:E,E519,H:H,"Ativo")=4,1/4,1/10)</f>
        <v>0.1</v>
      </c>
      <c r="AY519" s="79" t="s">
        <v>1535</v>
      </c>
      <c r="AZ519" s="79" t="b">
        <v>1</v>
      </c>
    </row>
    <row r="520" spans="1:52" ht="15.75" customHeight="1">
      <c r="A520" s="54">
        <v>544</v>
      </c>
      <c r="B520" s="403">
        <v>45244</v>
      </c>
      <c r="C520" s="32" t="s">
        <v>1649</v>
      </c>
      <c r="D520" s="32" t="s">
        <v>1650</v>
      </c>
      <c r="E520" s="32" t="s">
        <v>1118</v>
      </c>
      <c r="F520" s="32" t="s">
        <v>1651</v>
      </c>
      <c r="G520" s="60" t="s">
        <v>220</v>
      </c>
      <c r="H520" s="33" t="s">
        <v>90</v>
      </c>
      <c r="I520" s="34"/>
      <c r="J520" s="33">
        <v>6</v>
      </c>
      <c r="K520" s="35" t="s">
        <v>333</v>
      </c>
      <c r="L520" s="35" t="s">
        <v>333</v>
      </c>
      <c r="M520" s="386" t="s">
        <v>246</v>
      </c>
      <c r="N520" s="33" t="s">
        <v>68</v>
      </c>
      <c r="O520" s="33" t="s">
        <v>1235</v>
      </c>
      <c r="P520" s="33" t="s">
        <v>2</v>
      </c>
      <c r="Q520" s="47"/>
      <c r="R520" s="47"/>
      <c r="S520" s="45" t="s">
        <v>144</v>
      </c>
      <c r="T520" s="45"/>
      <c r="U520" s="37">
        <v>45238</v>
      </c>
      <c r="V520" s="38">
        <f t="shared" si="92"/>
        <v>45244</v>
      </c>
      <c r="W520" s="50">
        <f>V520-U520</f>
        <v>6</v>
      </c>
      <c r="X520" s="261">
        <f>Y520*0.91</f>
        <v>359450</v>
      </c>
      <c r="Y520" s="260">
        <v>395000</v>
      </c>
      <c r="Z520" s="263">
        <v>394992</v>
      </c>
      <c r="AA520" s="56"/>
      <c r="AB520" s="263"/>
      <c r="AC520" s="44">
        <v>0.09</v>
      </c>
      <c r="AD520" s="62">
        <v>0.01</v>
      </c>
      <c r="AE520" s="41">
        <f t="shared" si="91"/>
        <v>0.08</v>
      </c>
      <c r="AF520" s="42"/>
      <c r="AG520" s="40">
        <f>IF((X520*AE520)&lt;0,0,(X520*AE520))</f>
        <v>28756</v>
      </c>
      <c r="AH520" s="65">
        <f t="shared" si="87"/>
        <v>8</v>
      </c>
      <c r="AI520" s="66">
        <f>AH520/X520</f>
        <v>2.2256224787870357E-5</v>
      </c>
      <c r="AJ520" s="66">
        <f t="shared" si="88"/>
        <v>2.2256224787870357E-5</v>
      </c>
      <c r="AK520" s="65">
        <f>AF520*X520</f>
        <v>0</v>
      </c>
      <c r="AL520" s="40">
        <f t="shared" si="83"/>
        <v>8</v>
      </c>
      <c r="AM520" s="242">
        <f t="shared" si="93"/>
        <v>45260</v>
      </c>
      <c r="AN520" s="242" t="str">
        <f>IF(AQ520="x","",IF(AQ520="x",AM520,IF(EOMONTH(I520,0)=31,"",EOMONTH(I520,0))))</f>
        <v/>
      </c>
      <c r="AO520" s="79">
        <f>IFERROR(IF(VLOOKUP(C520,C521:C1121,1,0)=0,1,0),1)</f>
        <v>0</v>
      </c>
      <c r="AP520" s="79"/>
      <c r="AQ520" s="243" t="str">
        <f t="shared" si="89"/>
        <v/>
      </c>
      <c r="AR520" s="242" t="b">
        <f>IF(AQ520="x",EOMONTH(I520,0))</f>
        <v>0</v>
      </c>
      <c r="AS520" s="79">
        <f t="shared" si="84"/>
        <v>1</v>
      </c>
      <c r="AT520" s="79">
        <f t="shared" si="85"/>
        <v>1</v>
      </c>
      <c r="AU520" s="79" t="str">
        <f t="shared" si="86"/>
        <v>B</v>
      </c>
      <c r="AV520" s="79">
        <f t="shared" si="90"/>
        <v>1</v>
      </c>
      <c r="AW520" s="79" t="str">
        <f>J520&amp;AU520</f>
        <v>6B</v>
      </c>
      <c r="AX520" s="79">
        <f>IF(COUNTIFS(J:J,"Integral",E:E,E520,H:H,"Ativo")=4,1/4,1/10)</f>
        <v>0.1</v>
      </c>
      <c r="AY520" s="79" t="s">
        <v>1535</v>
      </c>
      <c r="AZ520" s="79" t="b">
        <v>1</v>
      </c>
    </row>
    <row r="521" spans="1:52" ht="15.75" customHeight="1">
      <c r="A521" s="54">
        <v>545</v>
      </c>
      <c r="B521" s="403">
        <v>45244</v>
      </c>
      <c r="C521" s="32" t="s">
        <v>1649</v>
      </c>
      <c r="D521" s="32" t="s">
        <v>1510</v>
      </c>
      <c r="E521" s="32" t="s">
        <v>1499</v>
      </c>
      <c r="F521" s="32" t="s">
        <v>1652</v>
      </c>
      <c r="G521" s="60" t="s">
        <v>220</v>
      </c>
      <c r="H521" s="33" t="s">
        <v>90</v>
      </c>
      <c r="I521" s="34"/>
      <c r="J521" s="33">
        <v>6</v>
      </c>
      <c r="K521" s="35" t="s">
        <v>333</v>
      </c>
      <c r="L521" s="35" t="s">
        <v>333</v>
      </c>
      <c r="M521" s="386" t="s">
        <v>246</v>
      </c>
      <c r="N521" s="33" t="s">
        <v>68</v>
      </c>
      <c r="O521" s="33" t="s">
        <v>1235</v>
      </c>
      <c r="P521" s="33" t="s">
        <v>2</v>
      </c>
      <c r="Q521" s="47"/>
      <c r="R521" s="47"/>
      <c r="S521" s="45" t="s">
        <v>144</v>
      </c>
      <c r="T521" s="45"/>
      <c r="U521" s="37">
        <v>45239</v>
      </c>
      <c r="V521" s="38">
        <f t="shared" si="92"/>
        <v>45244</v>
      </c>
      <c r="W521" s="50">
        <f>V521-U521</f>
        <v>5</v>
      </c>
      <c r="X521" s="261">
        <f>Y521*0.91</f>
        <v>359450</v>
      </c>
      <c r="Y521" s="260">
        <v>395000</v>
      </c>
      <c r="Z521" s="263">
        <v>394992</v>
      </c>
      <c r="AA521" s="56"/>
      <c r="AB521" s="263"/>
      <c r="AC521" s="44">
        <v>0.09</v>
      </c>
      <c r="AD521" s="62">
        <v>0.01</v>
      </c>
      <c r="AE521" s="41">
        <f t="shared" si="91"/>
        <v>0.08</v>
      </c>
      <c r="AF521" s="42"/>
      <c r="AG521" s="40">
        <f>IF((X521*AE521)&lt;0,0,(X521*AE521))</f>
        <v>28756</v>
      </c>
      <c r="AH521" s="65">
        <f t="shared" si="87"/>
        <v>8</v>
      </c>
      <c r="AI521" s="66">
        <f>AH521/X521</f>
        <v>2.2256224787870357E-5</v>
      </c>
      <c r="AJ521" s="66">
        <f t="shared" si="88"/>
        <v>2.2256224787870357E-5</v>
      </c>
      <c r="AK521" s="65">
        <f>AF521*X521</f>
        <v>0</v>
      </c>
      <c r="AL521" s="40">
        <f t="shared" si="83"/>
        <v>8</v>
      </c>
      <c r="AM521" s="242">
        <f t="shared" si="93"/>
        <v>45260</v>
      </c>
      <c r="AN521" s="242" t="str">
        <f>IF(AQ521="x","",IF(AQ521="x",AM521,IF(EOMONTH(I521,0)=31,"",EOMONTH(I521,0))))</f>
        <v/>
      </c>
      <c r="AO521" s="79">
        <f>IFERROR(IF(VLOOKUP(C521,C522:C1122,1,0)=0,1,0),1)</f>
        <v>1</v>
      </c>
      <c r="AP521" s="79"/>
      <c r="AQ521" s="243" t="str">
        <f t="shared" si="89"/>
        <v/>
      </c>
      <c r="AR521" s="242" t="b">
        <f>IF(AQ521="x",EOMONTH(I521,0))</f>
        <v>0</v>
      </c>
      <c r="AS521" s="79">
        <f t="shared" si="84"/>
        <v>1</v>
      </c>
      <c r="AT521" s="79">
        <f t="shared" si="85"/>
        <v>1</v>
      </c>
      <c r="AU521" s="79" t="str">
        <f t="shared" si="86"/>
        <v>B</v>
      </c>
      <c r="AV521" s="79">
        <f t="shared" si="90"/>
        <v>1</v>
      </c>
      <c r="AW521" s="79" t="str">
        <f>J521&amp;AU521</f>
        <v>6B</v>
      </c>
      <c r="AX521" s="79">
        <f>IF(COUNTIFS(J:J,"Integral",E:E,E521,H:H,"Ativo")=4,1/4,1/10)</f>
        <v>0.1</v>
      </c>
      <c r="AY521" s="79" t="s">
        <v>1535</v>
      </c>
      <c r="AZ521" s="79" t="b">
        <v>1</v>
      </c>
    </row>
    <row r="522" spans="1:52" ht="15.75" customHeight="1">
      <c r="A522" s="54">
        <v>546</v>
      </c>
      <c r="B522" s="403">
        <v>45245</v>
      </c>
      <c r="C522" s="32" t="s">
        <v>1653</v>
      </c>
      <c r="D522" s="32" t="s">
        <v>1654</v>
      </c>
      <c r="E522" s="32" t="s">
        <v>1642</v>
      </c>
      <c r="F522" s="32" t="s">
        <v>1655</v>
      </c>
      <c r="G522" s="60" t="s">
        <v>220</v>
      </c>
      <c r="H522" s="33" t="s">
        <v>90</v>
      </c>
      <c r="I522" s="34"/>
      <c r="J522" s="33">
        <v>6</v>
      </c>
      <c r="K522" s="35" t="s">
        <v>1149</v>
      </c>
      <c r="L522" s="35" t="s">
        <v>1149</v>
      </c>
      <c r="M522" s="386" t="s">
        <v>1259</v>
      </c>
      <c r="N522" s="33" t="s">
        <v>68</v>
      </c>
      <c r="O522" s="33" t="s">
        <v>10</v>
      </c>
      <c r="P522" s="33" t="s">
        <v>2</v>
      </c>
      <c r="Q522" s="47"/>
      <c r="R522" s="47"/>
      <c r="S522" s="45" t="s">
        <v>163</v>
      </c>
      <c r="T522" s="45"/>
      <c r="U522" s="37">
        <v>45157</v>
      </c>
      <c r="V522" s="38">
        <f t="shared" si="92"/>
        <v>45245</v>
      </c>
      <c r="W522" s="50">
        <f>V522-U522</f>
        <v>88</v>
      </c>
      <c r="X522" s="261">
        <f>Y522*0.91</f>
        <v>394940</v>
      </c>
      <c r="Y522" s="260">
        <v>434000</v>
      </c>
      <c r="Z522" s="263">
        <v>360000</v>
      </c>
      <c r="AA522" s="56"/>
      <c r="AB522" s="263"/>
      <c r="AC522" s="44">
        <v>0.09</v>
      </c>
      <c r="AD522" s="62">
        <v>2.3199999999999998E-2</v>
      </c>
      <c r="AE522" s="41">
        <f t="shared" si="91"/>
        <v>6.6799999999999998E-2</v>
      </c>
      <c r="AF522" s="42"/>
      <c r="AG522" s="40">
        <f>IF((X522*AE522)&lt;0,0,(X522*AE522))</f>
        <v>26381.991999999998</v>
      </c>
      <c r="AH522" s="65">
        <f t="shared" si="87"/>
        <v>74000</v>
      </c>
      <c r="AI522" s="66">
        <f>AH522/X522</f>
        <v>0.18737023345318277</v>
      </c>
      <c r="AJ522" s="66">
        <f t="shared" si="88"/>
        <v>0.18737023345318277</v>
      </c>
      <c r="AK522" s="65">
        <f>AF522*X522</f>
        <v>0</v>
      </c>
      <c r="AL522" s="40">
        <f t="shared" si="83"/>
        <v>74000</v>
      </c>
      <c r="AM522" s="242">
        <f t="shared" si="93"/>
        <v>45260</v>
      </c>
      <c r="AN522" s="242" t="str">
        <f>IF(AQ522="x","",IF(AQ522="x",AM522,IF(EOMONTH(I522,0)=31,"",EOMONTH(I522,0))))</f>
        <v/>
      </c>
      <c r="AO522" s="79">
        <f>IFERROR(IF(VLOOKUP(C522,C523:C1123,1,0)=0,1,0),1)</f>
        <v>1</v>
      </c>
      <c r="AP522" s="79"/>
      <c r="AQ522" s="243" t="str">
        <f t="shared" si="89"/>
        <v/>
      </c>
      <c r="AR522" s="242" t="b">
        <f>IF(AQ522="x",EOMONTH(I522,0))</f>
        <v>0</v>
      </c>
      <c r="AS522" s="79">
        <f t="shared" si="84"/>
        <v>1</v>
      </c>
      <c r="AT522" s="79">
        <f t="shared" si="85"/>
        <v>1</v>
      </c>
      <c r="AU522" s="79" t="str">
        <f t="shared" si="86"/>
        <v>B</v>
      </c>
      <c r="AV522" s="79">
        <f t="shared" si="90"/>
        <v>1</v>
      </c>
      <c r="AW522" s="79" t="str">
        <f>J522&amp;AU522</f>
        <v>6B</v>
      </c>
      <c r="AX522" s="79">
        <f>IF(COUNTIFS(J:J,"Integral",E:E,E522,H:H,"Ativo")=4,1/4,1/10)</f>
        <v>0.1</v>
      </c>
      <c r="AY522" s="79" t="s">
        <v>1320</v>
      </c>
      <c r="AZ522" s="79" t="b">
        <v>1</v>
      </c>
    </row>
    <row r="523" spans="1:52" ht="15.75" customHeight="1">
      <c r="A523" s="54">
        <v>547</v>
      </c>
      <c r="B523" s="403">
        <v>45245</v>
      </c>
      <c r="C523" s="32" t="s">
        <v>1656</v>
      </c>
      <c r="D523" s="32" t="s">
        <v>1657</v>
      </c>
      <c r="E523" s="32" t="s">
        <v>1642</v>
      </c>
      <c r="F523" s="32" t="s">
        <v>1658</v>
      </c>
      <c r="G523" s="60" t="s">
        <v>220</v>
      </c>
      <c r="H523" s="33" t="s">
        <v>90</v>
      </c>
      <c r="I523" s="34"/>
      <c r="J523" s="33">
        <v>6</v>
      </c>
      <c r="K523" s="35" t="s">
        <v>1026</v>
      </c>
      <c r="L523" s="35" t="s">
        <v>1026</v>
      </c>
      <c r="M523" s="386" t="s">
        <v>1259</v>
      </c>
      <c r="N523" s="33" t="s">
        <v>68</v>
      </c>
      <c r="O523" s="33" t="s">
        <v>1235</v>
      </c>
      <c r="P523" s="33" t="s">
        <v>1</v>
      </c>
      <c r="Q523" s="47"/>
      <c r="R523" s="47"/>
      <c r="S523" s="45" t="s">
        <v>145</v>
      </c>
      <c r="T523" s="45"/>
      <c r="U523" s="37">
        <v>45043</v>
      </c>
      <c r="V523" s="38">
        <f t="shared" si="92"/>
        <v>45245</v>
      </c>
      <c r="W523" s="50">
        <f>V523-U523</f>
        <v>202</v>
      </c>
      <c r="X523" s="261">
        <f>Y523*0.91</f>
        <v>394940</v>
      </c>
      <c r="Y523" s="260">
        <v>434000</v>
      </c>
      <c r="Z523" s="263">
        <v>425800</v>
      </c>
      <c r="AA523" s="56"/>
      <c r="AB523" s="263"/>
      <c r="AC523" s="44">
        <v>0.09</v>
      </c>
      <c r="AD523" s="62">
        <v>3.0099999999999998E-2</v>
      </c>
      <c r="AE523" s="41">
        <f t="shared" si="91"/>
        <v>5.9899999999999995E-2</v>
      </c>
      <c r="AF523" s="42"/>
      <c r="AG523" s="40">
        <f>IF((X523*AE523)&lt;0,0,(X523*AE523))</f>
        <v>23656.905999999999</v>
      </c>
      <c r="AH523" s="65">
        <f t="shared" si="87"/>
        <v>8200</v>
      </c>
      <c r="AI523" s="66">
        <f>AH523/X523</f>
        <v>2.0762647490758089E-2</v>
      </c>
      <c r="AJ523" s="66">
        <f t="shared" si="88"/>
        <v>2.0762647490758089E-2</v>
      </c>
      <c r="AK523" s="65">
        <f>AF523*X523</f>
        <v>0</v>
      </c>
      <c r="AL523" s="40">
        <f t="shared" si="83"/>
        <v>8200</v>
      </c>
      <c r="AM523" s="242">
        <f t="shared" si="93"/>
        <v>45260</v>
      </c>
      <c r="AN523" s="242" t="str">
        <f>IF(AQ523="x","",IF(AQ523="x",AM523,IF(EOMONTH(I523,0)=31,"",EOMONTH(I523,0))))</f>
        <v/>
      </c>
      <c r="AO523" s="79">
        <f>IFERROR(IF(VLOOKUP(C523,C524:C1124,1,0)=0,1,0),1)</f>
        <v>1</v>
      </c>
      <c r="AP523" s="79"/>
      <c r="AQ523" s="243" t="str">
        <f t="shared" si="89"/>
        <v/>
      </c>
      <c r="AR523" s="242" t="b">
        <f>IF(AQ523="x",EOMONTH(I523,0))</f>
        <v>0</v>
      </c>
      <c r="AS523" s="79">
        <f t="shared" si="84"/>
        <v>1</v>
      </c>
      <c r="AT523" s="79">
        <f t="shared" si="85"/>
        <v>1</v>
      </c>
      <c r="AU523" s="79" t="str">
        <f t="shared" si="86"/>
        <v>B</v>
      </c>
      <c r="AV523" s="79">
        <f t="shared" si="90"/>
        <v>1</v>
      </c>
      <c r="AW523" s="79" t="str">
        <f>J523&amp;AU523</f>
        <v>6B</v>
      </c>
      <c r="AX523" s="79">
        <f>IF(COUNTIFS(J:J,"Integral",E:E,E523,H:H,"Ativo")=4,1/4,1/10)</f>
        <v>0.1</v>
      </c>
      <c r="AY523" s="79" t="s">
        <v>1320</v>
      </c>
      <c r="AZ523" s="79" t="b">
        <v>1</v>
      </c>
    </row>
    <row r="524" spans="1:52" ht="15.75" customHeight="1">
      <c r="A524" s="54">
        <v>548</v>
      </c>
      <c r="B524" s="403">
        <v>45245</v>
      </c>
      <c r="C524" s="32" t="s">
        <v>1659</v>
      </c>
      <c r="D524" s="32" t="s">
        <v>1660</v>
      </c>
      <c r="E524" s="32" t="s">
        <v>1642</v>
      </c>
      <c r="F524" s="32" t="s">
        <v>1661</v>
      </c>
      <c r="G524" s="60" t="s">
        <v>220</v>
      </c>
      <c r="H524" s="33" t="s">
        <v>90</v>
      </c>
      <c r="I524" s="34"/>
      <c r="J524" s="33">
        <v>6</v>
      </c>
      <c r="K524" s="35" t="s">
        <v>981</v>
      </c>
      <c r="L524" s="35" t="s">
        <v>981</v>
      </c>
      <c r="M524" s="386" t="s">
        <v>1259</v>
      </c>
      <c r="N524" s="33" t="s">
        <v>68</v>
      </c>
      <c r="O524" s="33" t="s">
        <v>10</v>
      </c>
      <c r="P524" s="33" t="s">
        <v>2</v>
      </c>
      <c r="Q524" s="47"/>
      <c r="R524" s="47"/>
      <c r="S524" s="45" t="s">
        <v>143</v>
      </c>
      <c r="T524" s="45"/>
      <c r="U524" s="37">
        <v>45083</v>
      </c>
      <c r="V524" s="38">
        <f t="shared" si="92"/>
        <v>45245</v>
      </c>
      <c r="W524" s="50">
        <f>V524-U524</f>
        <v>162</v>
      </c>
      <c r="X524" s="261">
        <f>Y524*0.91</f>
        <v>394940</v>
      </c>
      <c r="Y524" s="260">
        <v>434000</v>
      </c>
      <c r="Z524" s="263">
        <v>339570</v>
      </c>
      <c r="AA524" s="56"/>
      <c r="AB524" s="263"/>
      <c r="AC524" s="44">
        <v>7.0000000000000007E-2</v>
      </c>
      <c r="AD524" s="62">
        <v>7.0000000000000001E-3</v>
      </c>
      <c r="AE524" s="41">
        <f t="shared" si="91"/>
        <v>6.3E-2</v>
      </c>
      <c r="AF524" s="42"/>
      <c r="AG524" s="40">
        <f>IF((X524*AE524)&lt;0,0,(X524*AE524))</f>
        <v>24881.22</v>
      </c>
      <c r="AH524" s="65">
        <f t="shared" si="87"/>
        <v>94430</v>
      </c>
      <c r="AI524" s="66">
        <f>AH524/X524</f>
        <v>0.239099610067352</v>
      </c>
      <c r="AJ524" s="66">
        <f t="shared" si="88"/>
        <v>0.239099610067352</v>
      </c>
      <c r="AK524" s="65">
        <f>AF524*X524</f>
        <v>0</v>
      </c>
      <c r="AL524" s="40">
        <f t="shared" si="83"/>
        <v>94430</v>
      </c>
      <c r="AM524" s="242">
        <f t="shared" si="93"/>
        <v>45260</v>
      </c>
      <c r="AN524" s="242" t="str">
        <f>IF(AQ524="x","",IF(AQ524="x",AM524,IF(EOMONTH(I524,0)=31,"",EOMONTH(I524,0))))</f>
        <v/>
      </c>
      <c r="AO524" s="79">
        <f>IFERROR(IF(VLOOKUP(C524,C525:C1125,1,0)=0,1,0),1)</f>
        <v>0</v>
      </c>
      <c r="AP524" s="79"/>
      <c r="AQ524" s="243" t="str">
        <f t="shared" si="89"/>
        <v/>
      </c>
      <c r="AR524" s="242" t="b">
        <f>IF(AQ524="x",EOMONTH(I524,0))</f>
        <v>0</v>
      </c>
      <c r="AS524" s="79">
        <f t="shared" si="84"/>
        <v>1</v>
      </c>
      <c r="AT524" s="79">
        <f t="shared" si="85"/>
        <v>1</v>
      </c>
      <c r="AU524" s="79" t="str">
        <f t="shared" si="86"/>
        <v>B</v>
      </c>
      <c r="AV524" s="79">
        <f t="shared" si="90"/>
        <v>1</v>
      </c>
      <c r="AW524" s="79" t="str">
        <f>J524&amp;AU524</f>
        <v>6B</v>
      </c>
      <c r="AX524" s="79">
        <f>IF(COUNTIFS(J:J,"Integral",E:E,E524,H:H,"Ativo")=4,1/4,1/10)</f>
        <v>0.1</v>
      </c>
      <c r="AY524" s="79" t="s">
        <v>1332</v>
      </c>
      <c r="AZ524" s="79" t="b">
        <v>1</v>
      </c>
    </row>
    <row r="525" spans="1:52" ht="15.75" customHeight="1">
      <c r="A525" s="54">
        <v>549</v>
      </c>
      <c r="B525" s="403">
        <v>45245</v>
      </c>
      <c r="C525" s="32" t="s">
        <v>1659</v>
      </c>
      <c r="D525" s="32" t="s">
        <v>1662</v>
      </c>
      <c r="E525" s="32" t="s">
        <v>1642</v>
      </c>
      <c r="F525" s="32" t="s">
        <v>1663</v>
      </c>
      <c r="G525" s="60" t="s">
        <v>220</v>
      </c>
      <c r="H525" s="33" t="s">
        <v>90</v>
      </c>
      <c r="I525" s="34"/>
      <c r="J525" s="33">
        <v>6</v>
      </c>
      <c r="K525" s="35" t="s">
        <v>981</v>
      </c>
      <c r="L525" s="35" t="s">
        <v>981</v>
      </c>
      <c r="M525" s="386" t="s">
        <v>1259</v>
      </c>
      <c r="N525" s="33" t="s">
        <v>68</v>
      </c>
      <c r="O525" s="33" t="s">
        <v>10</v>
      </c>
      <c r="P525" s="33" t="s">
        <v>2</v>
      </c>
      <c r="Q525" s="47"/>
      <c r="R525" s="47"/>
      <c r="S525" s="45" t="s">
        <v>143</v>
      </c>
      <c r="T525" s="45"/>
      <c r="U525" s="37">
        <v>45083</v>
      </c>
      <c r="V525" s="38">
        <f t="shared" si="92"/>
        <v>45245</v>
      </c>
      <c r="W525" s="50">
        <f>V525-U525</f>
        <v>162</v>
      </c>
      <c r="X525" s="261">
        <f>Y525*0.91</f>
        <v>394940</v>
      </c>
      <c r="Y525" s="260">
        <v>434000</v>
      </c>
      <c r="Z525" s="263">
        <v>339570</v>
      </c>
      <c r="AA525" s="56"/>
      <c r="AB525" s="263"/>
      <c r="AC525" s="44">
        <v>7.0000000000000007E-2</v>
      </c>
      <c r="AD525" s="62">
        <v>7.0000000000000001E-3</v>
      </c>
      <c r="AE525" s="41">
        <f t="shared" si="91"/>
        <v>6.3E-2</v>
      </c>
      <c r="AF525" s="42"/>
      <c r="AG525" s="40">
        <f>IF((X525*AE525)&lt;0,0,(X525*AE525))</f>
        <v>24881.22</v>
      </c>
      <c r="AH525" s="65">
        <f t="shared" si="87"/>
        <v>94430</v>
      </c>
      <c r="AI525" s="66">
        <f>AH525/X525</f>
        <v>0.239099610067352</v>
      </c>
      <c r="AJ525" s="66">
        <f t="shared" si="88"/>
        <v>0.239099610067352</v>
      </c>
      <c r="AK525" s="65">
        <f>AF525*X525</f>
        <v>0</v>
      </c>
      <c r="AL525" s="40">
        <f t="shared" si="83"/>
        <v>94430</v>
      </c>
      <c r="AM525" s="242">
        <f t="shared" si="93"/>
        <v>45260</v>
      </c>
      <c r="AN525" s="242" t="str">
        <f>IF(AQ525="x","",IF(AQ525="x",AM525,IF(EOMONTH(I525,0)=31,"",EOMONTH(I525,0))))</f>
        <v/>
      </c>
      <c r="AO525" s="79">
        <f>IFERROR(IF(VLOOKUP(C525,C526:C1126,1,0)=0,1,0),1)</f>
        <v>1</v>
      </c>
      <c r="AP525" s="79"/>
      <c r="AQ525" s="243" t="str">
        <f t="shared" si="89"/>
        <v/>
      </c>
      <c r="AR525" s="242" t="b">
        <f>IF(AQ525="x",EOMONTH(I525,0))</f>
        <v>0</v>
      </c>
      <c r="AS525" s="79">
        <f t="shared" si="84"/>
        <v>1</v>
      </c>
      <c r="AT525" s="79">
        <f t="shared" si="85"/>
        <v>1</v>
      </c>
      <c r="AU525" s="79" t="str">
        <f t="shared" si="86"/>
        <v>B</v>
      </c>
      <c r="AV525" s="79">
        <f t="shared" si="90"/>
        <v>1</v>
      </c>
      <c r="AW525" s="79" t="str">
        <f>J525&amp;AU525</f>
        <v>6B</v>
      </c>
      <c r="AX525" s="79">
        <f>IF(COUNTIFS(J:J,"Integral",E:E,E525,H:H,"Ativo")=4,1/4,1/10)</f>
        <v>0.1</v>
      </c>
      <c r="AY525" s="79" t="s">
        <v>1332</v>
      </c>
      <c r="AZ525" s="79" t="b">
        <v>1</v>
      </c>
    </row>
    <row r="526" spans="1:52" ht="15.75" customHeight="1">
      <c r="A526" s="54">
        <v>550</v>
      </c>
      <c r="B526" s="403">
        <v>45245</v>
      </c>
      <c r="C526" s="32" t="s">
        <v>1664</v>
      </c>
      <c r="D526" s="32" t="s">
        <v>1665</v>
      </c>
      <c r="E526" s="32" t="s">
        <v>807</v>
      </c>
      <c r="F526" s="32" t="s">
        <v>1666</v>
      </c>
      <c r="G526" s="60" t="s">
        <v>220</v>
      </c>
      <c r="H526" s="33" t="s">
        <v>90</v>
      </c>
      <c r="I526" s="34"/>
      <c r="J526" s="33">
        <v>6</v>
      </c>
      <c r="K526" s="35" t="s">
        <v>1512</v>
      </c>
      <c r="L526" s="35" t="s">
        <v>1512</v>
      </c>
      <c r="M526" s="386" t="s">
        <v>1259</v>
      </c>
      <c r="N526" s="33" t="s">
        <v>68</v>
      </c>
      <c r="O526" s="33" t="s">
        <v>1235</v>
      </c>
      <c r="P526" s="33" t="s">
        <v>1</v>
      </c>
      <c r="Q526" s="47"/>
      <c r="R526" s="47"/>
      <c r="S526" s="45" t="s">
        <v>163</v>
      </c>
      <c r="T526" s="45"/>
      <c r="U526" s="37">
        <v>45190</v>
      </c>
      <c r="V526" s="38">
        <f t="shared" si="92"/>
        <v>45245</v>
      </c>
      <c r="W526" s="50">
        <f>V526-U526</f>
        <v>55</v>
      </c>
      <c r="X526" s="261">
        <f>Y526*0.91</f>
        <v>359450</v>
      </c>
      <c r="Y526" s="260">
        <v>395000</v>
      </c>
      <c r="Z526" s="263">
        <v>344000</v>
      </c>
      <c r="AA526" s="56"/>
      <c r="AB526" s="263"/>
      <c r="AC526" s="44">
        <v>0.09</v>
      </c>
      <c r="AD526" s="62">
        <v>0.11990000000000001</v>
      </c>
      <c r="AE526" s="41">
        <f t="shared" si="91"/>
        <v>-2.990000000000001E-2</v>
      </c>
      <c r="AF526" s="42">
        <v>2.9899999999999999E-2</v>
      </c>
      <c r="AG526" s="40">
        <f>IF((X526*AE526)&lt;0,0,(X526*AE526))</f>
        <v>0</v>
      </c>
      <c r="AH526" s="65">
        <f t="shared" si="87"/>
        <v>51000</v>
      </c>
      <c r="AI526" s="66">
        <f>AH526/X526</f>
        <v>0.14188343302267353</v>
      </c>
      <c r="AJ526" s="66">
        <f t="shared" si="88"/>
        <v>0.11198343302267354</v>
      </c>
      <c r="AK526" s="65">
        <f>AF526*X526</f>
        <v>10747.555</v>
      </c>
      <c r="AL526" s="40">
        <f t="shared" si="83"/>
        <v>40252.445</v>
      </c>
      <c r="AM526" s="242">
        <f t="shared" si="93"/>
        <v>45260</v>
      </c>
      <c r="AN526" s="242" t="str">
        <f>IF(AQ526="x","",IF(AQ526="x",AM526,IF(EOMONTH(I526,0)=31,"",EOMONTH(I526,0))))</f>
        <v/>
      </c>
      <c r="AO526" s="79">
        <f>IFERROR(IF(VLOOKUP(C526,C527:C1127,1,0)=0,1,0),1)</f>
        <v>1</v>
      </c>
      <c r="AP526" s="79"/>
      <c r="AQ526" s="243" t="str">
        <f t="shared" si="89"/>
        <v/>
      </c>
      <c r="AR526" s="242" t="b">
        <f>IF(AQ526="x",EOMONTH(I526,0))</f>
        <v>0</v>
      </c>
      <c r="AS526" s="79">
        <f t="shared" si="84"/>
        <v>1</v>
      </c>
      <c r="AT526" s="79">
        <f t="shared" si="85"/>
        <v>1</v>
      </c>
      <c r="AU526" s="79" t="str">
        <f t="shared" si="86"/>
        <v>B</v>
      </c>
      <c r="AV526" s="79">
        <f t="shared" si="90"/>
        <v>1</v>
      </c>
      <c r="AW526" s="79" t="str">
        <f>J526&amp;AU526</f>
        <v>6B</v>
      </c>
      <c r="AX526" s="79">
        <f>IF(COUNTIFS(J:J,"Integral",E:E,E526,H:H,"Ativo")=4,1/4,1/10)</f>
        <v>0.1</v>
      </c>
      <c r="AY526" s="79" t="s">
        <v>1320</v>
      </c>
      <c r="AZ526" s="79" t="b">
        <v>1</v>
      </c>
    </row>
    <row r="527" spans="1:52" ht="15.75" customHeight="1">
      <c r="A527" s="54">
        <v>551</v>
      </c>
      <c r="B527" s="403">
        <v>45246</v>
      </c>
      <c r="C527" s="32" t="s">
        <v>1667</v>
      </c>
      <c r="D527" s="32" t="s">
        <v>1668</v>
      </c>
      <c r="E527" s="32" t="s">
        <v>1669</v>
      </c>
      <c r="F527" s="32" t="s">
        <v>1670</v>
      </c>
      <c r="G527" s="60" t="s">
        <v>220</v>
      </c>
      <c r="H527" s="33" t="s">
        <v>90</v>
      </c>
      <c r="I527" s="34"/>
      <c r="J527" s="33">
        <v>6</v>
      </c>
      <c r="K527" s="35" t="s">
        <v>289</v>
      </c>
      <c r="L527" s="35" t="s">
        <v>289</v>
      </c>
      <c r="M527" s="386" t="s">
        <v>246</v>
      </c>
      <c r="N527" s="33" t="s">
        <v>68</v>
      </c>
      <c r="O527" s="33" t="s">
        <v>1235</v>
      </c>
      <c r="P527" s="33" t="s">
        <v>1</v>
      </c>
      <c r="Q527" s="47"/>
      <c r="R527" s="47"/>
      <c r="S527" s="45" t="s">
        <v>144</v>
      </c>
      <c r="T527" s="45"/>
      <c r="U527" s="37">
        <v>45245</v>
      </c>
      <c r="V527" s="38">
        <f t="shared" si="92"/>
        <v>45246</v>
      </c>
      <c r="W527" s="50">
        <f>V527-U527</f>
        <v>1</v>
      </c>
      <c r="X527" s="261">
        <f>Y527*0.91</f>
        <v>394940</v>
      </c>
      <c r="Y527" s="260">
        <v>434000</v>
      </c>
      <c r="Z527" s="263">
        <v>285000</v>
      </c>
      <c r="AA527" s="56" t="s">
        <v>1671</v>
      </c>
      <c r="AB527" s="263"/>
      <c r="AC527" s="44">
        <v>7.0000000000000007E-2</v>
      </c>
      <c r="AD527" s="62">
        <v>0.17519999999999999</v>
      </c>
      <c r="AE527" s="41">
        <f t="shared" si="91"/>
        <v>-0.10519999999999999</v>
      </c>
      <c r="AF527" s="42">
        <v>0.1052</v>
      </c>
      <c r="AG527" s="40">
        <f>IF((X527*AE527)&lt;0,0,(X527*AE527))</f>
        <v>0</v>
      </c>
      <c r="AH527" s="65">
        <f t="shared" si="87"/>
        <v>149000</v>
      </c>
      <c r="AI527" s="66">
        <f>AH527/X527</f>
        <v>0.37727249708816529</v>
      </c>
      <c r="AJ527" s="66">
        <f t="shared" si="88"/>
        <v>0.27207249708816528</v>
      </c>
      <c r="AK527" s="65">
        <f>AF527*X527</f>
        <v>41547.688000000002</v>
      </c>
      <c r="AL527" s="40">
        <f t="shared" si="83"/>
        <v>107452.31200000001</v>
      </c>
      <c r="AM527" s="242">
        <f t="shared" si="93"/>
        <v>45260</v>
      </c>
      <c r="AN527" s="242" t="str">
        <f>IF(AQ527="x","",IF(AQ527="x",AM527,IF(EOMONTH(I527,0)=31,"",EOMONTH(I527,0))))</f>
        <v/>
      </c>
      <c r="AO527" s="79">
        <f>IFERROR(IF(VLOOKUP(C527,C528:C1128,1,0)=0,1,0),1)</f>
        <v>0</v>
      </c>
      <c r="AP527" s="79"/>
      <c r="AQ527" s="243" t="str">
        <f t="shared" si="89"/>
        <v/>
      </c>
      <c r="AR527" s="242" t="b">
        <f>IF(AQ527="x",EOMONTH(I527,0))</f>
        <v>0</v>
      </c>
      <c r="AS527" s="79">
        <f t="shared" si="84"/>
        <v>1</v>
      </c>
      <c r="AT527" s="79">
        <f t="shared" si="85"/>
        <v>1</v>
      </c>
      <c r="AU527" s="79" t="str">
        <f t="shared" si="86"/>
        <v>B</v>
      </c>
      <c r="AV527" s="79">
        <f t="shared" si="90"/>
        <v>1</v>
      </c>
      <c r="AW527" s="79" t="str">
        <f>J527&amp;AU527</f>
        <v>6B</v>
      </c>
      <c r="AX527" s="79">
        <f>IF(COUNTIFS(J:J,"Integral",E:E,E527,H:H,"Ativo")=4,1/4,1/10)</f>
        <v>0.1</v>
      </c>
      <c r="AY527" s="79" t="s">
        <v>1320</v>
      </c>
      <c r="AZ527" s="79" t="b">
        <v>1</v>
      </c>
    </row>
    <row r="528" spans="1:52" ht="15.75" customHeight="1">
      <c r="A528" s="54">
        <v>552</v>
      </c>
      <c r="B528" s="403">
        <v>45246</v>
      </c>
      <c r="C528" s="32" t="s">
        <v>1667</v>
      </c>
      <c r="D528" s="32" t="s">
        <v>1672</v>
      </c>
      <c r="E528" s="32" t="s">
        <v>1669</v>
      </c>
      <c r="F528" s="32" t="s">
        <v>1673</v>
      </c>
      <c r="G528" s="60" t="s">
        <v>220</v>
      </c>
      <c r="H528" s="33" t="s">
        <v>90</v>
      </c>
      <c r="I528" s="34"/>
      <c r="J528" s="33">
        <v>6</v>
      </c>
      <c r="K528" s="35" t="s">
        <v>289</v>
      </c>
      <c r="L528" s="35" t="s">
        <v>289</v>
      </c>
      <c r="M528" s="386" t="s">
        <v>246</v>
      </c>
      <c r="N528" s="33" t="s">
        <v>68</v>
      </c>
      <c r="O528" s="33" t="s">
        <v>1235</v>
      </c>
      <c r="P528" s="33" t="s">
        <v>1</v>
      </c>
      <c r="Q528" s="47"/>
      <c r="R528" s="47"/>
      <c r="S528" s="45" t="s">
        <v>144</v>
      </c>
      <c r="T528" s="45"/>
      <c r="U528" s="37">
        <v>45245</v>
      </c>
      <c r="V528" s="38">
        <f t="shared" si="92"/>
        <v>45246</v>
      </c>
      <c r="W528" s="50">
        <f>V528-U528</f>
        <v>1</v>
      </c>
      <c r="X528" s="261">
        <f>Y528*0.91</f>
        <v>394940</v>
      </c>
      <c r="Y528" s="260">
        <v>434000</v>
      </c>
      <c r="Z528" s="263">
        <v>285000</v>
      </c>
      <c r="AA528" s="56" t="s">
        <v>1671</v>
      </c>
      <c r="AB528" s="263"/>
      <c r="AC528" s="44">
        <v>7.0000000000000007E-2</v>
      </c>
      <c r="AD528" s="62">
        <v>0.17519999999999999</v>
      </c>
      <c r="AE528" s="41">
        <f t="shared" si="91"/>
        <v>-0.10519999999999999</v>
      </c>
      <c r="AF528" s="42">
        <v>0.1052</v>
      </c>
      <c r="AG528" s="40">
        <f>IF((X528*AE528)&lt;0,0,(X528*AE528))</f>
        <v>0</v>
      </c>
      <c r="AH528" s="65">
        <f t="shared" si="87"/>
        <v>149000</v>
      </c>
      <c r="AI528" s="66">
        <f>AH528/X528</f>
        <v>0.37727249708816529</v>
      </c>
      <c r="AJ528" s="66">
        <f t="shared" si="88"/>
        <v>0.27207249708816528</v>
      </c>
      <c r="AK528" s="65">
        <f>AF528*X528</f>
        <v>41547.688000000002</v>
      </c>
      <c r="AL528" s="40">
        <f t="shared" si="83"/>
        <v>107452.31200000001</v>
      </c>
      <c r="AM528" s="242">
        <f t="shared" si="93"/>
        <v>45260</v>
      </c>
      <c r="AN528" s="242" t="str">
        <f>IF(AQ528="x","",IF(AQ528="x",AM528,IF(EOMONTH(I528,0)=31,"",EOMONTH(I528,0))))</f>
        <v/>
      </c>
      <c r="AO528" s="350">
        <v>1</v>
      </c>
      <c r="AP528" s="350"/>
      <c r="AQ528" s="243" t="str">
        <f t="shared" si="89"/>
        <v/>
      </c>
      <c r="AR528" s="242" t="b">
        <f>IF(AQ528="x",EOMONTH(I528,0))</f>
        <v>0</v>
      </c>
      <c r="AS528" s="79">
        <f t="shared" si="84"/>
        <v>1</v>
      </c>
      <c r="AT528" s="79">
        <f t="shared" si="85"/>
        <v>1</v>
      </c>
      <c r="AU528" s="79" t="str">
        <f t="shared" si="86"/>
        <v>B</v>
      </c>
      <c r="AV528" s="79">
        <f t="shared" si="90"/>
        <v>1</v>
      </c>
      <c r="AW528" s="79" t="str">
        <f>J528&amp;AU528</f>
        <v>6B</v>
      </c>
      <c r="AX528" s="79">
        <f>IF(COUNTIFS(J:J,"Integral",E:E,E528,H:H,"Ativo")=4,1/4,1/10)</f>
        <v>0.1</v>
      </c>
      <c r="AY528" s="79" t="s">
        <v>1320</v>
      </c>
      <c r="AZ528" s="79" t="b">
        <v>1</v>
      </c>
    </row>
    <row r="529" spans="1:52" ht="15.75" customHeight="1">
      <c r="A529" s="54">
        <v>553</v>
      </c>
      <c r="B529" s="403">
        <v>45247</v>
      </c>
      <c r="C529" s="32" t="s">
        <v>1674</v>
      </c>
      <c r="D529" s="32" t="s">
        <v>1675</v>
      </c>
      <c r="E529" s="32" t="s">
        <v>1669</v>
      </c>
      <c r="F529" s="32" t="s">
        <v>1676</v>
      </c>
      <c r="G529" s="60" t="s">
        <v>220</v>
      </c>
      <c r="H529" s="33" t="s">
        <v>90</v>
      </c>
      <c r="I529" s="34"/>
      <c r="J529" s="33">
        <v>6</v>
      </c>
      <c r="K529" s="35" t="s">
        <v>1149</v>
      </c>
      <c r="L529" s="35" t="s">
        <v>1149</v>
      </c>
      <c r="M529" s="386" t="s">
        <v>1259</v>
      </c>
      <c r="N529" s="33" t="s">
        <v>68</v>
      </c>
      <c r="O529" s="33" t="s">
        <v>1235</v>
      </c>
      <c r="P529" s="33" t="s">
        <v>2</v>
      </c>
      <c r="Q529" s="47"/>
      <c r="R529" s="47"/>
      <c r="S529" s="45" t="s">
        <v>145</v>
      </c>
      <c r="T529" s="45"/>
      <c r="U529" s="37">
        <v>45246</v>
      </c>
      <c r="V529" s="38">
        <f t="shared" si="92"/>
        <v>45247</v>
      </c>
      <c r="W529" s="50">
        <f>V529-U529</f>
        <v>1</v>
      </c>
      <c r="X529" s="261">
        <f>Y529*0.91</f>
        <v>394940</v>
      </c>
      <c r="Y529" s="260">
        <v>434000</v>
      </c>
      <c r="Z529" s="263">
        <v>428796</v>
      </c>
      <c r="AA529" s="56"/>
      <c r="AB529" s="263"/>
      <c r="AC529" s="44">
        <v>0.09</v>
      </c>
      <c r="AD529" s="62">
        <v>4.7100000000000003E-2</v>
      </c>
      <c r="AE529" s="41">
        <f t="shared" si="91"/>
        <v>4.2899999999999994E-2</v>
      </c>
      <c r="AF529" s="42"/>
      <c r="AG529" s="40">
        <f>IF((X529*AE529)&lt;0,0,(X529*AE529))</f>
        <v>16942.925999999996</v>
      </c>
      <c r="AH529" s="65">
        <f t="shared" si="87"/>
        <v>5204</v>
      </c>
      <c r="AI529" s="66">
        <f>AH529/X529</f>
        <v>1.3176685066085988E-2</v>
      </c>
      <c r="AJ529" s="66">
        <f t="shared" si="88"/>
        <v>1.3176685066085988E-2</v>
      </c>
      <c r="AK529" s="65">
        <f>AF529*X529</f>
        <v>0</v>
      </c>
      <c r="AL529" s="40">
        <f t="shared" si="83"/>
        <v>5204</v>
      </c>
      <c r="AM529" s="242">
        <f t="shared" si="93"/>
        <v>45260</v>
      </c>
      <c r="AN529" s="242" t="str">
        <f>IF(AQ529="x","",IF(AQ529="x",AM529,IF(EOMONTH(I529,0)=31,"",EOMONTH(I529,0))))</f>
        <v/>
      </c>
      <c r="AO529" s="79">
        <f>IFERROR(IF(VLOOKUP(C529,C530:C1130,1,0)=0,1,0),1)</f>
        <v>1</v>
      </c>
      <c r="AP529" s="79"/>
      <c r="AQ529" s="243" t="str">
        <f t="shared" si="89"/>
        <v/>
      </c>
      <c r="AR529" s="242" t="b">
        <f>IF(AQ529="x",EOMONTH(I529,0))</f>
        <v>0</v>
      </c>
      <c r="AS529" s="79">
        <f t="shared" si="84"/>
        <v>1</v>
      </c>
      <c r="AT529" s="79">
        <f t="shared" si="85"/>
        <v>1</v>
      </c>
      <c r="AU529" s="79" t="str">
        <f t="shared" si="86"/>
        <v>B</v>
      </c>
      <c r="AV529" s="79">
        <f t="shared" si="90"/>
        <v>1</v>
      </c>
      <c r="AW529" s="79" t="str">
        <f>J529&amp;AU529</f>
        <v>6B</v>
      </c>
      <c r="AX529" s="79">
        <f>IF(COUNTIFS(J:J,"Integral",E:E,E529,H:H,"Ativo")=4,1/4,1/10)</f>
        <v>0.1</v>
      </c>
      <c r="AY529" s="79" t="s">
        <v>1535</v>
      </c>
      <c r="AZ529" s="79" t="b">
        <v>1</v>
      </c>
    </row>
    <row r="530" spans="1:52" ht="16.5" customHeight="1">
      <c r="A530" s="54">
        <v>554</v>
      </c>
      <c r="B530" s="403">
        <v>45246</v>
      </c>
      <c r="C530" s="32" t="s">
        <v>1677</v>
      </c>
      <c r="D530" s="32" t="s">
        <v>1678</v>
      </c>
      <c r="E530" s="32" t="s">
        <v>1642</v>
      </c>
      <c r="F530" s="32" t="s">
        <v>1679</v>
      </c>
      <c r="G530" s="60" t="s">
        <v>220</v>
      </c>
      <c r="H530" s="33" t="s">
        <v>90</v>
      </c>
      <c r="I530" s="34"/>
      <c r="J530" s="33">
        <v>6</v>
      </c>
      <c r="K530" s="35" t="s">
        <v>1460</v>
      </c>
      <c r="L530" s="35" t="s">
        <v>1403</v>
      </c>
      <c r="M530" s="386" t="s">
        <v>1259</v>
      </c>
      <c r="N530" s="33" t="s">
        <v>68</v>
      </c>
      <c r="O530" s="33" t="s">
        <v>1235</v>
      </c>
      <c r="P530" s="33" t="s">
        <v>1</v>
      </c>
      <c r="Q530" s="47"/>
      <c r="R530" s="47"/>
      <c r="S530" s="45" t="s">
        <v>145</v>
      </c>
      <c r="T530" s="45"/>
      <c r="U530" s="68">
        <v>45245</v>
      </c>
      <c r="V530" s="48">
        <f t="shared" si="92"/>
        <v>45246</v>
      </c>
      <c r="W530" s="50">
        <f>V530-U530</f>
        <v>1</v>
      </c>
      <c r="X530" s="261">
        <f>Y530*0.91</f>
        <v>394940</v>
      </c>
      <c r="Y530" s="260">
        <v>434000</v>
      </c>
      <c r="Z530" s="263">
        <v>434000</v>
      </c>
      <c r="AA530" s="56" t="s">
        <v>1671</v>
      </c>
      <c r="AB530" s="263"/>
      <c r="AC530" s="44">
        <v>0.09</v>
      </c>
      <c r="AD530" s="62">
        <v>2.2000000000000001E-3</v>
      </c>
      <c r="AE530" s="41">
        <f t="shared" ref="AE530:AE561" si="94">AC530-AD530</f>
        <v>8.7800000000000003E-2</v>
      </c>
      <c r="AF530" s="42"/>
      <c r="AG530" s="40">
        <f>IF((X530*AE530)&lt;0,0,(X530*AE530))</f>
        <v>34675.732000000004</v>
      </c>
      <c r="AH530" s="65">
        <f t="shared" si="87"/>
        <v>0</v>
      </c>
      <c r="AI530" s="66">
        <f>AH530/X530</f>
        <v>0</v>
      </c>
      <c r="AJ530" s="66">
        <f t="shared" si="88"/>
        <v>0</v>
      </c>
      <c r="AK530" s="65">
        <f>AF530*X530</f>
        <v>0</v>
      </c>
      <c r="AL530" s="40">
        <f t="shared" si="83"/>
        <v>0</v>
      </c>
      <c r="AM530" s="242">
        <f t="shared" si="93"/>
        <v>45260</v>
      </c>
      <c r="AN530" s="242" t="str">
        <f>IF(AQ530="x","",IF(AQ530="x",AM530,IF(EOMONTH(I530,0)=31,"",EOMONTH(I530,0))))</f>
        <v/>
      </c>
      <c r="AO530" s="79">
        <f>IFERROR(IF(VLOOKUP(C530,C531:C1131,1,0)=0,1,0),1)</f>
        <v>1</v>
      </c>
      <c r="AP530" s="79"/>
      <c r="AQ530" s="243" t="str">
        <f t="shared" si="89"/>
        <v/>
      </c>
      <c r="AR530" s="242" t="b">
        <f>IF(AQ530="x",EOMONTH(I530,0))</f>
        <v>0</v>
      </c>
      <c r="AS530" s="79">
        <f t="shared" si="84"/>
        <v>1</v>
      </c>
      <c r="AT530" s="79">
        <f t="shared" si="85"/>
        <v>1</v>
      </c>
      <c r="AU530" s="79" t="str">
        <f t="shared" si="86"/>
        <v>B</v>
      </c>
      <c r="AV530" s="79">
        <f t="shared" si="90"/>
        <v>1</v>
      </c>
      <c r="AW530" s="79" t="str">
        <f>J530&amp;AU530</f>
        <v>6B</v>
      </c>
      <c r="AX530" s="79">
        <f>IF(COUNTIFS(J:J,"Integral",E:E,E530,H:H,"Ativo")=4,1/4,1/10)</f>
        <v>0.1</v>
      </c>
      <c r="AY530" s="79" t="s">
        <v>1320</v>
      </c>
      <c r="AZ530" s="79" t="b">
        <v>1</v>
      </c>
    </row>
    <row r="531" spans="1:52" ht="15.75" customHeight="1">
      <c r="A531" s="54">
        <v>555</v>
      </c>
      <c r="B531" s="403">
        <v>45248</v>
      </c>
      <c r="C531" s="32" t="s">
        <v>1680</v>
      </c>
      <c r="D531" s="32" t="s">
        <v>389</v>
      </c>
      <c r="E531" s="32" t="s">
        <v>385</v>
      </c>
      <c r="F531" s="32" t="s">
        <v>1681</v>
      </c>
      <c r="G531" s="60" t="s">
        <v>220</v>
      </c>
      <c r="H531" s="33" t="s">
        <v>244</v>
      </c>
      <c r="I531" s="34">
        <v>45258</v>
      </c>
      <c r="J531" s="33">
        <v>6</v>
      </c>
      <c r="K531" s="35" t="s">
        <v>1026</v>
      </c>
      <c r="L531" s="35" t="s">
        <v>1026</v>
      </c>
      <c r="M531" s="386" t="s">
        <v>1259</v>
      </c>
      <c r="N531" s="33" t="s">
        <v>68</v>
      </c>
      <c r="O531" s="33" t="s">
        <v>10</v>
      </c>
      <c r="P531" s="33" t="s">
        <v>2</v>
      </c>
      <c r="Q531" s="47"/>
      <c r="R531" s="47"/>
      <c r="S531" s="45" t="s">
        <v>143</v>
      </c>
      <c r="T531" s="45"/>
      <c r="U531" s="68">
        <v>45147</v>
      </c>
      <c r="V531" s="48">
        <f t="shared" si="92"/>
        <v>45248</v>
      </c>
      <c r="W531" s="50">
        <f>V531-U531</f>
        <v>101</v>
      </c>
      <c r="X531" s="265">
        <f>Y531*0.91</f>
        <v>359450</v>
      </c>
      <c r="Y531" s="67">
        <v>395000</v>
      </c>
      <c r="Z531" s="267">
        <v>325000</v>
      </c>
      <c r="AA531" s="56"/>
      <c r="AB531" s="267"/>
      <c r="AC531" s="44">
        <v>0.09</v>
      </c>
      <c r="AD531" s="62">
        <v>-1.1599999999999999E-2</v>
      </c>
      <c r="AE531" s="41">
        <f t="shared" si="94"/>
        <v>0.1016</v>
      </c>
      <c r="AF531" s="42"/>
      <c r="AG531" s="40">
        <f>IF((X531*AE531)&lt;0,0,(X531*AE531))</f>
        <v>36520.119999999995</v>
      </c>
      <c r="AH531" s="65">
        <f t="shared" si="87"/>
        <v>70000</v>
      </c>
      <c r="AI531" s="66">
        <f>AH531/X531</f>
        <v>0.19474196689386564</v>
      </c>
      <c r="AJ531" s="66">
        <f t="shared" si="88"/>
        <v>0.19474196689386564</v>
      </c>
      <c r="AK531" s="65">
        <f>AF531*X531</f>
        <v>0</v>
      </c>
      <c r="AL531" s="40">
        <f t="shared" si="83"/>
        <v>70000</v>
      </c>
      <c r="AM531" s="242">
        <f t="shared" si="93"/>
        <v>45260</v>
      </c>
      <c r="AN531" s="242">
        <f>IF(AQ531="x","",IF(AQ531="x",AM531,IF(EOMONTH(I531,0)=31,"",EOMONTH(I531,0))))</f>
        <v>45260</v>
      </c>
      <c r="AO531" s="79">
        <f>IFERROR(IF(VLOOKUP(C531,C532:C1132,1,0)=0,1,0),1)</f>
        <v>1</v>
      </c>
      <c r="AP531" s="79"/>
      <c r="AQ531" s="243" t="str">
        <f t="shared" si="89"/>
        <v/>
      </c>
      <c r="AR531" s="242" t="b">
        <f>IF(AQ531="x",EOMONTH(I531,0))</f>
        <v>0</v>
      </c>
      <c r="AS531" s="79">
        <f t="shared" si="84"/>
        <v>1</v>
      </c>
      <c r="AT531" s="79">
        <f t="shared" si="85"/>
        <v>1</v>
      </c>
      <c r="AU531" s="79" t="str">
        <f t="shared" si="86"/>
        <v>B</v>
      </c>
      <c r="AV531" s="79">
        <f t="shared" si="90"/>
        <v>1</v>
      </c>
      <c r="AW531" s="79" t="str">
        <f>J531&amp;AU531</f>
        <v>6B</v>
      </c>
      <c r="AX531" s="79">
        <f>IF(COUNTIFS(J:J,"Integral",E:E,E531,H:H,"Ativo")=4,1/4,1/10)</f>
        <v>0.1</v>
      </c>
      <c r="AY531" s="79" t="s">
        <v>1320</v>
      </c>
      <c r="AZ531" s="79" t="b">
        <v>1</v>
      </c>
    </row>
    <row r="532" spans="1:52" ht="15.75" customHeight="1">
      <c r="A532" s="54">
        <v>556</v>
      </c>
      <c r="B532" s="403">
        <v>45249</v>
      </c>
      <c r="C532" s="32" t="s">
        <v>1682</v>
      </c>
      <c r="D532" s="32" t="s">
        <v>1683</v>
      </c>
      <c r="E532" s="32" t="s">
        <v>1684</v>
      </c>
      <c r="F532" s="32" t="s">
        <v>1685</v>
      </c>
      <c r="G532" s="60" t="s">
        <v>220</v>
      </c>
      <c r="H532" s="33" t="s">
        <v>90</v>
      </c>
      <c r="I532" s="34"/>
      <c r="J532" s="33">
        <v>6</v>
      </c>
      <c r="K532" s="35" t="s">
        <v>1686</v>
      </c>
      <c r="L532" s="35" t="s">
        <v>333</v>
      </c>
      <c r="M532" s="386" t="s">
        <v>246</v>
      </c>
      <c r="N532" s="33" t="s">
        <v>68</v>
      </c>
      <c r="O532" s="33" t="s">
        <v>1235</v>
      </c>
      <c r="P532" s="33" t="s">
        <v>2</v>
      </c>
      <c r="Q532" s="47"/>
      <c r="R532" s="47"/>
      <c r="S532" s="45" t="s">
        <v>145</v>
      </c>
      <c r="T532" s="45"/>
      <c r="U532" s="68">
        <v>45222</v>
      </c>
      <c r="V532" s="48">
        <f t="shared" si="92"/>
        <v>45249</v>
      </c>
      <c r="W532" s="50">
        <f>V532-U532</f>
        <v>27</v>
      </c>
      <c r="X532" s="261">
        <f>Y532*0.91</f>
        <v>394940</v>
      </c>
      <c r="Y532" s="260">
        <v>434000</v>
      </c>
      <c r="Z532" s="263">
        <v>434000</v>
      </c>
      <c r="AA532" s="56"/>
      <c r="AB532" s="263"/>
      <c r="AC532" s="44">
        <v>0.09</v>
      </c>
      <c r="AD532" s="62">
        <v>3.4000000000000002E-2</v>
      </c>
      <c r="AE532" s="41">
        <f t="shared" si="94"/>
        <v>5.5999999999999994E-2</v>
      </c>
      <c r="AF532" s="42"/>
      <c r="AG532" s="40">
        <f>IF((X532*AE532)&lt;0,0,(X532*AE532))</f>
        <v>22116.639999999999</v>
      </c>
      <c r="AH532" s="65">
        <f t="shared" si="87"/>
        <v>0</v>
      </c>
      <c r="AI532" s="66">
        <f>AH532/X532</f>
        <v>0</v>
      </c>
      <c r="AJ532" s="66">
        <f t="shared" si="88"/>
        <v>0</v>
      </c>
      <c r="AK532" s="65">
        <f>AF532*X532</f>
        <v>0</v>
      </c>
      <c r="AL532" s="40">
        <f t="shared" ref="AL532:AL595" si="95">AH532-AK532</f>
        <v>0</v>
      </c>
      <c r="AM532" s="242">
        <f t="shared" si="93"/>
        <v>45260</v>
      </c>
      <c r="AN532" s="242" t="str">
        <f>IF(AQ532="x","",IF(AQ532="x",AM532,IF(EOMONTH(I532,0)=31,"",EOMONTH(I532,0))))</f>
        <v/>
      </c>
      <c r="AO532" s="79">
        <f>IFERROR(IF(VLOOKUP(C532,C533:C1133,1,0)=0,1,0),1)</f>
        <v>1</v>
      </c>
      <c r="AP532" s="79"/>
      <c r="AQ532" s="243" t="str">
        <f t="shared" si="89"/>
        <v/>
      </c>
      <c r="AR532" s="242" t="b">
        <f>IF(AQ532="x",EOMONTH(I532,0))</f>
        <v>0</v>
      </c>
      <c r="AS532" s="79">
        <f t="shared" si="84"/>
        <v>1</v>
      </c>
      <c r="AT532" s="79">
        <f t="shared" si="85"/>
        <v>1</v>
      </c>
      <c r="AU532" s="79" t="str">
        <f t="shared" si="86"/>
        <v>B</v>
      </c>
      <c r="AV532" s="79">
        <f t="shared" si="90"/>
        <v>1</v>
      </c>
      <c r="AW532" s="79" t="str">
        <f>J532&amp;AU532</f>
        <v>6B</v>
      </c>
      <c r="AX532" s="79">
        <f>IF(COUNTIFS(J:J,"Integral",E:E,E532,H:H,"Ativo")=4,1/4,1/10)</f>
        <v>0.1</v>
      </c>
      <c r="AY532" s="79" t="s">
        <v>1332</v>
      </c>
      <c r="AZ532" s="79" t="b">
        <v>1</v>
      </c>
    </row>
    <row r="533" spans="1:52" ht="15.75" customHeight="1">
      <c r="A533" s="54">
        <v>557</v>
      </c>
      <c r="B533" s="403">
        <v>45251</v>
      </c>
      <c r="C533" s="32" t="s">
        <v>1687</v>
      </c>
      <c r="D533" s="32" t="s">
        <v>1601</v>
      </c>
      <c r="E533" s="32" t="s">
        <v>1442</v>
      </c>
      <c r="F533" s="32" t="s">
        <v>1688</v>
      </c>
      <c r="G533" s="60" t="s">
        <v>220</v>
      </c>
      <c r="H533" s="33" t="s">
        <v>244</v>
      </c>
      <c r="I533" s="34">
        <v>45260</v>
      </c>
      <c r="J533" s="33">
        <v>6</v>
      </c>
      <c r="K533" s="35" t="s">
        <v>1165</v>
      </c>
      <c r="L533" s="35" t="s">
        <v>1165</v>
      </c>
      <c r="M533" s="386" t="s">
        <v>1259</v>
      </c>
      <c r="N533" s="33" t="s">
        <v>68</v>
      </c>
      <c r="O533" s="33" t="s">
        <v>11</v>
      </c>
      <c r="P533" s="33" t="s">
        <v>2</v>
      </c>
      <c r="Q533" s="47"/>
      <c r="R533" s="47"/>
      <c r="S533" s="45" t="s">
        <v>145</v>
      </c>
      <c r="T533" s="45"/>
      <c r="U533" s="68">
        <v>45250</v>
      </c>
      <c r="V533" s="48">
        <f t="shared" si="92"/>
        <v>45251</v>
      </c>
      <c r="W533" s="50">
        <f>V533-U533</f>
        <v>1</v>
      </c>
      <c r="X533" s="265">
        <f>Y533*0.91</f>
        <v>359450</v>
      </c>
      <c r="Y533" s="67">
        <v>395000</v>
      </c>
      <c r="Z533" s="267">
        <v>365600</v>
      </c>
      <c r="AA533" s="56"/>
      <c r="AB533" s="267"/>
      <c r="AC533" s="44">
        <v>0.09</v>
      </c>
      <c r="AD533" s="62">
        <v>2.9600000000000001E-2</v>
      </c>
      <c r="AE533" s="41">
        <f t="shared" si="94"/>
        <v>6.0399999999999995E-2</v>
      </c>
      <c r="AF533" s="42"/>
      <c r="AG533" s="40">
        <f>IF((X533*AE533)&lt;0,0,(X533*AE533))</f>
        <v>21710.78</v>
      </c>
      <c r="AH533" s="65">
        <f t="shared" si="87"/>
        <v>29400</v>
      </c>
      <c r="AI533" s="66">
        <f>AH533/X533</f>
        <v>8.1791626095423564E-2</v>
      </c>
      <c r="AJ533" s="66">
        <f t="shared" si="88"/>
        <v>8.1791626095423564E-2</v>
      </c>
      <c r="AK533" s="65">
        <f>AF533*X533</f>
        <v>0</v>
      </c>
      <c r="AL533" s="40">
        <f t="shared" si="95"/>
        <v>29400</v>
      </c>
      <c r="AM533" s="242">
        <f t="shared" si="93"/>
        <v>45260</v>
      </c>
      <c r="AN533" s="242">
        <f>IF(AQ533="x","",IF(AQ533="x",AM533,IF(EOMONTH(I533,0)=31,"",EOMONTH(I533,0))))</f>
        <v>45260</v>
      </c>
      <c r="AO533" s="79">
        <f>IFERROR(IF(VLOOKUP(C533,C534:C1134,1,0)=0,1,0),1)</f>
        <v>1</v>
      </c>
      <c r="AP533" s="79"/>
      <c r="AQ533" s="243" t="str">
        <f t="shared" si="89"/>
        <v/>
      </c>
      <c r="AR533" s="242" t="b">
        <f>IF(AQ533="x",EOMONTH(I533,0))</f>
        <v>0</v>
      </c>
      <c r="AS533" s="79">
        <f t="shared" si="84"/>
        <v>1</v>
      </c>
      <c r="AT533" s="79">
        <f t="shared" si="85"/>
        <v>1</v>
      </c>
      <c r="AU533" s="79" t="str">
        <f t="shared" si="86"/>
        <v>B</v>
      </c>
      <c r="AV533" s="79">
        <f t="shared" si="90"/>
        <v>1</v>
      </c>
      <c r="AW533" s="79" t="str">
        <f>J533&amp;AU533</f>
        <v>6B</v>
      </c>
      <c r="AX533" s="79">
        <f>IF(COUNTIFS(J:J,"Integral",E:E,E533,H:H,"Ativo")=4,1/4,1/10)</f>
        <v>0.1</v>
      </c>
      <c r="AY533" s="79" t="s">
        <v>1535</v>
      </c>
      <c r="AZ533" s="79" t="b">
        <v>1</v>
      </c>
    </row>
    <row r="534" spans="1:52" ht="15.75" customHeight="1">
      <c r="A534" s="54">
        <v>558</v>
      </c>
      <c r="B534" s="403">
        <v>45252</v>
      </c>
      <c r="C534" s="32" t="s">
        <v>1689</v>
      </c>
      <c r="D534" s="32" t="s">
        <v>1690</v>
      </c>
      <c r="E534" s="32" t="s">
        <v>1684</v>
      </c>
      <c r="F534" s="32" t="s">
        <v>1691</v>
      </c>
      <c r="G534" s="60" t="s">
        <v>220</v>
      </c>
      <c r="H534" s="33" t="s">
        <v>90</v>
      </c>
      <c r="I534" s="34"/>
      <c r="J534" s="33">
        <v>6</v>
      </c>
      <c r="K534" s="35" t="s">
        <v>981</v>
      </c>
      <c r="L534" s="35" t="s">
        <v>981</v>
      </c>
      <c r="M534" s="386" t="s">
        <v>1259</v>
      </c>
      <c r="N534" s="33" t="s">
        <v>68</v>
      </c>
      <c r="O534" s="33" t="s">
        <v>10</v>
      </c>
      <c r="P534" s="33" t="s">
        <v>86</v>
      </c>
      <c r="Q534" s="47" t="s">
        <v>97</v>
      </c>
      <c r="R534" s="47"/>
      <c r="S534" s="45" t="s">
        <v>147</v>
      </c>
      <c r="T534" s="45"/>
      <c r="U534" s="37">
        <v>45189</v>
      </c>
      <c r="V534" s="38">
        <f t="shared" si="92"/>
        <v>45252</v>
      </c>
      <c r="W534" s="50">
        <f>V534-U534</f>
        <v>63</v>
      </c>
      <c r="X534" s="261">
        <f>Y534*0.91</f>
        <v>394940</v>
      </c>
      <c r="Y534" s="260">
        <v>434000</v>
      </c>
      <c r="Z534" s="263">
        <v>305000</v>
      </c>
      <c r="AA534" s="56"/>
      <c r="AB534" s="263"/>
      <c r="AC534" s="44">
        <v>0.09</v>
      </c>
      <c r="AD534" s="62">
        <v>0.14510000000000001</v>
      </c>
      <c r="AE534" s="41">
        <f t="shared" si="94"/>
        <v>-5.510000000000001E-2</v>
      </c>
      <c r="AF534" s="42">
        <v>5.5100000000000003E-2</v>
      </c>
      <c r="AG534" s="40">
        <f>IF((X534*AE534)&lt;0,0,(X534*AE534))</f>
        <v>0</v>
      </c>
      <c r="AH534" s="65">
        <f t="shared" si="87"/>
        <v>129000</v>
      </c>
      <c r="AI534" s="66">
        <f>AH534/X534</f>
        <v>0.32663189345216997</v>
      </c>
      <c r="AJ534" s="66">
        <f t="shared" si="88"/>
        <v>0.27153189345216999</v>
      </c>
      <c r="AK534" s="65">
        <f>AF534*X534</f>
        <v>21761.194</v>
      </c>
      <c r="AL534" s="40">
        <f t="shared" si="95"/>
        <v>107238.806</v>
      </c>
      <c r="AM534" s="242">
        <f t="shared" si="93"/>
        <v>45260</v>
      </c>
      <c r="AN534" s="242" t="str">
        <f>IF(AQ534="x","",IF(AQ534="x",AM534,IF(EOMONTH(I534,0)=31,"",EOMONTH(I534,0))))</f>
        <v/>
      </c>
      <c r="AO534" s="79">
        <f>IFERROR(IF(VLOOKUP(C534,C535:C1135,1,0)=0,1,0),1)</f>
        <v>1</v>
      </c>
      <c r="AP534" s="79"/>
      <c r="AQ534" s="243" t="str">
        <f t="shared" si="89"/>
        <v/>
      </c>
      <c r="AR534" s="242" t="b">
        <f>IF(AQ534="x",EOMONTH(I534,0))</f>
        <v>0</v>
      </c>
      <c r="AS534" s="79">
        <f t="shared" si="84"/>
        <v>1</v>
      </c>
      <c r="AT534" s="79">
        <f t="shared" si="85"/>
        <v>1</v>
      </c>
      <c r="AU534" s="79" t="str">
        <f t="shared" si="86"/>
        <v>B</v>
      </c>
      <c r="AV534" s="79">
        <f t="shared" si="90"/>
        <v>1</v>
      </c>
      <c r="AW534" s="79" t="str">
        <f>J534&amp;AU534</f>
        <v>6B</v>
      </c>
      <c r="AX534" s="79">
        <f>IF(COUNTIFS(J:J,"Integral",E:E,E534,H:H,"Ativo")=4,1/4,1/10)</f>
        <v>0.1</v>
      </c>
      <c r="AY534" s="79" t="s">
        <v>1332</v>
      </c>
      <c r="AZ534" s="79" t="b">
        <v>1</v>
      </c>
    </row>
    <row r="535" spans="1:52" ht="15.75" customHeight="1">
      <c r="A535" s="54">
        <v>559</v>
      </c>
      <c r="B535" s="403">
        <v>45255</v>
      </c>
      <c r="C535" s="32" t="s">
        <v>1692</v>
      </c>
      <c r="D535" s="32" t="s">
        <v>1693</v>
      </c>
      <c r="E535" s="32" t="s">
        <v>1669</v>
      </c>
      <c r="F535" s="32" t="s">
        <v>1694</v>
      </c>
      <c r="G535" s="60" t="s">
        <v>220</v>
      </c>
      <c r="H535" s="33" t="s">
        <v>90</v>
      </c>
      <c r="I535" s="34"/>
      <c r="J535" s="33">
        <v>6</v>
      </c>
      <c r="K535" s="35" t="s">
        <v>1154</v>
      </c>
      <c r="L535" s="35" t="s">
        <v>981</v>
      </c>
      <c r="M535" s="386" t="s">
        <v>1259</v>
      </c>
      <c r="N535" s="33" t="s">
        <v>68</v>
      </c>
      <c r="O535" s="33" t="s">
        <v>10</v>
      </c>
      <c r="P535" s="33" t="s">
        <v>1</v>
      </c>
      <c r="Q535" s="47"/>
      <c r="R535" s="47"/>
      <c r="S535" s="45" t="s">
        <v>149</v>
      </c>
      <c r="T535" s="45"/>
      <c r="U535" s="37">
        <v>45255</v>
      </c>
      <c r="V535" s="38">
        <f t="shared" si="92"/>
        <v>45255</v>
      </c>
      <c r="W535" s="50">
        <f>V535-U535</f>
        <v>0</v>
      </c>
      <c r="X535" s="261">
        <f>Y535*0.91</f>
        <v>394940</v>
      </c>
      <c r="Y535" s="260">
        <v>434000</v>
      </c>
      <c r="Z535" s="263">
        <v>342000</v>
      </c>
      <c r="AA535" s="35" t="s">
        <v>999</v>
      </c>
      <c r="AB535" s="263"/>
      <c r="AC535" s="44">
        <v>7.0000000000000007E-2</v>
      </c>
      <c r="AD535" s="62">
        <v>2.06E-2</v>
      </c>
      <c r="AE535" s="41">
        <f t="shared" si="94"/>
        <v>4.9400000000000006E-2</v>
      </c>
      <c r="AF535" s="42"/>
      <c r="AG535" s="40">
        <f>IF((X535*AE535)&lt;0,0,(X535*AE535))</f>
        <v>19510.036000000004</v>
      </c>
      <c r="AH535" s="65">
        <f t="shared" si="87"/>
        <v>92000</v>
      </c>
      <c r="AI535" s="66">
        <f>AH535/X535</f>
        <v>0.23294677672557856</v>
      </c>
      <c r="AJ535" s="66">
        <f t="shared" si="88"/>
        <v>0.23294677672557856</v>
      </c>
      <c r="AK535" s="65">
        <f>AF535*X535</f>
        <v>0</v>
      </c>
      <c r="AL535" s="40">
        <f t="shared" si="95"/>
        <v>92000</v>
      </c>
      <c r="AM535" s="242">
        <f t="shared" si="93"/>
        <v>45260</v>
      </c>
      <c r="AN535" s="242" t="str">
        <f>IF(AQ535="x","",IF(AQ535="x",AM535,IF(EOMONTH(I535,0)=31,"",EOMONTH(I535,0))))</f>
        <v/>
      </c>
      <c r="AO535" s="79">
        <f>IFERROR(IF(VLOOKUP(C535,C536:C1136,1,0)=0,1,0),1)</f>
        <v>0</v>
      </c>
      <c r="AP535" s="79"/>
      <c r="AQ535" s="243" t="str">
        <f t="shared" si="89"/>
        <v/>
      </c>
      <c r="AR535" s="242" t="b">
        <f>IF(AQ535="x",EOMONTH(I535,0))</f>
        <v>0</v>
      </c>
      <c r="AS535" s="79">
        <f t="shared" si="84"/>
        <v>1</v>
      </c>
      <c r="AT535" s="79">
        <f t="shared" si="85"/>
        <v>1</v>
      </c>
      <c r="AU535" s="79" t="str">
        <f t="shared" si="86"/>
        <v>B</v>
      </c>
      <c r="AV535" s="79">
        <f t="shared" si="90"/>
        <v>1</v>
      </c>
      <c r="AW535" s="79" t="str">
        <f>J535&amp;AU535</f>
        <v>6B</v>
      </c>
      <c r="AX535" s="79">
        <f>IF(COUNTIFS(J:J,"Integral",E:E,E535,H:H,"Ativo")=4,1/4,1/10)</f>
        <v>0.1</v>
      </c>
      <c r="AY535" s="79" t="s">
        <v>1320</v>
      </c>
      <c r="AZ535" s="79" t="b">
        <v>1</v>
      </c>
    </row>
    <row r="536" spans="1:52" ht="15.75" customHeight="1">
      <c r="A536" s="54">
        <v>560</v>
      </c>
      <c r="B536" s="403">
        <v>45261</v>
      </c>
      <c r="C536" s="32" t="s">
        <v>1695</v>
      </c>
      <c r="D536" s="32" t="s">
        <v>1696</v>
      </c>
      <c r="E536" s="32" t="s">
        <v>1697</v>
      </c>
      <c r="F536" s="32" t="s">
        <v>1698</v>
      </c>
      <c r="G536" s="60" t="s">
        <v>243</v>
      </c>
      <c r="H536" s="33" t="s">
        <v>244</v>
      </c>
      <c r="I536" s="34">
        <v>45275</v>
      </c>
      <c r="J536" s="33">
        <v>6</v>
      </c>
      <c r="K536" s="35" t="s">
        <v>981</v>
      </c>
      <c r="L536" s="35" t="s">
        <v>981</v>
      </c>
      <c r="M536" s="386" t="s">
        <v>1259</v>
      </c>
      <c r="N536" s="33" t="s">
        <v>68</v>
      </c>
      <c r="O536" s="33" t="s">
        <v>11</v>
      </c>
      <c r="P536" s="33" t="s">
        <v>2</v>
      </c>
      <c r="Q536" s="47"/>
      <c r="R536" s="47"/>
      <c r="S536" s="45" t="s">
        <v>147</v>
      </c>
      <c r="T536" s="45"/>
      <c r="U536" s="68">
        <v>44980</v>
      </c>
      <c r="V536" s="48">
        <f t="shared" si="92"/>
        <v>45261</v>
      </c>
      <c r="W536" s="50">
        <f>V536-U536</f>
        <v>281</v>
      </c>
      <c r="X536" s="265">
        <f>Y536*0.91</f>
        <v>434070</v>
      </c>
      <c r="Y536" s="67">
        <v>477000</v>
      </c>
      <c r="Z536" s="267">
        <v>409280</v>
      </c>
      <c r="AA536" s="56"/>
      <c r="AB536" s="267"/>
      <c r="AC536" s="44">
        <v>0.09</v>
      </c>
      <c r="AD536" s="62">
        <v>-3.0999999999999999E-3</v>
      </c>
      <c r="AE536" s="41">
        <f t="shared" si="94"/>
        <v>9.3100000000000002E-2</v>
      </c>
      <c r="AF536" s="42"/>
      <c r="AG536" s="40">
        <f>IF((X536*AE536)&lt;0,0,(X536*AE536))</f>
        <v>40411.917000000001</v>
      </c>
      <c r="AH536" s="65">
        <f t="shared" si="87"/>
        <v>67720</v>
      </c>
      <c r="AI536" s="66">
        <f>AH536/X536</f>
        <v>0.1560117031815145</v>
      </c>
      <c r="AJ536" s="66">
        <f t="shared" si="88"/>
        <v>0.1560117031815145</v>
      </c>
      <c r="AK536" s="65">
        <f>AF536*X536</f>
        <v>0</v>
      </c>
      <c r="AL536" s="40">
        <f t="shared" si="95"/>
        <v>67720</v>
      </c>
      <c r="AM536" s="242">
        <f t="shared" si="93"/>
        <v>45291</v>
      </c>
      <c r="AN536" s="242" t="str">
        <f>IF(AQ536="x","",IF(AQ536="x",AM536,IF(EOMONTH(I536,0)=31,"",EOMONTH(I536,0))))</f>
        <v/>
      </c>
      <c r="AO536" s="79">
        <f>IFERROR(IF(VLOOKUP(C536,C537:C1137,1,0)=0,1,0),1)</f>
        <v>1</v>
      </c>
      <c r="AP536" s="79"/>
      <c r="AQ536" s="243" t="str">
        <f t="shared" si="89"/>
        <v>x</v>
      </c>
      <c r="AR536" s="242">
        <f>IF(AQ536="x",EOMONTH(I536,0))</f>
        <v>45291</v>
      </c>
      <c r="AS536" s="79">
        <f t="shared" si="84"/>
        <v>1</v>
      </c>
      <c r="AT536" s="79">
        <f t="shared" si="85"/>
        <v>1</v>
      </c>
      <c r="AU536" s="79" t="str">
        <f t="shared" si="86"/>
        <v>B</v>
      </c>
      <c r="AV536" s="79">
        <f t="shared" si="90"/>
        <v>1</v>
      </c>
      <c r="AW536" s="79" t="str">
        <f>J536&amp;AU536</f>
        <v>6B</v>
      </c>
      <c r="AX536" s="79">
        <f>IF(COUNTIFS(J:J,"Integral",E:E,E536,H:H,"Ativo")=4,1/4,1/10)</f>
        <v>0.1</v>
      </c>
      <c r="AY536" s="79" t="s">
        <v>1320</v>
      </c>
      <c r="AZ536" s="79" t="b">
        <v>1</v>
      </c>
    </row>
    <row r="537" spans="1:52" ht="15.75" customHeight="1">
      <c r="A537" s="54">
        <v>561</v>
      </c>
      <c r="B537" s="403">
        <v>45258</v>
      </c>
      <c r="C537" s="32" t="s">
        <v>1699</v>
      </c>
      <c r="D537" s="32" t="s">
        <v>523</v>
      </c>
      <c r="E537" s="32" t="s">
        <v>524</v>
      </c>
      <c r="F537" s="32" t="s">
        <v>1700</v>
      </c>
      <c r="G537" s="60" t="s">
        <v>243</v>
      </c>
      <c r="H537" s="33" t="s">
        <v>244</v>
      </c>
      <c r="I537" s="34">
        <v>45265</v>
      </c>
      <c r="J537" s="33" t="s">
        <v>1701</v>
      </c>
      <c r="K537" s="35" t="s">
        <v>1165</v>
      </c>
      <c r="L537" s="35" t="s">
        <v>1165</v>
      </c>
      <c r="M537" s="386" t="s">
        <v>1259</v>
      </c>
      <c r="N537" s="33" t="s">
        <v>68</v>
      </c>
      <c r="O537" s="33" t="s">
        <v>1235</v>
      </c>
      <c r="P537" s="33" t="s">
        <v>2</v>
      </c>
      <c r="Q537" s="47"/>
      <c r="R537" s="47"/>
      <c r="S537" s="45" t="s">
        <v>144</v>
      </c>
      <c r="T537" s="45"/>
      <c r="U537" s="68">
        <v>45249</v>
      </c>
      <c r="V537" s="48">
        <f t="shared" si="92"/>
        <v>45258</v>
      </c>
      <c r="W537" s="50">
        <f>V537-U537</f>
        <v>9</v>
      </c>
      <c r="X537" s="265">
        <f>Y537*0.91</f>
        <v>1128172.5</v>
      </c>
      <c r="Y537" s="67">
        <v>1239750</v>
      </c>
      <c r="Z537" s="267">
        <v>1239750</v>
      </c>
      <c r="AA537" s="56"/>
      <c r="AB537" s="267"/>
      <c r="AC537" s="44">
        <v>0.09</v>
      </c>
      <c r="AD537" s="62">
        <v>3.5999999999999999E-3</v>
      </c>
      <c r="AE537" s="41">
        <f t="shared" si="94"/>
        <v>8.6399999999999991E-2</v>
      </c>
      <c r="AF537" s="42"/>
      <c r="AG537" s="40">
        <f>IF((X537*AE537)&lt;0,0,(X537*AE537))</f>
        <v>97474.103999999992</v>
      </c>
      <c r="AH537" s="65">
        <f t="shared" si="87"/>
        <v>0</v>
      </c>
      <c r="AI537" s="66">
        <f>AH537/X537</f>
        <v>0</v>
      </c>
      <c r="AJ537" s="66">
        <f t="shared" si="88"/>
        <v>0</v>
      </c>
      <c r="AK537" s="65">
        <f>AF537*X537</f>
        <v>0</v>
      </c>
      <c r="AL537" s="40">
        <f t="shared" si="95"/>
        <v>0</v>
      </c>
      <c r="AM537" s="242">
        <f t="shared" si="93"/>
        <v>45260</v>
      </c>
      <c r="AN537" s="242" t="str">
        <f>IF(AQ537="x","",IF(AQ537="x",AM537,IF(EOMONTH(I537,0)=31,"",EOMONTH(I537,0))))</f>
        <v/>
      </c>
      <c r="AO537" s="79">
        <f>IFERROR(IF(VLOOKUP(C537,C538:C1138,1,0)=0,1,0),1)</f>
        <v>0</v>
      </c>
      <c r="AP537" s="79"/>
      <c r="AQ537" s="243" t="str">
        <f t="shared" si="89"/>
        <v>x</v>
      </c>
      <c r="AR537" s="242">
        <f>IF(AQ537="x",EOMONTH(I537,0))</f>
        <v>45291</v>
      </c>
      <c r="AS537" s="79">
        <f t="shared" si="84"/>
        <v>1</v>
      </c>
      <c r="AT537" s="79">
        <f t="shared" si="85"/>
        <v>1</v>
      </c>
      <c r="AU537" s="79" t="str">
        <f t="shared" si="86"/>
        <v>A</v>
      </c>
      <c r="AV537" s="79">
        <f t="shared" si="90"/>
        <v>1</v>
      </c>
      <c r="AW537" s="79" t="str">
        <f>J537&amp;AU537</f>
        <v>INTEGRALA</v>
      </c>
      <c r="AX537" s="79">
        <f>IF(COUNTIFS(J:J,"Integral",E:E,E537,H:H,"Ativo")=4,1/4,1/10)</f>
        <v>0.25</v>
      </c>
      <c r="AY537" s="79" t="s">
        <v>1535</v>
      </c>
      <c r="AZ537" s="79" t="b">
        <v>1</v>
      </c>
    </row>
    <row r="538" spans="1:52" ht="15.75" customHeight="1">
      <c r="A538" s="54">
        <v>562</v>
      </c>
      <c r="B538" s="403">
        <v>45258</v>
      </c>
      <c r="C538" s="32" t="s">
        <v>1699</v>
      </c>
      <c r="D538" s="32" t="s">
        <v>1702</v>
      </c>
      <c r="E538" s="32" t="s">
        <v>1703</v>
      </c>
      <c r="F538" s="32" t="s">
        <v>1704</v>
      </c>
      <c r="G538" s="60" t="s">
        <v>243</v>
      </c>
      <c r="H538" s="33" t="s">
        <v>244</v>
      </c>
      <c r="I538" s="34">
        <v>45265</v>
      </c>
      <c r="J538" s="33">
        <v>52</v>
      </c>
      <c r="K538" s="35" t="s">
        <v>1165</v>
      </c>
      <c r="L538" s="35" t="s">
        <v>1165</v>
      </c>
      <c r="M538" s="386" t="s">
        <v>1259</v>
      </c>
      <c r="N538" s="33" t="s">
        <v>68</v>
      </c>
      <c r="O538" s="33" t="s">
        <v>1235</v>
      </c>
      <c r="P538" s="33" t="s">
        <v>2</v>
      </c>
      <c r="Q538" s="47"/>
      <c r="R538" s="47"/>
      <c r="S538" s="45" t="s">
        <v>144</v>
      </c>
      <c r="T538" s="45"/>
      <c r="U538" s="68">
        <v>45249</v>
      </c>
      <c r="V538" s="48">
        <f t="shared" si="92"/>
        <v>45258</v>
      </c>
      <c r="W538" s="50">
        <f>V538-U538</f>
        <v>9</v>
      </c>
      <c r="X538" s="265">
        <f>Y538*0.91</f>
        <v>182000</v>
      </c>
      <c r="Y538" s="67">
        <v>200000</v>
      </c>
      <c r="Z538" s="267">
        <v>200000</v>
      </c>
      <c r="AA538" s="56"/>
      <c r="AB538" s="267"/>
      <c r="AC538" s="44">
        <v>0.09</v>
      </c>
      <c r="AD538" s="62">
        <v>3.5999999999999999E-3</v>
      </c>
      <c r="AE538" s="41">
        <f t="shared" si="94"/>
        <v>8.6399999999999991E-2</v>
      </c>
      <c r="AF538" s="42"/>
      <c r="AG538" s="40">
        <f>IF((X538*AE538)&lt;0,0,(X538*AE538))</f>
        <v>15724.799999999997</v>
      </c>
      <c r="AH538" s="65">
        <f t="shared" si="87"/>
        <v>0</v>
      </c>
      <c r="AI538" s="66">
        <f>AH538/X538</f>
        <v>0</v>
      </c>
      <c r="AJ538" s="66">
        <f t="shared" si="88"/>
        <v>0</v>
      </c>
      <c r="AK538" s="65">
        <f>AF538*X538</f>
        <v>0</v>
      </c>
      <c r="AL538" s="40">
        <f t="shared" si="95"/>
        <v>0</v>
      </c>
      <c r="AM538" s="242">
        <f t="shared" si="93"/>
        <v>45260</v>
      </c>
      <c r="AN538" s="242" t="str">
        <f>IF(AQ538="x","",IF(AQ538="x",AM538,IF(EOMONTH(I538,0)=31,"",EOMONTH(I538,0))))</f>
        <v/>
      </c>
      <c r="AO538" s="79">
        <f>IFERROR(IF(VLOOKUP(C538,C539:C1139,1,0)=0,1,0),1)</f>
        <v>0</v>
      </c>
      <c r="AP538" s="79"/>
      <c r="AQ538" s="243" t="str">
        <f t="shared" si="89"/>
        <v>x</v>
      </c>
      <c r="AR538" s="242">
        <f>IF(AQ538="x",EOMONTH(I538,0))</f>
        <v>45291</v>
      </c>
      <c r="AS538" s="79">
        <f t="shared" si="84"/>
        <v>1</v>
      </c>
      <c r="AT538" s="79">
        <f t="shared" si="85"/>
        <v>1</v>
      </c>
      <c r="AU538" s="79" t="str">
        <f t="shared" si="86"/>
        <v>V</v>
      </c>
      <c r="AV538" s="79">
        <f t="shared" si="90"/>
        <v>1</v>
      </c>
      <c r="AW538" s="79" t="str">
        <f>J538&amp;AU538</f>
        <v>52V</v>
      </c>
      <c r="AX538" s="79">
        <f>IF(COUNTIFS(J:J,"Integral",E:E,E538,H:H,"Ativo")=4,1/4,1/10)</f>
        <v>0.1</v>
      </c>
      <c r="AY538" s="79" t="s">
        <v>1535</v>
      </c>
      <c r="AZ538" s="79" t="b">
        <v>1</v>
      </c>
    </row>
    <row r="539" spans="1:52" ht="15.75" customHeight="1">
      <c r="A539" s="54">
        <v>563</v>
      </c>
      <c r="B539" s="403">
        <v>45258</v>
      </c>
      <c r="C539" s="32" t="s">
        <v>1699</v>
      </c>
      <c r="D539" s="32" t="s">
        <v>530</v>
      </c>
      <c r="E539" s="32" t="s">
        <v>524</v>
      </c>
      <c r="F539" s="32" t="s">
        <v>1705</v>
      </c>
      <c r="G539" s="60" t="s">
        <v>243</v>
      </c>
      <c r="H539" s="33" t="s">
        <v>244</v>
      </c>
      <c r="I539" s="34">
        <v>45265</v>
      </c>
      <c r="J539" s="33" t="s">
        <v>1701</v>
      </c>
      <c r="K539" s="35" t="s">
        <v>1165</v>
      </c>
      <c r="L539" s="35" t="s">
        <v>1165</v>
      </c>
      <c r="M539" s="386" t="s">
        <v>1259</v>
      </c>
      <c r="N539" s="33" t="s">
        <v>68</v>
      </c>
      <c r="O539" s="33" t="s">
        <v>1235</v>
      </c>
      <c r="P539" s="33" t="s">
        <v>2</v>
      </c>
      <c r="Q539" s="47"/>
      <c r="R539" s="47"/>
      <c r="S539" s="45" t="s">
        <v>144</v>
      </c>
      <c r="T539" s="45"/>
      <c r="U539" s="68">
        <v>45249</v>
      </c>
      <c r="V539" s="48">
        <f t="shared" si="92"/>
        <v>45258</v>
      </c>
      <c r="W539" s="50">
        <f>V539-U539</f>
        <v>9</v>
      </c>
      <c r="X539" s="265">
        <f>Y539*0.91</f>
        <v>1128172.5</v>
      </c>
      <c r="Y539" s="67">
        <v>1239750</v>
      </c>
      <c r="Z539" s="267">
        <v>1239750</v>
      </c>
      <c r="AA539" s="56"/>
      <c r="AB539" s="267"/>
      <c r="AC539" s="44">
        <v>0.09</v>
      </c>
      <c r="AD539" s="62">
        <v>3.5999999999999999E-3</v>
      </c>
      <c r="AE539" s="41">
        <f t="shared" si="94"/>
        <v>8.6399999999999991E-2</v>
      </c>
      <c r="AF539" s="42"/>
      <c r="AG539" s="40">
        <f>IF((X539*AE539)&lt;0,0,(X539*AE539))</f>
        <v>97474.103999999992</v>
      </c>
      <c r="AH539" s="65">
        <f t="shared" si="87"/>
        <v>0</v>
      </c>
      <c r="AI539" s="66">
        <f>AH539/X539</f>
        <v>0</v>
      </c>
      <c r="AJ539" s="66">
        <f t="shared" si="88"/>
        <v>0</v>
      </c>
      <c r="AK539" s="65">
        <f>AF539*X539</f>
        <v>0</v>
      </c>
      <c r="AL539" s="40">
        <f t="shared" si="95"/>
        <v>0</v>
      </c>
      <c r="AM539" s="242">
        <f t="shared" si="93"/>
        <v>45260</v>
      </c>
      <c r="AN539" s="242" t="str">
        <f>IF(AQ539="x","",IF(AQ539="x",AM539,IF(EOMONTH(I539,0)=31,"",EOMONTH(I539,0))))</f>
        <v/>
      </c>
      <c r="AO539" s="79">
        <f>IFERROR(IF(VLOOKUP(C539,C540:C1140,1,0)=0,1,0),1)</f>
        <v>0</v>
      </c>
      <c r="AP539" s="79"/>
      <c r="AQ539" s="243" t="str">
        <f t="shared" si="89"/>
        <v>x</v>
      </c>
      <c r="AR539" s="242">
        <f>IF(AQ539="x",EOMONTH(I539,0))</f>
        <v>45291</v>
      </c>
      <c r="AS539" s="79">
        <f t="shared" si="84"/>
        <v>1</v>
      </c>
      <c r="AT539" s="79">
        <f t="shared" si="85"/>
        <v>1</v>
      </c>
      <c r="AU539" s="79" t="str">
        <f t="shared" si="86"/>
        <v>A</v>
      </c>
      <c r="AV539" s="79">
        <f t="shared" si="90"/>
        <v>1</v>
      </c>
      <c r="AW539" s="79" t="str">
        <f>J539&amp;AU539</f>
        <v>INTEGRALA</v>
      </c>
      <c r="AX539" s="79">
        <f>IF(COUNTIFS(J:J,"Integral",E:E,E539,H:H,"Ativo")=4,1/4,1/10)</f>
        <v>0.25</v>
      </c>
      <c r="AY539" s="79" t="s">
        <v>1535</v>
      </c>
      <c r="AZ539" s="79" t="b">
        <v>1</v>
      </c>
    </row>
    <row r="540" spans="1:52" ht="15.75" customHeight="1">
      <c r="A540" s="54">
        <v>564</v>
      </c>
      <c r="B540" s="403">
        <v>45258</v>
      </c>
      <c r="C540" s="32" t="s">
        <v>1699</v>
      </c>
      <c r="D540" s="32" t="s">
        <v>528</v>
      </c>
      <c r="E540" s="32" t="s">
        <v>524</v>
      </c>
      <c r="F540" s="32" t="s">
        <v>1706</v>
      </c>
      <c r="G540" s="60" t="s">
        <v>243</v>
      </c>
      <c r="H540" s="33" t="s">
        <v>244</v>
      </c>
      <c r="I540" s="34">
        <v>45265</v>
      </c>
      <c r="J540" s="33" t="s">
        <v>1701</v>
      </c>
      <c r="K540" s="35" t="s">
        <v>1165</v>
      </c>
      <c r="L540" s="35" t="s">
        <v>1165</v>
      </c>
      <c r="M540" s="386" t="s">
        <v>1259</v>
      </c>
      <c r="N540" s="33" t="s">
        <v>68</v>
      </c>
      <c r="O540" s="33" t="s">
        <v>1235</v>
      </c>
      <c r="P540" s="33" t="s">
        <v>2</v>
      </c>
      <c r="Q540" s="47"/>
      <c r="R540" s="47"/>
      <c r="S540" s="45" t="s">
        <v>144</v>
      </c>
      <c r="T540" s="45"/>
      <c r="U540" s="68">
        <v>45249</v>
      </c>
      <c r="V540" s="48">
        <f t="shared" si="92"/>
        <v>45258</v>
      </c>
      <c r="W540" s="50">
        <f>V540-U540</f>
        <v>9</v>
      </c>
      <c r="X540" s="265">
        <f>Y540*0.91</f>
        <v>1128172.5</v>
      </c>
      <c r="Y540" s="67">
        <v>1239750</v>
      </c>
      <c r="Z540" s="267">
        <v>1239750</v>
      </c>
      <c r="AA540" s="56"/>
      <c r="AB540" s="267"/>
      <c r="AC540" s="44">
        <v>0.09</v>
      </c>
      <c r="AD540" s="62">
        <v>3.5999999999999999E-3</v>
      </c>
      <c r="AE540" s="41">
        <f t="shared" si="94"/>
        <v>8.6399999999999991E-2</v>
      </c>
      <c r="AF540" s="42"/>
      <c r="AG540" s="40">
        <f>IF((X540*AE540)&lt;0,0,(X540*AE540))</f>
        <v>97474.103999999992</v>
      </c>
      <c r="AH540" s="65">
        <f t="shared" si="87"/>
        <v>0</v>
      </c>
      <c r="AI540" s="66">
        <f>AH540/X540</f>
        <v>0</v>
      </c>
      <c r="AJ540" s="66">
        <f t="shared" si="88"/>
        <v>0</v>
      </c>
      <c r="AK540" s="65">
        <f>AF540*X540</f>
        <v>0</v>
      </c>
      <c r="AL540" s="40">
        <f t="shared" si="95"/>
        <v>0</v>
      </c>
      <c r="AM540" s="242">
        <f t="shared" si="93"/>
        <v>45260</v>
      </c>
      <c r="AN540" s="242" t="str">
        <f>IF(AQ540="x","",IF(AQ540="x",AM540,IF(EOMONTH(I540,0)=31,"",EOMONTH(I540,0))))</f>
        <v/>
      </c>
      <c r="AO540" s="79">
        <f>IFERROR(IF(VLOOKUP(C540,C541:C1141,1,0)=0,1,0),1)</f>
        <v>0</v>
      </c>
      <c r="AP540" s="79"/>
      <c r="AQ540" s="243" t="str">
        <f t="shared" si="89"/>
        <v>x</v>
      </c>
      <c r="AR540" s="242">
        <f>IF(AQ540="x",EOMONTH(I540,0))</f>
        <v>45291</v>
      </c>
      <c r="AS540" s="79">
        <f t="shared" si="84"/>
        <v>1</v>
      </c>
      <c r="AT540" s="79">
        <f t="shared" si="85"/>
        <v>1</v>
      </c>
      <c r="AU540" s="79" t="str">
        <f t="shared" si="86"/>
        <v>A</v>
      </c>
      <c r="AV540" s="79">
        <f t="shared" si="90"/>
        <v>1</v>
      </c>
      <c r="AW540" s="79" t="str">
        <f>J540&amp;AU540</f>
        <v>INTEGRALA</v>
      </c>
      <c r="AX540" s="79">
        <f>IF(COUNTIFS(J:J,"Integral",E:E,E540,H:H,"Ativo")=4,1/4,1/10)</f>
        <v>0.25</v>
      </c>
      <c r="AY540" s="79" t="s">
        <v>1535</v>
      </c>
      <c r="AZ540" s="79" t="b">
        <v>1</v>
      </c>
    </row>
    <row r="541" spans="1:52" ht="15.75" customHeight="1">
      <c r="A541" s="54">
        <v>565</v>
      </c>
      <c r="B541" s="403">
        <v>45258</v>
      </c>
      <c r="C541" s="32" t="s">
        <v>1699</v>
      </c>
      <c r="D541" s="32" t="s">
        <v>526</v>
      </c>
      <c r="E541" s="32" t="s">
        <v>524</v>
      </c>
      <c r="F541" s="32" t="s">
        <v>1707</v>
      </c>
      <c r="G541" s="60" t="s">
        <v>243</v>
      </c>
      <c r="H541" s="33" t="s">
        <v>244</v>
      </c>
      <c r="I541" s="34">
        <v>45265</v>
      </c>
      <c r="J541" s="33" t="s">
        <v>1701</v>
      </c>
      <c r="K541" s="35" t="s">
        <v>1165</v>
      </c>
      <c r="L541" s="35" t="s">
        <v>1165</v>
      </c>
      <c r="M541" s="386" t="s">
        <v>1259</v>
      </c>
      <c r="N541" s="33" t="s">
        <v>68</v>
      </c>
      <c r="O541" s="33" t="s">
        <v>1235</v>
      </c>
      <c r="P541" s="33" t="s">
        <v>2</v>
      </c>
      <c r="Q541" s="47"/>
      <c r="R541" s="47"/>
      <c r="S541" s="45" t="s">
        <v>144</v>
      </c>
      <c r="T541" s="45"/>
      <c r="U541" s="68">
        <v>45249</v>
      </c>
      <c r="V541" s="48">
        <f t="shared" si="92"/>
        <v>45258</v>
      </c>
      <c r="W541" s="50">
        <f>V541-U541</f>
        <v>9</v>
      </c>
      <c r="X541" s="265">
        <f>Y541*0.91</f>
        <v>1128172.5</v>
      </c>
      <c r="Y541" s="67">
        <v>1239750</v>
      </c>
      <c r="Z541" s="267">
        <v>1239750</v>
      </c>
      <c r="AA541" s="56"/>
      <c r="AB541" s="267"/>
      <c r="AC541" s="44">
        <v>0.09</v>
      </c>
      <c r="AD541" s="62">
        <v>3.5999999999999999E-3</v>
      </c>
      <c r="AE541" s="41">
        <f t="shared" si="94"/>
        <v>8.6399999999999991E-2</v>
      </c>
      <c r="AF541" s="42"/>
      <c r="AG541" s="40">
        <f>IF((X541*AE541)&lt;0,0,(X541*AE541))</f>
        <v>97474.103999999992</v>
      </c>
      <c r="AH541" s="65">
        <f t="shared" si="87"/>
        <v>0</v>
      </c>
      <c r="AI541" s="66">
        <f>AH541/X541</f>
        <v>0</v>
      </c>
      <c r="AJ541" s="66">
        <f t="shared" si="88"/>
        <v>0</v>
      </c>
      <c r="AK541" s="65">
        <f>AF541*X541</f>
        <v>0</v>
      </c>
      <c r="AL541" s="40">
        <f t="shared" si="95"/>
        <v>0</v>
      </c>
      <c r="AM541" s="242">
        <f t="shared" si="93"/>
        <v>45260</v>
      </c>
      <c r="AN541" s="242" t="str">
        <f>IF(AQ541="x","",IF(AQ541="x",AM541,IF(EOMONTH(I541,0)=31,"",EOMONTH(I541,0))))</f>
        <v/>
      </c>
      <c r="AO541" s="79">
        <f>IFERROR(IF(VLOOKUP(C541,C542:C1142,1,0)=0,1,0),1)</f>
        <v>1</v>
      </c>
      <c r="AP541" s="79"/>
      <c r="AQ541" s="243" t="str">
        <f t="shared" si="89"/>
        <v>x</v>
      </c>
      <c r="AR541" s="242">
        <f>IF(AQ541="x",EOMONTH(I541,0))</f>
        <v>45291</v>
      </c>
      <c r="AS541" s="79">
        <f t="shared" si="84"/>
        <v>1</v>
      </c>
      <c r="AT541" s="79">
        <f t="shared" si="85"/>
        <v>1</v>
      </c>
      <c r="AU541" s="79" t="str">
        <f t="shared" si="86"/>
        <v>A</v>
      </c>
      <c r="AV541" s="79">
        <f t="shared" si="90"/>
        <v>1</v>
      </c>
      <c r="AW541" s="79" t="str">
        <f>J541&amp;AU541</f>
        <v>INTEGRALA</v>
      </c>
      <c r="AX541" s="79">
        <f>IF(COUNTIFS(J:J,"Integral",E:E,E541,H:H,"Ativo")=4,1/4,1/10)</f>
        <v>0.25</v>
      </c>
      <c r="AY541" s="79" t="s">
        <v>1535</v>
      </c>
      <c r="AZ541" s="79" t="b">
        <v>1</v>
      </c>
    </row>
    <row r="542" spans="1:52" ht="15.75" customHeight="1">
      <c r="A542" s="54">
        <v>566</v>
      </c>
      <c r="B542" s="403">
        <v>45258</v>
      </c>
      <c r="C542" s="32" t="s">
        <v>1708</v>
      </c>
      <c r="D542" s="32" t="s">
        <v>1709</v>
      </c>
      <c r="E542" s="32" t="s">
        <v>1043</v>
      </c>
      <c r="F542" s="32" t="s">
        <v>1710</v>
      </c>
      <c r="G542" s="60" t="s">
        <v>243</v>
      </c>
      <c r="H542" s="33" t="s">
        <v>244</v>
      </c>
      <c r="I542" s="34">
        <v>45261</v>
      </c>
      <c r="J542" s="33">
        <v>4</v>
      </c>
      <c r="K542" s="35" t="s">
        <v>333</v>
      </c>
      <c r="L542" s="35" t="s">
        <v>333</v>
      </c>
      <c r="M542" s="386" t="s">
        <v>246</v>
      </c>
      <c r="N542" s="33" t="s">
        <v>68</v>
      </c>
      <c r="O542" s="33" t="s">
        <v>1235</v>
      </c>
      <c r="P542" s="33" t="s">
        <v>86</v>
      </c>
      <c r="Q542" s="47"/>
      <c r="R542" s="47"/>
      <c r="S542" s="45" t="s">
        <v>149</v>
      </c>
      <c r="T542" s="45"/>
      <c r="U542" s="68">
        <v>45250</v>
      </c>
      <c r="V542" s="48">
        <f t="shared" si="92"/>
        <v>45258</v>
      </c>
      <c r="W542" s="50">
        <f>V542-U542</f>
        <v>8</v>
      </c>
      <c r="X542" s="265">
        <f>Y542*0.91</f>
        <v>298935</v>
      </c>
      <c r="Y542" s="67">
        <v>328500</v>
      </c>
      <c r="Z542" s="267">
        <v>297980</v>
      </c>
      <c r="AA542" s="56"/>
      <c r="AB542" s="267"/>
      <c r="AC542" s="44">
        <v>0.09</v>
      </c>
      <c r="AD542" s="62">
        <v>8.7599999999999997E-2</v>
      </c>
      <c r="AE542" s="41">
        <f t="shared" si="94"/>
        <v>2.3999999999999994E-3</v>
      </c>
      <c r="AF542" s="42"/>
      <c r="AG542" s="40">
        <f>IF((X542*AE542)&lt;0,0,(X542*AE542))</f>
        <v>717.44399999999985</v>
      </c>
      <c r="AH542" s="65">
        <f t="shared" si="87"/>
        <v>30520</v>
      </c>
      <c r="AI542" s="66">
        <f>AH542/X542</f>
        <v>0.10209577332865004</v>
      </c>
      <c r="AJ542" s="66">
        <f t="shared" si="88"/>
        <v>0.10209577332865004</v>
      </c>
      <c r="AK542" s="65">
        <f>AF542*X542</f>
        <v>0</v>
      </c>
      <c r="AL542" s="40">
        <f t="shared" si="95"/>
        <v>30520</v>
      </c>
      <c r="AM542" s="242">
        <f t="shared" si="93"/>
        <v>45260</v>
      </c>
      <c r="AN542" s="242" t="str">
        <f>IF(AQ542="x","",IF(AQ542="x",AM542,IF(EOMONTH(I542,0)=31,"",EOMONTH(I542,0))))</f>
        <v/>
      </c>
      <c r="AO542" s="79">
        <f>IFERROR(IF(VLOOKUP(C542,C543:C1143,1,0)=0,1,0),1)</f>
        <v>1</v>
      </c>
      <c r="AP542" s="79"/>
      <c r="AQ542" s="243" t="str">
        <f t="shared" si="89"/>
        <v>x</v>
      </c>
      <c r="AR542" s="242">
        <f>IF(AQ542="x",EOMONTH(I542,0))</f>
        <v>45291</v>
      </c>
      <c r="AS542" s="79">
        <f t="shared" si="84"/>
        <v>1</v>
      </c>
      <c r="AT542" s="79">
        <f t="shared" si="85"/>
        <v>1</v>
      </c>
      <c r="AU542" s="79" t="str">
        <f t="shared" si="86"/>
        <v>B</v>
      </c>
      <c r="AV542" s="79">
        <f t="shared" si="90"/>
        <v>1</v>
      </c>
      <c r="AW542" s="79" t="str">
        <f>J542&amp;AU542</f>
        <v>4B</v>
      </c>
      <c r="AX542" s="79">
        <f>IF(COUNTIFS(J:J,"Integral",E:E,E542,H:H,"Ativo")=4,1/4,1/10)</f>
        <v>0.1</v>
      </c>
      <c r="AY542" s="79" t="s">
        <v>1332</v>
      </c>
      <c r="AZ542" s="79" t="b">
        <v>1</v>
      </c>
    </row>
    <row r="543" spans="1:52" ht="15.75" customHeight="1">
      <c r="A543" s="54">
        <v>567</v>
      </c>
      <c r="B543" s="403">
        <v>45258</v>
      </c>
      <c r="C543" s="32" t="s">
        <v>1711</v>
      </c>
      <c r="D543" s="32" t="s">
        <v>1712</v>
      </c>
      <c r="E543" s="32" t="s">
        <v>1368</v>
      </c>
      <c r="F543" s="32" t="s">
        <v>1713</v>
      </c>
      <c r="G543" s="60" t="s">
        <v>220</v>
      </c>
      <c r="H543" s="33" t="s">
        <v>90</v>
      </c>
      <c r="I543" s="34"/>
      <c r="J543" s="33">
        <v>4</v>
      </c>
      <c r="K543" s="35" t="s">
        <v>1714</v>
      </c>
      <c r="L543" s="35" t="s">
        <v>1714</v>
      </c>
      <c r="M543" s="386" t="s">
        <v>1026</v>
      </c>
      <c r="N543" s="33" t="s">
        <v>68</v>
      </c>
      <c r="O543" s="33" t="s">
        <v>1235</v>
      </c>
      <c r="P543" s="33" t="s">
        <v>2</v>
      </c>
      <c r="Q543" s="47"/>
      <c r="R543" s="47"/>
      <c r="S543" s="45" t="s">
        <v>147</v>
      </c>
      <c r="T543" s="45"/>
      <c r="U543" s="37">
        <v>45251</v>
      </c>
      <c r="V543" s="38">
        <f t="shared" si="92"/>
        <v>45258</v>
      </c>
      <c r="W543" s="50">
        <f>V543-U543</f>
        <v>7</v>
      </c>
      <c r="X543" s="261">
        <f>Y543*0.91</f>
        <v>298935</v>
      </c>
      <c r="Y543" s="260">
        <v>328500</v>
      </c>
      <c r="Z543" s="263">
        <v>298500</v>
      </c>
      <c r="AA543" s="56"/>
      <c r="AB543" s="263"/>
      <c r="AC543" s="44">
        <v>0.09</v>
      </c>
      <c r="AD543" s="62">
        <v>9.2899999999999996E-2</v>
      </c>
      <c r="AE543" s="41">
        <f t="shared" si="94"/>
        <v>-2.8999999999999998E-3</v>
      </c>
      <c r="AF543" s="42">
        <v>2.8999999999999998E-3</v>
      </c>
      <c r="AG543" s="40">
        <f>IF((X543*AE543)&lt;0,0,(X543*AE543))</f>
        <v>0</v>
      </c>
      <c r="AH543" s="65">
        <f t="shared" si="87"/>
        <v>30000</v>
      </c>
      <c r="AI543" s="66">
        <f>AH543/X543</f>
        <v>0.10035626473982638</v>
      </c>
      <c r="AJ543" s="66">
        <f t="shared" si="88"/>
        <v>9.7456264739826381E-2</v>
      </c>
      <c r="AK543" s="65">
        <f>AF543*X543</f>
        <v>866.91149999999993</v>
      </c>
      <c r="AL543" s="40">
        <f t="shared" si="95"/>
        <v>29133.088500000002</v>
      </c>
      <c r="AM543" s="242">
        <f t="shared" si="93"/>
        <v>45260</v>
      </c>
      <c r="AN543" s="242" t="str">
        <f>IF(AQ543="x","",IF(AQ543="x",AM543,IF(EOMONTH(I543,0)=31,"",EOMONTH(I543,0))))</f>
        <v/>
      </c>
      <c r="AO543" s="79">
        <f>IFERROR(IF(VLOOKUP(C543,C544:C1144,1,0)=0,1,0),1)</f>
        <v>1</v>
      </c>
      <c r="AP543" s="79"/>
      <c r="AQ543" s="243" t="str">
        <f t="shared" si="89"/>
        <v/>
      </c>
      <c r="AR543" s="242" t="b">
        <f>IF(AQ543="x",EOMONTH(I543,0))</f>
        <v>0</v>
      </c>
      <c r="AS543" s="79">
        <f t="shared" si="84"/>
        <v>1</v>
      </c>
      <c r="AT543" s="79">
        <f t="shared" si="85"/>
        <v>1</v>
      </c>
      <c r="AU543" s="79" t="str">
        <f t="shared" si="86"/>
        <v>B</v>
      </c>
      <c r="AV543" s="79">
        <f t="shared" si="90"/>
        <v>1</v>
      </c>
      <c r="AW543" s="79" t="str">
        <f>J543&amp;AU543</f>
        <v>4B</v>
      </c>
      <c r="AX543" s="79">
        <f>IF(COUNTIFS(J:J,"Integral",E:E,E543,H:H,"Ativo")=4,1/4,1/10)</f>
        <v>0.1</v>
      </c>
      <c r="AY543" s="79" t="s">
        <v>1332</v>
      </c>
      <c r="AZ543" s="79" t="b">
        <v>1</v>
      </c>
    </row>
    <row r="544" spans="1:52" ht="15.75" customHeight="1">
      <c r="A544" s="54">
        <v>568</v>
      </c>
      <c r="B544" s="403">
        <v>45259</v>
      </c>
      <c r="C544" s="32" t="s">
        <v>1692</v>
      </c>
      <c r="D544" s="32" t="s">
        <v>1715</v>
      </c>
      <c r="E544" s="32" t="s">
        <v>1669</v>
      </c>
      <c r="F544" s="32" t="s">
        <v>1716</v>
      </c>
      <c r="G544" s="60" t="s">
        <v>220</v>
      </c>
      <c r="H544" s="33" t="s">
        <v>90</v>
      </c>
      <c r="I544" s="34"/>
      <c r="J544" s="33">
        <v>6</v>
      </c>
      <c r="K544" s="35" t="s">
        <v>1154</v>
      </c>
      <c r="L544" s="35" t="s">
        <v>981</v>
      </c>
      <c r="M544" s="409" t="s">
        <v>1717</v>
      </c>
      <c r="N544" s="33" t="s">
        <v>68</v>
      </c>
      <c r="O544" s="33" t="s">
        <v>10</v>
      </c>
      <c r="P544" s="33" t="s">
        <v>1</v>
      </c>
      <c r="Q544" s="47"/>
      <c r="R544" s="47"/>
      <c r="S544" s="45" t="s">
        <v>149</v>
      </c>
      <c r="T544" s="45"/>
      <c r="U544" s="37">
        <v>45255</v>
      </c>
      <c r="V544" s="38">
        <f t="shared" si="92"/>
        <v>45259</v>
      </c>
      <c r="W544" s="50">
        <f>V544-U544</f>
        <v>4</v>
      </c>
      <c r="X544" s="261">
        <f>Y544*0.91</f>
        <v>394940</v>
      </c>
      <c r="Y544" s="260">
        <v>434000</v>
      </c>
      <c r="Z544" s="263">
        <v>342000</v>
      </c>
      <c r="AA544" s="35" t="s">
        <v>999</v>
      </c>
      <c r="AB544" s="263"/>
      <c r="AC544" s="44">
        <v>7.0000000000000007E-2</v>
      </c>
      <c r="AD544" s="62">
        <v>2.06E-2</v>
      </c>
      <c r="AE544" s="41">
        <f t="shared" si="94"/>
        <v>4.9400000000000006E-2</v>
      </c>
      <c r="AF544" s="42"/>
      <c r="AG544" s="40">
        <f>IF((X544*AE544)&lt;0,0,(X544*AE544))</f>
        <v>19510.036000000004</v>
      </c>
      <c r="AH544" s="65">
        <f t="shared" si="87"/>
        <v>92000</v>
      </c>
      <c r="AI544" s="66">
        <f>AH544/X544</f>
        <v>0.23294677672557856</v>
      </c>
      <c r="AJ544" s="66">
        <f t="shared" si="88"/>
        <v>0.23294677672557856</v>
      </c>
      <c r="AK544" s="65">
        <f>AF544*X544</f>
        <v>0</v>
      </c>
      <c r="AL544" s="40">
        <f t="shared" si="95"/>
        <v>92000</v>
      </c>
      <c r="AM544" s="242">
        <f t="shared" si="93"/>
        <v>45260</v>
      </c>
      <c r="AN544" s="242" t="str">
        <f>IF(AQ544="x","",IF(AQ544="x",AM544,IF(EOMONTH(I544,0)=31,"",EOMONTH(I544,0))))</f>
        <v/>
      </c>
      <c r="AO544" s="79">
        <f>IFERROR(IF(VLOOKUP(C544,C545:C1145,1,0)=0,1,0),1)</f>
        <v>1</v>
      </c>
      <c r="AP544" s="79"/>
      <c r="AQ544" s="243" t="str">
        <f t="shared" si="89"/>
        <v/>
      </c>
      <c r="AR544" s="242" t="b">
        <f>IF(AQ544="x",EOMONTH(I544,0))</f>
        <v>0</v>
      </c>
      <c r="AS544" s="79">
        <f t="shared" si="84"/>
        <v>1</v>
      </c>
      <c r="AT544" s="79">
        <f t="shared" si="85"/>
        <v>1</v>
      </c>
      <c r="AU544" s="79" t="str">
        <f t="shared" si="86"/>
        <v>B</v>
      </c>
      <c r="AV544" s="79">
        <f t="shared" si="90"/>
        <v>1</v>
      </c>
      <c r="AW544" s="79" t="str">
        <f>J544&amp;AU544</f>
        <v>6B</v>
      </c>
      <c r="AX544" s="79">
        <f>IF(COUNTIFS(J:J,"Integral",E:E,E544,H:H,"Ativo")=4,1/4,1/10)</f>
        <v>0.1</v>
      </c>
      <c r="AY544" s="79" t="s">
        <v>1320</v>
      </c>
      <c r="AZ544" s="79" t="b">
        <v>1</v>
      </c>
    </row>
    <row r="545" spans="1:52" ht="15.75" customHeight="1">
      <c r="A545" s="54">
        <v>569</v>
      </c>
      <c r="B545" s="403">
        <v>45259</v>
      </c>
      <c r="C545" s="32" t="s">
        <v>1718</v>
      </c>
      <c r="D545" s="32" t="s">
        <v>1719</v>
      </c>
      <c r="E545" s="32" t="s">
        <v>1368</v>
      </c>
      <c r="F545" s="32" t="s">
        <v>1720</v>
      </c>
      <c r="G545" s="60" t="s">
        <v>220</v>
      </c>
      <c r="H545" s="33" t="s">
        <v>90</v>
      </c>
      <c r="I545" s="34"/>
      <c r="J545" s="33">
        <v>4</v>
      </c>
      <c r="K545" s="35" t="s">
        <v>289</v>
      </c>
      <c r="L545" s="35" t="s">
        <v>289</v>
      </c>
      <c r="M545" s="386" t="s">
        <v>246</v>
      </c>
      <c r="N545" s="33" t="s">
        <v>68</v>
      </c>
      <c r="O545" s="33" t="s">
        <v>10</v>
      </c>
      <c r="P545" s="33" t="s">
        <v>86</v>
      </c>
      <c r="Q545" s="47" t="s">
        <v>100</v>
      </c>
      <c r="R545" s="47"/>
      <c r="S545" s="45" t="s">
        <v>162</v>
      </c>
      <c r="T545" s="45"/>
      <c r="U545" s="37">
        <v>45258</v>
      </c>
      <c r="V545" s="38">
        <f t="shared" si="92"/>
        <v>45259</v>
      </c>
      <c r="W545" s="50">
        <f>V545-U545</f>
        <v>1</v>
      </c>
      <c r="X545" s="261">
        <f>Y545*0.91</f>
        <v>298935</v>
      </c>
      <c r="Y545" s="260">
        <v>328500</v>
      </c>
      <c r="Z545" s="263">
        <v>237475</v>
      </c>
      <c r="AA545" s="56"/>
      <c r="AB545" s="263"/>
      <c r="AC545" s="44">
        <v>0.09</v>
      </c>
      <c r="AD545" s="62">
        <v>9.1300000000000006E-2</v>
      </c>
      <c r="AE545" s="41">
        <f t="shared" si="94"/>
        <v>-1.3000000000000095E-3</v>
      </c>
      <c r="AF545" s="42">
        <v>1.2999999999999999E-3</v>
      </c>
      <c r="AG545" s="40">
        <f>IF((X545*AE545)&lt;0,0,(X545*AE545))</f>
        <v>0</v>
      </c>
      <c r="AH545" s="65">
        <f t="shared" si="87"/>
        <v>91025</v>
      </c>
      <c r="AI545" s="66">
        <f>AH545/X545</f>
        <v>0.30449763326475654</v>
      </c>
      <c r="AJ545" s="66">
        <f t="shared" si="88"/>
        <v>0.30319763326475652</v>
      </c>
      <c r="AK545" s="65">
        <f>AF545*X545</f>
        <v>388.6155</v>
      </c>
      <c r="AL545" s="40">
        <f t="shared" si="95"/>
        <v>90636.3845</v>
      </c>
      <c r="AM545" s="242">
        <f t="shared" si="93"/>
        <v>45260</v>
      </c>
      <c r="AN545" s="242" t="str">
        <f>IF(AQ545="x","",IF(AQ545="x",AM545,IF(EOMONTH(I545,0)=31,"",EOMONTH(I545,0))))</f>
        <v/>
      </c>
      <c r="AO545" s="79">
        <f>IFERROR(IF(VLOOKUP(C545,C546:C1145,1,0)=0,1,0),1)</f>
        <v>1</v>
      </c>
      <c r="AP545" s="79"/>
      <c r="AQ545" s="243" t="str">
        <f t="shared" si="89"/>
        <v/>
      </c>
      <c r="AR545" s="242" t="b">
        <f>IF(AQ545="x",EOMONTH(I545,0))</f>
        <v>0</v>
      </c>
      <c r="AS545" s="79">
        <f t="shared" si="84"/>
        <v>1</v>
      </c>
      <c r="AT545" s="79">
        <f t="shared" si="85"/>
        <v>1</v>
      </c>
      <c r="AU545" s="79" t="str">
        <f t="shared" si="86"/>
        <v>B</v>
      </c>
      <c r="AV545" s="79">
        <f t="shared" si="90"/>
        <v>1</v>
      </c>
      <c r="AW545" s="79" t="str">
        <f>J545&amp;AU545</f>
        <v>4B</v>
      </c>
      <c r="AX545" s="79">
        <f>IF(COUNTIFS(J:J,"Integral",E:E,E545,H:H,"Ativo")=4,1/4,1/10)</f>
        <v>0.1</v>
      </c>
      <c r="AY545" s="79" t="s">
        <v>1320</v>
      </c>
      <c r="AZ545" s="79" t="b">
        <v>1</v>
      </c>
    </row>
    <row r="546" spans="1:52" ht="15.75" customHeight="1">
      <c r="A546" s="54">
        <v>570</v>
      </c>
      <c r="B546" s="403">
        <v>45259</v>
      </c>
      <c r="C546" s="32" t="s">
        <v>1721</v>
      </c>
      <c r="D546" s="32" t="s">
        <v>1722</v>
      </c>
      <c r="E546" s="32" t="s">
        <v>1454</v>
      </c>
      <c r="F546" s="32" t="s">
        <v>1723</v>
      </c>
      <c r="G546" s="60" t="s">
        <v>220</v>
      </c>
      <c r="H546" s="33" t="s">
        <v>90</v>
      </c>
      <c r="I546" s="34"/>
      <c r="J546" s="33">
        <v>4</v>
      </c>
      <c r="K546" s="35" t="s">
        <v>1724</v>
      </c>
      <c r="L546" s="35" t="s">
        <v>1724</v>
      </c>
      <c r="M546" s="386" t="s">
        <v>246</v>
      </c>
      <c r="N546" s="33" t="s">
        <v>68</v>
      </c>
      <c r="O546" s="33" t="s">
        <v>10</v>
      </c>
      <c r="P546" s="33" t="s">
        <v>2</v>
      </c>
      <c r="Q546" s="47"/>
      <c r="R546" s="47"/>
      <c r="S546" s="45" t="s">
        <v>157</v>
      </c>
      <c r="T546" s="45"/>
      <c r="U546" s="37">
        <v>45255</v>
      </c>
      <c r="V546" s="38">
        <f t="shared" si="92"/>
        <v>45259</v>
      </c>
      <c r="W546" s="50">
        <f>V546-U546</f>
        <v>4</v>
      </c>
      <c r="X546" s="261">
        <f>Y546*0.91</f>
        <v>298935</v>
      </c>
      <c r="Y546" s="260">
        <v>328500</v>
      </c>
      <c r="Z546" s="263">
        <v>239200</v>
      </c>
      <c r="AA546" s="56"/>
      <c r="AB546" s="263"/>
      <c r="AC546" s="44">
        <v>0.09</v>
      </c>
      <c r="AD546" s="62">
        <v>0.1101</v>
      </c>
      <c r="AE546" s="41">
        <f t="shared" si="94"/>
        <v>-2.0100000000000007E-2</v>
      </c>
      <c r="AF546" s="42">
        <v>2.01E-2</v>
      </c>
      <c r="AG546" s="40">
        <f>IF((X546*AE546)&lt;0,0,(X546*AE546))</f>
        <v>0</v>
      </c>
      <c r="AH546" s="65">
        <f t="shared" si="87"/>
        <v>89300</v>
      </c>
      <c r="AI546" s="66">
        <f>AH546/X546</f>
        <v>0.29872714804221656</v>
      </c>
      <c r="AJ546" s="66">
        <f t="shared" si="88"/>
        <v>0.27862714804221655</v>
      </c>
      <c r="AK546" s="65">
        <f>AF546*X546</f>
        <v>6008.5934999999999</v>
      </c>
      <c r="AL546" s="40">
        <f t="shared" si="95"/>
        <v>83291.406499999997</v>
      </c>
      <c r="AM546" s="242">
        <f t="shared" si="93"/>
        <v>45260</v>
      </c>
      <c r="AN546" s="242" t="str">
        <f>IF(AQ546="x","",IF(AQ546="x",AM546,IF(EOMONTH(I546,0)=31,"",EOMONTH(I546,0))))</f>
        <v/>
      </c>
      <c r="AO546" s="79">
        <f>IFERROR(IF(VLOOKUP(C546,C547:C1147,1,0)=0,1,0),1)</f>
        <v>1</v>
      </c>
      <c r="AP546" s="79"/>
      <c r="AQ546" s="243" t="str">
        <f t="shared" si="89"/>
        <v/>
      </c>
      <c r="AR546" s="242" t="b">
        <f>IF(AQ546="x",EOMONTH(I546,0))</f>
        <v>0</v>
      </c>
      <c r="AS546" s="79">
        <f t="shared" si="84"/>
        <v>1</v>
      </c>
      <c r="AT546" s="79">
        <f t="shared" si="85"/>
        <v>1</v>
      </c>
      <c r="AU546" s="79" t="str">
        <f t="shared" si="86"/>
        <v>B</v>
      </c>
      <c r="AV546" s="79">
        <f t="shared" si="90"/>
        <v>1</v>
      </c>
      <c r="AW546" s="79" t="str">
        <f>J546&amp;AU546</f>
        <v>4B</v>
      </c>
      <c r="AX546" s="79">
        <f>IF(COUNTIFS(J:J,"Integral",E:E,E546,H:H,"Ativo")=4,1/4,1/10)</f>
        <v>0.1</v>
      </c>
      <c r="AY546" s="79" t="s">
        <v>1332</v>
      </c>
      <c r="AZ546" s="79" t="b">
        <v>1</v>
      </c>
    </row>
    <row r="547" spans="1:52" ht="15.75" customHeight="1">
      <c r="A547" s="54">
        <v>571</v>
      </c>
      <c r="B547" s="403">
        <v>45259</v>
      </c>
      <c r="C547" s="32" t="s">
        <v>1725</v>
      </c>
      <c r="D547" s="32" t="s">
        <v>735</v>
      </c>
      <c r="E547" s="32" t="s">
        <v>716</v>
      </c>
      <c r="F547" s="32" t="s">
        <v>1726</v>
      </c>
      <c r="G547" s="60" t="s">
        <v>220</v>
      </c>
      <c r="H547" s="33" t="s">
        <v>90</v>
      </c>
      <c r="I547" s="34"/>
      <c r="J547" s="33">
        <v>4</v>
      </c>
      <c r="K547" s="35" t="s">
        <v>1007</v>
      </c>
      <c r="L547" s="35" t="s">
        <v>1007</v>
      </c>
      <c r="M547" s="386" t="s">
        <v>246</v>
      </c>
      <c r="N547" s="33" t="s">
        <v>68</v>
      </c>
      <c r="O547" s="33" t="s">
        <v>12</v>
      </c>
      <c r="P547" s="33" t="s">
        <v>2</v>
      </c>
      <c r="Q547" s="47"/>
      <c r="R547" s="47"/>
      <c r="S547" s="45" t="s">
        <v>147</v>
      </c>
      <c r="T547" s="45"/>
      <c r="U547" s="37">
        <v>45223</v>
      </c>
      <c r="V547" s="38">
        <f t="shared" si="92"/>
        <v>45259</v>
      </c>
      <c r="W547" s="50">
        <f>V547-U547</f>
        <v>36</v>
      </c>
      <c r="X547" s="261">
        <f>Y547*0.91</f>
        <v>298935</v>
      </c>
      <c r="Y547" s="260">
        <v>328500</v>
      </c>
      <c r="Z547" s="263">
        <v>298500</v>
      </c>
      <c r="AA547" s="56"/>
      <c r="AB547" s="263"/>
      <c r="AC547" s="44">
        <v>0.09</v>
      </c>
      <c r="AD547" s="62">
        <v>8.3099999999999993E-2</v>
      </c>
      <c r="AE547" s="41">
        <f t="shared" si="94"/>
        <v>6.9000000000000034E-3</v>
      </c>
      <c r="AF547" s="42"/>
      <c r="AG547" s="40">
        <f>IF((X547*AE547)&lt;0,0,(X547*AE547))</f>
        <v>2062.6515000000009</v>
      </c>
      <c r="AH547" s="65">
        <f t="shared" si="87"/>
        <v>30000</v>
      </c>
      <c r="AI547" s="66">
        <f>AH547/X547</f>
        <v>0.10035626473982638</v>
      </c>
      <c r="AJ547" s="66">
        <f t="shared" si="88"/>
        <v>0.10035626473982638</v>
      </c>
      <c r="AK547" s="65">
        <f>AF547*X547</f>
        <v>0</v>
      </c>
      <c r="AL547" s="40">
        <f t="shared" si="95"/>
        <v>30000</v>
      </c>
      <c r="AM547" s="242">
        <f t="shared" si="93"/>
        <v>45260</v>
      </c>
      <c r="AN547" s="242" t="str">
        <f>IF(AQ547="x","",IF(AQ547="x",AM547,IF(EOMONTH(I547,0)=31,"",EOMONTH(I547,0))))</f>
        <v/>
      </c>
      <c r="AO547" s="79">
        <f>IFERROR(IF(VLOOKUP(C547,C548:C1148,1,0)=0,1,0),1)</f>
        <v>1</v>
      </c>
      <c r="AP547" s="79"/>
      <c r="AQ547" s="243" t="str">
        <f t="shared" si="89"/>
        <v/>
      </c>
      <c r="AR547" s="242" t="b">
        <f>IF(AQ547="x",EOMONTH(I547,0))</f>
        <v>0</v>
      </c>
      <c r="AS547" s="79">
        <f t="shared" si="84"/>
        <v>1</v>
      </c>
      <c r="AT547" s="79">
        <f t="shared" si="85"/>
        <v>1</v>
      </c>
      <c r="AU547" s="79" t="str">
        <f t="shared" si="86"/>
        <v>B</v>
      </c>
      <c r="AV547" s="79">
        <f t="shared" si="90"/>
        <v>1</v>
      </c>
      <c r="AW547" s="79" t="str">
        <f>J547&amp;AU547</f>
        <v>4B</v>
      </c>
      <c r="AX547" s="79">
        <f>IF(COUNTIFS(J:J,"Integral",E:E,E547,H:H,"Ativo")=4,1/4,1/10)</f>
        <v>0.1</v>
      </c>
      <c r="AY547" s="79" t="s">
        <v>1320</v>
      </c>
      <c r="AZ547" s="79" t="b">
        <v>1</v>
      </c>
    </row>
    <row r="548" spans="1:52" ht="15.75" customHeight="1">
      <c r="A548" s="54">
        <v>572</v>
      </c>
      <c r="B548" s="403">
        <v>45259</v>
      </c>
      <c r="C548" s="32" t="s">
        <v>1504</v>
      </c>
      <c r="D548" s="32" t="s">
        <v>1727</v>
      </c>
      <c r="E548" s="32" t="s">
        <v>431</v>
      </c>
      <c r="F548" s="32" t="s">
        <v>1728</v>
      </c>
      <c r="G548" s="60" t="s">
        <v>220</v>
      </c>
      <c r="H548" s="33" t="s">
        <v>90</v>
      </c>
      <c r="I548" s="34"/>
      <c r="J548" s="33">
        <v>6</v>
      </c>
      <c r="K548" s="35" t="s">
        <v>1007</v>
      </c>
      <c r="L548" s="35" t="s">
        <v>1007</v>
      </c>
      <c r="M548" s="386" t="s">
        <v>246</v>
      </c>
      <c r="N548" s="33" t="s">
        <v>68</v>
      </c>
      <c r="O548" s="33" t="s">
        <v>12</v>
      </c>
      <c r="P548" s="33" t="s">
        <v>2</v>
      </c>
      <c r="Q548" s="47"/>
      <c r="R548" s="47"/>
      <c r="S548" s="45" t="s">
        <v>145</v>
      </c>
      <c r="T548" s="45"/>
      <c r="U548" s="37">
        <v>45177</v>
      </c>
      <c r="V548" s="38">
        <f t="shared" si="92"/>
        <v>45259</v>
      </c>
      <c r="W548" s="50">
        <f>V548-U548</f>
        <v>82</v>
      </c>
      <c r="X548" s="261">
        <f>Y548*0.91</f>
        <v>439530</v>
      </c>
      <c r="Y548" s="260">
        <v>483000</v>
      </c>
      <c r="Z548" s="263">
        <v>454420</v>
      </c>
      <c r="AA548" s="56"/>
      <c r="AB548" s="263"/>
      <c r="AC548" s="44">
        <v>0.09</v>
      </c>
      <c r="AD548" s="62">
        <v>2.75E-2</v>
      </c>
      <c r="AE548" s="41">
        <f t="shared" si="94"/>
        <v>6.25E-2</v>
      </c>
      <c r="AF548" s="42"/>
      <c r="AG548" s="40">
        <f>IF((X548*AE548)&lt;0,0,(X548*AE548))</f>
        <v>27470.625</v>
      </c>
      <c r="AH548" s="65">
        <f t="shared" si="87"/>
        <v>28580</v>
      </c>
      <c r="AI548" s="66">
        <f>AH548/X548</f>
        <v>6.5024002912201673E-2</v>
      </c>
      <c r="AJ548" s="66">
        <f t="shared" si="88"/>
        <v>6.5024002912201673E-2</v>
      </c>
      <c r="AK548" s="65">
        <f>AF548*X548</f>
        <v>0</v>
      </c>
      <c r="AL548" s="40">
        <f t="shared" si="95"/>
        <v>28580</v>
      </c>
      <c r="AM548" s="242">
        <f t="shared" si="93"/>
        <v>45260</v>
      </c>
      <c r="AN548" s="242" t="str">
        <f>IF(AQ548="x","",IF(AQ548="x",AM548,IF(EOMONTH(I548,0)=31,"",EOMONTH(I548,0))))</f>
        <v/>
      </c>
      <c r="AO548" s="79">
        <f>IFERROR(IF(VLOOKUP(C548,C549:C1149,1,0)=0,1,0),1)</f>
        <v>1</v>
      </c>
      <c r="AP548" s="79"/>
      <c r="AQ548" s="243" t="str">
        <f t="shared" si="89"/>
        <v/>
      </c>
      <c r="AR548" s="242" t="b">
        <f>IF(AQ548="x",EOMONTH(I548,0))</f>
        <v>0</v>
      </c>
      <c r="AS548" s="79">
        <f t="shared" ref="AS548:AS611" si="96">IF(AH548&lt;0,0,1)</f>
        <v>1</v>
      </c>
      <c r="AT548" s="79">
        <f t="shared" ref="AT548:AT611" si="97">IF(AL548&lt;0,0,1)</f>
        <v>1</v>
      </c>
      <c r="AU548" s="79" t="str">
        <f t="shared" ref="AU548:AU611" si="98">MID(E548,1,1)</f>
        <v>B</v>
      </c>
      <c r="AV548" s="79">
        <f t="shared" si="90"/>
        <v>1</v>
      </c>
      <c r="AW548" s="79" t="str">
        <f>J548&amp;AU548</f>
        <v>6B</v>
      </c>
      <c r="AX548" s="79">
        <f>IF(COUNTIFS(J:J,"Integral",E:E,E548,H:H,"Ativo")=4,1/4,1/10)</f>
        <v>0.1</v>
      </c>
      <c r="AY548" s="79" t="s">
        <v>1320</v>
      </c>
      <c r="AZ548" s="79" t="b">
        <v>1</v>
      </c>
    </row>
    <row r="549" spans="1:52" ht="15.75" customHeight="1">
      <c r="A549" s="54">
        <v>573</v>
      </c>
      <c r="B549" s="403">
        <v>45260</v>
      </c>
      <c r="C549" s="32" t="s">
        <v>1729</v>
      </c>
      <c r="D549" s="32" t="s">
        <v>1730</v>
      </c>
      <c r="E549" s="32" t="s">
        <v>1499</v>
      </c>
      <c r="F549" s="32" t="s">
        <v>1731</v>
      </c>
      <c r="G549" s="60" t="s">
        <v>220</v>
      </c>
      <c r="H549" s="33" t="s">
        <v>90</v>
      </c>
      <c r="I549" s="34"/>
      <c r="J549" s="33">
        <v>4</v>
      </c>
      <c r="K549" s="35" t="s">
        <v>981</v>
      </c>
      <c r="L549" s="35" t="s">
        <v>981</v>
      </c>
      <c r="M549" s="386" t="s">
        <v>1026</v>
      </c>
      <c r="N549" s="33" t="s">
        <v>68</v>
      </c>
      <c r="O549" s="33" t="s">
        <v>12</v>
      </c>
      <c r="P549" s="33" t="s">
        <v>86</v>
      </c>
      <c r="Q549" s="47" t="s">
        <v>100</v>
      </c>
      <c r="R549" s="47"/>
      <c r="S549" s="45" t="s">
        <v>169</v>
      </c>
      <c r="T549" s="45"/>
      <c r="U549" s="37">
        <v>45249</v>
      </c>
      <c r="V549" s="38">
        <f t="shared" si="92"/>
        <v>45260</v>
      </c>
      <c r="W549" s="50">
        <f>V549-U549</f>
        <v>11</v>
      </c>
      <c r="X549" s="261">
        <f>Y549*0.91</f>
        <v>298935</v>
      </c>
      <c r="Y549" s="260">
        <v>328500</v>
      </c>
      <c r="Z549" s="263">
        <v>298500.09999999998</v>
      </c>
      <c r="AA549" s="56"/>
      <c r="AB549" s="263"/>
      <c r="AC549" s="44">
        <v>0.09</v>
      </c>
      <c r="AD549" s="62">
        <v>9.4600000000000004E-2</v>
      </c>
      <c r="AE549" s="41">
        <f t="shared" si="94"/>
        <v>-4.6000000000000069E-3</v>
      </c>
      <c r="AF549" s="42">
        <v>4.5999999999999999E-3</v>
      </c>
      <c r="AG549" s="40">
        <f>IF((X549*AE549)&lt;0,0,(X549*AE549))</f>
        <v>0</v>
      </c>
      <c r="AH549" s="65">
        <f t="shared" si="87"/>
        <v>29999.900000000023</v>
      </c>
      <c r="AI549" s="66">
        <f>AH549/X549</f>
        <v>0.100355930218944</v>
      </c>
      <c r="AJ549" s="66">
        <f t="shared" si="88"/>
        <v>9.5755930218943991E-2</v>
      </c>
      <c r="AK549" s="65">
        <f>AF549*X549</f>
        <v>1375.1009999999999</v>
      </c>
      <c r="AL549" s="40">
        <f t="shared" si="95"/>
        <v>28624.799000000025</v>
      </c>
      <c r="AM549" s="242">
        <f t="shared" si="93"/>
        <v>45260</v>
      </c>
      <c r="AN549" s="242" t="str">
        <f>IF(AQ549="x","",IF(AQ549="x",AM549,IF(EOMONTH(I549,0)=31,"",EOMONTH(I549,0))))</f>
        <v/>
      </c>
      <c r="AO549" s="79">
        <f>IFERROR(IF(VLOOKUP(C549,C550:C1150,1,0)=0,1,0),1)</f>
        <v>1</v>
      </c>
      <c r="AP549" s="79"/>
      <c r="AQ549" s="243" t="str">
        <f t="shared" si="89"/>
        <v/>
      </c>
      <c r="AR549" s="242" t="b">
        <f>IF(AQ549="x",EOMONTH(I549,0))</f>
        <v>0</v>
      </c>
      <c r="AS549" s="79">
        <f t="shared" si="96"/>
        <v>1</v>
      </c>
      <c r="AT549" s="79">
        <f t="shared" si="97"/>
        <v>1</v>
      </c>
      <c r="AU549" s="79" t="str">
        <f t="shared" si="98"/>
        <v>B</v>
      </c>
      <c r="AV549" s="79">
        <f t="shared" si="90"/>
        <v>1</v>
      </c>
      <c r="AW549" s="79" t="str">
        <f>J549&amp;AU549</f>
        <v>4B</v>
      </c>
      <c r="AX549" s="79">
        <f>IF(COUNTIFS(J:J,"Integral",E:E,E549,H:H,"Ativo")=4,1/4,1/10)</f>
        <v>0.1</v>
      </c>
      <c r="AY549" s="79" t="s">
        <v>1535</v>
      </c>
      <c r="AZ549" s="79" t="b">
        <v>1</v>
      </c>
    </row>
    <row r="550" spans="1:52" ht="15.75" customHeight="1">
      <c r="A550" s="54">
        <v>574</v>
      </c>
      <c r="B550" s="403">
        <v>45260</v>
      </c>
      <c r="C550" s="32" t="s">
        <v>1732</v>
      </c>
      <c r="D550" s="32" t="s">
        <v>1733</v>
      </c>
      <c r="E550" s="32" t="s">
        <v>1342</v>
      </c>
      <c r="F550" s="32" t="s">
        <v>1734</v>
      </c>
      <c r="G550" s="60" t="s">
        <v>243</v>
      </c>
      <c r="H550" s="33" t="s">
        <v>244</v>
      </c>
      <c r="I550" s="34">
        <v>45263</v>
      </c>
      <c r="J550" s="33">
        <v>4</v>
      </c>
      <c r="K550" s="35" t="s">
        <v>1210</v>
      </c>
      <c r="L550" s="35" t="s">
        <v>1210</v>
      </c>
      <c r="M550" s="386" t="s">
        <v>246</v>
      </c>
      <c r="N550" s="33" t="s">
        <v>68</v>
      </c>
      <c r="O550" s="33" t="s">
        <v>12</v>
      </c>
      <c r="P550" s="33" t="s">
        <v>2</v>
      </c>
      <c r="Q550" s="47"/>
      <c r="R550" s="47"/>
      <c r="S550" s="45" t="s">
        <v>147</v>
      </c>
      <c r="T550" s="45"/>
      <c r="U550" s="68">
        <v>45256</v>
      </c>
      <c r="V550" s="48">
        <f t="shared" si="92"/>
        <v>45260</v>
      </c>
      <c r="W550" s="50">
        <f>V550-U550</f>
        <v>4</v>
      </c>
      <c r="X550" s="265">
        <f>Y550*0.91</f>
        <v>298935</v>
      </c>
      <c r="Y550" s="67">
        <v>328500</v>
      </c>
      <c r="Z550" s="267">
        <v>298395</v>
      </c>
      <c r="AA550" s="56"/>
      <c r="AB550" s="267"/>
      <c r="AC550" s="44">
        <v>0.09</v>
      </c>
      <c r="AD550" s="62">
        <v>9.1300000000000006E-2</v>
      </c>
      <c r="AE550" s="41">
        <f t="shared" si="94"/>
        <v>-1.3000000000000095E-3</v>
      </c>
      <c r="AF550" s="42">
        <v>1.2999999999999999E-3</v>
      </c>
      <c r="AG550" s="40">
        <f>IF((X550*AE550)&lt;0,0,(X550*AE550))</f>
        <v>0</v>
      </c>
      <c r="AH550" s="65">
        <f t="shared" ref="AH550:AH613" si="99">Y550-Z550</f>
        <v>30105</v>
      </c>
      <c r="AI550" s="66">
        <f>AH550/X550</f>
        <v>0.10070751166641577</v>
      </c>
      <c r="AJ550" s="66">
        <f t="shared" ref="AJ550:AJ613" si="100">AI550-AF550</f>
        <v>9.9407511666415774E-2</v>
      </c>
      <c r="AK550" s="65">
        <f>AF550*X550</f>
        <v>388.6155</v>
      </c>
      <c r="AL550" s="40">
        <f t="shared" si="95"/>
        <v>29716.3845</v>
      </c>
      <c r="AM550" s="242">
        <f t="shared" si="93"/>
        <v>45260</v>
      </c>
      <c r="AN550" s="242" t="str">
        <f>IF(AQ550="x","",IF(AQ550="x",AM550,IF(EOMONTH(I550,0)=31,"",EOMONTH(I550,0))))</f>
        <v/>
      </c>
      <c r="AO550" s="79">
        <f>IFERROR(IF(VLOOKUP(C550,C551:C1151,1,0)=0,1,0),1)</f>
        <v>1</v>
      </c>
      <c r="AP550" s="79"/>
      <c r="AQ550" s="243" t="str">
        <f t="shared" si="89"/>
        <v>x</v>
      </c>
      <c r="AR550" s="242">
        <f>IF(AQ550="x",EOMONTH(I550,0))</f>
        <v>45291</v>
      </c>
      <c r="AS550" s="79">
        <f t="shared" si="96"/>
        <v>1</v>
      </c>
      <c r="AT550" s="79">
        <f t="shared" si="97"/>
        <v>1</v>
      </c>
      <c r="AU550" s="79" t="str">
        <f t="shared" si="98"/>
        <v>B</v>
      </c>
      <c r="AV550" s="79">
        <f t="shared" si="90"/>
        <v>1</v>
      </c>
      <c r="AW550" s="79" t="str">
        <f>J550&amp;AU550</f>
        <v>4B</v>
      </c>
      <c r="AX550" s="79">
        <f>IF(COUNTIFS(J:J,"Integral",E:E,E550,H:H,"Ativo")=4,1/4,1/10)</f>
        <v>0.1</v>
      </c>
      <c r="AY550" s="79" t="s">
        <v>1320</v>
      </c>
      <c r="AZ550" s="79" t="b">
        <v>1</v>
      </c>
    </row>
    <row r="551" spans="1:52" ht="15.75" customHeight="1">
      <c r="A551" s="54">
        <v>575</v>
      </c>
      <c r="B551" s="403">
        <v>45260</v>
      </c>
      <c r="C551" s="32" t="s">
        <v>1735</v>
      </c>
      <c r="D551" s="32" t="s">
        <v>1736</v>
      </c>
      <c r="E551" s="32" t="s">
        <v>1118</v>
      </c>
      <c r="F551" s="32" t="s">
        <v>1737</v>
      </c>
      <c r="G551" s="60" t="s">
        <v>220</v>
      </c>
      <c r="H551" s="33" t="s">
        <v>90</v>
      </c>
      <c r="I551" s="34"/>
      <c r="J551" s="33">
        <v>4</v>
      </c>
      <c r="K551" s="35" t="s">
        <v>1007</v>
      </c>
      <c r="L551" s="35" t="s">
        <v>1007</v>
      </c>
      <c r="M551" s="386" t="s">
        <v>246</v>
      </c>
      <c r="N551" s="33" t="s">
        <v>68</v>
      </c>
      <c r="O551" s="33" t="s">
        <v>12</v>
      </c>
      <c r="P551" s="33" t="s">
        <v>2</v>
      </c>
      <c r="Q551" s="47"/>
      <c r="R551" s="47"/>
      <c r="S551" s="45" t="s">
        <v>161</v>
      </c>
      <c r="T551" s="45"/>
      <c r="U551" s="37">
        <v>45162</v>
      </c>
      <c r="V551" s="38">
        <f t="shared" si="92"/>
        <v>45260</v>
      </c>
      <c r="W551" s="50">
        <f>V551-U551</f>
        <v>98</v>
      </c>
      <c r="X551" s="261">
        <f>Y551*0.91</f>
        <v>298935</v>
      </c>
      <c r="Y551" s="260">
        <v>328500</v>
      </c>
      <c r="Z551" s="263">
        <v>298500</v>
      </c>
      <c r="AA551" s="56"/>
      <c r="AB551" s="263"/>
      <c r="AC551" s="44">
        <v>0.09</v>
      </c>
      <c r="AD551" s="62">
        <v>9.1300000000000006E-2</v>
      </c>
      <c r="AE551" s="41">
        <f t="shared" si="94"/>
        <v>-1.3000000000000095E-3</v>
      </c>
      <c r="AF551" s="42">
        <v>1.2999999999999999E-3</v>
      </c>
      <c r="AG551" s="40">
        <f>IF((X551*AE551)&lt;0,0,(X551*AE551))</f>
        <v>0</v>
      </c>
      <c r="AH551" s="65">
        <f t="shared" si="99"/>
        <v>30000</v>
      </c>
      <c r="AI551" s="66">
        <f>AH551/X551</f>
        <v>0.10035626473982638</v>
      </c>
      <c r="AJ551" s="66">
        <f t="shared" si="100"/>
        <v>9.9056264739826386E-2</v>
      </c>
      <c r="AK551" s="65">
        <f>AF551*X551</f>
        <v>388.6155</v>
      </c>
      <c r="AL551" s="40">
        <f t="shared" si="95"/>
        <v>29611.3845</v>
      </c>
      <c r="AM551" s="242">
        <f t="shared" si="93"/>
        <v>45260</v>
      </c>
      <c r="AN551" s="242" t="str">
        <f>IF(AQ551="x","",IF(AQ551="x",AM551,IF(EOMONTH(I551,0)=31,"",EOMONTH(I551,0))))</f>
        <v/>
      </c>
      <c r="AO551" s="79">
        <f>IFERROR(IF(VLOOKUP(C551,C552:C1152,1,0)=0,1,0),1)</f>
        <v>1</v>
      </c>
      <c r="AP551" s="79"/>
      <c r="AQ551" s="243" t="str">
        <f t="shared" si="89"/>
        <v/>
      </c>
      <c r="AR551" s="242" t="b">
        <f>IF(AQ551="x",EOMONTH(I551,0))</f>
        <v>0</v>
      </c>
      <c r="AS551" s="79">
        <f t="shared" si="96"/>
        <v>1</v>
      </c>
      <c r="AT551" s="79">
        <f t="shared" si="97"/>
        <v>1</v>
      </c>
      <c r="AU551" s="79" t="str">
        <f t="shared" si="98"/>
        <v>B</v>
      </c>
      <c r="AV551" s="79">
        <f t="shared" si="90"/>
        <v>1</v>
      </c>
      <c r="AW551" s="79" t="str">
        <f>J551&amp;AU551</f>
        <v>4B</v>
      </c>
      <c r="AX551" s="79">
        <f>IF(COUNTIFS(J:J,"Integral",E:E,E551,H:H,"Ativo")=4,1/4,1/10)</f>
        <v>0.1</v>
      </c>
      <c r="AY551" s="79" t="s">
        <v>1332</v>
      </c>
      <c r="AZ551" s="79" t="b">
        <v>1</v>
      </c>
    </row>
    <row r="552" spans="1:52" ht="15.75" customHeight="1">
      <c r="A552" s="54">
        <v>576</v>
      </c>
      <c r="B552" s="403">
        <v>45260</v>
      </c>
      <c r="C552" s="32" t="s">
        <v>1738</v>
      </c>
      <c r="D552" s="32" t="s">
        <v>1739</v>
      </c>
      <c r="E552" s="32" t="s">
        <v>1368</v>
      </c>
      <c r="F552" s="32" t="s">
        <v>1740</v>
      </c>
      <c r="G552" s="60" t="s">
        <v>220</v>
      </c>
      <c r="H552" s="33" t="s">
        <v>90</v>
      </c>
      <c r="I552" s="34"/>
      <c r="J552" s="33">
        <v>4</v>
      </c>
      <c r="K552" s="35" t="s">
        <v>981</v>
      </c>
      <c r="L552" s="35" t="s">
        <v>981</v>
      </c>
      <c r="M552" s="386" t="s">
        <v>1026</v>
      </c>
      <c r="N552" s="33" t="s">
        <v>68</v>
      </c>
      <c r="O552" s="33" t="s">
        <v>11</v>
      </c>
      <c r="P552" s="33" t="s">
        <v>86</v>
      </c>
      <c r="Q552" s="47" t="s">
        <v>100</v>
      </c>
      <c r="R552" s="47"/>
      <c r="S552" s="45" t="s">
        <v>143</v>
      </c>
      <c r="T552" s="45"/>
      <c r="U552" s="37">
        <v>45244</v>
      </c>
      <c r="V552" s="38">
        <f t="shared" si="92"/>
        <v>45260</v>
      </c>
      <c r="W552" s="50">
        <f>V552-U552</f>
        <v>16</v>
      </c>
      <c r="X552" s="261">
        <f>Y552*0.91</f>
        <v>298935</v>
      </c>
      <c r="Y552" s="260">
        <v>328500</v>
      </c>
      <c r="Z552" s="263">
        <v>241670</v>
      </c>
      <c r="AA552" s="56"/>
      <c r="AB552" s="263"/>
      <c r="AC552" s="44">
        <v>0.09</v>
      </c>
      <c r="AD552" s="62">
        <v>9.1200000000000003E-2</v>
      </c>
      <c r="AE552" s="41">
        <f t="shared" si="94"/>
        <v>-1.2000000000000066E-3</v>
      </c>
      <c r="AF552" s="42">
        <v>1.1999999999999999E-3</v>
      </c>
      <c r="AG552" s="40">
        <f>IF((X552*AE552)&lt;0,0,(X552*AE552))</f>
        <v>0</v>
      </c>
      <c r="AH552" s="65">
        <f t="shared" si="99"/>
        <v>86830</v>
      </c>
      <c r="AI552" s="66">
        <f>AH552/X552</f>
        <v>0.29046448224530419</v>
      </c>
      <c r="AJ552" s="66">
        <f t="shared" si="100"/>
        <v>0.28926448224530421</v>
      </c>
      <c r="AK552" s="65">
        <f>AF552*X552</f>
        <v>358.72199999999998</v>
      </c>
      <c r="AL552" s="40">
        <f t="shared" si="95"/>
        <v>86471.278000000006</v>
      </c>
      <c r="AM552" s="242">
        <f t="shared" si="93"/>
        <v>45260</v>
      </c>
      <c r="AN552" s="242" t="str">
        <f>IF(AQ552="x","",IF(AQ552="x",AM552,IF(EOMONTH(I552,0)=31,"",EOMONTH(I552,0))))</f>
        <v/>
      </c>
      <c r="AO552" s="79">
        <f>IFERROR(IF(VLOOKUP(C552,C553:C1153,1,0)=0,1,0),1)</f>
        <v>1</v>
      </c>
      <c r="AP552" s="79"/>
      <c r="AQ552" s="243" t="str">
        <f t="shared" si="89"/>
        <v/>
      </c>
      <c r="AR552" s="242" t="b">
        <f>IF(AQ552="x",EOMONTH(I552,0))</f>
        <v>0</v>
      </c>
      <c r="AS552" s="79">
        <f t="shared" si="96"/>
        <v>1</v>
      </c>
      <c r="AT552" s="79">
        <f t="shared" si="97"/>
        <v>1</v>
      </c>
      <c r="AU552" s="79" t="str">
        <f t="shared" si="98"/>
        <v>B</v>
      </c>
      <c r="AV552" s="79">
        <f t="shared" si="90"/>
        <v>1</v>
      </c>
      <c r="AW552" s="79" t="str">
        <f>J552&amp;AU552</f>
        <v>4B</v>
      </c>
      <c r="AX552" s="79">
        <f>IF(COUNTIFS(J:J,"Integral",E:E,E552,H:H,"Ativo")=4,1/4,1/10)</f>
        <v>0.1</v>
      </c>
      <c r="AY552" s="79" t="s">
        <v>1320</v>
      </c>
      <c r="AZ552" s="79" t="b">
        <v>1</v>
      </c>
    </row>
    <row r="553" spans="1:52" ht="15.75" customHeight="1">
      <c r="A553" s="54">
        <v>577</v>
      </c>
      <c r="B553" s="403">
        <v>45260</v>
      </c>
      <c r="C553" s="32" t="s">
        <v>1741</v>
      </c>
      <c r="D553" s="32" t="s">
        <v>1742</v>
      </c>
      <c r="E553" s="32" t="s">
        <v>1390</v>
      </c>
      <c r="F553" s="32" t="s">
        <v>1743</v>
      </c>
      <c r="G553" s="60" t="s">
        <v>220</v>
      </c>
      <c r="H553" s="33" t="s">
        <v>90</v>
      </c>
      <c r="I553" s="34"/>
      <c r="J553" s="33">
        <v>4</v>
      </c>
      <c r="K553" s="35" t="s">
        <v>981</v>
      </c>
      <c r="L553" s="35" t="s">
        <v>981</v>
      </c>
      <c r="M553" s="386" t="s">
        <v>1026</v>
      </c>
      <c r="N553" s="33" t="s">
        <v>68</v>
      </c>
      <c r="O553" s="33" t="s">
        <v>10</v>
      </c>
      <c r="P553" s="33" t="s">
        <v>86</v>
      </c>
      <c r="Q553" s="47" t="s">
        <v>100</v>
      </c>
      <c r="R553" s="47"/>
      <c r="S553" s="45" t="s">
        <v>143</v>
      </c>
      <c r="T553" s="45"/>
      <c r="U553" s="37">
        <v>45244</v>
      </c>
      <c r="V553" s="38">
        <f t="shared" si="92"/>
        <v>45260</v>
      </c>
      <c r="W553" s="50">
        <f>V553-U553</f>
        <v>16</v>
      </c>
      <c r="X553" s="261">
        <f>Y553*0.91</f>
        <v>298935</v>
      </c>
      <c r="Y553" s="260">
        <v>328500</v>
      </c>
      <c r="Z553" s="263">
        <v>239500</v>
      </c>
      <c r="AA553" s="56"/>
      <c r="AB553" s="263"/>
      <c r="AC553" s="44">
        <v>0.09</v>
      </c>
      <c r="AD553" s="62">
        <v>9.8500000000000004E-2</v>
      </c>
      <c r="AE553" s="41">
        <f t="shared" si="94"/>
        <v>-8.5000000000000075E-3</v>
      </c>
      <c r="AF553" s="42">
        <v>8.5000000000000006E-3</v>
      </c>
      <c r="AG553" s="40">
        <f>IF((X553*AE553)&lt;0,0,(X553*AE553))</f>
        <v>0</v>
      </c>
      <c r="AH553" s="65">
        <f t="shared" si="99"/>
        <v>89000</v>
      </c>
      <c r="AI553" s="66">
        <f>AH553/X553</f>
        <v>0.29772358539481825</v>
      </c>
      <c r="AJ553" s="66">
        <f t="shared" si="100"/>
        <v>0.28922358539481824</v>
      </c>
      <c r="AK553" s="65">
        <f>AF553*X553</f>
        <v>2540.9475000000002</v>
      </c>
      <c r="AL553" s="40">
        <f t="shared" si="95"/>
        <v>86459.052500000005</v>
      </c>
      <c r="AM553" s="242">
        <f t="shared" si="93"/>
        <v>45260</v>
      </c>
      <c r="AN553" s="242" t="str">
        <f>IF(AQ553="x","",IF(AQ553="x",AM553,IF(EOMONTH(I553,0)=31,"",EOMONTH(I553,0))))</f>
        <v/>
      </c>
      <c r="AO553" s="350">
        <v>1</v>
      </c>
      <c r="AP553" s="350"/>
      <c r="AQ553" s="243" t="str">
        <f t="shared" ref="AQ553:AQ616" si="101">IF(MID(G553,1,15)="NAO ASSINADO","x","")</f>
        <v/>
      </c>
      <c r="AR553" s="242" t="b">
        <f>IF(AQ553="x",EOMONTH(I553,0))</f>
        <v>0</v>
      </c>
      <c r="AS553" s="79">
        <f t="shared" si="96"/>
        <v>1</v>
      </c>
      <c r="AT553" s="79">
        <f t="shared" si="97"/>
        <v>1</v>
      </c>
      <c r="AU553" s="79" t="str">
        <f t="shared" si="98"/>
        <v>B</v>
      </c>
      <c r="AV553" s="79">
        <f t="shared" si="90"/>
        <v>1</v>
      </c>
      <c r="AW553" s="79" t="str">
        <f>J553&amp;AU553</f>
        <v>4B</v>
      </c>
      <c r="AX553" s="79">
        <f>IF(COUNTIFS(J:J,"Integral",E:E,E553,H:H,"Ativo")=4,1/4,1/10)</f>
        <v>0.1</v>
      </c>
      <c r="AY553" s="79" t="s">
        <v>1320</v>
      </c>
      <c r="AZ553" s="79" t="b">
        <v>1</v>
      </c>
    </row>
    <row r="554" spans="1:52" ht="15.75" customHeight="1">
      <c r="A554" s="54">
        <v>578</v>
      </c>
      <c r="B554" s="403">
        <v>45260</v>
      </c>
      <c r="C554" s="32" t="s">
        <v>1276</v>
      </c>
      <c r="D554" s="32" t="s">
        <v>1744</v>
      </c>
      <c r="E554" s="32" t="s">
        <v>1684</v>
      </c>
      <c r="F554" s="32" t="s">
        <v>1745</v>
      </c>
      <c r="G554" s="60" t="s">
        <v>220</v>
      </c>
      <c r="H554" s="33" t="s">
        <v>90</v>
      </c>
      <c r="I554" s="34"/>
      <c r="J554" s="33">
        <v>6</v>
      </c>
      <c r="K554" s="35" t="s">
        <v>1154</v>
      </c>
      <c r="L554" s="35" t="s">
        <v>1154</v>
      </c>
      <c r="M554" s="386" t="s">
        <v>246</v>
      </c>
      <c r="N554" s="33" t="s">
        <v>68</v>
      </c>
      <c r="O554" s="33" t="s">
        <v>11</v>
      </c>
      <c r="P554" s="33" t="s">
        <v>1</v>
      </c>
      <c r="Q554" s="47"/>
      <c r="R554" s="47"/>
      <c r="S554" s="45" t="s">
        <v>163</v>
      </c>
      <c r="T554" s="45"/>
      <c r="U554" s="37">
        <v>45150</v>
      </c>
      <c r="V554" s="38">
        <f t="shared" si="92"/>
        <v>45260</v>
      </c>
      <c r="W554" s="50">
        <f>V554-U554</f>
        <v>110</v>
      </c>
      <c r="X554" s="261">
        <f>Y554*0.91</f>
        <v>394940</v>
      </c>
      <c r="Y554" s="260">
        <v>434000</v>
      </c>
      <c r="Z554" s="263">
        <v>412000</v>
      </c>
      <c r="AA554" s="56"/>
      <c r="AB554" s="263"/>
      <c r="AC554" s="44">
        <v>0.09</v>
      </c>
      <c r="AD554" s="62">
        <v>4.4000000000000003E-3</v>
      </c>
      <c r="AE554" s="41">
        <f t="shared" si="94"/>
        <v>8.5599999999999996E-2</v>
      </c>
      <c r="AF554" s="42"/>
      <c r="AG554" s="40">
        <f>IF((X554*AE554)&lt;0,0,(X554*AE554))</f>
        <v>33806.864000000001</v>
      </c>
      <c r="AH554" s="65">
        <f t="shared" si="99"/>
        <v>22000</v>
      </c>
      <c r="AI554" s="66">
        <f>AH554/X554</f>
        <v>5.5704663999594874E-2</v>
      </c>
      <c r="AJ554" s="66">
        <f t="shared" si="100"/>
        <v>5.5704663999594874E-2</v>
      </c>
      <c r="AK554" s="65">
        <f>AF554*X554</f>
        <v>0</v>
      </c>
      <c r="AL554" s="40">
        <f t="shared" si="95"/>
        <v>22000</v>
      </c>
      <c r="AM554" s="242">
        <f t="shared" si="93"/>
        <v>45260</v>
      </c>
      <c r="AN554" s="242" t="str">
        <f>IF(AQ554="x","",IF(AQ554="x",AM554,IF(EOMONTH(I554,0)=31,"",EOMONTH(I554,0))))</f>
        <v/>
      </c>
      <c r="AO554" s="79">
        <f>IFERROR(IF(VLOOKUP(C554,C555:C1155,1,0)=0,1,0),1)</f>
        <v>1</v>
      </c>
      <c r="AP554" s="79"/>
      <c r="AQ554" s="243" t="str">
        <f t="shared" si="101"/>
        <v/>
      </c>
      <c r="AR554" s="242" t="b">
        <f>IF(AQ554="x",EOMONTH(I554,0))</f>
        <v>0</v>
      </c>
      <c r="AS554" s="79">
        <f t="shared" si="96"/>
        <v>1</v>
      </c>
      <c r="AT554" s="79">
        <f t="shared" si="97"/>
        <v>1</v>
      </c>
      <c r="AU554" s="79" t="str">
        <f t="shared" si="98"/>
        <v>B</v>
      </c>
      <c r="AV554" s="79">
        <f t="shared" si="90"/>
        <v>1</v>
      </c>
      <c r="AW554" s="79" t="str">
        <f>J554&amp;AU554</f>
        <v>6B</v>
      </c>
      <c r="AX554" s="79">
        <f>IF(COUNTIFS(J:J,"Integral",E:E,E554,H:H,"Ativo")=4,1/4,1/10)</f>
        <v>0.1</v>
      </c>
      <c r="AY554" s="79" t="s">
        <v>1320</v>
      </c>
      <c r="AZ554" s="79" t="b">
        <v>1</v>
      </c>
    </row>
    <row r="555" spans="1:52" ht="15.75" customHeight="1">
      <c r="A555" s="54">
        <v>579</v>
      </c>
      <c r="B555" s="403">
        <v>45261</v>
      </c>
      <c r="C555" s="32" t="s">
        <v>1746</v>
      </c>
      <c r="D555" s="32" t="s">
        <v>1747</v>
      </c>
      <c r="E555" s="32" t="s">
        <v>960</v>
      </c>
      <c r="F555" s="32" t="s">
        <v>1748</v>
      </c>
      <c r="G555" s="60" t="s">
        <v>243</v>
      </c>
      <c r="H555" s="33" t="s">
        <v>244</v>
      </c>
      <c r="I555" s="34">
        <v>45286</v>
      </c>
      <c r="J555" s="33">
        <v>4</v>
      </c>
      <c r="K555" s="35" t="s">
        <v>981</v>
      </c>
      <c r="L555" s="35" t="s">
        <v>981</v>
      </c>
      <c r="M555" s="386" t="s">
        <v>1026</v>
      </c>
      <c r="N555" s="33" t="s">
        <v>68</v>
      </c>
      <c r="O555" s="33" t="s">
        <v>12</v>
      </c>
      <c r="P555" s="33" t="s">
        <v>86</v>
      </c>
      <c r="Q555" s="47"/>
      <c r="R555" s="47"/>
      <c r="S555" s="45" t="s">
        <v>169</v>
      </c>
      <c r="T555" s="45"/>
      <c r="U555" s="70">
        <v>45259</v>
      </c>
      <c r="V555" s="48">
        <f t="shared" si="92"/>
        <v>45261</v>
      </c>
      <c r="W555" s="50">
        <f>V555-U555</f>
        <v>2</v>
      </c>
      <c r="X555" s="265">
        <f>Y555*0.91</f>
        <v>298935</v>
      </c>
      <c r="Y555" s="67">
        <v>328500</v>
      </c>
      <c r="Z555" s="267">
        <v>298500</v>
      </c>
      <c r="AA555" s="56"/>
      <c r="AB555" s="267"/>
      <c r="AC555" s="44">
        <v>0.09</v>
      </c>
      <c r="AD555" s="62">
        <v>9.4500000000000001E-2</v>
      </c>
      <c r="AE555" s="41">
        <f t="shared" si="94"/>
        <v>-4.500000000000004E-3</v>
      </c>
      <c r="AF555" s="42">
        <v>4.4999999999999997E-3</v>
      </c>
      <c r="AG555" s="40">
        <f>IF((X555*AE555)&lt;0,0,(X555*AE555))</f>
        <v>0</v>
      </c>
      <c r="AH555" s="65">
        <f t="shared" si="99"/>
        <v>30000</v>
      </c>
      <c r="AI555" s="66">
        <f>AH555/X555</f>
        <v>0.10035626473982638</v>
      </c>
      <c r="AJ555" s="66">
        <f t="shared" si="100"/>
        <v>9.5856264739826377E-2</v>
      </c>
      <c r="AK555" s="65">
        <f>AF555*X555</f>
        <v>1345.2075</v>
      </c>
      <c r="AL555" s="40">
        <f t="shared" si="95"/>
        <v>28654.7925</v>
      </c>
      <c r="AM555" s="242">
        <f t="shared" si="93"/>
        <v>45291</v>
      </c>
      <c r="AN555" s="242" t="str">
        <f>IF(AQ555="x","",IF(AQ555="x",AM555,IF(EOMONTH(I555,0)=31,"",EOMONTH(I555,0))))</f>
        <v/>
      </c>
      <c r="AO555" s="79">
        <f>IFERROR(IF(VLOOKUP(C555,C556:C1156,1,0)=0,1,0),1)</f>
        <v>1</v>
      </c>
      <c r="AP555" s="79"/>
      <c r="AQ555" s="243" t="str">
        <f t="shared" si="101"/>
        <v>x</v>
      </c>
      <c r="AR555" s="242">
        <f>IF(AQ555="x",EOMONTH(I555,0))</f>
        <v>45291</v>
      </c>
      <c r="AS555" s="79">
        <f t="shared" si="96"/>
        <v>1</v>
      </c>
      <c r="AT555" s="79">
        <f t="shared" si="97"/>
        <v>1</v>
      </c>
      <c r="AU555" s="79" t="str">
        <f t="shared" si="98"/>
        <v>B</v>
      </c>
      <c r="AV555" s="79">
        <f t="shared" si="90"/>
        <v>1</v>
      </c>
      <c r="AW555" s="79" t="str">
        <f>J555&amp;AU555</f>
        <v>4B</v>
      </c>
      <c r="AX555" s="79">
        <f>IF(COUNTIFS(J:J,"Integral",E:E,E555,H:H,"Ativo")=4,1/4,1/10)</f>
        <v>0.1</v>
      </c>
      <c r="AY555" s="79" t="s">
        <v>1320</v>
      </c>
      <c r="AZ555" s="79" t="b">
        <v>1</v>
      </c>
    </row>
    <row r="556" spans="1:52" ht="15.75" customHeight="1">
      <c r="A556" s="54">
        <v>580</v>
      </c>
      <c r="B556" s="403">
        <v>45260</v>
      </c>
      <c r="C556" s="32" t="s">
        <v>1749</v>
      </c>
      <c r="D556" s="32" t="s">
        <v>1750</v>
      </c>
      <c r="E556" s="32" t="s">
        <v>1499</v>
      </c>
      <c r="F556" s="32" t="s">
        <v>1751</v>
      </c>
      <c r="G556" s="60" t="s">
        <v>220</v>
      </c>
      <c r="H556" s="33" t="s">
        <v>244</v>
      </c>
      <c r="I556" s="34">
        <v>45390</v>
      </c>
      <c r="J556" s="33">
        <v>4</v>
      </c>
      <c r="K556" s="35" t="s">
        <v>1149</v>
      </c>
      <c r="L556" s="35" t="s">
        <v>1149</v>
      </c>
      <c r="M556" s="386" t="s">
        <v>1026</v>
      </c>
      <c r="N556" s="33" t="s">
        <v>68</v>
      </c>
      <c r="O556" s="33" t="s">
        <v>12</v>
      </c>
      <c r="P556" s="33" t="s">
        <v>2</v>
      </c>
      <c r="Q556" s="47"/>
      <c r="R556" s="47"/>
      <c r="S556" s="45" t="s">
        <v>147</v>
      </c>
      <c r="T556" s="45"/>
      <c r="U556" s="37">
        <v>45260</v>
      </c>
      <c r="V556" s="38">
        <f t="shared" si="92"/>
        <v>45260</v>
      </c>
      <c r="W556" s="50">
        <f>V556-U556</f>
        <v>0</v>
      </c>
      <c r="X556" s="261">
        <f>Y556*0.91</f>
        <v>298935</v>
      </c>
      <c r="Y556" s="260">
        <v>328500</v>
      </c>
      <c r="Z556" s="263">
        <v>304140</v>
      </c>
      <c r="AA556" s="56"/>
      <c r="AB556" s="263"/>
      <c r="AC556" s="44">
        <v>0.09</v>
      </c>
      <c r="AD556" s="62">
        <v>9.1300000000000006E-2</v>
      </c>
      <c r="AE556" s="41">
        <f t="shared" si="94"/>
        <v>-1.3000000000000095E-3</v>
      </c>
      <c r="AF556" s="42">
        <v>1.2999999999999999E-3</v>
      </c>
      <c r="AG556" s="40">
        <f>IF((X556*AE556)&lt;0,0,(X556*AE556))</f>
        <v>0</v>
      </c>
      <c r="AH556" s="65">
        <f t="shared" si="99"/>
        <v>24360</v>
      </c>
      <c r="AI556" s="66">
        <f>AH556/X556</f>
        <v>8.1489286968739028E-2</v>
      </c>
      <c r="AJ556" s="66">
        <f t="shared" si="100"/>
        <v>8.0189286968739032E-2</v>
      </c>
      <c r="AK556" s="65">
        <f>AF556*X556</f>
        <v>388.6155</v>
      </c>
      <c r="AL556" s="40">
        <f t="shared" si="95"/>
        <v>23971.3845</v>
      </c>
      <c r="AM556" s="242">
        <f t="shared" si="93"/>
        <v>45260</v>
      </c>
      <c r="AN556" s="242">
        <f>IF(AQ556="x","",IF(AQ556="x",AM556,IF(EOMONTH(I556,0)=31,"",EOMONTH(I556,0))))</f>
        <v>45412</v>
      </c>
      <c r="AO556" s="79">
        <f>IFERROR(IF(VLOOKUP(C556,C557:C1157,1,0)=0,1,0),1)</f>
        <v>1</v>
      </c>
      <c r="AP556" s="79"/>
      <c r="AQ556" s="243" t="str">
        <f t="shared" si="101"/>
        <v/>
      </c>
      <c r="AR556" s="242" t="b">
        <f>IF(AQ556="x",EOMONTH(I556,0))</f>
        <v>0</v>
      </c>
      <c r="AS556" s="79">
        <f t="shared" si="96"/>
        <v>1</v>
      </c>
      <c r="AT556" s="79">
        <f t="shared" si="97"/>
        <v>1</v>
      </c>
      <c r="AU556" s="79" t="str">
        <f t="shared" si="98"/>
        <v>B</v>
      </c>
      <c r="AV556" s="79">
        <f t="shared" si="90"/>
        <v>1</v>
      </c>
      <c r="AW556" s="79" t="str">
        <f>J556&amp;AU556</f>
        <v>4B</v>
      </c>
      <c r="AX556" s="79">
        <f>IF(COUNTIFS(J:J,"Integral",E:E,E556,H:H,"Ativo")=4,1/4,1/10)</f>
        <v>0.1</v>
      </c>
      <c r="AY556" s="79" t="s">
        <v>1320</v>
      </c>
      <c r="AZ556" s="79" t="b">
        <v>1</v>
      </c>
    </row>
    <row r="557" spans="1:52" ht="15.75" customHeight="1">
      <c r="A557" s="54">
        <v>581</v>
      </c>
      <c r="B557" s="403">
        <v>45260</v>
      </c>
      <c r="C557" s="32" t="s">
        <v>1752</v>
      </c>
      <c r="D557" s="32" t="s">
        <v>1753</v>
      </c>
      <c r="E557" s="32" t="s">
        <v>1499</v>
      </c>
      <c r="F557" s="32" t="s">
        <v>1754</v>
      </c>
      <c r="G557" s="60" t="s">
        <v>220</v>
      </c>
      <c r="H557" s="33" t="s">
        <v>90</v>
      </c>
      <c r="I557" s="34"/>
      <c r="J557" s="33">
        <v>4</v>
      </c>
      <c r="K557" s="35" t="s">
        <v>1755</v>
      </c>
      <c r="L557" s="35" t="s">
        <v>1755</v>
      </c>
      <c r="M557" s="67" t="s">
        <v>1755</v>
      </c>
      <c r="N557" s="33" t="s">
        <v>73</v>
      </c>
      <c r="O557" s="33" t="s">
        <v>11</v>
      </c>
      <c r="P557" s="33" t="s">
        <v>85</v>
      </c>
      <c r="Q557" s="47"/>
      <c r="R557" s="47"/>
      <c r="S557" s="45" t="s">
        <v>149</v>
      </c>
      <c r="T557" s="45"/>
      <c r="U557" s="37">
        <v>45251</v>
      </c>
      <c r="V557" s="38">
        <f t="shared" si="92"/>
        <v>45260</v>
      </c>
      <c r="W557" s="50">
        <f>V557-U557</f>
        <v>9</v>
      </c>
      <c r="X557" s="261">
        <f>Y557*0.91</f>
        <v>298935</v>
      </c>
      <c r="Y557" s="260">
        <v>328500</v>
      </c>
      <c r="Z557" s="263">
        <v>227239.98</v>
      </c>
      <c r="AA557" s="56"/>
      <c r="AB557" s="263"/>
      <c r="AC557" s="44">
        <v>0.09</v>
      </c>
      <c r="AD557" s="62">
        <v>0.15010000000000001</v>
      </c>
      <c r="AE557" s="41">
        <f t="shared" si="94"/>
        <v>-6.0100000000000015E-2</v>
      </c>
      <c r="AF557" s="42">
        <v>6.0100000000000001E-2</v>
      </c>
      <c r="AG557" s="40">
        <f>IF((X557*AE557)&lt;0,0,(X557*AE557))</f>
        <v>0</v>
      </c>
      <c r="AH557" s="65">
        <f t="shared" si="99"/>
        <v>101260.01999999999</v>
      </c>
      <c r="AI557" s="66">
        <f>AH557/X557</f>
        <v>0.3387359124893371</v>
      </c>
      <c r="AJ557" s="66">
        <f t="shared" si="100"/>
        <v>0.27863591248933711</v>
      </c>
      <c r="AK557" s="65">
        <f>AF557*X557</f>
        <v>17965.9935</v>
      </c>
      <c r="AL557" s="40">
        <f t="shared" si="95"/>
        <v>83294.026499999993</v>
      </c>
      <c r="AM557" s="242">
        <f t="shared" si="93"/>
        <v>45260</v>
      </c>
      <c r="AN557" s="242" t="str">
        <f>IF(AQ557="x","",IF(AQ557="x",AM557,IF(EOMONTH(I557,0)=31,"",EOMONTH(I557,0))))</f>
        <v/>
      </c>
      <c r="AO557" s="79">
        <f>IFERROR(IF(VLOOKUP(C557,C558:C1158,1,0)=0,1,0),1)</f>
        <v>1</v>
      </c>
      <c r="AP557" s="79"/>
      <c r="AQ557" s="243" t="str">
        <f t="shared" si="101"/>
        <v/>
      </c>
      <c r="AR557" s="242" t="b">
        <f>IF(AQ557="x",EOMONTH(I557,0))</f>
        <v>0</v>
      </c>
      <c r="AS557" s="79">
        <f t="shared" si="96"/>
        <v>1</v>
      </c>
      <c r="AT557" s="79">
        <f t="shared" si="97"/>
        <v>1</v>
      </c>
      <c r="AU557" s="79" t="str">
        <f t="shared" si="98"/>
        <v>B</v>
      </c>
      <c r="AV557" s="79">
        <f t="shared" si="90"/>
        <v>1</v>
      </c>
      <c r="AW557" s="79" t="str">
        <f>J557&amp;AU557</f>
        <v>4B</v>
      </c>
      <c r="AX557" s="79">
        <f>IF(COUNTIFS(J:J,"Integral",E:E,E557,H:H,"Ativo")=4,1/4,1/10)</f>
        <v>0.1</v>
      </c>
      <c r="AY557" s="79" t="s">
        <v>1535</v>
      </c>
      <c r="AZ557" s="79" t="b">
        <v>1</v>
      </c>
    </row>
    <row r="558" spans="1:52" ht="15.75" customHeight="1">
      <c r="A558" s="54">
        <v>582</v>
      </c>
      <c r="B558" s="403">
        <v>45260</v>
      </c>
      <c r="C558" s="32" t="s">
        <v>1756</v>
      </c>
      <c r="D558" s="32" t="s">
        <v>240</v>
      </c>
      <c r="E558" s="32" t="s">
        <v>241</v>
      </c>
      <c r="F558" s="32" t="s">
        <v>1757</v>
      </c>
      <c r="G558" s="60" t="s">
        <v>220</v>
      </c>
      <c r="H558" s="33" t="s">
        <v>90</v>
      </c>
      <c r="I558" s="34"/>
      <c r="J558" s="33">
        <v>13</v>
      </c>
      <c r="K558" s="35" t="s">
        <v>1165</v>
      </c>
      <c r="L558" s="35" t="s">
        <v>1165</v>
      </c>
      <c r="M558" s="386" t="s">
        <v>1026</v>
      </c>
      <c r="N558" s="33" t="s">
        <v>68</v>
      </c>
      <c r="O558" s="33" t="s">
        <v>12</v>
      </c>
      <c r="P558" s="33" t="s">
        <v>2</v>
      </c>
      <c r="Q558" s="47"/>
      <c r="R558" s="47"/>
      <c r="S558" s="45" t="s">
        <v>144</v>
      </c>
      <c r="T558" s="45"/>
      <c r="U558" s="37">
        <v>45249</v>
      </c>
      <c r="V558" s="38">
        <f t="shared" si="92"/>
        <v>45260</v>
      </c>
      <c r="W558" s="50">
        <f>V558-U558</f>
        <v>11</v>
      </c>
      <c r="X558" s="261">
        <f>Y558*0.91</f>
        <v>1227590</v>
      </c>
      <c r="Y558" s="260">
        <v>1349000</v>
      </c>
      <c r="Z558" s="263">
        <v>1238000</v>
      </c>
      <c r="AA558" s="56"/>
      <c r="AB558" s="263"/>
      <c r="AC558" s="44">
        <v>0.09</v>
      </c>
      <c r="AD558" s="62">
        <v>-6.0000000000000001E-3</v>
      </c>
      <c r="AE558" s="41">
        <f t="shared" si="94"/>
        <v>9.6000000000000002E-2</v>
      </c>
      <c r="AF558" s="42"/>
      <c r="AG558" s="40">
        <f>IF((X558*AE558)&lt;0,0,(X558*AE558))</f>
        <v>117848.64</v>
      </c>
      <c r="AH558" s="65">
        <f t="shared" si="99"/>
        <v>111000</v>
      </c>
      <c r="AI558" s="66">
        <f>AH558/X558</f>
        <v>9.0421068923663445E-2</v>
      </c>
      <c r="AJ558" s="66">
        <f t="shared" si="100"/>
        <v>9.0421068923663445E-2</v>
      </c>
      <c r="AK558" s="65">
        <f>AF558*X558</f>
        <v>0</v>
      </c>
      <c r="AL558" s="40">
        <f t="shared" si="95"/>
        <v>111000</v>
      </c>
      <c r="AM558" s="242">
        <f t="shared" si="93"/>
        <v>45260</v>
      </c>
      <c r="AN558" s="242" t="str">
        <f>IF(AQ558="x","",IF(AQ558="x",AM558,IF(EOMONTH(I558,0)=31,"",EOMONTH(I558,0))))</f>
        <v/>
      </c>
      <c r="AO558" s="79">
        <f>IFERROR(IF(VLOOKUP(C558,C559:C1159,1,0)=0,1,0),1)</f>
        <v>1</v>
      </c>
      <c r="AP558" s="79"/>
      <c r="AQ558" s="243" t="str">
        <f t="shared" si="101"/>
        <v/>
      </c>
      <c r="AR558" s="242" t="b">
        <f>IF(AQ558="x",EOMONTH(I558,0))</f>
        <v>0</v>
      </c>
      <c r="AS558" s="79">
        <f t="shared" si="96"/>
        <v>1</v>
      </c>
      <c r="AT558" s="79">
        <f t="shared" si="97"/>
        <v>1</v>
      </c>
      <c r="AU558" s="79" t="str">
        <f t="shared" si="98"/>
        <v>A</v>
      </c>
      <c r="AV558" s="79">
        <f t="shared" si="90"/>
        <v>1</v>
      </c>
      <c r="AW558" s="79" t="str">
        <f>J558&amp;AU558</f>
        <v>13A</v>
      </c>
      <c r="AX558" s="79">
        <f>IF(COUNTIFS(J:J,"Integral",E:E,E558,H:H,"Ativo")=4,1/4,1/10)</f>
        <v>0.1</v>
      </c>
      <c r="AY558" s="79" t="s">
        <v>1535</v>
      </c>
      <c r="AZ558" s="79" t="b">
        <v>1</v>
      </c>
    </row>
    <row r="559" spans="1:52" ht="15.75" customHeight="1">
      <c r="A559" s="54">
        <v>583</v>
      </c>
      <c r="B559" s="403">
        <v>45266</v>
      </c>
      <c r="C559" s="32" t="s">
        <v>1758</v>
      </c>
      <c r="D559" s="32" t="s">
        <v>815</v>
      </c>
      <c r="E559" s="32" t="s">
        <v>811</v>
      </c>
      <c r="F559" s="32" t="s">
        <v>1759</v>
      </c>
      <c r="G559" s="60" t="s">
        <v>243</v>
      </c>
      <c r="H559" s="33" t="s">
        <v>244</v>
      </c>
      <c r="I559" s="34">
        <v>45274</v>
      </c>
      <c r="J559" s="33">
        <v>13</v>
      </c>
      <c r="K559" s="35" t="s">
        <v>981</v>
      </c>
      <c r="L559" s="35" t="s">
        <v>1512</v>
      </c>
      <c r="M559" s="386" t="s">
        <v>1026</v>
      </c>
      <c r="N559" s="33" t="s">
        <v>68</v>
      </c>
      <c r="O559" s="33" t="s">
        <v>11</v>
      </c>
      <c r="P559" s="33" t="s">
        <v>1</v>
      </c>
      <c r="Q559" s="47"/>
      <c r="R559" s="47"/>
      <c r="S559" s="45" t="s">
        <v>150</v>
      </c>
      <c r="T559" s="45"/>
      <c r="U559" s="70">
        <v>45262</v>
      </c>
      <c r="V559" s="48">
        <f t="shared" si="92"/>
        <v>45266</v>
      </c>
      <c r="W559" s="50">
        <f>V559-U559</f>
        <v>4</v>
      </c>
      <c r="X559" s="265">
        <f>Y559*0.91</f>
        <v>1638910</v>
      </c>
      <c r="Y559" s="67">
        <v>1801000</v>
      </c>
      <c r="Z559" s="267">
        <v>1500000</v>
      </c>
      <c r="AA559" s="56" t="s">
        <v>1596</v>
      </c>
      <c r="AB559" s="267"/>
      <c r="AC559" s="44">
        <v>0.09</v>
      </c>
      <c r="AD559" s="62">
        <v>-2.3599999999999999E-2</v>
      </c>
      <c r="AE559" s="41">
        <f t="shared" si="94"/>
        <v>0.11359999999999999</v>
      </c>
      <c r="AF559" s="42"/>
      <c r="AG559" s="40">
        <f>IF((X559*AE559)&lt;0,0,(X559*AE559))</f>
        <v>186180.17599999998</v>
      </c>
      <c r="AH559" s="65">
        <f t="shared" si="99"/>
        <v>301000</v>
      </c>
      <c r="AI559" s="66">
        <f>AH559/X559</f>
        <v>0.18365865117669672</v>
      </c>
      <c r="AJ559" s="66">
        <f t="shared" si="100"/>
        <v>0.18365865117669672</v>
      </c>
      <c r="AK559" s="65">
        <f>AF559*X559</f>
        <v>0</v>
      </c>
      <c r="AL559" s="40">
        <f t="shared" si="95"/>
        <v>301000</v>
      </c>
      <c r="AM559" s="242">
        <f t="shared" si="93"/>
        <v>45291</v>
      </c>
      <c r="AN559" s="242" t="str">
        <f>IF(AQ559="x","",IF(AQ559="x",AM559,IF(EOMONTH(I559,0)=31,"",EOMONTH(I559,0))))</f>
        <v/>
      </c>
      <c r="AO559" s="79">
        <f>IFERROR(IF(VLOOKUP(C559,C560:C1160,1,0)=0,1,0),1)</f>
        <v>1</v>
      </c>
      <c r="AP559" s="79"/>
      <c r="AQ559" s="243" t="str">
        <f t="shared" si="101"/>
        <v>x</v>
      </c>
      <c r="AR559" s="242">
        <f>IF(AQ559="x",EOMONTH(I559,0))</f>
        <v>45291</v>
      </c>
      <c r="AS559" s="79">
        <f t="shared" si="96"/>
        <v>1</v>
      </c>
      <c r="AT559" s="79">
        <f t="shared" si="97"/>
        <v>1</v>
      </c>
      <c r="AU559" s="79" t="str">
        <f t="shared" si="98"/>
        <v>A</v>
      </c>
      <c r="AV559" s="79">
        <f t="shared" si="90"/>
        <v>1</v>
      </c>
      <c r="AW559" s="79" t="str">
        <f>J559&amp;AU559</f>
        <v>13A</v>
      </c>
      <c r="AX559" s="79">
        <f>IF(COUNTIFS(J:J,"Integral",E:E,E559,H:H,"Ativo")=4,1/4,1/10)</f>
        <v>0.1</v>
      </c>
      <c r="AY559" s="79" t="s">
        <v>1320</v>
      </c>
      <c r="AZ559" s="79" t="b">
        <v>1</v>
      </c>
    </row>
    <row r="560" spans="1:52" ht="15.75" customHeight="1">
      <c r="A560" s="54">
        <v>584</v>
      </c>
      <c r="B560" s="403">
        <v>45267</v>
      </c>
      <c r="C560" s="32" t="s">
        <v>1760</v>
      </c>
      <c r="D560" s="32" t="s">
        <v>1761</v>
      </c>
      <c r="E560" s="32" t="s">
        <v>1268</v>
      </c>
      <c r="F560" s="32" t="s">
        <v>1762</v>
      </c>
      <c r="G560" s="60" t="s">
        <v>220</v>
      </c>
      <c r="H560" s="33" t="s">
        <v>90</v>
      </c>
      <c r="I560" s="34"/>
      <c r="J560" s="33">
        <v>6</v>
      </c>
      <c r="K560" s="35" t="s">
        <v>981</v>
      </c>
      <c r="L560" s="35" t="s">
        <v>981</v>
      </c>
      <c r="M560" s="386" t="s">
        <v>1026</v>
      </c>
      <c r="N560" s="33" t="s">
        <v>68</v>
      </c>
      <c r="O560" s="33" t="s">
        <v>11</v>
      </c>
      <c r="P560" s="33" t="s">
        <v>86</v>
      </c>
      <c r="Q560" s="47" t="s">
        <v>100</v>
      </c>
      <c r="R560" s="47"/>
      <c r="S560" s="45" t="s">
        <v>145</v>
      </c>
      <c r="T560" s="45"/>
      <c r="U560" s="37">
        <v>45249</v>
      </c>
      <c r="V560" s="38">
        <f t="shared" si="92"/>
        <v>45267</v>
      </c>
      <c r="W560" s="50">
        <f>V560-U560</f>
        <v>18</v>
      </c>
      <c r="X560" s="261">
        <f>Y560*0.91</f>
        <v>432250</v>
      </c>
      <c r="Y560" s="260">
        <v>475000</v>
      </c>
      <c r="Z560" s="263">
        <v>406600</v>
      </c>
      <c r="AA560" s="56"/>
      <c r="AB560" s="263"/>
      <c r="AC560" s="44">
        <v>0.09</v>
      </c>
      <c r="AD560" s="62">
        <v>-1.6000000000000001E-3</v>
      </c>
      <c r="AE560" s="41">
        <f t="shared" si="94"/>
        <v>9.1600000000000001E-2</v>
      </c>
      <c r="AF560" s="42"/>
      <c r="AG560" s="40">
        <f>IF((X560*AE560)&lt;0,0,(X560*AE560))</f>
        <v>39594.1</v>
      </c>
      <c r="AH560" s="65">
        <f t="shared" si="99"/>
        <v>68400</v>
      </c>
      <c r="AI560" s="66">
        <f>AH560/X560</f>
        <v>0.15824175824175823</v>
      </c>
      <c r="AJ560" s="66">
        <f t="shared" si="100"/>
        <v>0.15824175824175823</v>
      </c>
      <c r="AK560" s="65">
        <f>AF560*X560</f>
        <v>0</v>
      </c>
      <c r="AL560" s="40">
        <f t="shared" si="95"/>
        <v>68400</v>
      </c>
      <c r="AM560" s="242">
        <f t="shared" si="93"/>
        <v>45291</v>
      </c>
      <c r="AN560" s="242" t="str">
        <f>IF(AQ560="x","",IF(AQ560="x",AM560,IF(EOMONTH(I560,0)=31,"",EOMONTH(I560,0))))</f>
        <v/>
      </c>
      <c r="AO560" s="79">
        <f>IFERROR(IF(VLOOKUP(C560,C561:C1161,1,0)=0,1,0),1)</f>
        <v>1</v>
      </c>
      <c r="AP560" s="79"/>
      <c r="AQ560" s="243" t="str">
        <f t="shared" si="101"/>
        <v/>
      </c>
      <c r="AR560" s="242" t="b">
        <f>IF(AQ560="x",EOMONTH(I560,0))</f>
        <v>0</v>
      </c>
      <c r="AS560" s="79">
        <f t="shared" si="96"/>
        <v>1</v>
      </c>
      <c r="AT560" s="79">
        <f t="shared" si="97"/>
        <v>1</v>
      </c>
      <c r="AU560" s="79" t="str">
        <f t="shared" si="98"/>
        <v>B</v>
      </c>
      <c r="AV560" s="79">
        <f t="shared" si="90"/>
        <v>1</v>
      </c>
      <c r="AW560" s="79" t="str">
        <f>J560&amp;AU560</f>
        <v>6B</v>
      </c>
      <c r="AX560" s="79">
        <f>IF(COUNTIFS(J:J,"Integral",E:E,E560,H:H,"Ativo")=4,1/4,1/10)</f>
        <v>0.1</v>
      </c>
      <c r="AY560" s="79" t="s">
        <v>1535</v>
      </c>
      <c r="AZ560" s="79" t="b">
        <v>1</v>
      </c>
    </row>
    <row r="561" spans="1:52" ht="15.75" customHeight="1">
      <c r="A561" s="54">
        <v>585</v>
      </c>
      <c r="B561" s="403">
        <v>45272</v>
      </c>
      <c r="C561" s="32" t="s">
        <v>1763</v>
      </c>
      <c r="D561" s="32" t="s">
        <v>389</v>
      </c>
      <c r="E561" s="32" t="s">
        <v>385</v>
      </c>
      <c r="F561" s="32" t="s">
        <v>1764</v>
      </c>
      <c r="G561" s="60" t="s">
        <v>220</v>
      </c>
      <c r="H561" s="33" t="s">
        <v>337</v>
      </c>
      <c r="I561" s="34">
        <v>45535</v>
      </c>
      <c r="J561" s="33">
        <v>6</v>
      </c>
      <c r="K561" s="35" t="s">
        <v>1149</v>
      </c>
      <c r="L561" s="35" t="s">
        <v>1149</v>
      </c>
      <c r="M561" s="386" t="s">
        <v>1026</v>
      </c>
      <c r="N561" s="33" t="s">
        <v>68</v>
      </c>
      <c r="O561" s="33" t="s">
        <v>12</v>
      </c>
      <c r="P561" s="33" t="s">
        <v>86</v>
      </c>
      <c r="Q561" s="47"/>
      <c r="R561" s="47"/>
      <c r="S561" s="45" t="s">
        <v>143</v>
      </c>
      <c r="T561" s="45"/>
      <c r="U561" s="70">
        <v>44980</v>
      </c>
      <c r="V561" s="48">
        <f t="shared" si="92"/>
        <v>45272</v>
      </c>
      <c r="W561" s="50">
        <f>V561-U561</f>
        <v>292</v>
      </c>
      <c r="X561" s="261">
        <f>Y561*0.91</f>
        <v>359450</v>
      </c>
      <c r="Y561" s="260">
        <v>395000</v>
      </c>
      <c r="Z561" s="263">
        <v>398200</v>
      </c>
      <c r="AA561" s="56"/>
      <c r="AB561" s="263"/>
      <c r="AC561" s="44">
        <v>0.09</v>
      </c>
      <c r="AD561" s="62">
        <v>2.9999999999999997E-4</v>
      </c>
      <c r="AE561" s="41">
        <f t="shared" si="94"/>
        <v>8.9700000000000002E-2</v>
      </c>
      <c r="AF561" s="42"/>
      <c r="AG561" s="40">
        <f>IF((X561*AE561)&lt;0,0,(X561*AE561))</f>
        <v>32242.665000000001</v>
      </c>
      <c r="AH561" s="65">
        <f t="shared" si="99"/>
        <v>-3200</v>
      </c>
      <c r="AI561" s="66">
        <f>AH561/X561</f>
        <v>-8.9024899151481426E-3</v>
      </c>
      <c r="AJ561" s="66">
        <f t="shared" si="100"/>
        <v>-8.9024899151481426E-3</v>
      </c>
      <c r="AK561" s="65">
        <f>AF561*X561</f>
        <v>0</v>
      </c>
      <c r="AL561" s="40">
        <f t="shared" si="95"/>
        <v>-3200</v>
      </c>
      <c r="AM561" s="242">
        <f t="shared" si="93"/>
        <v>45291</v>
      </c>
      <c r="AN561" s="242">
        <f>IF(AQ561="x","",IF(AQ561="x",AM561,IF(EOMONTH(I561,0)=31,"",EOMONTH(I561,0))))</f>
        <v>45535</v>
      </c>
      <c r="AO561" s="79">
        <f>IFERROR(IF(VLOOKUP(C561,C562:C1162,1,0)=0,1,0),1)</f>
        <v>0</v>
      </c>
      <c r="AP561" s="79"/>
      <c r="AQ561" s="243" t="str">
        <f t="shared" si="101"/>
        <v/>
      </c>
      <c r="AR561" s="242" t="b">
        <f>IF(AQ561="x",EOMONTH(I561,0))</f>
        <v>0</v>
      </c>
      <c r="AS561" s="79">
        <f t="shared" si="96"/>
        <v>0</v>
      </c>
      <c r="AT561" s="79">
        <f t="shared" si="97"/>
        <v>0</v>
      </c>
      <c r="AU561" s="79" t="str">
        <f t="shared" si="98"/>
        <v>B</v>
      </c>
      <c r="AV561" s="79">
        <f t="shared" ref="AV561:AV624" si="102">IF(AG561&lt;0,0,1)</f>
        <v>1</v>
      </c>
      <c r="AW561" s="79" t="str">
        <f>J561&amp;AU561</f>
        <v>6B</v>
      </c>
      <c r="AX561" s="79">
        <f>IF(COUNTIFS(J:J,"Integral",E:E,E561,H:H,"Ativo")=4,1/4,1/10)</f>
        <v>0.1</v>
      </c>
      <c r="AY561" s="79" t="s">
        <v>1535</v>
      </c>
      <c r="AZ561" s="79" t="b">
        <v>1</v>
      </c>
    </row>
    <row r="562" spans="1:52" ht="15.75" customHeight="1">
      <c r="A562" s="54">
        <v>586</v>
      </c>
      <c r="B562" s="403">
        <v>45275</v>
      </c>
      <c r="C562" s="32" t="s">
        <v>1765</v>
      </c>
      <c r="D562" s="32" t="s">
        <v>1766</v>
      </c>
      <c r="E562" s="32" t="s">
        <v>1767</v>
      </c>
      <c r="F562" s="32" t="s">
        <v>1768</v>
      </c>
      <c r="G562" s="60" t="s">
        <v>220</v>
      </c>
      <c r="H562" s="33" t="s">
        <v>90</v>
      </c>
      <c r="I562" s="34"/>
      <c r="J562" s="33">
        <v>6</v>
      </c>
      <c r="K562" s="35" t="s">
        <v>1755</v>
      </c>
      <c r="L562" s="35" t="s">
        <v>1149</v>
      </c>
      <c r="M562" s="67" t="s">
        <v>1755</v>
      </c>
      <c r="N562" s="33" t="s">
        <v>73</v>
      </c>
      <c r="O562" s="33" t="s">
        <v>12</v>
      </c>
      <c r="P562" s="33" t="s">
        <v>85</v>
      </c>
      <c r="Q562" s="47"/>
      <c r="R562" s="47"/>
      <c r="S562" s="45" t="s">
        <v>145</v>
      </c>
      <c r="T562" s="45"/>
      <c r="U562" s="37">
        <v>45268</v>
      </c>
      <c r="V562" s="38">
        <f t="shared" si="92"/>
        <v>45275</v>
      </c>
      <c r="W562" s="50">
        <f>V562-U562</f>
        <v>7</v>
      </c>
      <c r="X562" s="261">
        <f>Y562*0.91</f>
        <v>395850</v>
      </c>
      <c r="Y562" s="260">
        <v>435000</v>
      </c>
      <c r="Z562" s="263">
        <v>387500</v>
      </c>
      <c r="AA562" s="56"/>
      <c r="AB562" s="263"/>
      <c r="AC562" s="44">
        <v>0.09</v>
      </c>
      <c r="AD562" s="62">
        <v>2.3699999999999999E-2</v>
      </c>
      <c r="AE562" s="41">
        <f t="shared" ref="AE562:AE593" si="103">AC562-AD562</f>
        <v>6.6299999999999998E-2</v>
      </c>
      <c r="AF562" s="42"/>
      <c r="AG562" s="40">
        <f>IF((X562*AE562)&lt;0,0,(X562*AE562))</f>
        <v>26244.855</v>
      </c>
      <c r="AH562" s="65">
        <f t="shared" si="99"/>
        <v>47500</v>
      </c>
      <c r="AI562" s="66">
        <f>AH562/X562</f>
        <v>0.11999494758115448</v>
      </c>
      <c r="AJ562" s="66">
        <f t="shared" si="100"/>
        <v>0.11999494758115448</v>
      </c>
      <c r="AK562" s="65">
        <f>AF562*X562</f>
        <v>0</v>
      </c>
      <c r="AL562" s="40">
        <f t="shared" si="95"/>
        <v>47500</v>
      </c>
      <c r="AM562" s="242">
        <f t="shared" si="93"/>
        <v>45291</v>
      </c>
      <c r="AN562" s="242" t="str">
        <f>IF(AQ562="x","",IF(AQ562="x",AM562,IF(EOMONTH(I562,0)=31,"",EOMONTH(I562,0))))</f>
        <v/>
      </c>
      <c r="AO562" s="79">
        <f>IFERROR(IF(VLOOKUP(C562,C563:C1163,1,0)=0,1,0),1)</f>
        <v>0</v>
      </c>
      <c r="AP562" s="79"/>
      <c r="AQ562" s="243" t="str">
        <f t="shared" si="101"/>
        <v/>
      </c>
      <c r="AR562" s="242" t="b">
        <f>IF(AQ562="x",EOMONTH(I562,0))</f>
        <v>0</v>
      </c>
      <c r="AS562" s="79">
        <f t="shared" si="96"/>
        <v>1</v>
      </c>
      <c r="AT562" s="79">
        <f t="shared" si="97"/>
        <v>1</v>
      </c>
      <c r="AU562" s="79" t="str">
        <f t="shared" si="98"/>
        <v>B</v>
      </c>
      <c r="AV562" s="79">
        <f t="shared" si="102"/>
        <v>1</v>
      </c>
      <c r="AW562" s="79" t="str">
        <f>J562&amp;AU562</f>
        <v>6B</v>
      </c>
      <c r="AX562" s="79">
        <f>IF(COUNTIFS(J:J,"Integral",E:E,E562,H:H,"Ativo")=4,1/4,1/10)</f>
        <v>0.1</v>
      </c>
      <c r="AY562" s="79" t="s">
        <v>1320</v>
      </c>
      <c r="AZ562" s="79" t="b">
        <v>1</v>
      </c>
    </row>
    <row r="563" spans="1:52" ht="15.75" customHeight="1">
      <c r="A563" s="54">
        <v>587</v>
      </c>
      <c r="B563" s="403">
        <v>45275</v>
      </c>
      <c r="C563" s="32" t="s">
        <v>1765</v>
      </c>
      <c r="D563" s="32" t="s">
        <v>1769</v>
      </c>
      <c r="E563" s="32" t="s">
        <v>1767</v>
      </c>
      <c r="F563" s="32" t="s">
        <v>1770</v>
      </c>
      <c r="G563" s="60" t="s">
        <v>220</v>
      </c>
      <c r="H563" s="33" t="s">
        <v>90</v>
      </c>
      <c r="I563" s="34"/>
      <c r="J563" s="33">
        <v>6</v>
      </c>
      <c r="K563" s="35" t="s">
        <v>1755</v>
      </c>
      <c r="L563" s="35" t="s">
        <v>1149</v>
      </c>
      <c r="M563" s="67" t="s">
        <v>1755</v>
      </c>
      <c r="N563" s="33" t="s">
        <v>73</v>
      </c>
      <c r="O563" s="33" t="s">
        <v>12</v>
      </c>
      <c r="P563" s="33" t="s">
        <v>85</v>
      </c>
      <c r="Q563" s="47"/>
      <c r="R563" s="47"/>
      <c r="S563" s="45" t="s">
        <v>145</v>
      </c>
      <c r="T563" s="45"/>
      <c r="U563" s="37">
        <v>45268</v>
      </c>
      <c r="V563" s="38">
        <f t="shared" si="92"/>
        <v>45275</v>
      </c>
      <c r="W563" s="50">
        <f>V563-U563</f>
        <v>7</v>
      </c>
      <c r="X563" s="261">
        <f>Y563*0.91</f>
        <v>395850</v>
      </c>
      <c r="Y563" s="260">
        <v>435000</v>
      </c>
      <c r="Z563" s="263">
        <v>387500</v>
      </c>
      <c r="AA563" s="56"/>
      <c r="AB563" s="263"/>
      <c r="AC563" s="44">
        <v>0.09</v>
      </c>
      <c r="AD563" s="62">
        <v>2.3699999999999999E-2</v>
      </c>
      <c r="AE563" s="41">
        <f t="shared" si="103"/>
        <v>6.6299999999999998E-2</v>
      </c>
      <c r="AF563" s="42"/>
      <c r="AG563" s="40">
        <f>IF((X563*AE563)&lt;0,0,(X563*AE563))</f>
        <v>26244.855</v>
      </c>
      <c r="AH563" s="65">
        <f t="shared" si="99"/>
        <v>47500</v>
      </c>
      <c r="AI563" s="66">
        <f>AH563/X563</f>
        <v>0.11999494758115448</v>
      </c>
      <c r="AJ563" s="66">
        <f t="shared" si="100"/>
        <v>0.11999494758115448</v>
      </c>
      <c r="AK563" s="65">
        <f>AF563*X563</f>
        <v>0</v>
      </c>
      <c r="AL563" s="40">
        <f t="shared" si="95"/>
        <v>47500</v>
      </c>
      <c r="AM563" s="242">
        <f t="shared" si="93"/>
        <v>45291</v>
      </c>
      <c r="AN563" s="242" t="str">
        <f>IF(AQ563="x","",IF(AQ563="x",AM563,IF(EOMONTH(I563,0)=31,"",EOMONTH(I563,0))))</f>
        <v/>
      </c>
      <c r="AO563" s="79">
        <f>IFERROR(IF(VLOOKUP(C563,C564:C1164,1,0)=0,1,0),1)</f>
        <v>1</v>
      </c>
      <c r="AP563" s="79"/>
      <c r="AQ563" s="243" t="str">
        <f t="shared" si="101"/>
        <v/>
      </c>
      <c r="AR563" s="242" t="b">
        <f>IF(AQ563="x",EOMONTH(I563,0))</f>
        <v>0</v>
      </c>
      <c r="AS563" s="79">
        <f t="shared" si="96"/>
        <v>1</v>
      </c>
      <c r="AT563" s="79">
        <f t="shared" si="97"/>
        <v>1</v>
      </c>
      <c r="AU563" s="79" t="str">
        <f t="shared" si="98"/>
        <v>B</v>
      </c>
      <c r="AV563" s="79">
        <f t="shared" si="102"/>
        <v>1</v>
      </c>
      <c r="AW563" s="79" t="str">
        <f>J563&amp;AU563</f>
        <v>6B</v>
      </c>
      <c r="AX563" s="79">
        <f>IF(COUNTIFS(J:J,"Integral",E:E,E563,H:H,"Ativo")=4,1/4,1/10)</f>
        <v>0.1</v>
      </c>
      <c r="AY563" s="79" t="s">
        <v>1320</v>
      </c>
      <c r="AZ563" s="79" t="b">
        <v>1</v>
      </c>
    </row>
    <row r="564" spans="1:52" ht="15.75" customHeight="1">
      <c r="A564" s="54">
        <v>588</v>
      </c>
      <c r="B564" s="403">
        <v>45275</v>
      </c>
      <c r="C564" s="32" t="s">
        <v>1771</v>
      </c>
      <c r="D564" s="32" t="s">
        <v>1772</v>
      </c>
      <c r="E564" s="32" t="s">
        <v>1767</v>
      </c>
      <c r="F564" s="32" t="s">
        <v>1773</v>
      </c>
      <c r="G564" s="60" t="s">
        <v>243</v>
      </c>
      <c r="H564" s="33" t="s">
        <v>244</v>
      </c>
      <c r="I564" s="34"/>
      <c r="J564" s="33">
        <v>6</v>
      </c>
      <c r="K564" s="35" t="s">
        <v>1604</v>
      </c>
      <c r="L564" s="35" t="s">
        <v>1517</v>
      </c>
      <c r="M564" s="386" t="s">
        <v>246</v>
      </c>
      <c r="N564" s="33" t="s">
        <v>68</v>
      </c>
      <c r="O564" s="33" t="s">
        <v>12</v>
      </c>
      <c r="P564" s="33" t="s">
        <v>1</v>
      </c>
      <c r="Q564" s="47"/>
      <c r="R564" s="47"/>
      <c r="S564" s="45" t="s">
        <v>149</v>
      </c>
      <c r="T564" s="45"/>
      <c r="U564" s="70">
        <v>45275</v>
      </c>
      <c r="V564" s="48">
        <f t="shared" si="92"/>
        <v>45275</v>
      </c>
      <c r="W564" s="50">
        <f>V564-U564</f>
        <v>0</v>
      </c>
      <c r="X564" s="265">
        <f>Y564*0.91</f>
        <v>395850</v>
      </c>
      <c r="Y564" s="67">
        <v>435000</v>
      </c>
      <c r="Z564" s="267">
        <v>435000</v>
      </c>
      <c r="AA564" s="56" t="s">
        <v>1671</v>
      </c>
      <c r="AB564" s="267"/>
      <c r="AC564" s="44">
        <v>0.09</v>
      </c>
      <c r="AD564" s="62">
        <v>3.5000000000000001E-3</v>
      </c>
      <c r="AE564" s="41">
        <f t="shared" si="103"/>
        <v>8.6499999999999994E-2</v>
      </c>
      <c r="AF564" s="42"/>
      <c r="AG564" s="40">
        <f>IF((X564*AE564)&lt;0,0,(X564*AE564))</f>
        <v>34241.024999999994</v>
      </c>
      <c r="AH564" s="65">
        <f t="shared" si="99"/>
        <v>0</v>
      </c>
      <c r="AI564" s="66">
        <f>AH564/X564</f>
        <v>0</v>
      </c>
      <c r="AJ564" s="66">
        <f t="shared" si="100"/>
        <v>0</v>
      </c>
      <c r="AK564" s="65">
        <f>AF564*X564</f>
        <v>0</v>
      </c>
      <c r="AL564" s="40">
        <f t="shared" si="95"/>
        <v>0</v>
      </c>
      <c r="AM564" s="242">
        <f t="shared" si="93"/>
        <v>45291</v>
      </c>
      <c r="AN564" s="242" t="str">
        <f>IF(AQ564="x","",IF(AQ564="x",AM564,IF(EOMONTH(I564,0)=31,"",EOMONTH(I564,0))))</f>
        <v/>
      </c>
      <c r="AO564" s="79">
        <f>IFERROR(IF(VLOOKUP(C564,C565:C1165,1,0)=0,1,0),1)</f>
        <v>0</v>
      </c>
      <c r="AP564" s="79"/>
      <c r="AQ564" s="243" t="str">
        <f t="shared" si="101"/>
        <v>x</v>
      </c>
      <c r="AR564" s="242">
        <f>IF(AQ564="x",EOMONTH(I564,0))</f>
        <v>31</v>
      </c>
      <c r="AS564" s="79">
        <f t="shared" si="96"/>
        <v>1</v>
      </c>
      <c r="AT564" s="79">
        <f t="shared" si="97"/>
        <v>1</v>
      </c>
      <c r="AU564" s="79" t="str">
        <f t="shared" si="98"/>
        <v>B</v>
      </c>
      <c r="AV564" s="79">
        <f t="shared" si="102"/>
        <v>1</v>
      </c>
      <c r="AW564" s="79" t="str">
        <f>J564&amp;AU564</f>
        <v>6B</v>
      </c>
      <c r="AX564" s="79">
        <f>IF(COUNTIFS(J:J,"Integral",E:E,E564,H:H,"Ativo")=4,1/4,1/10)</f>
        <v>0.1</v>
      </c>
      <c r="AY564" s="79" t="s">
        <v>1320</v>
      </c>
      <c r="AZ564" s="79" t="b">
        <v>1</v>
      </c>
    </row>
    <row r="565" spans="1:52" ht="15.75" customHeight="1">
      <c r="A565" s="54">
        <v>589</v>
      </c>
      <c r="B565" s="403">
        <v>45275</v>
      </c>
      <c r="C565" s="32" t="s">
        <v>1771</v>
      </c>
      <c r="D565" s="32" t="s">
        <v>1774</v>
      </c>
      <c r="E565" s="32" t="s">
        <v>1767</v>
      </c>
      <c r="F565" s="32" t="s">
        <v>1775</v>
      </c>
      <c r="G565" s="60" t="s">
        <v>243</v>
      </c>
      <c r="H565" s="33" t="s">
        <v>244</v>
      </c>
      <c r="I565" s="34"/>
      <c r="J565" s="33">
        <v>6</v>
      </c>
      <c r="K565" s="35" t="s">
        <v>1604</v>
      </c>
      <c r="L565" s="35" t="s">
        <v>1517</v>
      </c>
      <c r="M565" s="386" t="s">
        <v>246</v>
      </c>
      <c r="N565" s="33" t="s">
        <v>68</v>
      </c>
      <c r="O565" s="33" t="s">
        <v>12</v>
      </c>
      <c r="P565" s="33" t="s">
        <v>1</v>
      </c>
      <c r="Q565" s="47"/>
      <c r="R565" s="47"/>
      <c r="S565" s="45" t="s">
        <v>149</v>
      </c>
      <c r="T565" s="45"/>
      <c r="U565" s="70">
        <v>45275</v>
      </c>
      <c r="V565" s="48">
        <f t="shared" si="92"/>
        <v>45275</v>
      </c>
      <c r="W565" s="50">
        <f>V565-U565</f>
        <v>0</v>
      </c>
      <c r="X565" s="265">
        <f>Y565*0.91</f>
        <v>395850</v>
      </c>
      <c r="Y565" s="67">
        <v>435000</v>
      </c>
      <c r="Z565" s="267">
        <v>435000</v>
      </c>
      <c r="AA565" s="56" t="s">
        <v>1671</v>
      </c>
      <c r="AB565" s="267"/>
      <c r="AC565" s="44">
        <v>0.09</v>
      </c>
      <c r="AD565" s="62">
        <v>3.5000000000000001E-3</v>
      </c>
      <c r="AE565" s="41">
        <f t="shared" si="103"/>
        <v>8.6499999999999994E-2</v>
      </c>
      <c r="AF565" s="42"/>
      <c r="AG565" s="40">
        <f>IF((X565*AE565)&lt;0,0,(X565*AE565))</f>
        <v>34241.024999999994</v>
      </c>
      <c r="AH565" s="65">
        <f t="shared" si="99"/>
        <v>0</v>
      </c>
      <c r="AI565" s="66">
        <f>AH565/X565</f>
        <v>0</v>
      </c>
      <c r="AJ565" s="66">
        <f t="shared" si="100"/>
        <v>0</v>
      </c>
      <c r="AK565" s="65">
        <f>AF565*X565</f>
        <v>0</v>
      </c>
      <c r="AL565" s="40">
        <f t="shared" si="95"/>
        <v>0</v>
      </c>
      <c r="AM565" s="242">
        <f t="shared" si="93"/>
        <v>45291</v>
      </c>
      <c r="AN565" s="242" t="str">
        <f>IF(AQ565="x","",IF(AQ565="x",AM565,IF(EOMONTH(I565,0)=31,"",EOMONTH(I565,0))))</f>
        <v/>
      </c>
      <c r="AO565" s="79">
        <f>IFERROR(IF(VLOOKUP(C565,C566:C1166,1,0)=0,1,0),1)</f>
        <v>1</v>
      </c>
      <c r="AP565" s="79"/>
      <c r="AQ565" s="243" t="str">
        <f t="shared" si="101"/>
        <v>x</v>
      </c>
      <c r="AR565" s="242">
        <f>IF(AQ565="x",EOMONTH(I565,0))</f>
        <v>31</v>
      </c>
      <c r="AS565" s="79">
        <f t="shared" si="96"/>
        <v>1</v>
      </c>
      <c r="AT565" s="79">
        <f t="shared" si="97"/>
        <v>1</v>
      </c>
      <c r="AU565" s="79" t="str">
        <f t="shared" si="98"/>
        <v>B</v>
      </c>
      <c r="AV565" s="79">
        <f t="shared" si="102"/>
        <v>1</v>
      </c>
      <c r="AW565" s="79" t="str">
        <f>J565&amp;AU565</f>
        <v>6B</v>
      </c>
      <c r="AX565" s="79">
        <f>IF(COUNTIFS(J:J,"Integral",E:E,E565,H:H,"Ativo")=4,1/4,1/10)</f>
        <v>0.1</v>
      </c>
      <c r="AY565" s="79" t="s">
        <v>1320</v>
      </c>
      <c r="AZ565" s="79" t="b">
        <v>1</v>
      </c>
    </row>
    <row r="566" spans="1:52" ht="15.75" customHeight="1">
      <c r="A566" s="54">
        <v>590</v>
      </c>
      <c r="B566" s="403">
        <v>45276</v>
      </c>
      <c r="C566" s="32" t="s">
        <v>1776</v>
      </c>
      <c r="D566" s="32" t="s">
        <v>1777</v>
      </c>
      <c r="E566" s="32" t="s">
        <v>1778</v>
      </c>
      <c r="F566" s="32" t="s">
        <v>1779</v>
      </c>
      <c r="G566" s="60" t="s">
        <v>220</v>
      </c>
      <c r="H566" s="33" t="s">
        <v>90</v>
      </c>
      <c r="I566" s="34"/>
      <c r="J566" s="33" t="s">
        <v>1701</v>
      </c>
      <c r="K566" s="56" t="s">
        <v>378</v>
      </c>
      <c r="L566" s="56" t="s">
        <v>378</v>
      </c>
      <c r="M566" s="386" t="s">
        <v>1026</v>
      </c>
      <c r="N566" s="33" t="s">
        <v>68</v>
      </c>
      <c r="O566" s="33" t="s">
        <v>10</v>
      </c>
      <c r="P566" s="33" t="s">
        <v>1</v>
      </c>
      <c r="Q566" s="47"/>
      <c r="R566" s="47"/>
      <c r="S566" s="45" t="s">
        <v>145</v>
      </c>
      <c r="T566" s="45"/>
      <c r="U566" s="37">
        <v>45276</v>
      </c>
      <c r="V566" s="38">
        <f t="shared" si="92"/>
        <v>45276</v>
      </c>
      <c r="W566" s="50">
        <f>V566-U566</f>
        <v>0</v>
      </c>
      <c r="X566" s="261">
        <f>Y566*0.91</f>
        <v>360633</v>
      </c>
      <c r="Y566" s="260">
        <v>396300</v>
      </c>
      <c r="Z566" s="263">
        <v>310000</v>
      </c>
      <c r="AA566" s="56" t="s">
        <v>911</v>
      </c>
      <c r="AB566" s="263"/>
      <c r="AC566" s="44">
        <v>0.09</v>
      </c>
      <c r="AD566" s="62">
        <v>4.0399999999999998E-2</v>
      </c>
      <c r="AE566" s="41">
        <f t="shared" si="103"/>
        <v>4.9599999999999998E-2</v>
      </c>
      <c r="AF566" s="42"/>
      <c r="AG566" s="40">
        <f>IF((X566*AE566)&lt;0,0,(X566*AE566))</f>
        <v>17887.396799999999</v>
      </c>
      <c r="AH566" s="65">
        <f t="shared" si="99"/>
        <v>86300</v>
      </c>
      <c r="AI566" s="66">
        <f>AH566/X566</f>
        <v>0.23930145050508411</v>
      </c>
      <c r="AJ566" s="66">
        <f t="shared" si="100"/>
        <v>0.23930145050508411</v>
      </c>
      <c r="AK566" s="65">
        <f>AF566*X566</f>
        <v>0</v>
      </c>
      <c r="AL566" s="40">
        <f t="shared" si="95"/>
        <v>86300</v>
      </c>
      <c r="AM566" s="242">
        <f t="shared" si="93"/>
        <v>45291</v>
      </c>
      <c r="AN566" s="242" t="str">
        <f>IF(AQ566="x","",IF(AQ566="x",AM566,IF(EOMONTH(I566,0)=31,"",EOMONTH(I566,0))))</f>
        <v/>
      </c>
      <c r="AO566" s="79">
        <f>IFERROR(IF(VLOOKUP(C566,C567:C1166,1,0)=0,1,0),1)</f>
        <v>0</v>
      </c>
      <c r="AP566" s="79"/>
      <c r="AQ566" s="243" t="str">
        <f t="shared" si="101"/>
        <v/>
      </c>
      <c r="AR566" s="242" t="b">
        <f>IF(AQ566="x",EOMONTH(I566,0))</f>
        <v>0</v>
      </c>
      <c r="AS566" s="79">
        <f t="shared" si="96"/>
        <v>1</v>
      </c>
      <c r="AT566" s="79">
        <f t="shared" si="97"/>
        <v>1</v>
      </c>
      <c r="AU566" s="79" t="str">
        <f t="shared" si="98"/>
        <v>B</v>
      </c>
      <c r="AV566" s="79">
        <f t="shared" si="102"/>
        <v>1</v>
      </c>
      <c r="AW566" s="79" t="str">
        <f>J566&amp;AU566</f>
        <v>INTEGRALB</v>
      </c>
      <c r="AX566" s="79">
        <f>IF(COUNTIFS(J:J,"Integral",E:E,E566,H:H,"Ativo")=4,1/4,1/10)</f>
        <v>0.1</v>
      </c>
      <c r="AY566" s="79" t="s">
        <v>1320</v>
      </c>
      <c r="AZ566" s="79" t="b">
        <v>1</v>
      </c>
    </row>
    <row r="567" spans="1:52" ht="15.75" customHeight="1">
      <c r="A567" s="54">
        <v>591</v>
      </c>
      <c r="B567" s="403">
        <v>45276</v>
      </c>
      <c r="C567" s="32" t="s">
        <v>1776</v>
      </c>
      <c r="D567" s="32" t="s">
        <v>1780</v>
      </c>
      <c r="E567" s="32" t="s">
        <v>1778</v>
      </c>
      <c r="F567" s="32" t="s">
        <v>1781</v>
      </c>
      <c r="G567" s="60" t="s">
        <v>220</v>
      </c>
      <c r="H567" s="33" t="s">
        <v>90</v>
      </c>
      <c r="I567" s="34"/>
      <c r="J567" s="33" t="s">
        <v>1701</v>
      </c>
      <c r="K567" s="56" t="s">
        <v>378</v>
      </c>
      <c r="L567" s="56" t="s">
        <v>378</v>
      </c>
      <c r="M567" s="386" t="s">
        <v>1026</v>
      </c>
      <c r="N567" s="33" t="s">
        <v>68</v>
      </c>
      <c r="O567" s="33" t="s">
        <v>10</v>
      </c>
      <c r="P567" s="33" t="s">
        <v>1</v>
      </c>
      <c r="Q567" s="47"/>
      <c r="R567" s="47"/>
      <c r="S567" s="45" t="s">
        <v>145</v>
      </c>
      <c r="T567" s="45"/>
      <c r="U567" s="37">
        <v>45276</v>
      </c>
      <c r="V567" s="38">
        <f t="shared" si="92"/>
        <v>45276</v>
      </c>
      <c r="W567" s="50">
        <f>V567-U567</f>
        <v>0</v>
      </c>
      <c r="X567" s="261">
        <f>Y567*0.91</f>
        <v>360633</v>
      </c>
      <c r="Y567" s="260">
        <v>396300</v>
      </c>
      <c r="Z567" s="263">
        <v>310000</v>
      </c>
      <c r="AA567" s="56" t="s">
        <v>911</v>
      </c>
      <c r="AB567" s="263"/>
      <c r="AC567" s="44">
        <v>0.09</v>
      </c>
      <c r="AD567" s="62">
        <v>4.0399999999999998E-2</v>
      </c>
      <c r="AE567" s="41">
        <f t="shared" si="103"/>
        <v>4.9599999999999998E-2</v>
      </c>
      <c r="AF567" s="42"/>
      <c r="AG567" s="40">
        <f>IF((X567*AE567)&lt;0,0,(X567*AE567))</f>
        <v>17887.396799999999</v>
      </c>
      <c r="AH567" s="65">
        <f t="shared" si="99"/>
        <v>86300</v>
      </c>
      <c r="AI567" s="66">
        <f>AH567/X567</f>
        <v>0.23930145050508411</v>
      </c>
      <c r="AJ567" s="66">
        <f t="shared" si="100"/>
        <v>0.23930145050508411</v>
      </c>
      <c r="AK567" s="65">
        <f>AF567*X567</f>
        <v>0</v>
      </c>
      <c r="AL567" s="40">
        <f t="shared" si="95"/>
        <v>86300</v>
      </c>
      <c r="AM567" s="242">
        <f t="shared" si="93"/>
        <v>45291</v>
      </c>
      <c r="AN567" s="242" t="str">
        <f>IF(AQ567="x","",IF(AQ567="x",AM567,IF(EOMONTH(I567,0)=31,"",EOMONTH(I567,0))))</f>
        <v/>
      </c>
      <c r="AO567" s="79">
        <f>IFERROR(IF(VLOOKUP(C567,C568:C1167,1,0)=0,1,0),1)</f>
        <v>0</v>
      </c>
      <c r="AP567" s="79"/>
      <c r="AQ567" s="243" t="str">
        <f t="shared" si="101"/>
        <v/>
      </c>
      <c r="AR567" s="242" t="b">
        <f>IF(AQ567="x",EOMONTH(I567,0))</f>
        <v>0</v>
      </c>
      <c r="AS567" s="79">
        <f t="shared" si="96"/>
        <v>1</v>
      </c>
      <c r="AT567" s="79">
        <f t="shared" si="97"/>
        <v>1</v>
      </c>
      <c r="AU567" s="79" t="str">
        <f t="shared" si="98"/>
        <v>B</v>
      </c>
      <c r="AV567" s="79">
        <f t="shared" si="102"/>
        <v>1</v>
      </c>
      <c r="AW567" s="79" t="str">
        <f>J567&amp;AU567</f>
        <v>INTEGRALB</v>
      </c>
      <c r="AX567" s="79">
        <f>IF(COUNTIFS(J:J,"Integral",E:E,E567,H:H,"Ativo")=4,1/4,1/10)</f>
        <v>0.1</v>
      </c>
      <c r="AY567" s="79" t="s">
        <v>1320</v>
      </c>
      <c r="AZ567" s="79" t="b">
        <v>1</v>
      </c>
    </row>
    <row r="568" spans="1:52" ht="15.75" customHeight="1">
      <c r="A568" s="54">
        <v>592</v>
      </c>
      <c r="B568" s="403">
        <v>45276</v>
      </c>
      <c r="C568" s="32" t="s">
        <v>1776</v>
      </c>
      <c r="D568" s="32" t="s">
        <v>1782</v>
      </c>
      <c r="E568" s="32" t="s">
        <v>1778</v>
      </c>
      <c r="F568" s="32" t="s">
        <v>1783</v>
      </c>
      <c r="G568" s="60" t="s">
        <v>220</v>
      </c>
      <c r="H568" s="33" t="s">
        <v>90</v>
      </c>
      <c r="I568" s="34"/>
      <c r="J568" s="33" t="s">
        <v>1701</v>
      </c>
      <c r="K568" s="56" t="s">
        <v>378</v>
      </c>
      <c r="L568" s="56" t="s">
        <v>378</v>
      </c>
      <c r="M568" s="386" t="s">
        <v>1026</v>
      </c>
      <c r="N568" s="33" t="s">
        <v>68</v>
      </c>
      <c r="O568" s="33" t="s">
        <v>10</v>
      </c>
      <c r="P568" s="33" t="s">
        <v>1</v>
      </c>
      <c r="Q568" s="47"/>
      <c r="R568" s="47"/>
      <c r="S568" s="45" t="s">
        <v>145</v>
      </c>
      <c r="T568" s="45"/>
      <c r="U568" s="37">
        <v>45276</v>
      </c>
      <c r="V568" s="38">
        <f t="shared" si="92"/>
        <v>45276</v>
      </c>
      <c r="W568" s="50">
        <f>V568-U568</f>
        <v>0</v>
      </c>
      <c r="X568" s="261">
        <f>Y568*0.91</f>
        <v>360633</v>
      </c>
      <c r="Y568" s="260">
        <v>396300</v>
      </c>
      <c r="Z568" s="263">
        <v>310000</v>
      </c>
      <c r="AA568" s="56" t="s">
        <v>911</v>
      </c>
      <c r="AB568" s="263"/>
      <c r="AC568" s="44">
        <v>0.09</v>
      </c>
      <c r="AD568" s="62">
        <v>4.0399999999999998E-2</v>
      </c>
      <c r="AE568" s="41">
        <f t="shared" si="103"/>
        <v>4.9599999999999998E-2</v>
      </c>
      <c r="AF568" s="42"/>
      <c r="AG568" s="40">
        <f>IF((X568*AE568)&lt;0,0,(X568*AE568))</f>
        <v>17887.396799999999</v>
      </c>
      <c r="AH568" s="65">
        <f t="shared" si="99"/>
        <v>86300</v>
      </c>
      <c r="AI568" s="66">
        <f>AH568/X568</f>
        <v>0.23930145050508411</v>
      </c>
      <c r="AJ568" s="66">
        <f t="shared" si="100"/>
        <v>0.23930145050508411</v>
      </c>
      <c r="AK568" s="65">
        <f>AF568*X568</f>
        <v>0</v>
      </c>
      <c r="AL568" s="40">
        <f t="shared" si="95"/>
        <v>86300</v>
      </c>
      <c r="AM568" s="242">
        <f t="shared" si="93"/>
        <v>45291</v>
      </c>
      <c r="AN568" s="242" t="str">
        <f>IF(AQ568="x","",IF(AQ568="x",AM568,IF(EOMONTH(I568,0)=31,"",EOMONTH(I568,0))))</f>
        <v/>
      </c>
      <c r="AO568" s="79">
        <f>IFERROR(IF(VLOOKUP(C568,C569:C1168,1,0)=0,1,0),1)</f>
        <v>0</v>
      </c>
      <c r="AP568" s="79"/>
      <c r="AQ568" s="243" t="str">
        <f t="shared" si="101"/>
        <v/>
      </c>
      <c r="AR568" s="242" t="b">
        <f>IF(AQ568="x",EOMONTH(I568,0))</f>
        <v>0</v>
      </c>
      <c r="AS568" s="79">
        <f t="shared" si="96"/>
        <v>1</v>
      </c>
      <c r="AT568" s="79">
        <f t="shared" si="97"/>
        <v>1</v>
      </c>
      <c r="AU568" s="79" t="str">
        <f t="shared" si="98"/>
        <v>B</v>
      </c>
      <c r="AV568" s="79">
        <f t="shared" si="102"/>
        <v>1</v>
      </c>
      <c r="AW568" s="79" t="str">
        <f>J568&amp;AU568</f>
        <v>INTEGRALB</v>
      </c>
      <c r="AX568" s="79">
        <f>IF(COUNTIFS(J:J,"Integral",E:E,E568,H:H,"Ativo")=4,1/4,1/10)</f>
        <v>0.1</v>
      </c>
      <c r="AY568" s="79" t="s">
        <v>1320</v>
      </c>
      <c r="AZ568" s="79" t="b">
        <v>1</v>
      </c>
    </row>
    <row r="569" spans="1:52" ht="15.75" customHeight="1">
      <c r="A569" s="54">
        <v>593</v>
      </c>
      <c r="B569" s="403">
        <v>45276</v>
      </c>
      <c r="C569" s="32" t="s">
        <v>1776</v>
      </c>
      <c r="D569" s="32" t="s">
        <v>1784</v>
      </c>
      <c r="E569" s="32" t="s">
        <v>1778</v>
      </c>
      <c r="F569" s="32" t="s">
        <v>1785</v>
      </c>
      <c r="G569" s="60" t="s">
        <v>220</v>
      </c>
      <c r="H569" s="33" t="s">
        <v>90</v>
      </c>
      <c r="I569" s="34"/>
      <c r="J569" s="33" t="s">
        <v>1701</v>
      </c>
      <c r="K569" s="56" t="s">
        <v>378</v>
      </c>
      <c r="L569" s="56" t="s">
        <v>378</v>
      </c>
      <c r="M569" s="386" t="s">
        <v>1026</v>
      </c>
      <c r="N569" s="33" t="s">
        <v>68</v>
      </c>
      <c r="O569" s="33" t="s">
        <v>10</v>
      </c>
      <c r="P569" s="33" t="s">
        <v>1</v>
      </c>
      <c r="Q569" s="47"/>
      <c r="R569" s="47"/>
      <c r="S569" s="45" t="s">
        <v>145</v>
      </c>
      <c r="T569" s="45"/>
      <c r="U569" s="37">
        <v>45276</v>
      </c>
      <c r="V569" s="38">
        <f t="shared" si="92"/>
        <v>45276</v>
      </c>
      <c r="W569" s="50">
        <f>V569-U569</f>
        <v>0</v>
      </c>
      <c r="X569" s="261">
        <f>Y569*0.91</f>
        <v>360633</v>
      </c>
      <c r="Y569" s="260">
        <v>396300</v>
      </c>
      <c r="Z569" s="263">
        <v>310000</v>
      </c>
      <c r="AA569" s="56" t="s">
        <v>911</v>
      </c>
      <c r="AB569" s="263"/>
      <c r="AC569" s="44">
        <v>0.09</v>
      </c>
      <c r="AD569" s="62">
        <v>4.0399999999999998E-2</v>
      </c>
      <c r="AE569" s="41">
        <f t="shared" si="103"/>
        <v>4.9599999999999998E-2</v>
      </c>
      <c r="AF569" s="42"/>
      <c r="AG569" s="40">
        <f>IF((X569*AE569)&lt;0,0,(X569*AE569))</f>
        <v>17887.396799999999</v>
      </c>
      <c r="AH569" s="65">
        <f t="shared" si="99"/>
        <v>86300</v>
      </c>
      <c r="AI569" s="66">
        <f>AH569/X569</f>
        <v>0.23930145050508411</v>
      </c>
      <c r="AJ569" s="66">
        <f t="shared" si="100"/>
        <v>0.23930145050508411</v>
      </c>
      <c r="AK569" s="65">
        <f>AF569*X569</f>
        <v>0</v>
      </c>
      <c r="AL569" s="40">
        <f t="shared" si="95"/>
        <v>86300</v>
      </c>
      <c r="AM569" s="242">
        <f t="shared" si="93"/>
        <v>45291</v>
      </c>
      <c r="AN569" s="242" t="str">
        <f>IF(AQ569="x","",IF(AQ569="x",AM569,IF(EOMONTH(I569,0)=31,"",EOMONTH(I569,0))))</f>
        <v/>
      </c>
      <c r="AO569" s="79">
        <f>IFERROR(IF(VLOOKUP(C569,C570:C1169,1,0)=0,1,0),1)</f>
        <v>0</v>
      </c>
      <c r="AP569" s="79"/>
      <c r="AQ569" s="243" t="str">
        <f t="shared" si="101"/>
        <v/>
      </c>
      <c r="AR569" s="242" t="b">
        <f>IF(AQ569="x",EOMONTH(I569,0))</f>
        <v>0</v>
      </c>
      <c r="AS569" s="79">
        <f t="shared" si="96"/>
        <v>1</v>
      </c>
      <c r="AT569" s="79">
        <f t="shared" si="97"/>
        <v>1</v>
      </c>
      <c r="AU569" s="79" t="str">
        <f t="shared" si="98"/>
        <v>B</v>
      </c>
      <c r="AV569" s="79">
        <f t="shared" si="102"/>
        <v>1</v>
      </c>
      <c r="AW569" s="79" t="str">
        <f>J569&amp;AU569</f>
        <v>INTEGRALB</v>
      </c>
      <c r="AX569" s="79">
        <f>IF(COUNTIFS(J:J,"Integral",E:E,E569,H:H,"Ativo")=4,1/4,1/10)</f>
        <v>0.1</v>
      </c>
      <c r="AY569" s="79" t="s">
        <v>1320</v>
      </c>
      <c r="AZ569" s="79" t="b">
        <v>1</v>
      </c>
    </row>
    <row r="570" spans="1:52" ht="15.75" customHeight="1">
      <c r="A570" s="54">
        <v>594</v>
      </c>
      <c r="B570" s="403">
        <v>45276</v>
      </c>
      <c r="C570" s="32" t="s">
        <v>1776</v>
      </c>
      <c r="D570" s="32" t="s">
        <v>1786</v>
      </c>
      <c r="E570" s="32" t="s">
        <v>1778</v>
      </c>
      <c r="F570" s="32" t="s">
        <v>1787</v>
      </c>
      <c r="G570" s="60" t="s">
        <v>220</v>
      </c>
      <c r="H570" s="33" t="s">
        <v>90</v>
      </c>
      <c r="I570" s="34"/>
      <c r="J570" s="33" t="s">
        <v>1701</v>
      </c>
      <c r="K570" s="56" t="s">
        <v>378</v>
      </c>
      <c r="L570" s="56" t="s">
        <v>378</v>
      </c>
      <c r="M570" s="386" t="s">
        <v>1026</v>
      </c>
      <c r="N570" s="33" t="s">
        <v>68</v>
      </c>
      <c r="O570" s="33" t="s">
        <v>10</v>
      </c>
      <c r="P570" s="33" t="s">
        <v>1</v>
      </c>
      <c r="Q570" s="47"/>
      <c r="R570" s="47"/>
      <c r="S570" s="45" t="s">
        <v>145</v>
      </c>
      <c r="T570" s="45"/>
      <c r="U570" s="37">
        <v>45276</v>
      </c>
      <c r="V570" s="38">
        <f t="shared" si="92"/>
        <v>45276</v>
      </c>
      <c r="W570" s="50">
        <f>V570-U570</f>
        <v>0</v>
      </c>
      <c r="X570" s="261">
        <f>Y570*0.91</f>
        <v>360633</v>
      </c>
      <c r="Y570" s="260">
        <v>396300</v>
      </c>
      <c r="Z570" s="263">
        <v>310000</v>
      </c>
      <c r="AA570" s="56" t="s">
        <v>911</v>
      </c>
      <c r="AB570" s="263"/>
      <c r="AC570" s="44">
        <v>0.09</v>
      </c>
      <c r="AD570" s="62">
        <v>4.0399999999999998E-2</v>
      </c>
      <c r="AE570" s="41">
        <f t="shared" si="103"/>
        <v>4.9599999999999998E-2</v>
      </c>
      <c r="AF570" s="42"/>
      <c r="AG570" s="40">
        <f>IF((X570*AE570)&lt;0,0,(X570*AE570))</f>
        <v>17887.396799999999</v>
      </c>
      <c r="AH570" s="65">
        <f t="shared" si="99"/>
        <v>86300</v>
      </c>
      <c r="AI570" s="66">
        <f>AH570/X570</f>
        <v>0.23930145050508411</v>
      </c>
      <c r="AJ570" s="66">
        <f t="shared" si="100"/>
        <v>0.23930145050508411</v>
      </c>
      <c r="AK570" s="65">
        <f>AF570*X570</f>
        <v>0</v>
      </c>
      <c r="AL570" s="40">
        <f t="shared" si="95"/>
        <v>86300</v>
      </c>
      <c r="AM570" s="242">
        <f t="shared" si="93"/>
        <v>45291</v>
      </c>
      <c r="AN570" s="242" t="str">
        <f>IF(AQ570="x","",IF(AQ570="x",AM570,IF(EOMONTH(I570,0)=31,"",EOMONTH(I570,0))))</f>
        <v/>
      </c>
      <c r="AO570" s="79">
        <f>IFERROR(IF(VLOOKUP(C570,C571:C1170,1,0)=0,1,0),1)</f>
        <v>0</v>
      </c>
      <c r="AP570" s="79"/>
      <c r="AQ570" s="243" t="str">
        <f t="shared" si="101"/>
        <v/>
      </c>
      <c r="AR570" s="242" t="b">
        <f>IF(AQ570="x",EOMONTH(I570,0))</f>
        <v>0</v>
      </c>
      <c r="AS570" s="79">
        <f t="shared" si="96"/>
        <v>1</v>
      </c>
      <c r="AT570" s="79">
        <f t="shared" si="97"/>
        <v>1</v>
      </c>
      <c r="AU570" s="79" t="str">
        <f t="shared" si="98"/>
        <v>B</v>
      </c>
      <c r="AV570" s="79">
        <f t="shared" si="102"/>
        <v>1</v>
      </c>
      <c r="AW570" s="79" t="str">
        <f>J570&amp;AU570</f>
        <v>INTEGRALB</v>
      </c>
      <c r="AX570" s="79">
        <f>IF(COUNTIFS(J:J,"Integral",E:E,E570,H:H,"Ativo")=4,1/4,1/10)</f>
        <v>0.1</v>
      </c>
      <c r="AY570" s="79" t="s">
        <v>1320</v>
      </c>
      <c r="AZ570" s="79" t="b">
        <v>1</v>
      </c>
    </row>
    <row r="571" spans="1:52" ht="15.75" customHeight="1">
      <c r="A571" s="54">
        <v>595</v>
      </c>
      <c r="B571" s="403">
        <v>45276</v>
      </c>
      <c r="C571" s="32" t="s">
        <v>1776</v>
      </c>
      <c r="D571" s="32" t="s">
        <v>1788</v>
      </c>
      <c r="E571" s="32" t="s">
        <v>1778</v>
      </c>
      <c r="F571" s="32" t="s">
        <v>1789</v>
      </c>
      <c r="G571" s="60" t="s">
        <v>220</v>
      </c>
      <c r="H571" s="33" t="s">
        <v>90</v>
      </c>
      <c r="I571" s="34"/>
      <c r="J571" s="33" t="s">
        <v>1701</v>
      </c>
      <c r="K571" s="56" t="s">
        <v>378</v>
      </c>
      <c r="L571" s="56" t="s">
        <v>378</v>
      </c>
      <c r="M571" s="386" t="s">
        <v>1026</v>
      </c>
      <c r="N571" s="33" t="s">
        <v>68</v>
      </c>
      <c r="O571" s="33" t="s">
        <v>10</v>
      </c>
      <c r="P571" s="33" t="s">
        <v>1</v>
      </c>
      <c r="Q571" s="47"/>
      <c r="R571" s="47"/>
      <c r="S571" s="45" t="s">
        <v>145</v>
      </c>
      <c r="T571" s="45"/>
      <c r="U571" s="37">
        <v>45276</v>
      </c>
      <c r="V571" s="38">
        <f t="shared" si="92"/>
        <v>45276</v>
      </c>
      <c r="W571" s="50">
        <f>V571-U571</f>
        <v>0</v>
      </c>
      <c r="X571" s="261">
        <f>Y571*0.91</f>
        <v>360633</v>
      </c>
      <c r="Y571" s="260">
        <v>396300</v>
      </c>
      <c r="Z571" s="263">
        <v>310000</v>
      </c>
      <c r="AA571" s="56" t="s">
        <v>911</v>
      </c>
      <c r="AB571" s="263"/>
      <c r="AC571" s="44">
        <v>0.09</v>
      </c>
      <c r="AD571" s="62">
        <v>4.0399999999999998E-2</v>
      </c>
      <c r="AE571" s="41">
        <f t="shared" si="103"/>
        <v>4.9599999999999998E-2</v>
      </c>
      <c r="AF571" s="42"/>
      <c r="AG571" s="40">
        <f>IF((X571*AE571)&lt;0,0,(X571*AE571))</f>
        <v>17887.396799999999</v>
      </c>
      <c r="AH571" s="65">
        <f t="shared" si="99"/>
        <v>86300</v>
      </c>
      <c r="AI571" s="66">
        <f>AH571/X571</f>
        <v>0.23930145050508411</v>
      </c>
      <c r="AJ571" s="66">
        <f t="shared" si="100"/>
        <v>0.23930145050508411</v>
      </c>
      <c r="AK571" s="65">
        <f>AF571*X571</f>
        <v>0</v>
      </c>
      <c r="AL571" s="40">
        <f t="shared" si="95"/>
        <v>86300</v>
      </c>
      <c r="AM571" s="242">
        <f t="shared" si="93"/>
        <v>45291</v>
      </c>
      <c r="AN571" s="242" t="str">
        <f>IF(AQ571="x","",IF(AQ571="x",AM571,IF(EOMONTH(I571,0)=31,"",EOMONTH(I571,0))))</f>
        <v/>
      </c>
      <c r="AO571" s="79">
        <f>IFERROR(IF(VLOOKUP(C571,C572:C1171,1,0)=0,1,0),1)</f>
        <v>0</v>
      </c>
      <c r="AP571" s="79"/>
      <c r="AQ571" s="243" t="str">
        <f t="shared" si="101"/>
        <v/>
      </c>
      <c r="AR571" s="242" t="b">
        <f>IF(AQ571="x",EOMONTH(I571,0))</f>
        <v>0</v>
      </c>
      <c r="AS571" s="79">
        <f t="shared" si="96"/>
        <v>1</v>
      </c>
      <c r="AT571" s="79">
        <f t="shared" si="97"/>
        <v>1</v>
      </c>
      <c r="AU571" s="79" t="str">
        <f t="shared" si="98"/>
        <v>B</v>
      </c>
      <c r="AV571" s="79">
        <f t="shared" si="102"/>
        <v>1</v>
      </c>
      <c r="AW571" s="79" t="str">
        <f>J571&amp;AU571</f>
        <v>INTEGRALB</v>
      </c>
      <c r="AX571" s="79">
        <f>IF(COUNTIFS(J:J,"Integral",E:E,E571,H:H,"Ativo")=4,1/4,1/10)</f>
        <v>0.1</v>
      </c>
      <c r="AY571" s="79" t="s">
        <v>1320</v>
      </c>
      <c r="AZ571" s="79" t="b">
        <v>1</v>
      </c>
    </row>
    <row r="572" spans="1:52" ht="15.75" customHeight="1">
      <c r="A572" s="54">
        <v>596</v>
      </c>
      <c r="B572" s="403">
        <v>45276</v>
      </c>
      <c r="C572" s="32" t="s">
        <v>1776</v>
      </c>
      <c r="D572" s="32" t="s">
        <v>1790</v>
      </c>
      <c r="E572" s="32" t="s">
        <v>1778</v>
      </c>
      <c r="F572" s="32" t="s">
        <v>1791</v>
      </c>
      <c r="G572" s="60" t="s">
        <v>220</v>
      </c>
      <c r="H572" s="33" t="s">
        <v>90</v>
      </c>
      <c r="I572" s="34"/>
      <c r="J572" s="33" t="s">
        <v>1701</v>
      </c>
      <c r="K572" s="56" t="s">
        <v>378</v>
      </c>
      <c r="L572" s="56" t="s">
        <v>378</v>
      </c>
      <c r="M572" s="386" t="s">
        <v>1026</v>
      </c>
      <c r="N572" s="33" t="s">
        <v>68</v>
      </c>
      <c r="O572" s="33" t="s">
        <v>10</v>
      </c>
      <c r="P572" s="33" t="s">
        <v>1</v>
      </c>
      <c r="Q572" s="47"/>
      <c r="R572" s="47"/>
      <c r="S572" s="45" t="s">
        <v>145</v>
      </c>
      <c r="T572" s="45"/>
      <c r="U572" s="37">
        <v>45276</v>
      </c>
      <c r="V572" s="38">
        <f t="shared" si="92"/>
        <v>45276</v>
      </c>
      <c r="W572" s="50">
        <f>V572-U572</f>
        <v>0</v>
      </c>
      <c r="X572" s="261">
        <f>Y572*0.91</f>
        <v>360633</v>
      </c>
      <c r="Y572" s="260">
        <v>396300</v>
      </c>
      <c r="Z572" s="263">
        <v>310000</v>
      </c>
      <c r="AA572" s="56" t="s">
        <v>911</v>
      </c>
      <c r="AB572" s="263"/>
      <c r="AC572" s="44">
        <v>0.09</v>
      </c>
      <c r="AD572" s="62">
        <v>4.0399999999999998E-2</v>
      </c>
      <c r="AE572" s="41">
        <f t="shared" si="103"/>
        <v>4.9599999999999998E-2</v>
      </c>
      <c r="AF572" s="42"/>
      <c r="AG572" s="40">
        <f>IF((X572*AE572)&lt;0,0,(X572*AE572))</f>
        <v>17887.396799999999</v>
      </c>
      <c r="AH572" s="65">
        <f t="shared" si="99"/>
        <v>86300</v>
      </c>
      <c r="AI572" s="66">
        <f>AH572/X572</f>
        <v>0.23930145050508411</v>
      </c>
      <c r="AJ572" s="66">
        <f t="shared" si="100"/>
        <v>0.23930145050508411</v>
      </c>
      <c r="AK572" s="65">
        <f>AF572*X572</f>
        <v>0</v>
      </c>
      <c r="AL572" s="40">
        <f t="shared" si="95"/>
        <v>86300</v>
      </c>
      <c r="AM572" s="242">
        <f t="shared" si="93"/>
        <v>45291</v>
      </c>
      <c r="AN572" s="242" t="str">
        <f>IF(AQ572="x","",IF(AQ572="x",AM572,IF(EOMONTH(I572,0)=31,"",EOMONTH(I572,0))))</f>
        <v/>
      </c>
      <c r="AO572" s="79">
        <f>IFERROR(IF(VLOOKUP(C572,C573:C1172,1,0)=0,1,0),1)</f>
        <v>0</v>
      </c>
      <c r="AP572" s="79"/>
      <c r="AQ572" s="243" t="str">
        <f t="shared" si="101"/>
        <v/>
      </c>
      <c r="AR572" s="242" t="b">
        <f>IF(AQ572="x",EOMONTH(I572,0))</f>
        <v>0</v>
      </c>
      <c r="AS572" s="79">
        <f t="shared" si="96"/>
        <v>1</v>
      </c>
      <c r="AT572" s="79">
        <f t="shared" si="97"/>
        <v>1</v>
      </c>
      <c r="AU572" s="79" t="str">
        <f t="shared" si="98"/>
        <v>B</v>
      </c>
      <c r="AV572" s="79">
        <f t="shared" si="102"/>
        <v>1</v>
      </c>
      <c r="AW572" s="79" t="str">
        <f>J572&amp;AU572</f>
        <v>INTEGRALB</v>
      </c>
      <c r="AX572" s="79">
        <f>IF(COUNTIFS(J:J,"Integral",E:E,E572,H:H,"Ativo")=4,1/4,1/10)</f>
        <v>0.1</v>
      </c>
      <c r="AY572" s="79" t="s">
        <v>1320</v>
      </c>
      <c r="AZ572" s="79" t="b">
        <v>1</v>
      </c>
    </row>
    <row r="573" spans="1:52" ht="15.75" customHeight="1">
      <c r="A573" s="54">
        <v>597</v>
      </c>
      <c r="B573" s="403">
        <v>45276</v>
      </c>
      <c r="C573" s="32" t="s">
        <v>1776</v>
      </c>
      <c r="D573" s="32" t="s">
        <v>1792</v>
      </c>
      <c r="E573" s="32" t="s">
        <v>1778</v>
      </c>
      <c r="F573" s="32" t="s">
        <v>1793</v>
      </c>
      <c r="G573" s="60" t="s">
        <v>220</v>
      </c>
      <c r="H573" s="33" t="s">
        <v>90</v>
      </c>
      <c r="I573" s="34"/>
      <c r="J573" s="33" t="s">
        <v>1701</v>
      </c>
      <c r="K573" s="56" t="s">
        <v>378</v>
      </c>
      <c r="L573" s="56" t="s">
        <v>378</v>
      </c>
      <c r="M573" s="386" t="s">
        <v>1026</v>
      </c>
      <c r="N573" s="33" t="s">
        <v>68</v>
      </c>
      <c r="O573" s="33" t="s">
        <v>10</v>
      </c>
      <c r="P573" s="33" t="s">
        <v>1</v>
      </c>
      <c r="Q573" s="47"/>
      <c r="R573" s="47"/>
      <c r="S573" s="45" t="s">
        <v>145</v>
      </c>
      <c r="T573" s="45"/>
      <c r="U573" s="37">
        <v>45276</v>
      </c>
      <c r="V573" s="38">
        <f t="shared" si="92"/>
        <v>45276</v>
      </c>
      <c r="W573" s="50">
        <f>V573-U573</f>
        <v>0</v>
      </c>
      <c r="X573" s="261">
        <f>Y573*0.91</f>
        <v>360633</v>
      </c>
      <c r="Y573" s="260">
        <v>396300</v>
      </c>
      <c r="Z573" s="263">
        <v>310000</v>
      </c>
      <c r="AA573" s="56" t="s">
        <v>911</v>
      </c>
      <c r="AB573" s="263"/>
      <c r="AC573" s="44">
        <v>0.09</v>
      </c>
      <c r="AD573" s="62">
        <v>4.0399999999999998E-2</v>
      </c>
      <c r="AE573" s="41">
        <f t="shared" si="103"/>
        <v>4.9599999999999998E-2</v>
      </c>
      <c r="AF573" s="42"/>
      <c r="AG573" s="40">
        <f>IF((X573*AE573)&lt;0,0,(X573*AE573))</f>
        <v>17887.396799999999</v>
      </c>
      <c r="AH573" s="65">
        <f t="shared" si="99"/>
        <v>86300</v>
      </c>
      <c r="AI573" s="66">
        <f>AH573/X573</f>
        <v>0.23930145050508411</v>
      </c>
      <c r="AJ573" s="66">
        <f t="shared" si="100"/>
        <v>0.23930145050508411</v>
      </c>
      <c r="AK573" s="65">
        <f>AF573*X573</f>
        <v>0</v>
      </c>
      <c r="AL573" s="40">
        <f t="shared" si="95"/>
        <v>86300</v>
      </c>
      <c r="AM573" s="242">
        <f t="shared" si="93"/>
        <v>45291</v>
      </c>
      <c r="AN573" s="242" t="str">
        <f>IF(AQ573="x","",IF(AQ573="x",AM573,IF(EOMONTH(I573,0)=31,"",EOMONTH(I573,0))))</f>
        <v/>
      </c>
      <c r="AO573" s="79">
        <f>IFERROR(IF(VLOOKUP(C573,C574:C1173,1,0)=0,1,0),1)</f>
        <v>0</v>
      </c>
      <c r="AP573" s="79"/>
      <c r="AQ573" s="243" t="str">
        <f t="shared" si="101"/>
        <v/>
      </c>
      <c r="AR573" s="242" t="b">
        <f>IF(AQ573="x",EOMONTH(I573,0))</f>
        <v>0</v>
      </c>
      <c r="AS573" s="79">
        <f t="shared" si="96"/>
        <v>1</v>
      </c>
      <c r="AT573" s="79">
        <f t="shared" si="97"/>
        <v>1</v>
      </c>
      <c r="AU573" s="79" t="str">
        <f t="shared" si="98"/>
        <v>B</v>
      </c>
      <c r="AV573" s="79">
        <f t="shared" si="102"/>
        <v>1</v>
      </c>
      <c r="AW573" s="79" t="str">
        <f>J573&amp;AU573</f>
        <v>INTEGRALB</v>
      </c>
      <c r="AX573" s="79">
        <f>IF(COUNTIFS(J:J,"Integral",E:E,E573,H:H,"Ativo")=4,1/4,1/10)</f>
        <v>0.1</v>
      </c>
      <c r="AY573" s="79" t="s">
        <v>1320</v>
      </c>
      <c r="AZ573" s="79" t="b">
        <v>1</v>
      </c>
    </row>
    <row r="574" spans="1:52" ht="15.75" customHeight="1">
      <c r="A574" s="54">
        <v>598</v>
      </c>
      <c r="B574" s="403">
        <v>45276</v>
      </c>
      <c r="C574" s="32" t="s">
        <v>1776</v>
      </c>
      <c r="D574" s="32" t="s">
        <v>1794</v>
      </c>
      <c r="E574" s="32" t="s">
        <v>1778</v>
      </c>
      <c r="F574" s="32" t="s">
        <v>1795</v>
      </c>
      <c r="G574" s="60" t="s">
        <v>220</v>
      </c>
      <c r="H574" s="33" t="s">
        <v>90</v>
      </c>
      <c r="I574" s="34"/>
      <c r="J574" s="33" t="s">
        <v>1701</v>
      </c>
      <c r="K574" s="56" t="s">
        <v>378</v>
      </c>
      <c r="L574" s="56" t="s">
        <v>378</v>
      </c>
      <c r="M574" s="386" t="s">
        <v>1026</v>
      </c>
      <c r="N574" s="33" t="s">
        <v>68</v>
      </c>
      <c r="O574" s="33" t="s">
        <v>10</v>
      </c>
      <c r="P574" s="33" t="s">
        <v>1</v>
      </c>
      <c r="Q574" s="47"/>
      <c r="R574" s="47"/>
      <c r="S574" s="45" t="s">
        <v>145</v>
      </c>
      <c r="T574" s="45"/>
      <c r="U574" s="37">
        <v>45276</v>
      </c>
      <c r="V574" s="38">
        <f t="shared" si="92"/>
        <v>45276</v>
      </c>
      <c r="W574" s="50">
        <f>V574-U574</f>
        <v>0</v>
      </c>
      <c r="X574" s="261">
        <f>Y574*0.91</f>
        <v>360633</v>
      </c>
      <c r="Y574" s="260">
        <v>396300</v>
      </c>
      <c r="Z574" s="263">
        <v>310000</v>
      </c>
      <c r="AA574" s="56" t="s">
        <v>911</v>
      </c>
      <c r="AB574" s="263"/>
      <c r="AC574" s="44">
        <v>0.09</v>
      </c>
      <c r="AD574" s="62">
        <v>4.0399999999999998E-2</v>
      </c>
      <c r="AE574" s="41">
        <f t="shared" si="103"/>
        <v>4.9599999999999998E-2</v>
      </c>
      <c r="AF574" s="42"/>
      <c r="AG574" s="40">
        <f>IF((X574*AE574)&lt;0,0,(X574*AE574))</f>
        <v>17887.396799999999</v>
      </c>
      <c r="AH574" s="65">
        <f t="shared" si="99"/>
        <v>86300</v>
      </c>
      <c r="AI574" s="66">
        <f>AH574/X574</f>
        <v>0.23930145050508411</v>
      </c>
      <c r="AJ574" s="66">
        <f t="shared" si="100"/>
        <v>0.23930145050508411</v>
      </c>
      <c r="AK574" s="65">
        <f>AF574*X574</f>
        <v>0</v>
      </c>
      <c r="AL574" s="40">
        <f t="shared" si="95"/>
        <v>86300</v>
      </c>
      <c r="AM574" s="242">
        <f t="shared" si="93"/>
        <v>45291</v>
      </c>
      <c r="AN574" s="242" t="str">
        <f>IF(AQ574="x","",IF(AQ574="x",AM574,IF(EOMONTH(I574,0)=31,"",EOMONTH(I574,0))))</f>
        <v/>
      </c>
      <c r="AO574" s="79">
        <f>IFERROR(IF(VLOOKUP(C574,C575:C1174,1,0)=0,1,0),1)</f>
        <v>0</v>
      </c>
      <c r="AP574" s="79"/>
      <c r="AQ574" s="243" t="str">
        <f t="shared" si="101"/>
        <v/>
      </c>
      <c r="AR574" s="242" t="b">
        <f>IF(AQ574="x",EOMONTH(I574,0))</f>
        <v>0</v>
      </c>
      <c r="AS574" s="79">
        <f t="shared" si="96"/>
        <v>1</v>
      </c>
      <c r="AT574" s="79">
        <f t="shared" si="97"/>
        <v>1</v>
      </c>
      <c r="AU574" s="79" t="str">
        <f t="shared" si="98"/>
        <v>B</v>
      </c>
      <c r="AV574" s="79">
        <f t="shared" si="102"/>
        <v>1</v>
      </c>
      <c r="AW574" s="79" t="str">
        <f>J574&amp;AU574</f>
        <v>INTEGRALB</v>
      </c>
      <c r="AX574" s="79">
        <f>IF(COUNTIFS(J:J,"Integral",E:E,E574,H:H,"Ativo")=4,1/4,1/10)</f>
        <v>0.1</v>
      </c>
      <c r="AY574" s="79" t="s">
        <v>1320</v>
      </c>
      <c r="AZ574" s="79" t="b">
        <v>1</v>
      </c>
    </row>
    <row r="575" spans="1:52" ht="15.75" customHeight="1">
      <c r="A575" s="54">
        <v>599</v>
      </c>
      <c r="B575" s="403">
        <v>45276</v>
      </c>
      <c r="C575" s="32" t="s">
        <v>1776</v>
      </c>
      <c r="D575" s="32" t="s">
        <v>1796</v>
      </c>
      <c r="E575" s="32" t="s">
        <v>1778</v>
      </c>
      <c r="F575" s="32" t="s">
        <v>1797</v>
      </c>
      <c r="G575" s="60" t="s">
        <v>220</v>
      </c>
      <c r="H575" s="33" t="s">
        <v>90</v>
      </c>
      <c r="I575" s="34"/>
      <c r="J575" s="33" t="s">
        <v>1701</v>
      </c>
      <c r="K575" s="56" t="s">
        <v>378</v>
      </c>
      <c r="L575" s="56" t="s">
        <v>378</v>
      </c>
      <c r="M575" s="386" t="s">
        <v>1026</v>
      </c>
      <c r="N575" s="33" t="s">
        <v>68</v>
      </c>
      <c r="O575" s="33" t="s">
        <v>10</v>
      </c>
      <c r="P575" s="33" t="s">
        <v>1</v>
      </c>
      <c r="Q575" s="47"/>
      <c r="R575" s="47"/>
      <c r="S575" s="45" t="s">
        <v>145</v>
      </c>
      <c r="T575" s="45"/>
      <c r="U575" s="37">
        <v>45276</v>
      </c>
      <c r="V575" s="38">
        <f t="shared" si="92"/>
        <v>45276</v>
      </c>
      <c r="W575" s="50">
        <f>V575-U575</f>
        <v>0</v>
      </c>
      <c r="X575" s="261">
        <f>Y575*0.91</f>
        <v>360633</v>
      </c>
      <c r="Y575" s="260">
        <v>396300</v>
      </c>
      <c r="Z575" s="263">
        <v>310000</v>
      </c>
      <c r="AA575" s="56" t="s">
        <v>911</v>
      </c>
      <c r="AB575" s="263"/>
      <c r="AC575" s="44">
        <v>0.09</v>
      </c>
      <c r="AD575" s="62">
        <v>4.0399999999999998E-2</v>
      </c>
      <c r="AE575" s="41">
        <f t="shared" si="103"/>
        <v>4.9599999999999998E-2</v>
      </c>
      <c r="AF575" s="42"/>
      <c r="AG575" s="40">
        <f>IF((X575*AE575)&lt;0,0,(X575*AE575))</f>
        <v>17887.396799999999</v>
      </c>
      <c r="AH575" s="65">
        <f t="shared" si="99"/>
        <v>86300</v>
      </c>
      <c r="AI575" s="66">
        <f>AH575/X575</f>
        <v>0.23930145050508411</v>
      </c>
      <c r="AJ575" s="66">
        <f t="shared" si="100"/>
        <v>0.23930145050508411</v>
      </c>
      <c r="AK575" s="65">
        <f>AF575*X575</f>
        <v>0</v>
      </c>
      <c r="AL575" s="40">
        <f t="shared" si="95"/>
        <v>86300</v>
      </c>
      <c r="AM575" s="242">
        <f t="shared" si="93"/>
        <v>45291</v>
      </c>
      <c r="AN575" s="242" t="str">
        <f>IF(AQ575="x","",IF(AQ575="x",AM575,IF(EOMONTH(I575,0)=31,"",EOMONTH(I575,0))))</f>
        <v/>
      </c>
      <c r="AO575" s="79">
        <f>IFERROR(IF(VLOOKUP(C575,C576:C1175,1,0)=0,1,0),1)</f>
        <v>1</v>
      </c>
      <c r="AP575" s="79"/>
      <c r="AQ575" s="243" t="str">
        <f t="shared" si="101"/>
        <v/>
      </c>
      <c r="AR575" s="242" t="b">
        <f>IF(AQ575="x",EOMONTH(I575,0))</f>
        <v>0</v>
      </c>
      <c r="AS575" s="79">
        <f t="shared" si="96"/>
        <v>1</v>
      </c>
      <c r="AT575" s="79">
        <f t="shared" si="97"/>
        <v>1</v>
      </c>
      <c r="AU575" s="79" t="str">
        <f t="shared" si="98"/>
        <v>B</v>
      </c>
      <c r="AV575" s="79">
        <f t="shared" si="102"/>
        <v>1</v>
      </c>
      <c r="AW575" s="79" t="str">
        <f>J575&amp;AU575</f>
        <v>INTEGRALB</v>
      </c>
      <c r="AX575" s="79">
        <f>IF(COUNTIFS(J:J,"Integral",E:E,E575,H:H,"Ativo")=4,1/4,1/10)</f>
        <v>0.1</v>
      </c>
      <c r="AY575" s="79" t="s">
        <v>1320</v>
      </c>
      <c r="AZ575" s="79" t="b">
        <v>1</v>
      </c>
    </row>
    <row r="576" spans="1:52" ht="15.75" customHeight="1">
      <c r="A576" s="54">
        <v>600</v>
      </c>
      <c r="B576" s="403">
        <v>45280</v>
      </c>
      <c r="C576" s="32" t="s">
        <v>1798</v>
      </c>
      <c r="D576" s="32" t="s">
        <v>1799</v>
      </c>
      <c r="E576" s="32" t="s">
        <v>1368</v>
      </c>
      <c r="F576" s="32" t="s">
        <v>1800</v>
      </c>
      <c r="G576" s="60" t="s">
        <v>220</v>
      </c>
      <c r="H576" s="33" t="s">
        <v>90</v>
      </c>
      <c r="I576" s="34"/>
      <c r="J576" s="33">
        <v>4</v>
      </c>
      <c r="K576" s="56" t="s">
        <v>1801</v>
      </c>
      <c r="L576" s="56" t="s">
        <v>1801</v>
      </c>
      <c r="M576" s="386" t="s">
        <v>1026</v>
      </c>
      <c r="N576" s="33" t="s">
        <v>68</v>
      </c>
      <c r="O576" s="33" t="s">
        <v>11</v>
      </c>
      <c r="P576" s="33" t="s">
        <v>2</v>
      </c>
      <c r="Q576" s="47"/>
      <c r="R576" s="47"/>
      <c r="S576" s="45" t="s">
        <v>147</v>
      </c>
      <c r="T576" s="45"/>
      <c r="U576" s="37">
        <v>45274</v>
      </c>
      <c r="V576" s="38">
        <f t="shared" si="92"/>
        <v>45280</v>
      </c>
      <c r="W576" s="50">
        <f>V576-U576</f>
        <v>6</v>
      </c>
      <c r="X576" s="261">
        <f>Y576*0.91</f>
        <v>298935</v>
      </c>
      <c r="Y576" s="260">
        <v>328500</v>
      </c>
      <c r="Z576" s="263">
        <v>265275</v>
      </c>
      <c r="AA576" s="56"/>
      <c r="AB576" s="263"/>
      <c r="AC576" s="44">
        <v>0.09</v>
      </c>
      <c r="AD576" s="62">
        <v>1.78E-2</v>
      </c>
      <c r="AE576" s="41">
        <f t="shared" si="103"/>
        <v>7.22E-2</v>
      </c>
      <c r="AF576" s="42"/>
      <c r="AG576" s="40">
        <f>IF((X576*AE576)&lt;0,0,(X576*AE576))</f>
        <v>21583.107</v>
      </c>
      <c r="AH576" s="65">
        <f t="shared" si="99"/>
        <v>63225</v>
      </c>
      <c r="AI576" s="66">
        <f>AH576/X576</f>
        <v>0.21150082793918409</v>
      </c>
      <c r="AJ576" s="66">
        <f t="shared" si="100"/>
        <v>0.21150082793918409</v>
      </c>
      <c r="AK576" s="65">
        <f>AF576*X576</f>
        <v>0</v>
      </c>
      <c r="AL576" s="40">
        <f t="shared" si="95"/>
        <v>63225</v>
      </c>
      <c r="AM576" s="242">
        <f t="shared" si="93"/>
        <v>45291</v>
      </c>
      <c r="AN576" s="242" t="str">
        <f>IF(AQ576="x","",IF(AQ576="x",AM576,IF(EOMONTH(I576,0)=31,"",EOMONTH(I576,0))))</f>
        <v/>
      </c>
      <c r="AO576" s="79">
        <f>IFERROR(IF(VLOOKUP(C576,C577:C1177,1,0)=0,1,0),1)</f>
        <v>1</v>
      </c>
      <c r="AP576" s="79"/>
      <c r="AQ576" s="243" t="str">
        <f t="shared" si="101"/>
        <v/>
      </c>
      <c r="AR576" s="242" t="b">
        <f>IF(AQ576="x",EOMONTH(I576,0))</f>
        <v>0</v>
      </c>
      <c r="AS576" s="79">
        <f t="shared" si="96"/>
        <v>1</v>
      </c>
      <c r="AT576" s="79">
        <f t="shared" si="97"/>
        <v>1</v>
      </c>
      <c r="AU576" s="79" t="str">
        <f t="shared" si="98"/>
        <v>B</v>
      </c>
      <c r="AV576" s="79">
        <f t="shared" si="102"/>
        <v>1</v>
      </c>
      <c r="AW576" s="79" t="str">
        <f>J576&amp;AU576</f>
        <v>4B</v>
      </c>
      <c r="AX576" s="79">
        <f>IF(COUNTIFS(J:J,"Integral",E:E,E576,H:H,"Ativo")=4,1/4,1/10)</f>
        <v>0.1</v>
      </c>
      <c r="AY576" s="79" t="s">
        <v>1320</v>
      </c>
      <c r="AZ576" s="79" t="b">
        <v>1</v>
      </c>
    </row>
    <row r="577" spans="1:52" ht="15.75" customHeight="1">
      <c r="A577" s="54">
        <v>601</v>
      </c>
      <c r="B577" s="403">
        <v>45282</v>
      </c>
      <c r="C577" s="32" t="s">
        <v>1802</v>
      </c>
      <c r="D577" s="32" t="s">
        <v>523</v>
      </c>
      <c r="E577" s="32" t="s">
        <v>524</v>
      </c>
      <c r="F577" s="32" t="s">
        <v>1803</v>
      </c>
      <c r="G577" s="60" t="s">
        <v>220</v>
      </c>
      <c r="H577" s="33" t="s">
        <v>90</v>
      </c>
      <c r="I577" s="34"/>
      <c r="J577" s="33" t="s">
        <v>1701</v>
      </c>
      <c r="K577" s="56" t="s">
        <v>1512</v>
      </c>
      <c r="L577" s="56" t="s">
        <v>1512</v>
      </c>
      <c r="M577" s="386" t="s">
        <v>1026</v>
      </c>
      <c r="N577" s="33" t="s">
        <v>68</v>
      </c>
      <c r="O577" s="33" t="s">
        <v>11</v>
      </c>
      <c r="P577" s="33" t="s">
        <v>2</v>
      </c>
      <c r="Q577" s="47"/>
      <c r="R577" s="47"/>
      <c r="S577" s="45" t="s">
        <v>160</v>
      </c>
      <c r="T577" s="45"/>
      <c r="U577" s="37">
        <v>45221</v>
      </c>
      <c r="V577" s="38">
        <f>B576</f>
        <v>45280</v>
      </c>
      <c r="W577" s="50">
        <f>V577-U577</f>
        <v>59</v>
      </c>
      <c r="X577" s="261">
        <f>Y577*0.91</f>
        <v>1129082.5</v>
      </c>
      <c r="Y577" s="260">
        <v>1240750</v>
      </c>
      <c r="Z577" s="263">
        <v>955000</v>
      </c>
      <c r="AA577" s="56"/>
      <c r="AB577" s="263"/>
      <c r="AC577" s="44">
        <v>0.09</v>
      </c>
      <c r="AD577" s="62">
        <v>5.2499999999999998E-2</v>
      </c>
      <c r="AE577" s="41">
        <f t="shared" si="103"/>
        <v>3.7499999999999999E-2</v>
      </c>
      <c r="AF577" s="42"/>
      <c r="AG577" s="40">
        <f>IF((X577*AE577)&lt;0,0,(X577*AE577))</f>
        <v>42340.59375</v>
      </c>
      <c r="AH577" s="65">
        <f t="shared" si="99"/>
        <v>285750</v>
      </c>
      <c r="AI577" s="66">
        <f>AH577/X577</f>
        <v>0.2530815950118791</v>
      </c>
      <c r="AJ577" s="66">
        <f t="shared" si="100"/>
        <v>0.2530815950118791</v>
      </c>
      <c r="AK577" s="65">
        <f>AF577*X577</f>
        <v>0</v>
      </c>
      <c r="AL577" s="40">
        <f t="shared" si="95"/>
        <v>285750</v>
      </c>
      <c r="AM577" s="242">
        <f>IFERROR(EOMONTH(B576,0),"Pendente")</f>
        <v>45291</v>
      </c>
      <c r="AN577" s="242" t="str">
        <f>IF(AQ577="x","",IF(AQ577="x",AM577,IF(EOMONTH(I577,0)=31,"",EOMONTH(I577,0))))</f>
        <v/>
      </c>
      <c r="AO577" s="79">
        <f>IFERROR(IF(VLOOKUP(C577,C578:C1178,1,0)=0,1,0),1)</f>
        <v>0</v>
      </c>
      <c r="AP577" s="79"/>
      <c r="AQ577" s="243" t="str">
        <f t="shared" si="101"/>
        <v/>
      </c>
      <c r="AR577" s="242" t="b">
        <f>IF(AQ577="x",EOMONTH(I577,0))</f>
        <v>0</v>
      </c>
      <c r="AS577" s="79">
        <f t="shared" si="96"/>
        <v>1</v>
      </c>
      <c r="AT577" s="79">
        <f t="shared" si="97"/>
        <v>1</v>
      </c>
      <c r="AU577" s="79" t="str">
        <f t="shared" si="98"/>
        <v>A</v>
      </c>
      <c r="AV577" s="79">
        <f t="shared" si="102"/>
        <v>1</v>
      </c>
      <c r="AW577" s="79" t="str">
        <f>J577&amp;AU577</f>
        <v>INTEGRALA</v>
      </c>
      <c r="AX577" s="79">
        <f>IF(COUNTIFS(J:J,"Integral",E:E,E577,H:H,"Ativo")=4,1/4,1/10)</f>
        <v>0.25</v>
      </c>
      <c r="AY577" s="79" t="s">
        <v>1535</v>
      </c>
      <c r="AZ577" s="79" t="b">
        <v>1</v>
      </c>
    </row>
    <row r="578" spans="1:52" ht="15.75" customHeight="1">
      <c r="A578" s="54">
        <v>602</v>
      </c>
      <c r="B578" s="403">
        <v>45282</v>
      </c>
      <c r="C578" s="32" t="s">
        <v>1802</v>
      </c>
      <c r="D578" s="32" t="s">
        <v>526</v>
      </c>
      <c r="E578" s="32" t="s">
        <v>524</v>
      </c>
      <c r="F578" s="32" t="s">
        <v>1804</v>
      </c>
      <c r="G578" s="60" t="s">
        <v>220</v>
      </c>
      <c r="H578" s="33" t="s">
        <v>90</v>
      </c>
      <c r="I578" s="34"/>
      <c r="J578" s="33" t="s">
        <v>1701</v>
      </c>
      <c r="K578" s="56" t="s">
        <v>1512</v>
      </c>
      <c r="L578" s="56" t="s">
        <v>1512</v>
      </c>
      <c r="M578" s="386" t="s">
        <v>1026</v>
      </c>
      <c r="N578" s="33" t="s">
        <v>68</v>
      </c>
      <c r="O578" s="33" t="s">
        <v>11</v>
      </c>
      <c r="P578" s="33" t="s">
        <v>2</v>
      </c>
      <c r="Q578" s="47"/>
      <c r="R578" s="47"/>
      <c r="S578" s="45" t="s">
        <v>160</v>
      </c>
      <c r="T578" s="45"/>
      <c r="U578" s="37">
        <v>45221</v>
      </c>
      <c r="V578" s="38">
        <f t="shared" ref="V578:V641" si="104">B578</f>
        <v>45282</v>
      </c>
      <c r="W578" s="50">
        <f>V578-U578</f>
        <v>61</v>
      </c>
      <c r="X578" s="261">
        <f>Y578*0.91</f>
        <v>1129082.5</v>
      </c>
      <c r="Y578" s="260">
        <v>1240750</v>
      </c>
      <c r="Z578" s="263">
        <v>955000</v>
      </c>
      <c r="AA578" s="56"/>
      <c r="AB578" s="263"/>
      <c r="AC578" s="44">
        <v>0.09</v>
      </c>
      <c r="AD578" s="62">
        <v>5.2499999999999998E-2</v>
      </c>
      <c r="AE578" s="41">
        <f t="shared" si="103"/>
        <v>3.7499999999999999E-2</v>
      </c>
      <c r="AF578" s="42"/>
      <c r="AG578" s="40">
        <f>IF((X578*AE578)&lt;0,0,(X578*AE578))</f>
        <v>42340.59375</v>
      </c>
      <c r="AH578" s="65">
        <f t="shared" si="99"/>
        <v>285750</v>
      </c>
      <c r="AI578" s="66">
        <f>AH578/X578</f>
        <v>0.2530815950118791</v>
      </c>
      <c r="AJ578" s="66">
        <f t="shared" si="100"/>
        <v>0.2530815950118791</v>
      </c>
      <c r="AK578" s="65">
        <f>AF578*X578</f>
        <v>0</v>
      </c>
      <c r="AL578" s="40">
        <f t="shared" si="95"/>
        <v>285750</v>
      </c>
      <c r="AM578" s="242">
        <f t="shared" ref="AM578:AM641" si="105">IFERROR(EOMONTH(B578,0),"Pendente")</f>
        <v>45291</v>
      </c>
      <c r="AN578" s="242" t="str">
        <f>IF(AQ578="x","",IF(AQ578="x",AM578,IF(EOMONTH(I578,0)=31,"",EOMONTH(I578,0))))</f>
        <v/>
      </c>
      <c r="AO578" s="79">
        <f>IFERROR(IF(VLOOKUP(C578,C579:C1179,1,0)=0,1,0),1)</f>
        <v>0</v>
      </c>
      <c r="AP578" s="79"/>
      <c r="AQ578" s="243" t="str">
        <f t="shared" si="101"/>
        <v/>
      </c>
      <c r="AR578" s="242" t="b">
        <f>IF(AQ578="x",EOMONTH(I578,0))</f>
        <v>0</v>
      </c>
      <c r="AS578" s="79">
        <f t="shared" si="96"/>
        <v>1</v>
      </c>
      <c r="AT578" s="79">
        <f t="shared" si="97"/>
        <v>1</v>
      </c>
      <c r="AU578" s="79" t="str">
        <f t="shared" si="98"/>
        <v>A</v>
      </c>
      <c r="AV578" s="79">
        <f t="shared" si="102"/>
        <v>1</v>
      </c>
      <c r="AW578" s="79" t="str">
        <f>J578&amp;AU578</f>
        <v>INTEGRALA</v>
      </c>
      <c r="AX578" s="79">
        <f>IF(COUNTIFS(J:J,"Integral",E:E,E578,H:H,"Ativo")=4,1/4,1/10)</f>
        <v>0.25</v>
      </c>
      <c r="AY578" s="79" t="s">
        <v>1535</v>
      </c>
      <c r="AZ578" s="79" t="b">
        <v>1</v>
      </c>
    </row>
    <row r="579" spans="1:52" ht="15.75" customHeight="1">
      <c r="A579" s="54">
        <v>603</v>
      </c>
      <c r="B579" s="403">
        <v>45282</v>
      </c>
      <c r="C579" s="32" t="s">
        <v>1802</v>
      </c>
      <c r="D579" s="32" t="s">
        <v>528</v>
      </c>
      <c r="E579" s="32" t="s">
        <v>524</v>
      </c>
      <c r="F579" s="32" t="s">
        <v>1805</v>
      </c>
      <c r="G579" s="60" t="s">
        <v>220</v>
      </c>
      <c r="H579" s="33" t="s">
        <v>90</v>
      </c>
      <c r="I579" s="34"/>
      <c r="J579" s="33" t="s">
        <v>1701</v>
      </c>
      <c r="K579" s="56" t="s">
        <v>1512</v>
      </c>
      <c r="L579" s="56" t="s">
        <v>1512</v>
      </c>
      <c r="M579" s="386" t="s">
        <v>1026</v>
      </c>
      <c r="N579" s="33" t="s">
        <v>68</v>
      </c>
      <c r="O579" s="33" t="s">
        <v>11</v>
      </c>
      <c r="P579" s="33" t="s">
        <v>2</v>
      </c>
      <c r="Q579" s="47"/>
      <c r="R579" s="47"/>
      <c r="S579" s="45" t="s">
        <v>160</v>
      </c>
      <c r="T579" s="45"/>
      <c r="U579" s="37">
        <v>45221</v>
      </c>
      <c r="V579" s="38">
        <f t="shared" si="104"/>
        <v>45282</v>
      </c>
      <c r="W579" s="50">
        <f>V579-U579</f>
        <v>61</v>
      </c>
      <c r="X579" s="261">
        <f>Y579*0.91</f>
        <v>1129082.5</v>
      </c>
      <c r="Y579" s="260">
        <v>1240750</v>
      </c>
      <c r="Z579" s="263">
        <v>955000</v>
      </c>
      <c r="AA579" s="56"/>
      <c r="AB579" s="263"/>
      <c r="AC579" s="44">
        <v>0.09</v>
      </c>
      <c r="AD579" s="62">
        <v>5.2499999999999998E-2</v>
      </c>
      <c r="AE579" s="41">
        <f t="shared" si="103"/>
        <v>3.7499999999999999E-2</v>
      </c>
      <c r="AF579" s="42"/>
      <c r="AG579" s="40">
        <f>IF((X579*AE579)&lt;0,0,(X579*AE579))</f>
        <v>42340.59375</v>
      </c>
      <c r="AH579" s="65">
        <f t="shared" si="99"/>
        <v>285750</v>
      </c>
      <c r="AI579" s="66">
        <f>AH579/X579</f>
        <v>0.2530815950118791</v>
      </c>
      <c r="AJ579" s="66">
        <f t="shared" si="100"/>
        <v>0.2530815950118791</v>
      </c>
      <c r="AK579" s="65">
        <f>AF579*X579</f>
        <v>0</v>
      </c>
      <c r="AL579" s="40">
        <f t="shared" si="95"/>
        <v>285750</v>
      </c>
      <c r="AM579" s="242">
        <f t="shared" si="105"/>
        <v>45291</v>
      </c>
      <c r="AN579" s="242" t="str">
        <f>IF(AQ579="x","",IF(AQ579="x",AM579,IF(EOMONTH(I579,0)=31,"",EOMONTH(I579,0))))</f>
        <v/>
      </c>
      <c r="AO579" s="79">
        <f>IFERROR(IF(VLOOKUP(C579,C580:C1180,1,0)=0,1,0),1)</f>
        <v>0</v>
      </c>
      <c r="AP579" s="79"/>
      <c r="AQ579" s="243" t="str">
        <f t="shared" si="101"/>
        <v/>
      </c>
      <c r="AR579" s="242" t="b">
        <f>IF(AQ579="x",EOMONTH(I579,0))</f>
        <v>0</v>
      </c>
      <c r="AS579" s="79">
        <f t="shared" si="96"/>
        <v>1</v>
      </c>
      <c r="AT579" s="79">
        <f t="shared" si="97"/>
        <v>1</v>
      </c>
      <c r="AU579" s="79" t="str">
        <f t="shared" si="98"/>
        <v>A</v>
      </c>
      <c r="AV579" s="79">
        <f t="shared" si="102"/>
        <v>1</v>
      </c>
      <c r="AW579" s="79" t="str">
        <f>J579&amp;AU579</f>
        <v>INTEGRALA</v>
      </c>
      <c r="AX579" s="79">
        <f>IF(COUNTIFS(J:J,"Integral",E:E,E579,H:H,"Ativo")=4,1/4,1/10)</f>
        <v>0.25</v>
      </c>
      <c r="AY579" s="79" t="s">
        <v>1535</v>
      </c>
      <c r="AZ579" s="79" t="b">
        <v>1</v>
      </c>
    </row>
    <row r="580" spans="1:52" ht="15.75" customHeight="1">
      <c r="A580" s="54">
        <v>604</v>
      </c>
      <c r="B580" s="403">
        <v>45282</v>
      </c>
      <c r="C580" s="32" t="s">
        <v>1802</v>
      </c>
      <c r="D580" s="32" t="s">
        <v>530</v>
      </c>
      <c r="E580" s="32" t="s">
        <v>524</v>
      </c>
      <c r="F580" s="32" t="s">
        <v>1806</v>
      </c>
      <c r="G580" s="60" t="s">
        <v>220</v>
      </c>
      <c r="H580" s="33" t="s">
        <v>90</v>
      </c>
      <c r="I580" s="34"/>
      <c r="J580" s="33" t="s">
        <v>1701</v>
      </c>
      <c r="K580" s="56" t="s">
        <v>1512</v>
      </c>
      <c r="L580" s="56" t="s">
        <v>1512</v>
      </c>
      <c r="M580" s="386" t="s">
        <v>1026</v>
      </c>
      <c r="N580" s="33" t="s">
        <v>68</v>
      </c>
      <c r="O580" s="33" t="s">
        <v>11</v>
      </c>
      <c r="P580" s="33" t="s">
        <v>2</v>
      </c>
      <c r="Q580" s="47"/>
      <c r="R580" s="47"/>
      <c r="S580" s="45" t="s">
        <v>160</v>
      </c>
      <c r="T580" s="45"/>
      <c r="U580" s="37">
        <v>45221</v>
      </c>
      <c r="V580" s="38">
        <f t="shared" si="104"/>
        <v>45282</v>
      </c>
      <c r="W580" s="50">
        <f>V580-U580</f>
        <v>61</v>
      </c>
      <c r="X580" s="261">
        <f>Y580*0.91</f>
        <v>1129082.5</v>
      </c>
      <c r="Y580" s="260">
        <v>1240750</v>
      </c>
      <c r="Z580" s="263">
        <v>955000</v>
      </c>
      <c r="AA580" s="56"/>
      <c r="AB580" s="263"/>
      <c r="AC580" s="44">
        <v>0.09</v>
      </c>
      <c r="AD580" s="62">
        <v>5.2499999999999998E-2</v>
      </c>
      <c r="AE580" s="41">
        <f t="shared" si="103"/>
        <v>3.7499999999999999E-2</v>
      </c>
      <c r="AF580" s="42"/>
      <c r="AG580" s="40">
        <f>IF((X580*AE580)&lt;0,0,(X580*AE580))</f>
        <v>42340.59375</v>
      </c>
      <c r="AH580" s="65">
        <f t="shared" si="99"/>
        <v>285750</v>
      </c>
      <c r="AI580" s="66">
        <f>AH580/X580</f>
        <v>0.2530815950118791</v>
      </c>
      <c r="AJ580" s="66">
        <f t="shared" si="100"/>
        <v>0.2530815950118791</v>
      </c>
      <c r="AK580" s="65">
        <f>AF580*X580</f>
        <v>0</v>
      </c>
      <c r="AL580" s="40">
        <f t="shared" si="95"/>
        <v>285750</v>
      </c>
      <c r="AM580" s="242">
        <f t="shared" si="105"/>
        <v>45291</v>
      </c>
      <c r="AN580" s="242" t="str">
        <f>IF(AQ580="x","",IF(AQ580="x",AM580,IF(EOMONTH(I580,0)=31,"",EOMONTH(I580,0))))</f>
        <v/>
      </c>
      <c r="AO580" s="79">
        <f>IFERROR(IF(VLOOKUP(C580,C581:C1181,1,0)=0,1,0),1)</f>
        <v>0</v>
      </c>
      <c r="AP580" s="79"/>
      <c r="AQ580" s="243" t="str">
        <f t="shared" si="101"/>
        <v/>
      </c>
      <c r="AR580" s="242" t="b">
        <f>IF(AQ580="x",EOMONTH(I580,0))</f>
        <v>0</v>
      </c>
      <c r="AS580" s="79">
        <f t="shared" si="96"/>
        <v>1</v>
      </c>
      <c r="AT580" s="79">
        <f t="shared" si="97"/>
        <v>1</v>
      </c>
      <c r="AU580" s="79" t="str">
        <f t="shared" si="98"/>
        <v>A</v>
      </c>
      <c r="AV580" s="79">
        <f t="shared" si="102"/>
        <v>1</v>
      </c>
      <c r="AW580" s="79" t="str">
        <f>J580&amp;AU580</f>
        <v>INTEGRALA</v>
      </c>
      <c r="AX580" s="79">
        <f>IF(COUNTIFS(J:J,"Integral",E:E,E580,H:H,"Ativo")=4,1/4,1/10)</f>
        <v>0.25</v>
      </c>
      <c r="AY580" s="79" t="s">
        <v>1535</v>
      </c>
      <c r="AZ580" s="79" t="b">
        <v>1</v>
      </c>
    </row>
    <row r="581" spans="1:52" ht="15.75" customHeight="1">
      <c r="A581" s="54">
        <v>605</v>
      </c>
      <c r="B581" s="403">
        <v>45282</v>
      </c>
      <c r="C581" s="32" t="s">
        <v>1802</v>
      </c>
      <c r="D581" s="32" t="s">
        <v>1702</v>
      </c>
      <c r="E581" s="32" t="s">
        <v>1703</v>
      </c>
      <c r="F581" s="32" t="s">
        <v>1807</v>
      </c>
      <c r="G581" s="60" t="s">
        <v>220</v>
      </c>
      <c r="H581" s="33" t="s">
        <v>90</v>
      </c>
      <c r="I581" s="34"/>
      <c r="J581" s="33">
        <v>52</v>
      </c>
      <c r="K581" s="56" t="s">
        <v>1512</v>
      </c>
      <c r="L581" s="56" t="s">
        <v>1512</v>
      </c>
      <c r="M581" s="386" t="s">
        <v>1026</v>
      </c>
      <c r="N581" s="33" t="s">
        <v>68</v>
      </c>
      <c r="O581" s="33" t="s">
        <v>11</v>
      </c>
      <c r="P581" s="33" t="s">
        <v>2</v>
      </c>
      <c r="Q581" s="47"/>
      <c r="R581" s="47"/>
      <c r="S581" s="45" t="s">
        <v>160</v>
      </c>
      <c r="T581" s="45"/>
      <c r="U581" s="70">
        <v>45221</v>
      </c>
      <c r="V581" s="48">
        <f t="shared" si="104"/>
        <v>45282</v>
      </c>
      <c r="W581" s="50">
        <f>V581-U581</f>
        <v>61</v>
      </c>
      <c r="X581" s="261">
        <f>Y581*0.91</f>
        <v>182000</v>
      </c>
      <c r="Y581" s="260">
        <v>200000</v>
      </c>
      <c r="Z581" s="263">
        <v>200000</v>
      </c>
      <c r="AA581" s="56"/>
      <c r="AB581" s="263"/>
      <c r="AC581" s="44">
        <v>0.09</v>
      </c>
      <c r="AD581" s="62"/>
      <c r="AE581" s="41">
        <f t="shared" si="103"/>
        <v>0.09</v>
      </c>
      <c r="AF581" s="42"/>
      <c r="AG581" s="40">
        <f>IF((X581*AE581)&lt;0,0,(X581*AE581))</f>
        <v>16380</v>
      </c>
      <c r="AH581" s="65">
        <f t="shared" si="99"/>
        <v>0</v>
      </c>
      <c r="AI581" s="66">
        <f>AH581/X581</f>
        <v>0</v>
      </c>
      <c r="AJ581" s="66">
        <f t="shared" si="100"/>
        <v>0</v>
      </c>
      <c r="AK581" s="65">
        <f>AF581*X581</f>
        <v>0</v>
      </c>
      <c r="AL581" s="40">
        <f t="shared" si="95"/>
        <v>0</v>
      </c>
      <c r="AM581" s="242">
        <f t="shared" si="105"/>
        <v>45291</v>
      </c>
      <c r="AN581" s="242" t="str">
        <f>IF(AQ581="x","",IF(AQ581="x",AM581,IF(EOMONTH(I581,0)=31,"",EOMONTH(I581,0))))</f>
        <v/>
      </c>
      <c r="AO581" s="79">
        <f>IFERROR(IF(VLOOKUP(C581,C582:C1182,1,0)=0,1,0),1)</f>
        <v>1</v>
      </c>
      <c r="AP581" s="79"/>
      <c r="AQ581" s="243" t="str">
        <f t="shared" si="101"/>
        <v/>
      </c>
      <c r="AR581" s="242" t="b">
        <f>IF(AQ581="x",EOMONTH(I581,0))</f>
        <v>0</v>
      </c>
      <c r="AS581" s="79">
        <f t="shared" si="96"/>
        <v>1</v>
      </c>
      <c r="AT581" s="79">
        <f t="shared" si="97"/>
        <v>1</v>
      </c>
      <c r="AU581" s="79" t="str">
        <f t="shared" si="98"/>
        <v>V</v>
      </c>
      <c r="AV581" s="79">
        <f t="shared" si="102"/>
        <v>1</v>
      </c>
      <c r="AW581" s="79" t="str">
        <f>J581&amp;AU581</f>
        <v>52V</v>
      </c>
      <c r="AX581" s="79">
        <f>IF(COUNTIFS(J:J,"Integral",E:E,E581,H:H,"Ativo")=4,1/4,1/10)</f>
        <v>0.1</v>
      </c>
      <c r="AY581" s="79" t="s">
        <v>1535</v>
      </c>
      <c r="AZ581" s="79" t="b">
        <v>1</v>
      </c>
    </row>
    <row r="582" spans="1:52" ht="15.75" customHeight="1">
      <c r="A582" s="54">
        <v>606</v>
      </c>
      <c r="B582" s="403">
        <v>45282</v>
      </c>
      <c r="C582" s="32" t="s">
        <v>1808</v>
      </c>
      <c r="D582" s="32" t="s">
        <v>1809</v>
      </c>
      <c r="E582" s="32" t="s">
        <v>1810</v>
      </c>
      <c r="F582" s="32" t="s">
        <v>1811</v>
      </c>
      <c r="G582" s="60" t="s">
        <v>220</v>
      </c>
      <c r="H582" s="33" t="s">
        <v>90</v>
      </c>
      <c r="I582" s="34"/>
      <c r="J582" s="33" t="s">
        <v>1701</v>
      </c>
      <c r="K582" s="56" t="s">
        <v>221</v>
      </c>
      <c r="L582" s="56" t="s">
        <v>221</v>
      </c>
      <c r="M582" s="67" t="s">
        <v>222</v>
      </c>
      <c r="N582" s="33" t="s">
        <v>72</v>
      </c>
      <c r="O582" s="33" t="s">
        <v>11</v>
      </c>
      <c r="P582" s="33" t="s">
        <v>72</v>
      </c>
      <c r="Q582" s="47"/>
      <c r="R582" s="47"/>
      <c r="S582" s="45" t="s">
        <v>143</v>
      </c>
      <c r="T582" s="45"/>
      <c r="U582" s="37" t="s">
        <v>222</v>
      </c>
      <c r="V582" s="38">
        <f t="shared" si="104"/>
        <v>45282</v>
      </c>
      <c r="W582" s="71" t="e">
        <f>V582-U582</f>
        <v>#VALUE!</v>
      </c>
      <c r="X582" s="261">
        <f>Y582*0.91</f>
        <v>656792.5</v>
      </c>
      <c r="Y582" s="260">
        <v>721750</v>
      </c>
      <c r="Z582" s="263">
        <v>417500</v>
      </c>
      <c r="AA582" s="56"/>
      <c r="AB582" s="263"/>
      <c r="AC582" s="44">
        <v>0.09</v>
      </c>
      <c r="AD582" s="62">
        <v>0.34060000000000001</v>
      </c>
      <c r="AE582" s="41">
        <f t="shared" si="103"/>
        <v>-0.25060000000000004</v>
      </c>
      <c r="AF582" s="42">
        <v>0.25059999999999999</v>
      </c>
      <c r="AG582" s="40">
        <f>IF((X582*AE582)&lt;0,0,(X582*AE582))</f>
        <v>0</v>
      </c>
      <c r="AH582" s="65">
        <f t="shared" si="99"/>
        <v>304250</v>
      </c>
      <c r="AI582" s="66">
        <f>AH582/X582</f>
        <v>0.46323610577160973</v>
      </c>
      <c r="AJ582" s="66">
        <f t="shared" si="100"/>
        <v>0.21263610577160974</v>
      </c>
      <c r="AK582" s="65">
        <f>AF582*X582</f>
        <v>164592.20050000001</v>
      </c>
      <c r="AL582" s="40">
        <f t="shared" si="95"/>
        <v>139657.79949999999</v>
      </c>
      <c r="AM582" s="242">
        <f t="shared" si="105"/>
        <v>45291</v>
      </c>
      <c r="AN582" s="242" t="str">
        <f>IF(AQ582="x","",IF(AQ582="x",AM582,IF(EOMONTH(I582,0)=31,"",EOMONTH(I582,0))))</f>
        <v/>
      </c>
      <c r="AO582" s="79">
        <f>IFERROR(IF(VLOOKUP(C582,C583:C1183,1,0)=0,1,0),1)</f>
        <v>0</v>
      </c>
      <c r="AP582" s="79"/>
      <c r="AQ582" s="243" t="str">
        <f t="shared" si="101"/>
        <v/>
      </c>
      <c r="AR582" s="242" t="b">
        <f>IF(AQ582="x",EOMONTH(I582,0))</f>
        <v>0</v>
      </c>
      <c r="AS582" s="79">
        <f t="shared" si="96"/>
        <v>1</v>
      </c>
      <c r="AT582" s="79">
        <f t="shared" si="97"/>
        <v>1</v>
      </c>
      <c r="AU582" s="79" t="str">
        <f t="shared" si="98"/>
        <v>B</v>
      </c>
      <c r="AV582" s="79">
        <f t="shared" si="102"/>
        <v>1</v>
      </c>
      <c r="AW582" s="79" t="str">
        <f>J582&amp;AU582</f>
        <v>INTEGRALB</v>
      </c>
      <c r="AX582" s="79">
        <f>IF(COUNTIFS(J:J,"Integral",E:E,E582,H:H,"Ativo")=4,1/4,1/10)</f>
        <v>0.25</v>
      </c>
      <c r="AY582" s="79" t="s">
        <v>1320</v>
      </c>
      <c r="AZ582" s="79" t="b">
        <v>1</v>
      </c>
    </row>
    <row r="583" spans="1:52" ht="15.75" customHeight="1">
      <c r="A583" s="54">
        <v>607</v>
      </c>
      <c r="B583" s="403">
        <v>45282</v>
      </c>
      <c r="C583" s="32" t="s">
        <v>1808</v>
      </c>
      <c r="D583" s="32" t="s">
        <v>1812</v>
      </c>
      <c r="E583" s="32" t="s">
        <v>1810</v>
      </c>
      <c r="F583" s="32" t="s">
        <v>1813</v>
      </c>
      <c r="G583" s="60" t="s">
        <v>220</v>
      </c>
      <c r="H583" s="33" t="s">
        <v>90</v>
      </c>
      <c r="I583" s="34"/>
      <c r="J583" s="33" t="s">
        <v>1701</v>
      </c>
      <c r="K583" s="56" t="s">
        <v>221</v>
      </c>
      <c r="L583" s="56" t="s">
        <v>221</v>
      </c>
      <c r="M583" s="67" t="s">
        <v>222</v>
      </c>
      <c r="N583" s="33" t="s">
        <v>72</v>
      </c>
      <c r="O583" s="33" t="s">
        <v>11</v>
      </c>
      <c r="P583" s="33" t="s">
        <v>72</v>
      </c>
      <c r="Q583" s="47"/>
      <c r="R583" s="47"/>
      <c r="S583" s="45" t="s">
        <v>143</v>
      </c>
      <c r="T583" s="45"/>
      <c r="U583" s="37" t="s">
        <v>222</v>
      </c>
      <c r="V583" s="38">
        <f t="shared" si="104"/>
        <v>45282</v>
      </c>
      <c r="W583" s="71" t="e">
        <f>V583-U583</f>
        <v>#VALUE!</v>
      </c>
      <c r="X583" s="261">
        <f>Y583*0.91</f>
        <v>656792.5</v>
      </c>
      <c r="Y583" s="260">
        <v>721750</v>
      </c>
      <c r="Z583" s="263">
        <v>417500</v>
      </c>
      <c r="AA583" s="56"/>
      <c r="AB583" s="263"/>
      <c r="AC583" s="44">
        <v>0.09</v>
      </c>
      <c r="AD583" s="62">
        <v>0.34060000000000001</v>
      </c>
      <c r="AE583" s="41">
        <f t="shared" si="103"/>
        <v>-0.25060000000000004</v>
      </c>
      <c r="AF583" s="42">
        <v>0.25059999999999999</v>
      </c>
      <c r="AG583" s="40">
        <f>IF((X583*AE583)&lt;0,0,(X583*AE583))</f>
        <v>0</v>
      </c>
      <c r="AH583" s="65">
        <f t="shared" si="99"/>
        <v>304250</v>
      </c>
      <c r="AI583" s="66">
        <f>AH583/X583</f>
        <v>0.46323610577160973</v>
      </c>
      <c r="AJ583" s="66">
        <f t="shared" si="100"/>
        <v>0.21263610577160974</v>
      </c>
      <c r="AK583" s="65">
        <f>AF583*X583</f>
        <v>164592.20050000001</v>
      </c>
      <c r="AL583" s="40">
        <f t="shared" si="95"/>
        <v>139657.79949999999</v>
      </c>
      <c r="AM583" s="242">
        <f t="shared" si="105"/>
        <v>45291</v>
      </c>
      <c r="AN583" s="242" t="str">
        <f>IF(AQ583="x","",IF(AQ583="x",AM583,IF(EOMONTH(I583,0)=31,"",EOMONTH(I583,0))))</f>
        <v/>
      </c>
      <c r="AO583" s="79">
        <f>IFERROR(IF(VLOOKUP(C583,C584:C1184,1,0)=0,1,0),1)</f>
        <v>0</v>
      </c>
      <c r="AP583" s="79"/>
      <c r="AQ583" s="243" t="str">
        <f t="shared" si="101"/>
        <v/>
      </c>
      <c r="AR583" s="242" t="b">
        <f>IF(AQ583="x",EOMONTH(I583,0))</f>
        <v>0</v>
      </c>
      <c r="AS583" s="79">
        <f t="shared" si="96"/>
        <v>1</v>
      </c>
      <c r="AT583" s="79">
        <f t="shared" si="97"/>
        <v>1</v>
      </c>
      <c r="AU583" s="79" t="str">
        <f t="shared" si="98"/>
        <v>B</v>
      </c>
      <c r="AV583" s="79">
        <f t="shared" si="102"/>
        <v>1</v>
      </c>
      <c r="AW583" s="79" t="str">
        <f>J583&amp;AU583</f>
        <v>INTEGRALB</v>
      </c>
      <c r="AX583" s="79">
        <f>IF(COUNTIFS(J:J,"Integral",E:E,E583,H:H,"Ativo")=4,1/4,1/10)</f>
        <v>0.25</v>
      </c>
      <c r="AY583" s="79" t="s">
        <v>1320</v>
      </c>
      <c r="AZ583" s="79" t="b">
        <v>1</v>
      </c>
    </row>
    <row r="584" spans="1:52" ht="15.75" customHeight="1">
      <c r="A584" s="54">
        <v>608</v>
      </c>
      <c r="B584" s="403">
        <v>45282</v>
      </c>
      <c r="C584" s="32" t="s">
        <v>1808</v>
      </c>
      <c r="D584" s="32" t="s">
        <v>1814</v>
      </c>
      <c r="E584" s="32" t="s">
        <v>1810</v>
      </c>
      <c r="F584" s="32" t="s">
        <v>1815</v>
      </c>
      <c r="G584" s="60" t="s">
        <v>220</v>
      </c>
      <c r="H584" s="33" t="s">
        <v>90</v>
      </c>
      <c r="I584" s="34"/>
      <c r="J584" s="33" t="s">
        <v>1701</v>
      </c>
      <c r="K584" s="56" t="s">
        <v>221</v>
      </c>
      <c r="L584" s="56" t="s">
        <v>221</v>
      </c>
      <c r="M584" s="67" t="s">
        <v>222</v>
      </c>
      <c r="N584" s="33" t="s">
        <v>72</v>
      </c>
      <c r="O584" s="33" t="s">
        <v>11</v>
      </c>
      <c r="P584" s="33" t="s">
        <v>72</v>
      </c>
      <c r="Q584" s="47"/>
      <c r="R584" s="47"/>
      <c r="S584" s="45" t="s">
        <v>143</v>
      </c>
      <c r="T584" s="45"/>
      <c r="U584" s="37" t="s">
        <v>222</v>
      </c>
      <c r="V584" s="38">
        <f t="shared" si="104"/>
        <v>45282</v>
      </c>
      <c r="W584" s="71" t="e">
        <f>V584-U584</f>
        <v>#VALUE!</v>
      </c>
      <c r="X584" s="261">
        <f>Y584*0.91</f>
        <v>656792.5</v>
      </c>
      <c r="Y584" s="260">
        <v>721750</v>
      </c>
      <c r="Z584" s="263">
        <v>417500</v>
      </c>
      <c r="AA584" s="56"/>
      <c r="AB584" s="263"/>
      <c r="AC584" s="44">
        <v>0.09</v>
      </c>
      <c r="AD584" s="62">
        <v>0.34060000000000001</v>
      </c>
      <c r="AE584" s="41">
        <f t="shared" si="103"/>
        <v>-0.25060000000000004</v>
      </c>
      <c r="AF584" s="42">
        <v>0.25059999999999999</v>
      </c>
      <c r="AG584" s="40">
        <f>IF((X584*AE584)&lt;0,0,(X584*AE584))</f>
        <v>0</v>
      </c>
      <c r="AH584" s="65">
        <f t="shared" si="99"/>
        <v>304250</v>
      </c>
      <c r="AI584" s="66">
        <f>AH584/X584</f>
        <v>0.46323610577160973</v>
      </c>
      <c r="AJ584" s="66">
        <f t="shared" si="100"/>
        <v>0.21263610577160974</v>
      </c>
      <c r="AK584" s="65">
        <f>AF584*X584</f>
        <v>164592.20050000001</v>
      </c>
      <c r="AL584" s="40">
        <f t="shared" si="95"/>
        <v>139657.79949999999</v>
      </c>
      <c r="AM584" s="242">
        <f t="shared" si="105"/>
        <v>45291</v>
      </c>
      <c r="AN584" s="242" t="str">
        <f>IF(AQ584="x","",IF(AQ584="x",AM584,IF(EOMONTH(I584,0)=31,"",EOMONTH(I584,0))))</f>
        <v/>
      </c>
      <c r="AO584" s="79">
        <f>IFERROR(IF(VLOOKUP(C584,C585:C1185,1,0)=0,1,0),1)</f>
        <v>0</v>
      </c>
      <c r="AP584" s="79"/>
      <c r="AQ584" s="243" t="str">
        <f t="shared" si="101"/>
        <v/>
      </c>
      <c r="AR584" s="242" t="b">
        <f>IF(AQ584="x",EOMONTH(I584,0))</f>
        <v>0</v>
      </c>
      <c r="AS584" s="79">
        <f t="shared" si="96"/>
        <v>1</v>
      </c>
      <c r="AT584" s="79">
        <f t="shared" si="97"/>
        <v>1</v>
      </c>
      <c r="AU584" s="79" t="str">
        <f t="shared" si="98"/>
        <v>B</v>
      </c>
      <c r="AV584" s="79">
        <f t="shared" si="102"/>
        <v>1</v>
      </c>
      <c r="AW584" s="79" t="str">
        <f>J584&amp;AU584</f>
        <v>INTEGRALB</v>
      </c>
      <c r="AX584" s="79">
        <f>IF(COUNTIFS(J:J,"Integral",E:E,E584,H:H,"Ativo")=4,1/4,1/10)</f>
        <v>0.25</v>
      </c>
      <c r="AY584" s="79" t="s">
        <v>1320</v>
      </c>
      <c r="AZ584" s="79" t="b">
        <v>1</v>
      </c>
    </row>
    <row r="585" spans="1:52" ht="15.75" customHeight="1">
      <c r="A585" s="54">
        <v>609</v>
      </c>
      <c r="B585" s="403">
        <v>45282</v>
      </c>
      <c r="C585" s="32" t="s">
        <v>1808</v>
      </c>
      <c r="D585" s="32" t="s">
        <v>1816</v>
      </c>
      <c r="E585" s="32" t="s">
        <v>1810</v>
      </c>
      <c r="F585" s="32" t="s">
        <v>1817</v>
      </c>
      <c r="G585" s="60" t="s">
        <v>220</v>
      </c>
      <c r="H585" s="33" t="s">
        <v>90</v>
      </c>
      <c r="I585" s="34"/>
      <c r="J585" s="33" t="s">
        <v>1701</v>
      </c>
      <c r="K585" s="56" t="s">
        <v>221</v>
      </c>
      <c r="L585" s="56" t="s">
        <v>221</v>
      </c>
      <c r="M585" s="67" t="s">
        <v>222</v>
      </c>
      <c r="N585" s="33" t="s">
        <v>72</v>
      </c>
      <c r="O585" s="33" t="s">
        <v>11</v>
      </c>
      <c r="P585" s="33" t="s">
        <v>72</v>
      </c>
      <c r="Q585" s="47"/>
      <c r="R585" s="47"/>
      <c r="S585" s="45" t="s">
        <v>143</v>
      </c>
      <c r="T585" s="45"/>
      <c r="U585" s="37" t="s">
        <v>222</v>
      </c>
      <c r="V585" s="38">
        <f t="shared" si="104"/>
        <v>45282</v>
      </c>
      <c r="W585" s="71" t="e">
        <f>V585-U585</f>
        <v>#VALUE!</v>
      </c>
      <c r="X585" s="261">
        <f>Y585*0.91</f>
        <v>656792.5</v>
      </c>
      <c r="Y585" s="260">
        <v>721750</v>
      </c>
      <c r="Z585" s="263">
        <v>417500</v>
      </c>
      <c r="AA585" s="56"/>
      <c r="AB585" s="263"/>
      <c r="AC585" s="44">
        <v>0.09</v>
      </c>
      <c r="AD585" s="62">
        <v>0.34060000000000001</v>
      </c>
      <c r="AE585" s="41">
        <f t="shared" si="103"/>
        <v>-0.25060000000000004</v>
      </c>
      <c r="AF585" s="42">
        <v>0.25059999999999999</v>
      </c>
      <c r="AG585" s="40">
        <f>IF((X585*AE585)&lt;0,0,(X585*AE585))</f>
        <v>0</v>
      </c>
      <c r="AH585" s="65">
        <f t="shared" si="99"/>
        <v>304250</v>
      </c>
      <c r="AI585" s="66">
        <f>AH585/X585</f>
        <v>0.46323610577160973</v>
      </c>
      <c r="AJ585" s="66">
        <f t="shared" si="100"/>
        <v>0.21263610577160974</v>
      </c>
      <c r="AK585" s="65">
        <f>AF585*X585</f>
        <v>164592.20050000001</v>
      </c>
      <c r="AL585" s="40">
        <f t="shared" si="95"/>
        <v>139657.79949999999</v>
      </c>
      <c r="AM585" s="242">
        <f t="shared" si="105"/>
        <v>45291</v>
      </c>
      <c r="AN585" s="242" t="str">
        <f>IF(AQ585="x","",IF(AQ585="x",AM585,IF(EOMONTH(I585,0)=31,"",EOMONTH(I585,0))))</f>
        <v/>
      </c>
      <c r="AO585" s="79">
        <f>IFERROR(IF(VLOOKUP(C585,C586:C1186,1,0)=0,1,0),1)</f>
        <v>1</v>
      </c>
      <c r="AP585" s="79"/>
      <c r="AQ585" s="243" t="str">
        <f t="shared" si="101"/>
        <v/>
      </c>
      <c r="AR585" s="242" t="b">
        <f>IF(AQ585="x",EOMONTH(I585,0))</f>
        <v>0</v>
      </c>
      <c r="AS585" s="79">
        <f t="shared" si="96"/>
        <v>1</v>
      </c>
      <c r="AT585" s="79">
        <f t="shared" si="97"/>
        <v>1</v>
      </c>
      <c r="AU585" s="79" t="str">
        <f t="shared" si="98"/>
        <v>B</v>
      </c>
      <c r="AV585" s="79">
        <f t="shared" si="102"/>
        <v>1</v>
      </c>
      <c r="AW585" s="79" t="str">
        <f>J585&amp;AU585</f>
        <v>INTEGRALB</v>
      </c>
      <c r="AX585" s="79">
        <f>IF(COUNTIFS(J:J,"Integral",E:E,E585,H:H,"Ativo")=4,1/4,1/10)</f>
        <v>0.25</v>
      </c>
      <c r="AY585" s="79" t="s">
        <v>1320</v>
      </c>
      <c r="AZ585" s="79" t="b">
        <v>1</v>
      </c>
    </row>
    <row r="586" spans="1:52" ht="15.75" customHeight="1">
      <c r="A586" s="54">
        <v>610</v>
      </c>
      <c r="B586" s="403">
        <v>45282</v>
      </c>
      <c r="C586" s="32" t="s">
        <v>1818</v>
      </c>
      <c r="D586" s="32" t="s">
        <v>1819</v>
      </c>
      <c r="E586" s="32" t="s">
        <v>1820</v>
      </c>
      <c r="F586" s="32" t="s">
        <v>1821</v>
      </c>
      <c r="G586" s="60" t="s">
        <v>243</v>
      </c>
      <c r="H586" s="33" t="s">
        <v>244</v>
      </c>
      <c r="I586" s="34"/>
      <c r="J586" s="33">
        <v>6</v>
      </c>
      <c r="K586" s="56" t="s">
        <v>1007</v>
      </c>
      <c r="L586" s="56" t="s">
        <v>1007</v>
      </c>
      <c r="M586" s="386" t="s">
        <v>246</v>
      </c>
      <c r="N586" s="33" t="s">
        <v>68</v>
      </c>
      <c r="O586" s="33" t="s">
        <v>12</v>
      </c>
      <c r="P586" s="33" t="s">
        <v>2</v>
      </c>
      <c r="Q586" s="47"/>
      <c r="R586" s="47"/>
      <c r="S586" s="45" t="s">
        <v>147</v>
      </c>
      <c r="T586" s="45"/>
      <c r="U586" s="70">
        <v>45277</v>
      </c>
      <c r="V586" s="48">
        <f t="shared" si="104"/>
        <v>45282</v>
      </c>
      <c r="W586" s="50">
        <f>V586-U586</f>
        <v>5</v>
      </c>
      <c r="X586" s="265">
        <f>Y586*0.91</f>
        <v>395850</v>
      </c>
      <c r="Y586" s="67">
        <v>435000</v>
      </c>
      <c r="Z586" s="267">
        <v>435000</v>
      </c>
      <c r="AA586" s="56"/>
      <c r="AB586" s="267"/>
      <c r="AC586" s="44">
        <v>0.09</v>
      </c>
      <c r="AD586" s="62">
        <v>3.5999999999999999E-3</v>
      </c>
      <c r="AE586" s="41">
        <f t="shared" si="103"/>
        <v>8.6399999999999991E-2</v>
      </c>
      <c r="AF586" s="42"/>
      <c r="AG586" s="40">
        <f>IF((X586*AE586)&lt;0,0,(X586*AE586))</f>
        <v>34201.439999999995</v>
      </c>
      <c r="AH586" s="65">
        <f t="shared" si="99"/>
        <v>0</v>
      </c>
      <c r="AI586" s="66">
        <f>AH586/X586</f>
        <v>0</v>
      </c>
      <c r="AJ586" s="66">
        <f t="shared" si="100"/>
        <v>0</v>
      </c>
      <c r="AK586" s="65">
        <f>AF586*X586</f>
        <v>0</v>
      </c>
      <c r="AL586" s="40">
        <f t="shared" si="95"/>
        <v>0</v>
      </c>
      <c r="AM586" s="242">
        <f t="shared" si="105"/>
        <v>45291</v>
      </c>
      <c r="AN586" s="242" t="str">
        <f>IF(AQ586="x","",IF(AQ586="x",AM586,IF(EOMONTH(I586,0)=31,"",EOMONTH(I586,0))))</f>
        <v/>
      </c>
      <c r="AO586" s="79">
        <f>IFERROR(IF(VLOOKUP(C586,C587:C1187,1,0)=0,1,0),1)</f>
        <v>0</v>
      </c>
      <c r="AP586" s="79"/>
      <c r="AQ586" s="243" t="str">
        <f t="shared" si="101"/>
        <v>x</v>
      </c>
      <c r="AR586" s="242">
        <f>IF(AQ586="x",EOMONTH(I586,0))</f>
        <v>31</v>
      </c>
      <c r="AS586" s="79">
        <f t="shared" si="96"/>
        <v>1</v>
      </c>
      <c r="AT586" s="79">
        <f t="shared" si="97"/>
        <v>1</v>
      </c>
      <c r="AU586" s="79" t="str">
        <f t="shared" si="98"/>
        <v>B</v>
      </c>
      <c r="AV586" s="79">
        <f t="shared" si="102"/>
        <v>1</v>
      </c>
      <c r="AW586" s="79" t="str">
        <f>J586&amp;AU586</f>
        <v>6B</v>
      </c>
      <c r="AX586" s="79">
        <f>IF(COUNTIFS(J:J,"Integral",E:E,E586,H:H,"Ativo")=4,1/4,1/10)</f>
        <v>0.1</v>
      </c>
      <c r="AY586" s="79" t="s">
        <v>1320</v>
      </c>
      <c r="AZ586" s="79" t="b">
        <v>1</v>
      </c>
    </row>
    <row r="587" spans="1:52" ht="15.75" customHeight="1">
      <c r="A587" s="54">
        <v>611</v>
      </c>
      <c r="B587" s="403">
        <v>45282</v>
      </c>
      <c r="C587" s="32" t="s">
        <v>1818</v>
      </c>
      <c r="D587" s="32" t="s">
        <v>1822</v>
      </c>
      <c r="E587" s="32" t="s">
        <v>1820</v>
      </c>
      <c r="F587" s="32" t="s">
        <v>1823</v>
      </c>
      <c r="G587" s="60" t="s">
        <v>243</v>
      </c>
      <c r="H587" s="33" t="s">
        <v>244</v>
      </c>
      <c r="I587" s="34"/>
      <c r="J587" s="33">
        <v>6</v>
      </c>
      <c r="K587" s="56" t="s">
        <v>1007</v>
      </c>
      <c r="L587" s="56" t="s">
        <v>1007</v>
      </c>
      <c r="M587" s="386" t="s">
        <v>246</v>
      </c>
      <c r="N587" s="33" t="s">
        <v>68</v>
      </c>
      <c r="O587" s="33" t="s">
        <v>12</v>
      </c>
      <c r="P587" s="33" t="s">
        <v>2</v>
      </c>
      <c r="Q587" s="47"/>
      <c r="R587" s="47"/>
      <c r="S587" s="45" t="s">
        <v>147</v>
      </c>
      <c r="T587" s="45"/>
      <c r="U587" s="70">
        <v>45277</v>
      </c>
      <c r="V587" s="48">
        <f t="shared" si="104"/>
        <v>45282</v>
      </c>
      <c r="W587" s="50">
        <f>V587-U587</f>
        <v>5</v>
      </c>
      <c r="X587" s="265">
        <f>Y587*0.91</f>
        <v>395850</v>
      </c>
      <c r="Y587" s="67">
        <v>435000</v>
      </c>
      <c r="Z587" s="267">
        <v>435000</v>
      </c>
      <c r="AA587" s="56"/>
      <c r="AB587" s="267"/>
      <c r="AC587" s="44">
        <v>0.09</v>
      </c>
      <c r="AD587" s="62">
        <v>3.5999999999999999E-3</v>
      </c>
      <c r="AE587" s="41">
        <f t="shared" si="103"/>
        <v>8.6399999999999991E-2</v>
      </c>
      <c r="AF587" s="42"/>
      <c r="AG587" s="40">
        <f>IF((X587*AE587)&lt;0,0,(X587*AE587))</f>
        <v>34201.439999999995</v>
      </c>
      <c r="AH587" s="65">
        <f t="shared" si="99"/>
        <v>0</v>
      </c>
      <c r="AI587" s="66">
        <f>AH587/X587</f>
        <v>0</v>
      </c>
      <c r="AJ587" s="66">
        <f t="shared" si="100"/>
        <v>0</v>
      </c>
      <c r="AK587" s="65">
        <f>AF587*X587</f>
        <v>0</v>
      </c>
      <c r="AL587" s="40">
        <f t="shared" si="95"/>
        <v>0</v>
      </c>
      <c r="AM587" s="242">
        <f t="shared" si="105"/>
        <v>45291</v>
      </c>
      <c r="AN587" s="242" t="str">
        <f>IF(AQ587="x","",IF(AQ587="x",AM587,IF(EOMONTH(I587,0)=31,"",EOMONTH(I587,0))))</f>
        <v/>
      </c>
      <c r="AO587" s="79">
        <f>IFERROR(IF(VLOOKUP(C587,C588:C1188,1,0)=0,1,0),1)</f>
        <v>1</v>
      </c>
      <c r="AP587" s="79"/>
      <c r="AQ587" s="243" t="str">
        <f t="shared" si="101"/>
        <v>x</v>
      </c>
      <c r="AR587" s="242">
        <f>IF(AQ587="x",EOMONTH(I587,0))</f>
        <v>31</v>
      </c>
      <c r="AS587" s="79">
        <f t="shared" si="96"/>
        <v>1</v>
      </c>
      <c r="AT587" s="79">
        <f t="shared" si="97"/>
        <v>1</v>
      </c>
      <c r="AU587" s="79" t="str">
        <f t="shared" si="98"/>
        <v>B</v>
      </c>
      <c r="AV587" s="79">
        <f t="shared" si="102"/>
        <v>1</v>
      </c>
      <c r="AW587" s="79" t="str">
        <f>J587&amp;AU587</f>
        <v>6B</v>
      </c>
      <c r="AX587" s="79">
        <f>IF(COUNTIFS(J:J,"Integral",E:E,E587,H:H,"Ativo")=4,1/4,1/10)</f>
        <v>0.1</v>
      </c>
      <c r="AY587" s="79" t="s">
        <v>1320</v>
      </c>
      <c r="AZ587" s="79" t="b">
        <v>1</v>
      </c>
    </row>
    <row r="588" spans="1:52" ht="15.75" customHeight="1">
      <c r="A588" s="54">
        <v>612</v>
      </c>
      <c r="B588" s="403">
        <v>45282</v>
      </c>
      <c r="C588" s="32" t="s">
        <v>1824</v>
      </c>
      <c r="D588" s="32" t="s">
        <v>1825</v>
      </c>
      <c r="E588" s="32" t="s">
        <v>1342</v>
      </c>
      <c r="F588" s="32" t="s">
        <v>1826</v>
      </c>
      <c r="G588" s="60" t="s">
        <v>220</v>
      </c>
      <c r="H588" s="33" t="s">
        <v>90</v>
      </c>
      <c r="I588" s="34"/>
      <c r="J588" s="33">
        <v>4</v>
      </c>
      <c r="K588" s="56" t="s">
        <v>1154</v>
      </c>
      <c r="L588" s="56" t="s">
        <v>1154</v>
      </c>
      <c r="M588" s="386" t="s">
        <v>246</v>
      </c>
      <c r="N588" s="33" t="s">
        <v>68</v>
      </c>
      <c r="O588" s="33" t="s">
        <v>12</v>
      </c>
      <c r="P588" s="33" t="s">
        <v>1</v>
      </c>
      <c r="Q588" s="47"/>
      <c r="R588" s="47"/>
      <c r="S588" s="45" t="s">
        <v>161</v>
      </c>
      <c r="T588" s="45"/>
      <c r="U588" s="37">
        <v>45279</v>
      </c>
      <c r="V588" s="38">
        <f t="shared" si="104"/>
        <v>45282</v>
      </c>
      <c r="W588" s="50">
        <f>V588-U588</f>
        <v>3</v>
      </c>
      <c r="X588" s="261">
        <f>Y588*0.91</f>
        <v>298935</v>
      </c>
      <c r="Y588" s="260">
        <v>328500</v>
      </c>
      <c r="Z588" s="263">
        <v>328420</v>
      </c>
      <c r="AA588" s="56"/>
      <c r="AB588" s="263"/>
      <c r="AC588" s="44">
        <v>0.09</v>
      </c>
      <c r="AD588" s="62">
        <v>1.21E-2</v>
      </c>
      <c r="AE588" s="41">
        <f t="shared" si="103"/>
        <v>7.7899999999999997E-2</v>
      </c>
      <c r="AF588" s="42"/>
      <c r="AG588" s="40">
        <f>IF((X588*AE588)&lt;0,0,(X588*AE588))</f>
        <v>23287.036499999998</v>
      </c>
      <c r="AH588" s="65">
        <f t="shared" si="99"/>
        <v>80</v>
      </c>
      <c r="AI588" s="66">
        <f>AH588/X588</f>
        <v>2.6761670597287037E-4</v>
      </c>
      <c r="AJ588" s="66">
        <f t="shared" si="100"/>
        <v>2.6761670597287037E-4</v>
      </c>
      <c r="AK588" s="65">
        <f>AF588*X588</f>
        <v>0</v>
      </c>
      <c r="AL588" s="40">
        <f t="shared" si="95"/>
        <v>80</v>
      </c>
      <c r="AM588" s="242">
        <f t="shared" si="105"/>
        <v>45291</v>
      </c>
      <c r="AN588" s="242" t="str">
        <f>IF(AQ588="x","",IF(AQ588="x",AM588,IF(EOMONTH(I588,0)=31,"",EOMONTH(I588,0))))</f>
        <v/>
      </c>
      <c r="AO588" s="79">
        <f>IFERROR(IF(VLOOKUP(C588,C589:C1189,1,0)=0,1,0),1)</f>
        <v>1</v>
      </c>
      <c r="AP588" s="79"/>
      <c r="AQ588" s="243" t="str">
        <f t="shared" si="101"/>
        <v/>
      </c>
      <c r="AR588" s="242" t="b">
        <f>IF(AQ588="x",EOMONTH(I588,0))</f>
        <v>0</v>
      </c>
      <c r="AS588" s="79">
        <f t="shared" si="96"/>
        <v>1</v>
      </c>
      <c r="AT588" s="79">
        <f t="shared" si="97"/>
        <v>1</v>
      </c>
      <c r="AU588" s="79" t="str">
        <f t="shared" si="98"/>
        <v>B</v>
      </c>
      <c r="AV588" s="79">
        <f t="shared" si="102"/>
        <v>1</v>
      </c>
      <c r="AW588" s="79" t="str">
        <f>J588&amp;AU588</f>
        <v>4B</v>
      </c>
      <c r="AX588" s="79">
        <f>IF(COUNTIFS(J:J,"Integral",E:E,E588,H:H,"Ativo")=4,1/4,1/10)</f>
        <v>0.1</v>
      </c>
      <c r="AY588" s="79" t="s">
        <v>1320</v>
      </c>
      <c r="AZ588" s="79" t="b">
        <v>1</v>
      </c>
    </row>
    <row r="589" spans="1:52" ht="15.75" customHeight="1">
      <c r="A589" s="54">
        <v>613</v>
      </c>
      <c r="B589" s="403">
        <v>45283</v>
      </c>
      <c r="C589" s="32" t="s">
        <v>1827</v>
      </c>
      <c r="D589" s="32" t="s">
        <v>1828</v>
      </c>
      <c r="E589" s="32" t="s">
        <v>1767</v>
      </c>
      <c r="F589" s="32" t="s">
        <v>1829</v>
      </c>
      <c r="G589" s="60" t="s">
        <v>220</v>
      </c>
      <c r="H589" s="33" t="s">
        <v>90</v>
      </c>
      <c r="I589" s="34"/>
      <c r="J589" s="33">
        <v>6</v>
      </c>
      <c r="K589" s="56" t="s">
        <v>1517</v>
      </c>
      <c r="L589" s="56" t="s">
        <v>1517</v>
      </c>
      <c r="M589" s="386" t="s">
        <v>246</v>
      </c>
      <c r="N589" s="33" t="s">
        <v>68</v>
      </c>
      <c r="O589" s="33" t="s">
        <v>11</v>
      </c>
      <c r="P589" s="33" t="s">
        <v>86</v>
      </c>
      <c r="Q589" s="47" t="s">
        <v>96</v>
      </c>
      <c r="R589" s="47"/>
      <c r="S589" s="45" t="s">
        <v>143</v>
      </c>
      <c r="T589" s="45"/>
      <c r="U589" s="70">
        <v>45249</v>
      </c>
      <c r="V589" s="48">
        <f t="shared" si="104"/>
        <v>45283</v>
      </c>
      <c r="W589" s="50">
        <f>V589-U589</f>
        <v>34</v>
      </c>
      <c r="X589" s="261">
        <f>Y589*0.91</f>
        <v>395850</v>
      </c>
      <c r="Y589" s="260">
        <v>435000</v>
      </c>
      <c r="Z589" s="263">
        <v>435000</v>
      </c>
      <c r="AA589" s="56"/>
      <c r="AB589" s="263"/>
      <c r="AC589" s="44">
        <v>0.09</v>
      </c>
      <c r="AD589" s="62">
        <v>-0.1227</v>
      </c>
      <c r="AE589" s="41">
        <f t="shared" si="103"/>
        <v>0.2127</v>
      </c>
      <c r="AF589" s="42"/>
      <c r="AG589" s="40">
        <f>IF((X589*AE589)&lt;0,0,(X589*AE589))</f>
        <v>84197.294999999998</v>
      </c>
      <c r="AH589" s="65">
        <f t="shared" si="99"/>
        <v>0</v>
      </c>
      <c r="AI589" s="66">
        <f>AH589/X589</f>
        <v>0</v>
      </c>
      <c r="AJ589" s="66">
        <f t="shared" si="100"/>
        <v>0</v>
      </c>
      <c r="AK589" s="65">
        <f>AF589*X589</f>
        <v>0</v>
      </c>
      <c r="AL589" s="40">
        <f t="shared" si="95"/>
        <v>0</v>
      </c>
      <c r="AM589" s="242">
        <f t="shared" si="105"/>
        <v>45291</v>
      </c>
      <c r="AN589" s="242" t="str">
        <f>IF(AQ589="x","",IF(AQ589="x",AM589,IF(EOMONTH(I589,0)=31,"",EOMONTH(I589,0))))</f>
        <v/>
      </c>
      <c r="AO589" s="79">
        <f>IFERROR(IF(VLOOKUP(C589,C590:C1190,1,0)=0,1,0),1)</f>
        <v>0</v>
      </c>
      <c r="AP589" s="79"/>
      <c r="AQ589" s="243" t="str">
        <f t="shared" si="101"/>
        <v/>
      </c>
      <c r="AR589" s="242" t="b">
        <f>IF(AQ589="x",EOMONTH(I589,0))</f>
        <v>0</v>
      </c>
      <c r="AS589" s="79">
        <f t="shared" si="96"/>
        <v>1</v>
      </c>
      <c r="AT589" s="79">
        <f t="shared" si="97"/>
        <v>1</v>
      </c>
      <c r="AU589" s="79" t="str">
        <f t="shared" si="98"/>
        <v>B</v>
      </c>
      <c r="AV589" s="79">
        <f t="shared" si="102"/>
        <v>1</v>
      </c>
      <c r="AW589" s="79" t="str">
        <f>J589&amp;AU589</f>
        <v>6B</v>
      </c>
      <c r="AX589" s="79">
        <f>IF(COUNTIFS(J:J,"Integral",E:E,E589,H:H,"Ativo")=4,1/4,1/10)</f>
        <v>0.1</v>
      </c>
      <c r="AY589" s="79" t="s">
        <v>1332</v>
      </c>
      <c r="AZ589" s="79" t="b">
        <v>1</v>
      </c>
    </row>
    <row r="590" spans="1:52" ht="15.75" customHeight="1">
      <c r="A590" s="54">
        <v>614</v>
      </c>
      <c r="B590" s="403">
        <v>45283</v>
      </c>
      <c r="C590" s="32" t="s">
        <v>1827</v>
      </c>
      <c r="D590" s="32" t="s">
        <v>1830</v>
      </c>
      <c r="E590" s="32" t="s">
        <v>1767</v>
      </c>
      <c r="F590" s="32" t="s">
        <v>1831</v>
      </c>
      <c r="G590" s="60" t="s">
        <v>220</v>
      </c>
      <c r="H590" s="33" t="s">
        <v>90</v>
      </c>
      <c r="I590" s="34"/>
      <c r="J590" s="33">
        <v>6</v>
      </c>
      <c r="K590" s="56" t="s">
        <v>1517</v>
      </c>
      <c r="L590" s="56" t="s">
        <v>1517</v>
      </c>
      <c r="M590" s="386" t="s">
        <v>246</v>
      </c>
      <c r="N590" s="33" t="s">
        <v>68</v>
      </c>
      <c r="O590" s="33" t="s">
        <v>11</v>
      </c>
      <c r="P590" s="33" t="s">
        <v>86</v>
      </c>
      <c r="Q590" s="47" t="s">
        <v>96</v>
      </c>
      <c r="R590" s="47"/>
      <c r="S590" s="45" t="s">
        <v>143</v>
      </c>
      <c r="T590" s="45"/>
      <c r="U590" s="70">
        <v>45249</v>
      </c>
      <c r="V590" s="48">
        <f t="shared" si="104"/>
        <v>45283</v>
      </c>
      <c r="W590" s="50">
        <f>V590-U590</f>
        <v>34</v>
      </c>
      <c r="X590" s="261">
        <f>Y590*0.91</f>
        <v>395850</v>
      </c>
      <c r="Y590" s="260">
        <v>435000</v>
      </c>
      <c r="Z590" s="263">
        <v>435000</v>
      </c>
      <c r="AA590" s="56"/>
      <c r="AB590" s="263"/>
      <c r="AC590" s="44">
        <v>0.09</v>
      </c>
      <c r="AD590" s="62">
        <v>-0.1227</v>
      </c>
      <c r="AE590" s="41">
        <f t="shared" si="103"/>
        <v>0.2127</v>
      </c>
      <c r="AF590" s="42"/>
      <c r="AG590" s="40">
        <f>IF((X590*AE590)&lt;0,0,(X590*AE590))</f>
        <v>84197.294999999998</v>
      </c>
      <c r="AH590" s="65">
        <f t="shared" si="99"/>
        <v>0</v>
      </c>
      <c r="AI590" s="66">
        <f>AH590/X590</f>
        <v>0</v>
      </c>
      <c r="AJ590" s="66">
        <f t="shared" si="100"/>
        <v>0</v>
      </c>
      <c r="AK590" s="65">
        <f>AF590*X590</f>
        <v>0</v>
      </c>
      <c r="AL590" s="40">
        <f t="shared" si="95"/>
        <v>0</v>
      </c>
      <c r="AM590" s="242">
        <f t="shared" si="105"/>
        <v>45291</v>
      </c>
      <c r="AN590" s="242" t="str">
        <f>IF(AQ590="x","",IF(AQ590="x",AM590,IF(EOMONTH(I590,0)=31,"",EOMONTH(I590,0))))</f>
        <v/>
      </c>
      <c r="AO590" s="79">
        <f>IFERROR(IF(VLOOKUP(C590,C591:C1191,1,0)=0,1,0),1)</f>
        <v>1</v>
      </c>
      <c r="AP590" s="79"/>
      <c r="AQ590" s="243" t="str">
        <f t="shared" si="101"/>
        <v/>
      </c>
      <c r="AR590" s="242" t="b">
        <f>IF(AQ590="x",EOMONTH(I590,0))</f>
        <v>0</v>
      </c>
      <c r="AS590" s="79">
        <f t="shared" si="96"/>
        <v>1</v>
      </c>
      <c r="AT590" s="79">
        <f t="shared" si="97"/>
        <v>1</v>
      </c>
      <c r="AU590" s="79" t="str">
        <f t="shared" si="98"/>
        <v>B</v>
      </c>
      <c r="AV590" s="79">
        <f t="shared" si="102"/>
        <v>1</v>
      </c>
      <c r="AW590" s="79" t="str">
        <f>J590&amp;AU590</f>
        <v>6B</v>
      </c>
      <c r="AX590" s="79">
        <f>IF(COUNTIFS(J:J,"Integral",E:E,E590,H:H,"Ativo")=4,1/4,1/10)</f>
        <v>0.1</v>
      </c>
      <c r="AY590" s="79" t="s">
        <v>1332</v>
      </c>
      <c r="AZ590" s="79" t="b">
        <v>1</v>
      </c>
    </row>
    <row r="591" spans="1:52" ht="15.75" customHeight="1">
      <c r="A591" s="54">
        <v>616</v>
      </c>
      <c r="B591" s="403">
        <v>45285</v>
      </c>
      <c r="C591" s="32" t="s">
        <v>1832</v>
      </c>
      <c r="D591" s="32" t="s">
        <v>1635</v>
      </c>
      <c r="E591" s="32" t="s">
        <v>1442</v>
      </c>
      <c r="F591" s="32" t="s">
        <v>1833</v>
      </c>
      <c r="G591" s="60" t="s">
        <v>220</v>
      </c>
      <c r="H591" s="33" t="s">
        <v>244</v>
      </c>
      <c r="I591" s="34">
        <v>45348</v>
      </c>
      <c r="J591" s="33">
        <v>6</v>
      </c>
      <c r="K591" s="56" t="s">
        <v>1149</v>
      </c>
      <c r="L591" s="56" t="s">
        <v>1149</v>
      </c>
      <c r="M591" s="386" t="s">
        <v>1026</v>
      </c>
      <c r="N591" s="33" t="s">
        <v>68</v>
      </c>
      <c r="O591" s="33" t="s">
        <v>12</v>
      </c>
      <c r="P591" s="33" t="s">
        <v>2</v>
      </c>
      <c r="Q591" s="47"/>
      <c r="R591" s="47"/>
      <c r="S591" s="45" t="s">
        <v>147</v>
      </c>
      <c r="T591" s="45"/>
      <c r="U591" s="70">
        <v>45273</v>
      </c>
      <c r="V591" s="48">
        <f t="shared" si="104"/>
        <v>45285</v>
      </c>
      <c r="W591" s="50">
        <f>V591-U591</f>
        <v>12</v>
      </c>
      <c r="X591" s="261">
        <f>Y591*0.91</f>
        <v>359450</v>
      </c>
      <c r="Y591" s="260">
        <v>395000</v>
      </c>
      <c r="Z591" s="263">
        <v>395000</v>
      </c>
      <c r="AA591" s="56"/>
      <c r="AB591" s="263"/>
      <c r="AC591" s="44">
        <v>0.09</v>
      </c>
      <c r="AD591" s="62">
        <v>2E-3</v>
      </c>
      <c r="AE591" s="41">
        <f t="shared" si="103"/>
        <v>8.7999999999999995E-2</v>
      </c>
      <c r="AF591" s="42"/>
      <c r="AG591" s="40">
        <f>IF((X591*AE591)&lt;0,0,(X591*AE591))</f>
        <v>31631.599999999999</v>
      </c>
      <c r="AH591" s="65">
        <f t="shared" si="99"/>
        <v>0</v>
      </c>
      <c r="AI591" s="66">
        <f>AH591/X591</f>
        <v>0</v>
      </c>
      <c r="AJ591" s="66">
        <f t="shared" si="100"/>
        <v>0</v>
      </c>
      <c r="AK591" s="65">
        <f>AF591*X591</f>
        <v>0</v>
      </c>
      <c r="AL591" s="40">
        <f t="shared" si="95"/>
        <v>0</v>
      </c>
      <c r="AM591" s="242">
        <f t="shared" si="105"/>
        <v>45291</v>
      </c>
      <c r="AN591" s="242">
        <f>IF(AQ591="x","",IF(AQ591="x",AM591,IF(EOMONTH(I591,0)=31,"",EOMONTH(I591,0))))</f>
        <v>45351</v>
      </c>
      <c r="AO591" s="79">
        <f>IFERROR(IF(VLOOKUP(C591,C592:C1192,1,0)=0,1,0),1)</f>
        <v>1</v>
      </c>
      <c r="AP591" s="79"/>
      <c r="AQ591" s="243" t="str">
        <f t="shared" si="101"/>
        <v/>
      </c>
      <c r="AR591" s="242" t="b">
        <f>IF(AQ591="x",EOMONTH(I591,0))</f>
        <v>0</v>
      </c>
      <c r="AS591" s="79">
        <f t="shared" si="96"/>
        <v>1</v>
      </c>
      <c r="AT591" s="79">
        <f t="shared" si="97"/>
        <v>1</v>
      </c>
      <c r="AU591" s="79" t="str">
        <f t="shared" si="98"/>
        <v>B</v>
      </c>
      <c r="AV591" s="79">
        <f t="shared" si="102"/>
        <v>1</v>
      </c>
      <c r="AW591" s="79" t="str">
        <f>J591&amp;AU591</f>
        <v>6B</v>
      </c>
      <c r="AX591" s="79">
        <f>IF(COUNTIFS(J:J,"Integral",E:E,E591,H:H,"Ativo")=4,1/4,1/10)</f>
        <v>0.1</v>
      </c>
      <c r="AY591" s="79" t="s">
        <v>1332</v>
      </c>
      <c r="AZ591" s="79" t="b">
        <v>1</v>
      </c>
    </row>
    <row r="592" spans="1:52" ht="15.75" customHeight="1">
      <c r="A592" s="54">
        <v>617</v>
      </c>
      <c r="B592" s="403">
        <v>45285</v>
      </c>
      <c r="C592" s="32" t="s">
        <v>1834</v>
      </c>
      <c r="D592" s="32" t="s">
        <v>1835</v>
      </c>
      <c r="E592" s="32" t="s">
        <v>1342</v>
      </c>
      <c r="F592" s="32" t="s">
        <v>1836</v>
      </c>
      <c r="G592" s="60" t="s">
        <v>220</v>
      </c>
      <c r="H592" s="33" t="s">
        <v>90</v>
      </c>
      <c r="I592" s="34"/>
      <c r="J592" s="33">
        <v>4</v>
      </c>
      <c r="K592" s="56" t="s">
        <v>274</v>
      </c>
      <c r="L592" s="56" t="s">
        <v>274</v>
      </c>
      <c r="M592" s="386" t="s">
        <v>246</v>
      </c>
      <c r="N592" s="33" t="s">
        <v>68</v>
      </c>
      <c r="O592" s="33" t="s">
        <v>12</v>
      </c>
      <c r="P592" s="33" t="s">
        <v>1</v>
      </c>
      <c r="Q592" s="47"/>
      <c r="R592" s="47"/>
      <c r="S592" s="45" t="s">
        <v>163</v>
      </c>
      <c r="T592" s="45"/>
      <c r="U592" s="37">
        <v>45283</v>
      </c>
      <c r="V592" s="38">
        <f t="shared" si="104"/>
        <v>45285</v>
      </c>
      <c r="W592" s="50">
        <f>V592-U592</f>
        <v>2</v>
      </c>
      <c r="X592" s="261">
        <f>Y592*0.91</f>
        <v>298935</v>
      </c>
      <c r="Y592" s="260">
        <v>328500</v>
      </c>
      <c r="Z592" s="263">
        <v>312000</v>
      </c>
      <c r="AA592" s="56" t="s">
        <v>911</v>
      </c>
      <c r="AB592" s="263"/>
      <c r="AC592" s="44">
        <v>0.09</v>
      </c>
      <c r="AD592" s="62">
        <v>4.1999999999999997E-3</v>
      </c>
      <c r="AE592" s="41">
        <f t="shared" si="103"/>
        <v>8.5800000000000001E-2</v>
      </c>
      <c r="AF592" s="42"/>
      <c r="AG592" s="40">
        <f>IF((X592*AE592)&lt;0,0,(X592*AE592))</f>
        <v>25648.623</v>
      </c>
      <c r="AH592" s="65">
        <f t="shared" si="99"/>
        <v>16500</v>
      </c>
      <c r="AI592" s="66">
        <f>AH592/X592</f>
        <v>5.5195945606904509E-2</v>
      </c>
      <c r="AJ592" s="66">
        <f t="shared" si="100"/>
        <v>5.5195945606904509E-2</v>
      </c>
      <c r="AK592" s="65">
        <f>AF592*X592</f>
        <v>0</v>
      </c>
      <c r="AL592" s="40">
        <f t="shared" si="95"/>
        <v>16500</v>
      </c>
      <c r="AM592" s="242">
        <f t="shared" si="105"/>
        <v>45291</v>
      </c>
      <c r="AN592" s="242" t="str">
        <f>IF(AQ592="x","",IF(AQ592="x",AM592,IF(EOMONTH(I592,0)=31,"",EOMONTH(I592,0))))</f>
        <v/>
      </c>
      <c r="AO592" s="79">
        <f>IFERROR(IF(VLOOKUP(C592,C593:C1193,1,0)=0,1,0),1)</f>
        <v>1</v>
      </c>
      <c r="AP592" s="79"/>
      <c r="AQ592" s="243" t="str">
        <f t="shared" si="101"/>
        <v/>
      </c>
      <c r="AR592" s="242" t="b">
        <f>IF(AQ592="x",EOMONTH(I592,0))</f>
        <v>0</v>
      </c>
      <c r="AS592" s="79">
        <f t="shared" si="96"/>
        <v>1</v>
      </c>
      <c r="AT592" s="79">
        <f t="shared" si="97"/>
        <v>1</v>
      </c>
      <c r="AU592" s="79" t="str">
        <f t="shared" si="98"/>
        <v>B</v>
      </c>
      <c r="AV592" s="79">
        <f t="shared" si="102"/>
        <v>1</v>
      </c>
      <c r="AW592" s="79" t="str">
        <f>J592&amp;AU592</f>
        <v>4B</v>
      </c>
      <c r="AX592" s="79">
        <f>IF(COUNTIFS(J:J,"Integral",E:E,E592,H:H,"Ativo")=4,1/4,1/10)</f>
        <v>0.1</v>
      </c>
      <c r="AY592" s="79" t="s">
        <v>1332</v>
      </c>
      <c r="AZ592" s="79" t="b">
        <v>1</v>
      </c>
    </row>
    <row r="593" spans="1:52" ht="15.75" customHeight="1">
      <c r="A593" s="54">
        <v>618</v>
      </c>
      <c r="B593" s="403">
        <v>45286</v>
      </c>
      <c r="C593" s="32" t="s">
        <v>1837</v>
      </c>
      <c r="D593" s="32" t="s">
        <v>1838</v>
      </c>
      <c r="E593" s="32" t="s">
        <v>1820</v>
      </c>
      <c r="F593" s="32" t="s">
        <v>1839</v>
      </c>
      <c r="G593" s="60" t="s">
        <v>220</v>
      </c>
      <c r="H593" s="33" t="s">
        <v>90</v>
      </c>
      <c r="I593" s="34"/>
      <c r="J593" s="33">
        <v>6</v>
      </c>
      <c r="K593" s="56" t="s">
        <v>1007</v>
      </c>
      <c r="L593" s="56" t="s">
        <v>1007</v>
      </c>
      <c r="M593" s="386" t="s">
        <v>246</v>
      </c>
      <c r="N593" s="33" t="s">
        <v>68</v>
      </c>
      <c r="O593" s="33" t="s">
        <v>12</v>
      </c>
      <c r="P593" s="33" t="s">
        <v>2</v>
      </c>
      <c r="Q593" s="47"/>
      <c r="R593" s="47"/>
      <c r="S593" s="45" t="s">
        <v>147</v>
      </c>
      <c r="T593" s="45"/>
      <c r="U593" s="70">
        <v>45286</v>
      </c>
      <c r="V593" s="48">
        <f t="shared" si="104"/>
        <v>45286</v>
      </c>
      <c r="W593" s="50">
        <f>V593-U593</f>
        <v>0</v>
      </c>
      <c r="X593" s="261">
        <f>Y593*0.91</f>
        <v>395850</v>
      </c>
      <c r="Y593" s="260">
        <v>435000</v>
      </c>
      <c r="Z593" s="263">
        <v>435000</v>
      </c>
      <c r="AA593" s="56"/>
      <c r="AB593" s="263"/>
      <c r="AC593" s="44">
        <v>0.09</v>
      </c>
      <c r="AD593" s="62">
        <v>1.9099999999999999E-2</v>
      </c>
      <c r="AE593" s="41">
        <f t="shared" si="103"/>
        <v>7.0899999999999991E-2</v>
      </c>
      <c r="AF593" s="42"/>
      <c r="AG593" s="40">
        <f>IF((X593*AE593)&lt;0,0,(X593*AE593))</f>
        <v>28065.764999999996</v>
      </c>
      <c r="AH593" s="65">
        <f t="shared" si="99"/>
        <v>0</v>
      </c>
      <c r="AI593" s="66">
        <f>AH593/X593</f>
        <v>0</v>
      </c>
      <c r="AJ593" s="66">
        <f t="shared" si="100"/>
        <v>0</v>
      </c>
      <c r="AK593" s="65">
        <f>AF593*X593</f>
        <v>0</v>
      </c>
      <c r="AL593" s="40">
        <f t="shared" si="95"/>
        <v>0</v>
      </c>
      <c r="AM593" s="242">
        <f t="shared" si="105"/>
        <v>45291</v>
      </c>
      <c r="AN593" s="242" t="str">
        <f>IF(AQ593="x","",IF(AQ593="x",AM593,IF(EOMONTH(I593,0)=31,"",EOMONTH(I593,0))))</f>
        <v/>
      </c>
      <c r="AO593" s="79">
        <f>IFERROR(IF(VLOOKUP(C593,C594:C1194,1,0)=0,1,0),1)</f>
        <v>0</v>
      </c>
      <c r="AP593" s="79"/>
      <c r="AQ593" s="243" t="str">
        <f t="shared" si="101"/>
        <v/>
      </c>
      <c r="AR593" s="242" t="b">
        <f>IF(AQ593="x",EOMONTH(I593,0))</f>
        <v>0</v>
      </c>
      <c r="AS593" s="79">
        <f t="shared" si="96"/>
        <v>1</v>
      </c>
      <c r="AT593" s="79">
        <f t="shared" si="97"/>
        <v>1</v>
      </c>
      <c r="AU593" s="79" t="str">
        <f t="shared" si="98"/>
        <v>B</v>
      </c>
      <c r="AV593" s="79">
        <f t="shared" si="102"/>
        <v>1</v>
      </c>
      <c r="AW593" s="79" t="str">
        <f>J593&amp;AU593</f>
        <v>6B</v>
      </c>
      <c r="AX593" s="79">
        <f>IF(COUNTIFS(J:J,"Integral",E:E,E593,H:H,"Ativo")=4,1/4,1/10)</f>
        <v>0.1</v>
      </c>
      <c r="AY593" s="79" t="s">
        <v>1332</v>
      </c>
      <c r="AZ593" s="79" t="b">
        <v>1</v>
      </c>
    </row>
    <row r="594" spans="1:52" ht="15.75" customHeight="1">
      <c r="A594" s="54">
        <v>619</v>
      </c>
      <c r="B594" s="403">
        <v>45286</v>
      </c>
      <c r="C594" s="32" t="s">
        <v>1837</v>
      </c>
      <c r="D594" s="32" t="s">
        <v>1840</v>
      </c>
      <c r="E594" s="32" t="s">
        <v>1820</v>
      </c>
      <c r="F594" s="32" t="s">
        <v>1841</v>
      </c>
      <c r="G594" s="60" t="s">
        <v>220</v>
      </c>
      <c r="H594" s="33" t="s">
        <v>90</v>
      </c>
      <c r="I594" s="34"/>
      <c r="J594" s="33">
        <v>6</v>
      </c>
      <c r="K594" s="56" t="s">
        <v>1007</v>
      </c>
      <c r="L594" s="56" t="s">
        <v>1007</v>
      </c>
      <c r="M594" s="386" t="s">
        <v>246</v>
      </c>
      <c r="N594" s="33" t="s">
        <v>68</v>
      </c>
      <c r="O594" s="33" t="s">
        <v>12</v>
      </c>
      <c r="P594" s="33" t="s">
        <v>2</v>
      </c>
      <c r="Q594" s="47"/>
      <c r="R594" s="47"/>
      <c r="S594" s="45" t="s">
        <v>147</v>
      </c>
      <c r="T594" s="45"/>
      <c r="U594" s="70">
        <v>45286</v>
      </c>
      <c r="V594" s="48">
        <f t="shared" si="104"/>
        <v>45286</v>
      </c>
      <c r="W594" s="50">
        <f>V594-U594</f>
        <v>0</v>
      </c>
      <c r="X594" s="261">
        <f>Y594*0.91</f>
        <v>395850</v>
      </c>
      <c r="Y594" s="260">
        <v>435000</v>
      </c>
      <c r="Z594" s="263">
        <v>435000</v>
      </c>
      <c r="AA594" s="56"/>
      <c r="AB594" s="263"/>
      <c r="AC594" s="44">
        <v>0.09</v>
      </c>
      <c r="AD594" s="62">
        <v>1.9099999999999999E-2</v>
      </c>
      <c r="AE594" s="41">
        <f t="shared" ref="AE594:AE625" si="106">AC594-AD594</f>
        <v>7.0899999999999991E-2</v>
      </c>
      <c r="AF594" s="42"/>
      <c r="AG594" s="40">
        <f>IF((X594*AE594)&lt;0,0,(X594*AE594))</f>
        <v>28065.764999999996</v>
      </c>
      <c r="AH594" s="65">
        <f t="shared" si="99"/>
        <v>0</v>
      </c>
      <c r="AI594" s="66">
        <f>AH594/X594</f>
        <v>0</v>
      </c>
      <c r="AJ594" s="66">
        <f t="shared" si="100"/>
        <v>0</v>
      </c>
      <c r="AK594" s="65">
        <f>AF594*X594</f>
        <v>0</v>
      </c>
      <c r="AL594" s="40">
        <f t="shared" si="95"/>
        <v>0</v>
      </c>
      <c r="AM594" s="242">
        <f t="shared" si="105"/>
        <v>45291</v>
      </c>
      <c r="AN594" s="242" t="str">
        <f>IF(AQ594="x","",IF(AQ594="x",AM594,IF(EOMONTH(I594,0)=31,"",EOMONTH(I594,0))))</f>
        <v/>
      </c>
      <c r="AO594" s="79">
        <f>IFERROR(IF(VLOOKUP(C594,C595:C1195,1,0)=0,1,0),1)</f>
        <v>1</v>
      </c>
      <c r="AP594" s="79"/>
      <c r="AQ594" s="243" t="str">
        <f t="shared" si="101"/>
        <v/>
      </c>
      <c r="AR594" s="242" t="b">
        <f>IF(AQ594="x",EOMONTH(I594,0))</f>
        <v>0</v>
      </c>
      <c r="AS594" s="79">
        <f t="shared" si="96"/>
        <v>1</v>
      </c>
      <c r="AT594" s="79">
        <f t="shared" si="97"/>
        <v>1</v>
      </c>
      <c r="AU594" s="79" t="str">
        <f t="shared" si="98"/>
        <v>B</v>
      </c>
      <c r="AV594" s="79">
        <f t="shared" si="102"/>
        <v>1</v>
      </c>
      <c r="AW594" s="79" t="str">
        <f>J594&amp;AU594</f>
        <v>6B</v>
      </c>
      <c r="AX594" s="79">
        <f>IF(COUNTIFS(J:J,"Integral",E:E,E594,H:H,"Ativo")=4,1/4,1/10)</f>
        <v>0.1</v>
      </c>
      <c r="AY594" s="79" t="s">
        <v>1332</v>
      </c>
      <c r="AZ594" s="79" t="b">
        <v>1</v>
      </c>
    </row>
    <row r="595" spans="1:52" ht="15.75" customHeight="1">
      <c r="A595" s="54">
        <v>620</v>
      </c>
      <c r="B595" s="403">
        <v>45287</v>
      </c>
      <c r="C595" s="32" t="s">
        <v>896</v>
      </c>
      <c r="D595" s="32" t="s">
        <v>1842</v>
      </c>
      <c r="E595" s="32" t="s">
        <v>1843</v>
      </c>
      <c r="F595" s="32" t="s">
        <v>1844</v>
      </c>
      <c r="G595" s="60" t="s">
        <v>220</v>
      </c>
      <c r="H595" s="33" t="s">
        <v>90</v>
      </c>
      <c r="I595" s="34"/>
      <c r="J595" s="33" t="s">
        <v>1701</v>
      </c>
      <c r="K595" s="56" t="s">
        <v>221</v>
      </c>
      <c r="L595" s="56" t="s">
        <v>221</v>
      </c>
      <c r="M595" s="67" t="s">
        <v>222</v>
      </c>
      <c r="N595" s="33" t="s">
        <v>72</v>
      </c>
      <c r="O595" s="33" t="s">
        <v>12</v>
      </c>
      <c r="P595" s="33" t="s">
        <v>86</v>
      </c>
      <c r="Q595" s="47" t="s">
        <v>84</v>
      </c>
      <c r="R595" s="47"/>
      <c r="S595" s="45" t="s">
        <v>145</v>
      </c>
      <c r="T595" s="45"/>
      <c r="U595" s="37">
        <v>44957</v>
      </c>
      <c r="V595" s="38">
        <f t="shared" si="104"/>
        <v>45287</v>
      </c>
      <c r="W595" s="50">
        <f>V595-U595</f>
        <v>330</v>
      </c>
      <c r="X595" s="261">
        <f>Y595*0.91</f>
        <v>2609652.5</v>
      </c>
      <c r="Y595" s="260">
        <v>2867750</v>
      </c>
      <c r="Z595" s="263">
        <v>2407500.25</v>
      </c>
      <c r="AA595" s="56"/>
      <c r="AB595" s="263"/>
      <c r="AC595" s="44">
        <v>0.09</v>
      </c>
      <c r="AD595" s="62">
        <v>0.191</v>
      </c>
      <c r="AE595" s="41">
        <f t="shared" si="106"/>
        <v>-0.10100000000000001</v>
      </c>
      <c r="AF595" s="42">
        <v>0.10100000000000001</v>
      </c>
      <c r="AG595" s="40">
        <f>IF((X595*AE595)&lt;0,0,(X595*AE595))</f>
        <v>0</v>
      </c>
      <c r="AH595" s="65">
        <f t="shared" si="99"/>
        <v>460249.75</v>
      </c>
      <c r="AI595" s="66">
        <f>AH595/X595</f>
        <v>0.17636438184777475</v>
      </c>
      <c r="AJ595" s="66">
        <f t="shared" si="100"/>
        <v>7.5364381847774747E-2</v>
      </c>
      <c r="AK595" s="65">
        <f>AF595*X595</f>
        <v>263574.90250000003</v>
      </c>
      <c r="AL595" s="40">
        <f t="shared" si="95"/>
        <v>196674.84749999997</v>
      </c>
      <c r="AM595" s="242">
        <f t="shared" si="105"/>
        <v>45291</v>
      </c>
      <c r="AN595" s="242" t="str">
        <f>IF(AQ595="x","",IF(AQ595="x",AM595,IF(EOMONTH(I595,0)=31,"",EOMONTH(I595,0))))</f>
        <v/>
      </c>
      <c r="AO595" s="79">
        <f>IFERROR(IF(VLOOKUP(C595,C596:C1196,1,0)=0,1,0),1)</f>
        <v>0</v>
      </c>
      <c r="AP595" s="79"/>
      <c r="AQ595" s="243" t="str">
        <f t="shared" si="101"/>
        <v/>
      </c>
      <c r="AR595" s="242" t="b">
        <f>IF(AQ595="x",EOMONTH(I595,0))</f>
        <v>0</v>
      </c>
      <c r="AS595" s="79">
        <f t="shared" si="96"/>
        <v>1</v>
      </c>
      <c r="AT595" s="79">
        <f t="shared" si="97"/>
        <v>1</v>
      </c>
      <c r="AU595" s="79" t="str">
        <f t="shared" si="98"/>
        <v>C</v>
      </c>
      <c r="AV595" s="79">
        <f t="shared" si="102"/>
        <v>1</v>
      </c>
      <c r="AW595" s="79" t="str">
        <f>J595&amp;AU595</f>
        <v>INTEGRALC</v>
      </c>
      <c r="AX595" s="79">
        <f>IF(COUNTIFS(J:J,"Integral",E:E,E595,H:H,"Ativo")=4,1/4,1/10)</f>
        <v>0.25</v>
      </c>
      <c r="AY595" s="79" t="s">
        <v>1332</v>
      </c>
      <c r="AZ595" s="79" t="b">
        <v>1</v>
      </c>
    </row>
    <row r="596" spans="1:52" ht="15.75" customHeight="1">
      <c r="A596" s="54">
        <v>621</v>
      </c>
      <c r="B596" s="403">
        <v>45287</v>
      </c>
      <c r="C596" s="32" t="s">
        <v>896</v>
      </c>
      <c r="D596" s="32" t="s">
        <v>1845</v>
      </c>
      <c r="E596" s="32" t="s">
        <v>1843</v>
      </c>
      <c r="F596" s="32" t="s">
        <v>1846</v>
      </c>
      <c r="G596" s="60" t="s">
        <v>220</v>
      </c>
      <c r="H596" s="33" t="s">
        <v>90</v>
      </c>
      <c r="I596" s="34"/>
      <c r="J596" s="33" t="s">
        <v>1701</v>
      </c>
      <c r="K596" s="56" t="s">
        <v>221</v>
      </c>
      <c r="L596" s="56" t="s">
        <v>221</v>
      </c>
      <c r="M596" s="67" t="s">
        <v>222</v>
      </c>
      <c r="N596" s="33" t="s">
        <v>72</v>
      </c>
      <c r="O596" s="33" t="s">
        <v>12</v>
      </c>
      <c r="P596" s="33" t="s">
        <v>86</v>
      </c>
      <c r="Q596" s="47" t="s">
        <v>84</v>
      </c>
      <c r="R596" s="47"/>
      <c r="S596" s="45" t="s">
        <v>145</v>
      </c>
      <c r="T596" s="45"/>
      <c r="U596" s="37">
        <v>44957</v>
      </c>
      <c r="V596" s="38">
        <f t="shared" si="104"/>
        <v>45287</v>
      </c>
      <c r="W596" s="50">
        <f>V596-U596</f>
        <v>330</v>
      </c>
      <c r="X596" s="261">
        <f>Y596*0.91</f>
        <v>2609652.5</v>
      </c>
      <c r="Y596" s="260">
        <v>2867750</v>
      </c>
      <c r="Z596" s="263">
        <v>2407500.25</v>
      </c>
      <c r="AA596" s="56"/>
      <c r="AB596" s="263"/>
      <c r="AC596" s="44">
        <v>0.09</v>
      </c>
      <c r="AD596" s="62">
        <v>0.191</v>
      </c>
      <c r="AE596" s="41">
        <f t="shared" si="106"/>
        <v>-0.10100000000000001</v>
      </c>
      <c r="AF596" s="42">
        <v>0.10100000000000001</v>
      </c>
      <c r="AG596" s="40">
        <f>IF((X596*AE596)&lt;0,0,(X596*AE596))</f>
        <v>0</v>
      </c>
      <c r="AH596" s="65">
        <f t="shared" si="99"/>
        <v>460249.75</v>
      </c>
      <c r="AI596" s="66">
        <f>AH596/X596</f>
        <v>0.17636438184777475</v>
      </c>
      <c r="AJ596" s="66">
        <f t="shared" si="100"/>
        <v>7.5364381847774747E-2</v>
      </c>
      <c r="AK596" s="65">
        <f>AF596*X596</f>
        <v>263574.90250000003</v>
      </c>
      <c r="AL596" s="40">
        <f t="shared" ref="AL596:AL659" si="107">AH596-AK596</f>
        <v>196674.84749999997</v>
      </c>
      <c r="AM596" s="242">
        <f t="shared" si="105"/>
        <v>45291</v>
      </c>
      <c r="AN596" s="242" t="str">
        <f>IF(AQ596="x","",IF(AQ596="x",AM596,IF(EOMONTH(I596,0)=31,"",EOMONTH(I596,0))))</f>
        <v/>
      </c>
      <c r="AO596" s="79">
        <f>IFERROR(IF(VLOOKUP(C596,C597:C1197,1,0)=0,1,0),1)</f>
        <v>0</v>
      </c>
      <c r="AP596" s="79"/>
      <c r="AQ596" s="243" t="str">
        <f t="shared" si="101"/>
        <v/>
      </c>
      <c r="AR596" s="242" t="b">
        <f>IF(AQ596="x",EOMONTH(I596,0))</f>
        <v>0</v>
      </c>
      <c r="AS596" s="79">
        <f t="shared" si="96"/>
        <v>1</v>
      </c>
      <c r="AT596" s="79">
        <f t="shared" si="97"/>
        <v>1</v>
      </c>
      <c r="AU596" s="79" t="str">
        <f t="shared" si="98"/>
        <v>C</v>
      </c>
      <c r="AV596" s="79">
        <f t="shared" si="102"/>
        <v>1</v>
      </c>
      <c r="AW596" s="79" t="str">
        <f>J596&amp;AU596</f>
        <v>INTEGRALC</v>
      </c>
      <c r="AX596" s="79">
        <f>IF(COUNTIFS(J:J,"Integral",E:E,E596,H:H,"Ativo")=4,1/4,1/10)</f>
        <v>0.25</v>
      </c>
      <c r="AY596" s="79" t="s">
        <v>1332</v>
      </c>
      <c r="AZ596" s="79" t="b">
        <v>1</v>
      </c>
    </row>
    <row r="597" spans="1:52" ht="15.75" customHeight="1">
      <c r="A597" s="54">
        <v>622</v>
      </c>
      <c r="B597" s="403">
        <v>45287</v>
      </c>
      <c r="C597" s="32" t="s">
        <v>896</v>
      </c>
      <c r="D597" s="32" t="s">
        <v>1847</v>
      </c>
      <c r="E597" s="32" t="s">
        <v>1843</v>
      </c>
      <c r="F597" s="32" t="s">
        <v>1848</v>
      </c>
      <c r="G597" s="60" t="s">
        <v>220</v>
      </c>
      <c r="H597" s="33" t="s">
        <v>90</v>
      </c>
      <c r="I597" s="34"/>
      <c r="J597" s="33" t="s">
        <v>1701</v>
      </c>
      <c r="K597" s="56" t="s">
        <v>221</v>
      </c>
      <c r="L597" s="56" t="s">
        <v>221</v>
      </c>
      <c r="M597" s="67" t="s">
        <v>222</v>
      </c>
      <c r="N597" s="33" t="s">
        <v>72</v>
      </c>
      <c r="O597" s="33" t="s">
        <v>12</v>
      </c>
      <c r="P597" s="33" t="s">
        <v>86</v>
      </c>
      <c r="Q597" s="47" t="s">
        <v>84</v>
      </c>
      <c r="R597" s="47"/>
      <c r="S597" s="45" t="s">
        <v>145</v>
      </c>
      <c r="T597" s="45"/>
      <c r="U597" s="37">
        <v>44957</v>
      </c>
      <c r="V597" s="38">
        <f t="shared" si="104"/>
        <v>45287</v>
      </c>
      <c r="W597" s="50">
        <f>V597-U597</f>
        <v>330</v>
      </c>
      <c r="X597" s="261">
        <f>Y597*0.91</f>
        <v>2609652.5</v>
      </c>
      <c r="Y597" s="260">
        <v>2867750</v>
      </c>
      <c r="Z597" s="263">
        <v>2407500.25</v>
      </c>
      <c r="AA597" s="56"/>
      <c r="AB597" s="263"/>
      <c r="AC597" s="44">
        <v>0.09</v>
      </c>
      <c r="AD597" s="62">
        <v>0.191</v>
      </c>
      <c r="AE597" s="41">
        <f t="shared" si="106"/>
        <v>-0.10100000000000001</v>
      </c>
      <c r="AF597" s="42">
        <v>0.10100000000000001</v>
      </c>
      <c r="AG597" s="40">
        <f>IF((X597*AE597)&lt;0,0,(X597*AE597))</f>
        <v>0</v>
      </c>
      <c r="AH597" s="65">
        <f t="shared" si="99"/>
        <v>460249.75</v>
      </c>
      <c r="AI597" s="66">
        <f>AH597/X597</f>
        <v>0.17636438184777475</v>
      </c>
      <c r="AJ597" s="66">
        <f t="shared" si="100"/>
        <v>7.5364381847774747E-2</v>
      </c>
      <c r="AK597" s="65">
        <f>AF597*X597</f>
        <v>263574.90250000003</v>
      </c>
      <c r="AL597" s="40">
        <f t="shared" si="107"/>
        <v>196674.84749999997</v>
      </c>
      <c r="AM597" s="242">
        <f t="shared" si="105"/>
        <v>45291</v>
      </c>
      <c r="AN597" s="242" t="str">
        <f>IF(AQ597="x","",IF(AQ597="x",AM597,IF(EOMONTH(I597,0)=31,"",EOMONTH(I597,0))))</f>
        <v/>
      </c>
      <c r="AO597" s="79">
        <f>IFERROR(IF(VLOOKUP(C597,C598:C1198,1,0)=0,1,0),1)</f>
        <v>0</v>
      </c>
      <c r="AP597" s="79"/>
      <c r="AQ597" s="243" t="str">
        <f t="shared" si="101"/>
        <v/>
      </c>
      <c r="AR597" s="242" t="b">
        <f>IF(AQ597="x",EOMONTH(I597,0))</f>
        <v>0</v>
      </c>
      <c r="AS597" s="79">
        <f t="shared" si="96"/>
        <v>1</v>
      </c>
      <c r="AT597" s="79">
        <f t="shared" si="97"/>
        <v>1</v>
      </c>
      <c r="AU597" s="79" t="str">
        <f t="shared" si="98"/>
        <v>C</v>
      </c>
      <c r="AV597" s="79">
        <f t="shared" si="102"/>
        <v>1</v>
      </c>
      <c r="AW597" s="79" t="str">
        <f>J597&amp;AU597</f>
        <v>INTEGRALC</v>
      </c>
      <c r="AX597" s="79">
        <f>IF(COUNTIFS(J:J,"Integral",E:E,E597,H:H,"Ativo")=4,1/4,1/10)</f>
        <v>0.25</v>
      </c>
      <c r="AY597" s="79" t="s">
        <v>1332</v>
      </c>
      <c r="AZ597" s="79" t="b">
        <v>1</v>
      </c>
    </row>
    <row r="598" spans="1:52" ht="15.75" customHeight="1">
      <c r="A598" s="54">
        <v>623</v>
      </c>
      <c r="B598" s="403">
        <v>45287</v>
      </c>
      <c r="C598" s="32" t="s">
        <v>896</v>
      </c>
      <c r="D598" s="32" t="s">
        <v>1849</v>
      </c>
      <c r="E598" s="32" t="s">
        <v>1843</v>
      </c>
      <c r="F598" s="32" t="s">
        <v>1850</v>
      </c>
      <c r="G598" s="60" t="s">
        <v>220</v>
      </c>
      <c r="H598" s="33" t="s">
        <v>90</v>
      </c>
      <c r="I598" s="34"/>
      <c r="J598" s="33" t="s">
        <v>1701</v>
      </c>
      <c r="K598" s="56" t="s">
        <v>221</v>
      </c>
      <c r="L598" s="56" t="s">
        <v>221</v>
      </c>
      <c r="M598" s="67" t="s">
        <v>222</v>
      </c>
      <c r="N598" s="33" t="s">
        <v>72</v>
      </c>
      <c r="O598" s="33" t="s">
        <v>12</v>
      </c>
      <c r="P598" s="33" t="s">
        <v>86</v>
      </c>
      <c r="Q598" s="47" t="s">
        <v>84</v>
      </c>
      <c r="R598" s="47"/>
      <c r="S598" s="45" t="s">
        <v>145</v>
      </c>
      <c r="T598" s="45"/>
      <c r="U598" s="37">
        <v>44957</v>
      </c>
      <c r="V598" s="38">
        <f t="shared" si="104"/>
        <v>45287</v>
      </c>
      <c r="W598" s="50">
        <f>V598-U598</f>
        <v>330</v>
      </c>
      <c r="X598" s="261">
        <f>Y598*0.91</f>
        <v>2609652.5</v>
      </c>
      <c r="Y598" s="260">
        <v>2867750</v>
      </c>
      <c r="Z598" s="263">
        <v>2407500.25</v>
      </c>
      <c r="AA598" s="56"/>
      <c r="AB598" s="263"/>
      <c r="AC598" s="44">
        <v>0.09</v>
      </c>
      <c r="AD598" s="62">
        <v>0.191</v>
      </c>
      <c r="AE598" s="41">
        <f t="shared" si="106"/>
        <v>-0.10100000000000001</v>
      </c>
      <c r="AF598" s="42">
        <v>0.10100000000000001</v>
      </c>
      <c r="AG598" s="40">
        <f>IF((X598*AE598)&lt;0,0,(X598*AE598))</f>
        <v>0</v>
      </c>
      <c r="AH598" s="65">
        <f t="shared" si="99"/>
        <v>460249.75</v>
      </c>
      <c r="AI598" s="66">
        <f>AH598/X598</f>
        <v>0.17636438184777475</v>
      </c>
      <c r="AJ598" s="66">
        <f t="shared" si="100"/>
        <v>7.5364381847774747E-2</v>
      </c>
      <c r="AK598" s="65">
        <f>AF598*X598</f>
        <v>263574.90250000003</v>
      </c>
      <c r="AL598" s="40">
        <f t="shared" si="107"/>
        <v>196674.84749999997</v>
      </c>
      <c r="AM598" s="242">
        <f t="shared" si="105"/>
        <v>45291</v>
      </c>
      <c r="AN598" s="242" t="str">
        <f>IF(AQ598="x","",IF(AQ598="x",AM598,IF(EOMONTH(I598,0)=31,"",EOMONTH(I598,0))))</f>
        <v/>
      </c>
      <c r="AO598" s="79">
        <f>IFERROR(IF(VLOOKUP(C598,C599:C1199,1,0)=0,1,0),1)</f>
        <v>0</v>
      </c>
      <c r="AP598" s="79"/>
      <c r="AQ598" s="243" t="str">
        <f t="shared" si="101"/>
        <v/>
      </c>
      <c r="AR598" s="242" t="b">
        <f>IF(AQ598="x",EOMONTH(I598,0))</f>
        <v>0</v>
      </c>
      <c r="AS598" s="79">
        <f t="shared" si="96"/>
        <v>1</v>
      </c>
      <c r="AT598" s="79">
        <f t="shared" si="97"/>
        <v>1</v>
      </c>
      <c r="AU598" s="79" t="str">
        <f t="shared" si="98"/>
        <v>C</v>
      </c>
      <c r="AV598" s="79">
        <f t="shared" si="102"/>
        <v>1</v>
      </c>
      <c r="AW598" s="79" t="str">
        <f>J598&amp;AU598</f>
        <v>INTEGRALC</v>
      </c>
      <c r="AX598" s="79">
        <f>IF(COUNTIFS(J:J,"Integral",E:E,E598,H:H,"Ativo")=4,1/4,1/10)</f>
        <v>0.25</v>
      </c>
      <c r="AY598" s="79" t="s">
        <v>1332</v>
      </c>
      <c r="AZ598" s="79" t="b">
        <v>1</v>
      </c>
    </row>
    <row r="599" spans="1:52" ht="15.75" customHeight="1">
      <c r="A599" s="54">
        <v>624</v>
      </c>
      <c r="B599" s="403">
        <v>45287</v>
      </c>
      <c r="C599" s="32" t="s">
        <v>896</v>
      </c>
      <c r="D599" s="32" t="s">
        <v>1851</v>
      </c>
      <c r="E599" s="32" t="s">
        <v>1852</v>
      </c>
      <c r="F599" s="32" t="s">
        <v>1853</v>
      </c>
      <c r="G599" s="60" t="s">
        <v>220</v>
      </c>
      <c r="H599" s="33" t="s">
        <v>90</v>
      </c>
      <c r="I599" s="34"/>
      <c r="J599" s="33">
        <v>52</v>
      </c>
      <c r="K599" s="56" t="s">
        <v>221</v>
      </c>
      <c r="L599" s="56" t="s">
        <v>221</v>
      </c>
      <c r="M599" s="67" t="s">
        <v>222</v>
      </c>
      <c r="N599" s="33" t="s">
        <v>72</v>
      </c>
      <c r="O599" s="33" t="s">
        <v>12</v>
      </c>
      <c r="P599" s="33" t="s">
        <v>86</v>
      </c>
      <c r="Q599" s="47" t="s">
        <v>84</v>
      </c>
      <c r="R599" s="47"/>
      <c r="S599" s="45" t="s">
        <v>145</v>
      </c>
      <c r="T599" s="45"/>
      <c r="U599" s="70">
        <v>44957</v>
      </c>
      <c r="V599" s="48">
        <f t="shared" si="104"/>
        <v>45287</v>
      </c>
      <c r="W599" s="50">
        <f>V599-U599</f>
        <v>330</v>
      </c>
      <c r="X599" s="261">
        <f>Y599*0.91</f>
        <v>182000</v>
      </c>
      <c r="Y599" s="260">
        <v>200000</v>
      </c>
      <c r="Z599" s="263">
        <v>200000</v>
      </c>
      <c r="AA599" s="56"/>
      <c r="AB599" s="263"/>
      <c r="AC599" s="44">
        <v>0.09</v>
      </c>
      <c r="AD599" s="72">
        <v>0</v>
      </c>
      <c r="AE599" s="41"/>
      <c r="AF599" s="42"/>
      <c r="AG599" s="40">
        <f>IF((X599*AE599)&lt;0,0,(X599*AE599))</f>
        <v>0</v>
      </c>
      <c r="AH599" s="65">
        <f t="shared" si="99"/>
        <v>0</v>
      </c>
      <c r="AI599" s="66">
        <f>AH599/X599</f>
        <v>0</v>
      </c>
      <c r="AJ599" s="66">
        <f t="shared" si="100"/>
        <v>0</v>
      </c>
      <c r="AK599" s="65">
        <f>AF599*X599</f>
        <v>0</v>
      </c>
      <c r="AL599" s="40">
        <f t="shared" si="107"/>
        <v>0</v>
      </c>
      <c r="AM599" s="242">
        <f t="shared" si="105"/>
        <v>45291</v>
      </c>
      <c r="AN599" s="242" t="str">
        <f>IF(AQ599="x","",IF(AQ599="x",AM599,IF(EOMONTH(I599,0)=31,"",EOMONTH(I599,0))))</f>
        <v/>
      </c>
      <c r="AO599" s="350">
        <f>IFERROR(IF(VLOOKUP(C599,C600:C1200,1,0)=0,1,0),1)</f>
        <v>1</v>
      </c>
      <c r="AP599" s="350"/>
      <c r="AQ599" s="243" t="str">
        <f t="shared" si="101"/>
        <v/>
      </c>
      <c r="AR599" s="242" t="b">
        <f>IF(AQ599="x",EOMONTH(I599,0))</f>
        <v>0</v>
      </c>
      <c r="AS599" s="79">
        <f t="shared" si="96"/>
        <v>1</v>
      </c>
      <c r="AT599" s="79">
        <f t="shared" si="97"/>
        <v>1</v>
      </c>
      <c r="AU599" s="79" t="str">
        <f t="shared" si="98"/>
        <v>V</v>
      </c>
      <c r="AV599" s="79">
        <f t="shared" si="102"/>
        <v>1</v>
      </c>
      <c r="AW599" s="79" t="str">
        <f>J599&amp;AU599</f>
        <v>52V</v>
      </c>
      <c r="AX599" s="79">
        <f>IF(COUNTIFS(J:J,"Integral",E:E,E599,H:H,"Ativo")=4,1/4,1/10)</f>
        <v>0.1</v>
      </c>
      <c r="AY599" s="79" t="s">
        <v>1332</v>
      </c>
      <c r="AZ599" s="79" t="b">
        <v>1</v>
      </c>
    </row>
    <row r="600" spans="1:52" ht="15.75" customHeight="1">
      <c r="A600" s="54">
        <v>625</v>
      </c>
      <c r="B600" s="403">
        <v>45289</v>
      </c>
      <c r="C600" s="32" t="s">
        <v>1854</v>
      </c>
      <c r="D600" s="32" t="s">
        <v>1855</v>
      </c>
      <c r="E600" s="32" t="s">
        <v>1499</v>
      </c>
      <c r="F600" s="32" t="s">
        <v>1856</v>
      </c>
      <c r="G600" s="60" t="s">
        <v>220</v>
      </c>
      <c r="H600" s="33" t="s">
        <v>90</v>
      </c>
      <c r="I600" s="34"/>
      <c r="J600" s="33">
        <v>4</v>
      </c>
      <c r="K600" s="56" t="s">
        <v>378</v>
      </c>
      <c r="L600" s="56" t="s">
        <v>378</v>
      </c>
      <c r="M600" s="386" t="s">
        <v>1026</v>
      </c>
      <c r="N600" s="33" t="s">
        <v>68</v>
      </c>
      <c r="O600" s="33" t="s">
        <v>10</v>
      </c>
      <c r="P600" s="33" t="s">
        <v>1</v>
      </c>
      <c r="Q600" s="47"/>
      <c r="R600" s="47"/>
      <c r="S600" s="45" t="s">
        <v>147</v>
      </c>
      <c r="T600" s="45"/>
      <c r="U600" s="37">
        <v>45188</v>
      </c>
      <c r="V600" s="38">
        <f t="shared" si="104"/>
        <v>45289</v>
      </c>
      <c r="W600" s="50">
        <f>V600-U600</f>
        <v>101</v>
      </c>
      <c r="X600" s="261">
        <f>Y600*0.91</f>
        <v>298935</v>
      </c>
      <c r="Y600" s="260">
        <v>328500</v>
      </c>
      <c r="Z600" s="263">
        <v>260000</v>
      </c>
      <c r="AA600" s="56" t="s">
        <v>911</v>
      </c>
      <c r="AB600" s="263"/>
      <c r="AC600" s="44">
        <v>0.09</v>
      </c>
      <c r="AD600" s="62">
        <v>2.4500000000000001E-2</v>
      </c>
      <c r="AE600" s="41">
        <f t="shared" ref="AE600:AE631" si="108">AC600-AD600</f>
        <v>6.5500000000000003E-2</v>
      </c>
      <c r="AF600" s="42"/>
      <c r="AG600" s="40">
        <f>IF((X600*AE600)&lt;0,0,(X600*AE600))</f>
        <v>19580.2425</v>
      </c>
      <c r="AH600" s="65">
        <f t="shared" si="99"/>
        <v>68500</v>
      </c>
      <c r="AI600" s="66">
        <f>AH600/X600</f>
        <v>0.22914680448927024</v>
      </c>
      <c r="AJ600" s="66">
        <f t="shared" si="100"/>
        <v>0.22914680448927024</v>
      </c>
      <c r="AK600" s="65">
        <f>AF600*X600</f>
        <v>0</v>
      </c>
      <c r="AL600" s="40">
        <f t="shared" si="107"/>
        <v>68500</v>
      </c>
      <c r="AM600" s="242">
        <f t="shared" si="105"/>
        <v>45291</v>
      </c>
      <c r="AN600" s="242" t="str">
        <f>IF(AQ600="x","",IF(AQ600="x",AM600,IF(EOMONTH(I600,0)=31,"",EOMONTH(I600,0))))</f>
        <v/>
      </c>
      <c r="AO600" s="79">
        <f>IFERROR(IF(VLOOKUP(C600,C601:C1201,1,0)=0,1,0),1)</f>
        <v>1</v>
      </c>
      <c r="AP600" s="79"/>
      <c r="AQ600" s="243" t="str">
        <f t="shared" si="101"/>
        <v/>
      </c>
      <c r="AR600" s="242" t="b">
        <f>IF(AQ600="x",EOMONTH(I600,0))</f>
        <v>0</v>
      </c>
      <c r="AS600" s="79">
        <f t="shared" si="96"/>
        <v>1</v>
      </c>
      <c r="AT600" s="79">
        <f t="shared" si="97"/>
        <v>1</v>
      </c>
      <c r="AU600" s="79" t="str">
        <f t="shared" si="98"/>
        <v>B</v>
      </c>
      <c r="AV600" s="79">
        <f t="shared" si="102"/>
        <v>1</v>
      </c>
      <c r="AW600" s="79" t="str">
        <f>J600&amp;AU600</f>
        <v>4B</v>
      </c>
      <c r="AX600" s="79">
        <f>IF(COUNTIFS(J:J,"Integral",E:E,E600,H:H,"Ativo")=4,1/4,1/10)</f>
        <v>0.1</v>
      </c>
      <c r="AY600" s="79" t="s">
        <v>1535</v>
      </c>
      <c r="AZ600" s="79" t="b">
        <v>1</v>
      </c>
    </row>
    <row r="601" spans="1:52" ht="15.75" customHeight="1">
      <c r="A601" s="54">
        <v>626</v>
      </c>
      <c r="B601" s="403">
        <v>45289</v>
      </c>
      <c r="C601" s="32" t="s">
        <v>1857</v>
      </c>
      <c r="D601" s="32" t="s">
        <v>1858</v>
      </c>
      <c r="E601" s="32" t="s">
        <v>1342</v>
      </c>
      <c r="F601" s="32" t="s">
        <v>1859</v>
      </c>
      <c r="G601" s="60" t="s">
        <v>220</v>
      </c>
      <c r="H601" s="33" t="s">
        <v>90</v>
      </c>
      <c r="I601" s="34"/>
      <c r="J601" s="33">
        <v>4</v>
      </c>
      <c r="K601" s="56" t="s">
        <v>1165</v>
      </c>
      <c r="L601" s="56" t="s">
        <v>1165</v>
      </c>
      <c r="M601" s="386" t="s">
        <v>1026</v>
      </c>
      <c r="N601" s="33" t="s">
        <v>68</v>
      </c>
      <c r="O601" s="33" t="s">
        <v>11</v>
      </c>
      <c r="P601" s="33" t="s">
        <v>2</v>
      </c>
      <c r="Q601" s="47"/>
      <c r="R601" s="47"/>
      <c r="S601" s="45" t="s">
        <v>157</v>
      </c>
      <c r="T601" s="45"/>
      <c r="U601" s="37">
        <v>45277</v>
      </c>
      <c r="V601" s="38">
        <f t="shared" si="104"/>
        <v>45289</v>
      </c>
      <c r="W601" s="50">
        <f>V601-U601</f>
        <v>12</v>
      </c>
      <c r="X601" s="261">
        <f>Y601*0.91</f>
        <v>298935</v>
      </c>
      <c r="Y601" s="260">
        <v>328500</v>
      </c>
      <c r="Z601" s="263">
        <v>299950</v>
      </c>
      <c r="AA601" s="56"/>
      <c r="AB601" s="263"/>
      <c r="AC601" s="44">
        <v>0.09</v>
      </c>
      <c r="AD601" s="62">
        <v>-6.9999999999999999E-4</v>
      </c>
      <c r="AE601" s="41">
        <f t="shared" si="108"/>
        <v>9.0700000000000003E-2</v>
      </c>
      <c r="AF601" s="42"/>
      <c r="AG601" s="40">
        <f>IF((X601*AE601)&lt;0,0,(X601*AE601))</f>
        <v>27113.404500000001</v>
      </c>
      <c r="AH601" s="65">
        <f t="shared" si="99"/>
        <v>28550</v>
      </c>
      <c r="AI601" s="66">
        <f>AH601/X601</f>
        <v>9.5505711944068108E-2</v>
      </c>
      <c r="AJ601" s="66">
        <f t="shared" si="100"/>
        <v>9.5505711944068108E-2</v>
      </c>
      <c r="AK601" s="65">
        <f>AF601*X601</f>
        <v>0</v>
      </c>
      <c r="AL601" s="40">
        <f t="shared" si="107"/>
        <v>28550</v>
      </c>
      <c r="AM601" s="242">
        <f t="shared" si="105"/>
        <v>45291</v>
      </c>
      <c r="AN601" s="242" t="str">
        <f>IF(AQ601="x","",IF(AQ601="x",AM601,IF(EOMONTH(I601,0)=31,"",EOMONTH(I601,0))))</f>
        <v/>
      </c>
      <c r="AO601" s="79">
        <f>IFERROR(IF(VLOOKUP(C601,C602:C1202,1,0)=0,1,0),1)</f>
        <v>1</v>
      </c>
      <c r="AP601" s="79"/>
      <c r="AQ601" s="243" t="str">
        <f t="shared" si="101"/>
        <v/>
      </c>
      <c r="AR601" s="242" t="b">
        <f>IF(AQ601="x",EOMONTH(I601,0))</f>
        <v>0</v>
      </c>
      <c r="AS601" s="79">
        <f t="shared" si="96"/>
        <v>1</v>
      </c>
      <c r="AT601" s="79">
        <f t="shared" si="97"/>
        <v>1</v>
      </c>
      <c r="AU601" s="79" t="str">
        <f t="shared" si="98"/>
        <v>B</v>
      </c>
      <c r="AV601" s="79">
        <f t="shared" si="102"/>
        <v>1</v>
      </c>
      <c r="AW601" s="79" t="str">
        <f>J601&amp;AU601</f>
        <v>4B</v>
      </c>
      <c r="AX601" s="79">
        <f>IF(COUNTIFS(J:J,"Integral",E:E,E601,H:H,"Ativo")=4,1/4,1/10)</f>
        <v>0.1</v>
      </c>
      <c r="AY601" s="79" t="s">
        <v>1320</v>
      </c>
      <c r="AZ601" s="79" t="b">
        <v>1</v>
      </c>
    </row>
    <row r="602" spans="1:52" ht="15.75" customHeight="1">
      <c r="A602" s="54">
        <v>627</v>
      </c>
      <c r="B602" s="405">
        <v>45292</v>
      </c>
      <c r="C602" s="32" t="s">
        <v>1860</v>
      </c>
      <c r="D602" s="32" t="s">
        <v>1861</v>
      </c>
      <c r="E602" s="32" t="s">
        <v>1820</v>
      </c>
      <c r="F602" s="32" t="s">
        <v>1862</v>
      </c>
      <c r="G602" s="73" t="s">
        <v>243</v>
      </c>
      <c r="H602" s="33" t="s">
        <v>244</v>
      </c>
      <c r="I602" s="34">
        <v>45307</v>
      </c>
      <c r="J602" s="33">
        <v>6</v>
      </c>
      <c r="K602" s="35" t="s">
        <v>237</v>
      </c>
      <c r="L602" s="35" t="s">
        <v>237</v>
      </c>
      <c r="M602" s="386" t="s">
        <v>246</v>
      </c>
      <c r="N602" s="33" t="s">
        <v>68</v>
      </c>
      <c r="O602" s="33" t="s">
        <v>11</v>
      </c>
      <c r="P602" s="33" t="s">
        <v>1</v>
      </c>
      <c r="Q602" s="47"/>
      <c r="R602" s="47"/>
      <c r="S602" s="45" t="s">
        <v>149</v>
      </c>
      <c r="T602" s="45"/>
      <c r="U602" s="37">
        <v>45289</v>
      </c>
      <c r="V602" s="38">
        <f t="shared" si="104"/>
        <v>45292</v>
      </c>
      <c r="W602" s="50">
        <f>V602-U602</f>
        <v>3</v>
      </c>
      <c r="X602" s="265">
        <f>Y602*0.91</f>
        <v>395850</v>
      </c>
      <c r="Y602" s="260">
        <v>435000</v>
      </c>
      <c r="Z602" s="267">
        <v>398600</v>
      </c>
      <c r="AA602" s="56" t="s">
        <v>911</v>
      </c>
      <c r="AB602" s="362" t="s">
        <v>1863</v>
      </c>
      <c r="AC602" s="44">
        <v>0.09</v>
      </c>
      <c r="AD602" s="62">
        <v>2.9499999999999998E-2</v>
      </c>
      <c r="AE602" s="41">
        <f t="shared" si="108"/>
        <v>6.0499999999999998E-2</v>
      </c>
      <c r="AF602" s="42"/>
      <c r="AG602" s="40">
        <f>IF((X602*AE602)&lt;0,0,(X602*AE602))</f>
        <v>23948.924999999999</v>
      </c>
      <c r="AH602" s="65">
        <f t="shared" si="99"/>
        <v>36400</v>
      </c>
      <c r="AI602" s="66">
        <f>AH602/X602</f>
        <v>9.1954022988505746E-2</v>
      </c>
      <c r="AJ602" s="66">
        <f t="shared" si="100"/>
        <v>9.1954022988505746E-2</v>
      </c>
      <c r="AK602" s="65">
        <f>AF602*X602</f>
        <v>0</v>
      </c>
      <c r="AL602" s="40">
        <f t="shared" si="107"/>
        <v>36400</v>
      </c>
      <c r="AM602" s="242">
        <f t="shared" si="105"/>
        <v>45322</v>
      </c>
      <c r="AN602" s="242" t="str">
        <f>IF(AQ602="x","",IF(AQ602="x",AM602,IF(EOMONTH(I602,0)=31,"",EOMONTH(I602,0))))</f>
        <v/>
      </c>
      <c r="AO602" s="79">
        <f>IFERROR(IF(VLOOKUP(C602,C603:C1203,1,0)=0,1,0),1)</f>
        <v>0</v>
      </c>
      <c r="AP602" s="79"/>
      <c r="AQ602" s="243" t="str">
        <f t="shared" si="101"/>
        <v>x</v>
      </c>
      <c r="AR602" s="242">
        <f>IF(AQ602="x",EOMONTH(I602,0))</f>
        <v>45322</v>
      </c>
      <c r="AS602" s="79">
        <f t="shared" si="96"/>
        <v>1</v>
      </c>
      <c r="AT602" s="79">
        <f t="shared" si="97"/>
        <v>1</v>
      </c>
      <c r="AU602" s="79" t="str">
        <f t="shared" si="98"/>
        <v>B</v>
      </c>
      <c r="AV602" s="79">
        <f t="shared" si="102"/>
        <v>1</v>
      </c>
      <c r="AW602" s="79" t="str">
        <f>J602&amp;AU602</f>
        <v>6B</v>
      </c>
      <c r="AX602" s="79">
        <f>IF(COUNTIFS(J:J,"Integral",E:E,E602,H:H,"Ativo")=4,1/4,1/10)</f>
        <v>0.1</v>
      </c>
      <c r="AY602" s="79" t="s">
        <v>1320</v>
      </c>
      <c r="AZ602" s="79" t="b">
        <v>1</v>
      </c>
    </row>
    <row r="603" spans="1:52" ht="15.75" customHeight="1">
      <c r="A603" s="54">
        <v>628</v>
      </c>
      <c r="B603" s="405">
        <v>45292</v>
      </c>
      <c r="C603" s="32" t="s">
        <v>1860</v>
      </c>
      <c r="D603" s="32" t="s">
        <v>1864</v>
      </c>
      <c r="E603" s="32" t="s">
        <v>1820</v>
      </c>
      <c r="F603" s="32" t="s">
        <v>1865</v>
      </c>
      <c r="G603" s="73" t="s">
        <v>243</v>
      </c>
      <c r="H603" s="33" t="s">
        <v>244</v>
      </c>
      <c r="I603" s="34">
        <v>45307</v>
      </c>
      <c r="J603" s="33">
        <v>6</v>
      </c>
      <c r="K603" s="35" t="s">
        <v>237</v>
      </c>
      <c r="L603" s="35" t="s">
        <v>237</v>
      </c>
      <c r="M603" s="386" t="s">
        <v>246</v>
      </c>
      <c r="N603" s="33" t="s">
        <v>68</v>
      </c>
      <c r="O603" s="33" t="s">
        <v>11</v>
      </c>
      <c r="P603" s="33" t="s">
        <v>1</v>
      </c>
      <c r="Q603" s="47"/>
      <c r="R603" s="47"/>
      <c r="S603" s="45" t="s">
        <v>149</v>
      </c>
      <c r="T603" s="45"/>
      <c r="U603" s="37">
        <v>45289</v>
      </c>
      <c r="V603" s="38">
        <f t="shared" si="104"/>
        <v>45292</v>
      </c>
      <c r="W603" s="50">
        <f>V603-U603</f>
        <v>3</v>
      </c>
      <c r="X603" s="265">
        <f>Y603*0.91</f>
        <v>395850</v>
      </c>
      <c r="Y603" s="67">
        <v>435000</v>
      </c>
      <c r="Z603" s="267">
        <v>398600</v>
      </c>
      <c r="AA603" s="56" t="s">
        <v>911</v>
      </c>
      <c r="AB603" s="362" t="s">
        <v>1863</v>
      </c>
      <c r="AC603" s="44">
        <v>0.09</v>
      </c>
      <c r="AD603" s="62">
        <v>2.9499999999999998E-2</v>
      </c>
      <c r="AE603" s="41">
        <f t="shared" si="108"/>
        <v>6.0499999999999998E-2</v>
      </c>
      <c r="AF603" s="42"/>
      <c r="AG603" s="40">
        <f>IF((X603*AE603)&lt;0,0,(X603*AE603))</f>
        <v>23948.924999999999</v>
      </c>
      <c r="AH603" s="65">
        <f t="shared" si="99"/>
        <v>36400</v>
      </c>
      <c r="AI603" s="66">
        <f>AH603/X603</f>
        <v>9.1954022988505746E-2</v>
      </c>
      <c r="AJ603" s="66">
        <f t="shared" si="100"/>
        <v>9.1954022988505746E-2</v>
      </c>
      <c r="AK603" s="65">
        <f>AF603*X603</f>
        <v>0</v>
      </c>
      <c r="AL603" s="40">
        <f t="shared" si="107"/>
        <v>36400</v>
      </c>
      <c r="AM603" s="242">
        <f t="shared" si="105"/>
        <v>45322</v>
      </c>
      <c r="AN603" s="242" t="str">
        <f>IF(AQ603="x","",IF(AQ603="x",AM603,IF(EOMONTH(I603,0)=31,"",EOMONTH(I603,0))))</f>
        <v/>
      </c>
      <c r="AO603" s="79">
        <f>IFERROR(IF(VLOOKUP(C603,C604:C1204,1,0)=0,1,0),1)</f>
        <v>1</v>
      </c>
      <c r="AP603" s="79"/>
      <c r="AQ603" s="243" t="str">
        <f t="shared" si="101"/>
        <v>x</v>
      </c>
      <c r="AR603" s="242">
        <f>IF(AQ603="x",EOMONTH(I603,0))</f>
        <v>45322</v>
      </c>
      <c r="AS603" s="79">
        <f t="shared" si="96"/>
        <v>1</v>
      </c>
      <c r="AT603" s="79">
        <f t="shared" si="97"/>
        <v>1</v>
      </c>
      <c r="AU603" s="79" t="str">
        <f t="shared" si="98"/>
        <v>B</v>
      </c>
      <c r="AV603" s="79">
        <f t="shared" si="102"/>
        <v>1</v>
      </c>
      <c r="AW603" s="79" t="str">
        <f>J603&amp;AU603</f>
        <v>6B</v>
      </c>
      <c r="AX603" s="79">
        <f>IF(COUNTIFS(J:J,"Integral",E:E,E603,H:H,"Ativo")=4,1/4,1/10)</f>
        <v>0.1</v>
      </c>
      <c r="AY603" s="79" t="s">
        <v>1320</v>
      </c>
      <c r="AZ603" s="79" t="b">
        <v>1</v>
      </c>
    </row>
    <row r="604" spans="1:52" ht="15" customHeight="1">
      <c r="A604" s="54">
        <v>629</v>
      </c>
      <c r="B604" s="403">
        <v>45290</v>
      </c>
      <c r="C604" s="32" t="s">
        <v>1866</v>
      </c>
      <c r="D604" s="32" t="s">
        <v>1867</v>
      </c>
      <c r="E604" s="32" t="s">
        <v>960</v>
      </c>
      <c r="F604" s="32" t="s">
        <v>1868</v>
      </c>
      <c r="G604" s="73" t="s">
        <v>220</v>
      </c>
      <c r="H604" s="33" t="s">
        <v>90</v>
      </c>
      <c r="I604" s="34"/>
      <c r="J604" s="33">
        <v>4</v>
      </c>
      <c r="K604" s="56" t="s">
        <v>1714</v>
      </c>
      <c r="L604" s="56" t="s">
        <v>1714</v>
      </c>
      <c r="M604" s="386" t="s">
        <v>1026</v>
      </c>
      <c r="N604" s="33" t="s">
        <v>68</v>
      </c>
      <c r="O604" s="33" t="s">
        <v>12</v>
      </c>
      <c r="P604" s="33" t="s">
        <v>86</v>
      </c>
      <c r="Q604" s="47" t="s">
        <v>100</v>
      </c>
      <c r="R604" s="47"/>
      <c r="S604" s="45" t="s">
        <v>147</v>
      </c>
      <c r="T604" s="45"/>
      <c r="U604" s="37">
        <v>45266</v>
      </c>
      <c r="V604" s="38">
        <f t="shared" si="104"/>
        <v>45290</v>
      </c>
      <c r="W604" s="50">
        <f>V604-U604</f>
        <v>24</v>
      </c>
      <c r="X604" s="261">
        <f>Y604*0.91</f>
        <v>298935</v>
      </c>
      <c r="Y604" s="260">
        <v>328500</v>
      </c>
      <c r="Z604" s="263">
        <v>329000</v>
      </c>
      <c r="AA604" s="56"/>
      <c r="AB604" s="263"/>
      <c r="AC604" s="44">
        <v>0.09</v>
      </c>
      <c r="AD604" s="62">
        <v>3.9100000000000003E-2</v>
      </c>
      <c r="AE604" s="41">
        <f t="shared" si="108"/>
        <v>5.0899999999999994E-2</v>
      </c>
      <c r="AF604" s="42"/>
      <c r="AG604" s="40">
        <f>IF((X604*AE604)&lt;0,0,(X604*AE604))</f>
        <v>15215.791499999998</v>
      </c>
      <c r="AH604" s="65">
        <f t="shared" si="99"/>
        <v>-500</v>
      </c>
      <c r="AI604" s="66">
        <f>AH604/X604</f>
        <v>-1.6726044123304398E-3</v>
      </c>
      <c r="AJ604" s="66">
        <f t="shared" si="100"/>
        <v>-1.6726044123304398E-3</v>
      </c>
      <c r="AK604" s="65">
        <f>AF604*X604</f>
        <v>0</v>
      </c>
      <c r="AL604" s="40">
        <f t="shared" si="107"/>
        <v>-500</v>
      </c>
      <c r="AM604" s="242">
        <f t="shared" si="105"/>
        <v>45291</v>
      </c>
      <c r="AN604" s="242" t="str">
        <f>IF(AQ604="x","",IF(AQ604="x",AM604,IF(EOMONTH(I604,0)=31,"",EOMONTH(I604,0))))</f>
        <v/>
      </c>
      <c r="AO604" s="79">
        <f>IFERROR(IF(VLOOKUP(C604,C605:C1205,1,0)=0,1,0),1)</f>
        <v>1</v>
      </c>
      <c r="AP604" s="79"/>
      <c r="AQ604" s="243" t="str">
        <f t="shared" si="101"/>
        <v/>
      </c>
      <c r="AR604" s="242" t="b">
        <f>IF(AQ604="x",EOMONTH(I604,0))</f>
        <v>0</v>
      </c>
      <c r="AS604" s="79">
        <f t="shared" si="96"/>
        <v>0</v>
      </c>
      <c r="AT604" s="79">
        <f t="shared" si="97"/>
        <v>0</v>
      </c>
      <c r="AU604" s="79" t="str">
        <f t="shared" si="98"/>
        <v>B</v>
      </c>
      <c r="AV604" s="79">
        <f t="shared" si="102"/>
        <v>1</v>
      </c>
      <c r="AW604" s="79" t="str">
        <f>J604&amp;AU604</f>
        <v>4B</v>
      </c>
      <c r="AX604" s="79">
        <f>IF(COUNTIFS(J:J,"Integral",E:E,E604,H:H,"Ativo")=4,1/4,1/10)</f>
        <v>0.1</v>
      </c>
      <c r="AY604" s="79" t="s">
        <v>1535</v>
      </c>
      <c r="AZ604" s="79" t="b">
        <v>1</v>
      </c>
    </row>
    <row r="605" spans="1:52" ht="17.25" customHeight="1">
      <c r="A605" s="54">
        <v>630</v>
      </c>
      <c r="B605" s="403">
        <v>45291</v>
      </c>
      <c r="C605" s="32" t="s">
        <v>1869</v>
      </c>
      <c r="D605" s="32" t="s">
        <v>1733</v>
      </c>
      <c r="E605" s="32" t="s">
        <v>1342</v>
      </c>
      <c r="F605" s="32" t="s">
        <v>1870</v>
      </c>
      <c r="G605" s="60" t="s">
        <v>220</v>
      </c>
      <c r="H605" s="33" t="s">
        <v>90</v>
      </c>
      <c r="I605" s="34"/>
      <c r="J605" s="33">
        <v>4</v>
      </c>
      <c r="K605" s="56" t="s">
        <v>1603</v>
      </c>
      <c r="L605" s="56" t="s">
        <v>1513</v>
      </c>
      <c r="M605" s="386" t="s">
        <v>1026</v>
      </c>
      <c r="N605" s="33" t="s">
        <v>68</v>
      </c>
      <c r="O605" s="33" t="s">
        <v>12</v>
      </c>
      <c r="P605" s="33" t="s">
        <v>2</v>
      </c>
      <c r="Q605" s="47"/>
      <c r="R605" s="47"/>
      <c r="S605" s="45" t="s">
        <v>147</v>
      </c>
      <c r="T605" s="45"/>
      <c r="U605" s="70">
        <v>45151</v>
      </c>
      <c r="V605" s="48">
        <f t="shared" si="104"/>
        <v>45291</v>
      </c>
      <c r="W605" s="50">
        <f>V605-U605</f>
        <v>140</v>
      </c>
      <c r="X605" s="261">
        <f>Y605*0.91</f>
        <v>298935</v>
      </c>
      <c r="Y605" s="260">
        <v>328500</v>
      </c>
      <c r="Z605" s="263">
        <v>341400</v>
      </c>
      <c r="AA605" s="56"/>
      <c r="AB605" s="263"/>
      <c r="AC605" s="44">
        <v>0.09</v>
      </c>
      <c r="AD605" s="62">
        <v>0</v>
      </c>
      <c r="AE605" s="41">
        <f t="shared" si="108"/>
        <v>0.09</v>
      </c>
      <c r="AF605" s="42"/>
      <c r="AG605" s="40">
        <f>IF((X605*AE605)&lt;0,0,(X605*AE605))</f>
        <v>26904.149999999998</v>
      </c>
      <c r="AH605" s="65">
        <f t="shared" si="99"/>
        <v>-12900</v>
      </c>
      <c r="AI605" s="66">
        <f>AH605/X605</f>
        <v>-4.3153193838125346E-2</v>
      </c>
      <c r="AJ605" s="66">
        <f t="shared" si="100"/>
        <v>-4.3153193838125346E-2</v>
      </c>
      <c r="AK605" s="65">
        <f>AF605*X605</f>
        <v>0</v>
      </c>
      <c r="AL605" s="40">
        <f t="shared" si="107"/>
        <v>-12900</v>
      </c>
      <c r="AM605" s="242">
        <f t="shared" si="105"/>
        <v>45291</v>
      </c>
      <c r="AN605" s="242" t="str">
        <f>IF(AQ605="x","",IF(AQ605="x",AM605,IF(EOMONTH(I605,0)=31,"",EOMONTH(I605,0))))</f>
        <v/>
      </c>
      <c r="AO605" s="79">
        <f>IFERROR(IF(VLOOKUP(C605,C606:C1206,1,0)=0,1,0),1)</f>
        <v>1</v>
      </c>
      <c r="AP605" s="79"/>
      <c r="AQ605" s="243" t="str">
        <f t="shared" si="101"/>
        <v/>
      </c>
      <c r="AR605" s="242" t="b">
        <f>IF(AQ605="x",EOMONTH(I605,0))</f>
        <v>0</v>
      </c>
      <c r="AS605" s="79">
        <f t="shared" si="96"/>
        <v>0</v>
      </c>
      <c r="AT605" s="79">
        <f t="shared" si="97"/>
        <v>0</v>
      </c>
      <c r="AU605" s="79" t="str">
        <f t="shared" si="98"/>
        <v>B</v>
      </c>
      <c r="AV605" s="79">
        <f t="shared" si="102"/>
        <v>1</v>
      </c>
      <c r="AW605" s="79" t="str">
        <f>J605&amp;AU605</f>
        <v>4B</v>
      </c>
      <c r="AX605" s="79">
        <f>IF(COUNTIFS(J:J,"Integral",E:E,E605,H:H,"Ativo")=4,1/4,1/10)</f>
        <v>0.1</v>
      </c>
      <c r="AY605" s="79" t="s">
        <v>1320</v>
      </c>
      <c r="AZ605" s="79" t="b">
        <v>1</v>
      </c>
    </row>
    <row r="606" spans="1:52" ht="15.75" customHeight="1">
      <c r="A606" s="54">
        <v>631</v>
      </c>
      <c r="B606" s="403">
        <v>45291</v>
      </c>
      <c r="C606" s="32" t="s">
        <v>1871</v>
      </c>
      <c r="D606" s="32" t="s">
        <v>1872</v>
      </c>
      <c r="E606" s="32" t="s">
        <v>1873</v>
      </c>
      <c r="F606" s="32" t="s">
        <v>1874</v>
      </c>
      <c r="G606" s="60" t="s">
        <v>220</v>
      </c>
      <c r="H606" s="33" t="s">
        <v>90</v>
      </c>
      <c r="I606" s="34"/>
      <c r="J606" s="33">
        <v>6</v>
      </c>
      <c r="K606" s="56" t="s">
        <v>1007</v>
      </c>
      <c r="L606" s="56" t="s">
        <v>1517</v>
      </c>
      <c r="M606" s="386" t="s">
        <v>246</v>
      </c>
      <c r="N606" s="33" t="s">
        <v>68</v>
      </c>
      <c r="O606" s="33" t="s">
        <v>12</v>
      </c>
      <c r="P606" s="33" t="s">
        <v>86</v>
      </c>
      <c r="Q606" s="47" t="s">
        <v>97</v>
      </c>
      <c r="R606" s="47"/>
      <c r="S606" s="45" t="s">
        <v>147</v>
      </c>
      <c r="T606" s="45"/>
      <c r="U606" s="70">
        <v>45272</v>
      </c>
      <c r="V606" s="48">
        <f t="shared" si="104"/>
        <v>45291</v>
      </c>
      <c r="W606" s="50">
        <f>V606-U606</f>
        <v>19</v>
      </c>
      <c r="X606" s="261">
        <f>Y606*0.91</f>
        <v>418600</v>
      </c>
      <c r="Y606" s="260">
        <v>460000</v>
      </c>
      <c r="Z606" s="263">
        <v>460000</v>
      </c>
      <c r="AA606" s="56"/>
      <c r="AB606" s="263"/>
      <c r="AC606" s="44">
        <v>0.09</v>
      </c>
      <c r="AD606" s="62">
        <v>-1.2999999999999999E-3</v>
      </c>
      <c r="AE606" s="41">
        <f t="shared" si="108"/>
        <v>9.1299999999999992E-2</v>
      </c>
      <c r="AF606" s="42"/>
      <c r="AG606" s="40">
        <f>IF((X606*AE606)&lt;0,0,(X606*AE606))</f>
        <v>38218.18</v>
      </c>
      <c r="AH606" s="65">
        <f t="shared" si="99"/>
        <v>0</v>
      </c>
      <c r="AI606" s="66">
        <f>AH606/X606</f>
        <v>0</v>
      </c>
      <c r="AJ606" s="66">
        <f t="shared" si="100"/>
        <v>0</v>
      </c>
      <c r="AK606" s="65">
        <f>AF606*X606</f>
        <v>0</v>
      </c>
      <c r="AL606" s="40">
        <f t="shared" si="107"/>
        <v>0</v>
      </c>
      <c r="AM606" s="242">
        <f t="shared" si="105"/>
        <v>45291</v>
      </c>
      <c r="AN606" s="242" t="str">
        <f>IF(AQ606="x","",IF(AQ606="x",AM606,IF(EOMONTH(I606,0)=31,"",EOMONTH(I606,0))))</f>
        <v/>
      </c>
      <c r="AO606" s="79">
        <f>IFERROR(IF(VLOOKUP(C606,C607:C1207,1,0)=0,1,0),1)</f>
        <v>1</v>
      </c>
      <c r="AP606" s="79"/>
      <c r="AQ606" s="243" t="str">
        <f t="shared" si="101"/>
        <v/>
      </c>
      <c r="AR606" s="242" t="b">
        <f>IF(AQ606="x",EOMONTH(I606,0))</f>
        <v>0</v>
      </c>
      <c r="AS606" s="79">
        <f t="shared" si="96"/>
        <v>1</v>
      </c>
      <c r="AT606" s="79">
        <f t="shared" si="97"/>
        <v>1</v>
      </c>
      <c r="AU606" s="79" t="str">
        <f t="shared" si="98"/>
        <v>B</v>
      </c>
      <c r="AV606" s="79">
        <f t="shared" si="102"/>
        <v>1</v>
      </c>
      <c r="AW606" s="79" t="str">
        <f>J606&amp;AU606</f>
        <v>6B</v>
      </c>
      <c r="AX606" s="79">
        <f>IF(COUNTIFS(J:J,"Integral",E:E,E606,H:H,"Ativo")=4,1/4,1/10)</f>
        <v>0.1</v>
      </c>
      <c r="AY606" s="79" t="s">
        <v>1535</v>
      </c>
      <c r="AZ606" s="79" t="b">
        <v>1</v>
      </c>
    </row>
    <row r="607" spans="1:52" ht="15.75" customHeight="1">
      <c r="A607" s="54">
        <v>632</v>
      </c>
      <c r="B607" s="403">
        <v>45295</v>
      </c>
      <c r="C607" s="32" t="s">
        <v>1875</v>
      </c>
      <c r="D607" s="32" t="s">
        <v>381</v>
      </c>
      <c r="E607" s="32" t="s">
        <v>376</v>
      </c>
      <c r="F607" s="32" t="s">
        <v>1876</v>
      </c>
      <c r="G607" s="60" t="s">
        <v>220</v>
      </c>
      <c r="H607" s="33" t="s">
        <v>90</v>
      </c>
      <c r="I607" s="34"/>
      <c r="J607" s="33">
        <v>13</v>
      </c>
      <c r="K607" s="56" t="s">
        <v>378</v>
      </c>
      <c r="L607" s="56" t="s">
        <v>378</v>
      </c>
      <c r="M607" s="386" t="s">
        <v>1026</v>
      </c>
      <c r="N607" s="33" t="s">
        <v>68</v>
      </c>
      <c r="O607" s="33" t="s">
        <v>11</v>
      </c>
      <c r="P607" s="33" t="s">
        <v>1</v>
      </c>
      <c r="Q607" s="47"/>
      <c r="R607" s="47"/>
      <c r="S607" s="45" t="s">
        <v>143</v>
      </c>
      <c r="T607" s="45"/>
      <c r="U607" s="37">
        <v>45268</v>
      </c>
      <c r="V607" s="38">
        <f t="shared" si="104"/>
        <v>45295</v>
      </c>
      <c r="W607" s="50">
        <f>V607-U607</f>
        <v>27</v>
      </c>
      <c r="X607" s="261">
        <f>Y607*0.91</f>
        <v>1297660</v>
      </c>
      <c r="Y607" s="260">
        <v>1426000</v>
      </c>
      <c r="Z607" s="263">
        <v>1000000</v>
      </c>
      <c r="AA607" s="56" t="s">
        <v>1250</v>
      </c>
      <c r="AB607" s="362" t="s">
        <v>1877</v>
      </c>
      <c r="AC607" s="44">
        <v>0.09</v>
      </c>
      <c r="AD607" s="62">
        <v>0.1774</v>
      </c>
      <c r="AE607" s="41">
        <f t="shared" si="108"/>
        <v>-8.7400000000000005E-2</v>
      </c>
      <c r="AF607" s="42">
        <v>8.7400000000000005E-2</v>
      </c>
      <c r="AG607" s="40">
        <f>IF((X607*AE607)&lt;0,0,(X607*AE607))</f>
        <v>0</v>
      </c>
      <c r="AH607" s="65">
        <f t="shared" si="99"/>
        <v>426000</v>
      </c>
      <c r="AI607" s="66">
        <f>AH607/X607</f>
        <v>0.32828321748377848</v>
      </c>
      <c r="AJ607" s="66">
        <f t="shared" si="100"/>
        <v>0.24088321748377847</v>
      </c>
      <c r="AK607" s="65">
        <f>AF607*X607</f>
        <v>113415.48400000001</v>
      </c>
      <c r="AL607" s="40">
        <f t="shared" si="107"/>
        <v>312584.516</v>
      </c>
      <c r="AM607" s="242">
        <f t="shared" si="105"/>
        <v>45322</v>
      </c>
      <c r="AN607" s="242" t="str">
        <f>IF(AQ607="x","",IF(AQ607="x",AM607,IF(EOMONTH(I607,0)=31,"",EOMONTH(I607,0))))</f>
        <v/>
      </c>
      <c r="AO607" s="79">
        <f>IFERROR(IF(VLOOKUP(C607,C608:C1208,1,0)=0,1,0),1)</f>
        <v>1</v>
      </c>
      <c r="AP607" s="79"/>
      <c r="AQ607" s="243" t="str">
        <f t="shared" si="101"/>
        <v/>
      </c>
      <c r="AR607" s="242" t="b">
        <f>IF(AQ607="x",EOMONTH(I607,0))</f>
        <v>0</v>
      </c>
      <c r="AS607" s="79">
        <f t="shared" si="96"/>
        <v>1</v>
      </c>
      <c r="AT607" s="79">
        <f t="shared" si="97"/>
        <v>1</v>
      </c>
      <c r="AU607" s="79" t="str">
        <f t="shared" si="98"/>
        <v>A</v>
      </c>
      <c r="AV607" s="79">
        <f t="shared" si="102"/>
        <v>1</v>
      </c>
      <c r="AW607" s="79" t="str">
        <f>J607&amp;AU607</f>
        <v>13A</v>
      </c>
      <c r="AX607" s="79">
        <f>IF(COUNTIFS(J:J,"Integral",E:E,E607,H:H,"Ativo")=4,1/4,1/10)</f>
        <v>0.1</v>
      </c>
      <c r="AY607" s="79" t="s">
        <v>1535</v>
      </c>
      <c r="AZ607" s="79" t="b">
        <v>1</v>
      </c>
    </row>
    <row r="608" spans="1:52" ht="15.75" customHeight="1">
      <c r="A608" s="54">
        <v>633</v>
      </c>
      <c r="B608" s="405">
        <v>45300</v>
      </c>
      <c r="C608" s="32" t="s">
        <v>1878</v>
      </c>
      <c r="D608" s="32" t="s">
        <v>815</v>
      </c>
      <c r="E608" s="32" t="s">
        <v>811</v>
      </c>
      <c r="F608" s="32" t="s">
        <v>1879</v>
      </c>
      <c r="G608" s="60" t="s">
        <v>243</v>
      </c>
      <c r="H608" s="33" t="s">
        <v>244</v>
      </c>
      <c r="I608" s="34">
        <v>45306</v>
      </c>
      <c r="J608" s="33">
        <v>13</v>
      </c>
      <c r="K608" s="56" t="s">
        <v>1460</v>
      </c>
      <c r="L608" s="56" t="s">
        <v>1460</v>
      </c>
      <c r="M608" s="386" t="s">
        <v>1149</v>
      </c>
      <c r="N608" s="33" t="s">
        <v>68</v>
      </c>
      <c r="O608" s="33" t="s">
        <v>12</v>
      </c>
      <c r="P608" s="33" t="s">
        <v>1</v>
      </c>
      <c r="Q608" s="47"/>
      <c r="R608" s="47"/>
      <c r="S608" s="45" t="s">
        <v>145</v>
      </c>
      <c r="T608" s="45"/>
      <c r="U608" s="37">
        <v>45292</v>
      </c>
      <c r="V608" s="38">
        <f t="shared" si="104"/>
        <v>45300</v>
      </c>
      <c r="W608" s="50">
        <f>V608-U608</f>
        <v>8</v>
      </c>
      <c r="X608" s="265">
        <f>Y608*0.91</f>
        <v>1733550</v>
      </c>
      <c r="Y608" s="67">
        <v>1905000</v>
      </c>
      <c r="Z608" s="267">
        <v>1848500</v>
      </c>
      <c r="AA608" s="35" t="s">
        <v>999</v>
      </c>
      <c r="AB608" s="362" t="s">
        <v>1880</v>
      </c>
      <c r="AC608" s="44">
        <v>0.09</v>
      </c>
      <c r="AD608" s="62">
        <v>5.8099999999999999E-2</v>
      </c>
      <c r="AE608" s="41">
        <f t="shared" si="108"/>
        <v>3.1899999999999998E-2</v>
      </c>
      <c r="AF608" s="42"/>
      <c r="AG608" s="40">
        <f>IF((X608*AE608)&lt;0,0,(X608*AE608))</f>
        <v>55300.244999999995</v>
      </c>
      <c r="AH608" s="65">
        <f t="shared" si="99"/>
        <v>56500</v>
      </c>
      <c r="AI608" s="66">
        <f>AH608/X608</f>
        <v>3.2592079836174327E-2</v>
      </c>
      <c r="AJ608" s="66">
        <f t="shared" si="100"/>
        <v>3.2592079836174327E-2</v>
      </c>
      <c r="AK608" s="65">
        <f>AF608*X608</f>
        <v>0</v>
      </c>
      <c r="AL608" s="40">
        <f t="shared" si="107"/>
        <v>56500</v>
      </c>
      <c r="AM608" s="242">
        <f t="shared" si="105"/>
        <v>45322</v>
      </c>
      <c r="AN608" s="242" t="str">
        <f>IF(AQ608="x","",IF(AQ608="x",AM608,IF(EOMONTH(I608,0)=31,"",EOMONTH(I608,0))))</f>
        <v/>
      </c>
      <c r="AO608" s="79">
        <f>IFERROR(IF(VLOOKUP(C608,C609:C1209,1,0)=0,1,0),1)</f>
        <v>1</v>
      </c>
      <c r="AP608" s="79"/>
      <c r="AQ608" s="243" t="str">
        <f t="shared" si="101"/>
        <v>x</v>
      </c>
      <c r="AR608" s="242">
        <f>IF(AQ608="x",EOMONTH(I608,0))</f>
        <v>45322</v>
      </c>
      <c r="AS608" s="79">
        <f t="shared" si="96"/>
        <v>1</v>
      </c>
      <c r="AT608" s="79">
        <f t="shared" si="97"/>
        <v>1</v>
      </c>
      <c r="AU608" s="79" t="str">
        <f t="shared" si="98"/>
        <v>A</v>
      </c>
      <c r="AV608" s="79">
        <f t="shared" si="102"/>
        <v>1</v>
      </c>
      <c r="AW608" s="79" t="str">
        <f>J608&amp;AU608</f>
        <v>13A</v>
      </c>
      <c r="AX608" s="79">
        <f>IF(COUNTIFS(J:J,"Integral",E:E,E608,H:H,"Ativo")=4,1/4,1/10)</f>
        <v>0.1</v>
      </c>
      <c r="AY608" s="79" t="s">
        <v>1535</v>
      </c>
      <c r="AZ608" s="74" t="b">
        <v>1</v>
      </c>
    </row>
    <row r="609" spans="1:52" ht="15" customHeight="1">
      <c r="A609" s="54">
        <v>634</v>
      </c>
      <c r="B609" s="405">
        <v>45300</v>
      </c>
      <c r="C609" s="32" t="s">
        <v>1283</v>
      </c>
      <c r="D609" s="32" t="s">
        <v>1881</v>
      </c>
      <c r="E609" s="32" t="s">
        <v>1268</v>
      </c>
      <c r="F609" s="32" t="s">
        <v>1882</v>
      </c>
      <c r="G609" s="60" t="s">
        <v>220</v>
      </c>
      <c r="H609" s="33" t="s">
        <v>90</v>
      </c>
      <c r="I609" s="34"/>
      <c r="J609" s="33">
        <v>6</v>
      </c>
      <c r="K609" s="56" t="s">
        <v>1165</v>
      </c>
      <c r="L609" s="56" t="s">
        <v>1603</v>
      </c>
      <c r="M609" s="386" t="s">
        <v>1026</v>
      </c>
      <c r="N609" s="33" t="s">
        <v>68</v>
      </c>
      <c r="O609" s="33" t="s">
        <v>11</v>
      </c>
      <c r="P609" s="33" t="s">
        <v>2</v>
      </c>
      <c r="Q609" s="47" t="s">
        <v>99</v>
      </c>
      <c r="R609" s="47"/>
      <c r="S609" s="45" t="s">
        <v>147</v>
      </c>
      <c r="T609" s="45"/>
      <c r="U609" s="37">
        <v>45152</v>
      </c>
      <c r="V609" s="38">
        <f t="shared" si="104"/>
        <v>45300</v>
      </c>
      <c r="W609" s="50">
        <f>V609-U609</f>
        <v>148</v>
      </c>
      <c r="X609" s="261">
        <f>Y609*0.91</f>
        <v>456820</v>
      </c>
      <c r="Y609" s="260">
        <v>502000</v>
      </c>
      <c r="Z609" s="263">
        <v>418890</v>
      </c>
      <c r="AA609" s="56"/>
      <c r="AB609" s="362" t="s">
        <v>1883</v>
      </c>
      <c r="AC609" s="44">
        <v>0.09</v>
      </c>
      <c r="AD609" s="62">
        <v>8.9800000000000005E-2</v>
      </c>
      <c r="AE609" s="41">
        <f t="shared" si="108"/>
        <v>1.9999999999999185E-4</v>
      </c>
      <c r="AF609" s="42"/>
      <c r="AG609" s="40">
        <f>IF((X609*AE609)&lt;0,0,(X609*AE609))</f>
        <v>91.363999999996281</v>
      </c>
      <c r="AH609" s="65">
        <f t="shared" si="99"/>
        <v>83110</v>
      </c>
      <c r="AI609" s="66">
        <f>AH609/X609</f>
        <v>0.18193161420253054</v>
      </c>
      <c r="AJ609" s="66">
        <f t="shared" si="100"/>
        <v>0.18193161420253054</v>
      </c>
      <c r="AK609" s="65">
        <f>AF609*X609</f>
        <v>0</v>
      </c>
      <c r="AL609" s="40">
        <f t="shared" si="107"/>
        <v>83110</v>
      </c>
      <c r="AM609" s="242">
        <f t="shared" si="105"/>
        <v>45322</v>
      </c>
      <c r="AN609" s="242" t="str">
        <f>IF(AQ609="x","",IF(AQ609="x",AM609,IF(EOMONTH(I609,0)=31,"",EOMONTH(I609,0))))</f>
        <v/>
      </c>
      <c r="AO609" s="350">
        <f>IFERROR(IF(VLOOKUP(C609,C610:C1210,1,0)=0,1,0),1)</f>
        <v>0</v>
      </c>
      <c r="AP609" s="350"/>
      <c r="AQ609" s="243" t="str">
        <f t="shared" si="101"/>
        <v/>
      </c>
      <c r="AR609" s="242" t="b">
        <f>IF(AQ609="x",EOMONTH(I609,0))</f>
        <v>0</v>
      </c>
      <c r="AS609" s="79">
        <f t="shared" si="96"/>
        <v>1</v>
      </c>
      <c r="AT609" s="79">
        <f t="shared" si="97"/>
        <v>1</v>
      </c>
      <c r="AU609" s="79" t="str">
        <f t="shared" si="98"/>
        <v>B</v>
      </c>
      <c r="AV609" s="79">
        <f t="shared" si="102"/>
        <v>1</v>
      </c>
      <c r="AW609" s="79" t="str">
        <f>J609&amp;AU609</f>
        <v>6B</v>
      </c>
      <c r="AX609" s="79">
        <f>IF(COUNTIFS(J:J,"Integral",E:E,E609,H:H,"Ativo")=4,1/4,1/10)</f>
        <v>0.1</v>
      </c>
      <c r="AY609" s="79" t="s">
        <v>1320</v>
      </c>
      <c r="AZ609" s="79" t="b">
        <v>1</v>
      </c>
    </row>
    <row r="610" spans="1:52" ht="15" customHeight="1">
      <c r="A610" s="54">
        <v>635</v>
      </c>
      <c r="B610" s="405">
        <v>45302</v>
      </c>
      <c r="C610" s="32" t="s">
        <v>1884</v>
      </c>
      <c r="D610" s="32" t="s">
        <v>1885</v>
      </c>
      <c r="E610" s="32" t="s">
        <v>1873</v>
      </c>
      <c r="F610" s="32" t="s">
        <v>1886</v>
      </c>
      <c r="G610" s="60" t="s">
        <v>220</v>
      </c>
      <c r="H610" s="33" t="s">
        <v>90</v>
      </c>
      <c r="I610" s="34"/>
      <c r="J610" s="33">
        <v>6</v>
      </c>
      <c r="K610" s="56" t="s">
        <v>1007</v>
      </c>
      <c r="L610" s="56" t="s">
        <v>1007</v>
      </c>
      <c r="M610" s="386" t="s">
        <v>1149</v>
      </c>
      <c r="N610" s="33" t="s">
        <v>68</v>
      </c>
      <c r="O610" s="33" t="s">
        <v>11</v>
      </c>
      <c r="P610" s="33" t="s">
        <v>1</v>
      </c>
      <c r="Q610" s="47"/>
      <c r="R610" s="47"/>
      <c r="S610" s="45" t="s">
        <v>147</v>
      </c>
      <c r="T610" s="45"/>
      <c r="U610" s="37">
        <v>45298</v>
      </c>
      <c r="V610" s="38">
        <f t="shared" si="104"/>
        <v>45302</v>
      </c>
      <c r="W610" s="50">
        <f>V610-U610</f>
        <v>4</v>
      </c>
      <c r="X610" s="261">
        <f>Y610*0.91</f>
        <v>418600</v>
      </c>
      <c r="Y610" s="260">
        <v>460000</v>
      </c>
      <c r="Z610" s="263">
        <v>365000</v>
      </c>
      <c r="AA610" s="56" t="s">
        <v>1205</v>
      </c>
      <c r="AB610" s="362" t="s">
        <v>1887</v>
      </c>
      <c r="AC610" s="44">
        <v>0.09</v>
      </c>
      <c r="AD610" s="62">
        <v>0.1108</v>
      </c>
      <c r="AE610" s="41">
        <f t="shared" si="108"/>
        <v>-2.0799999999999999E-2</v>
      </c>
      <c r="AF610" s="42">
        <v>2.0799999999999999E-2</v>
      </c>
      <c r="AG610" s="40">
        <f>IF((X610*AE610)&lt;0,0,(X610*AE610))</f>
        <v>0</v>
      </c>
      <c r="AH610" s="65">
        <f t="shared" si="99"/>
        <v>95000</v>
      </c>
      <c r="AI610" s="66">
        <f>AH610/X610</f>
        <v>0.22694696607740086</v>
      </c>
      <c r="AJ610" s="66">
        <f t="shared" si="100"/>
        <v>0.20614696607740085</v>
      </c>
      <c r="AK610" s="65">
        <f>AF610*X610</f>
        <v>8706.8799999999992</v>
      </c>
      <c r="AL610" s="40">
        <f t="shared" si="107"/>
        <v>86293.119999999995</v>
      </c>
      <c r="AM610" s="242">
        <f t="shared" si="105"/>
        <v>45322</v>
      </c>
      <c r="AN610" s="242" t="str">
        <f>IF(AQ610="x","",IF(AQ610="x",AM610,IF(EOMONTH(I610,0)=31,"",EOMONTH(I610,0))))</f>
        <v/>
      </c>
      <c r="AO610" s="79">
        <f>IFERROR(IF(VLOOKUP(C610,C611:C1211,1,0)=0,1,0),1)</f>
        <v>1</v>
      </c>
      <c r="AP610" s="79"/>
      <c r="AQ610" s="243" t="str">
        <f t="shared" si="101"/>
        <v/>
      </c>
      <c r="AR610" s="242" t="b">
        <f>IF(AQ610="x",EOMONTH(I610,0))</f>
        <v>0</v>
      </c>
      <c r="AS610" s="79">
        <f t="shared" si="96"/>
        <v>1</v>
      </c>
      <c r="AT610" s="79">
        <f t="shared" si="97"/>
        <v>1</v>
      </c>
      <c r="AU610" s="79" t="str">
        <f t="shared" si="98"/>
        <v>B</v>
      </c>
      <c r="AV610" s="79">
        <f t="shared" si="102"/>
        <v>1</v>
      </c>
      <c r="AW610" s="79" t="str">
        <f>J610&amp;AU610</f>
        <v>6B</v>
      </c>
      <c r="AX610" s="79">
        <f>IF(COUNTIFS(J:J,"Integral",E:E,E610,H:H,"Ativo")=4,1/4,1/10)</f>
        <v>0.1</v>
      </c>
      <c r="AY610" s="79" t="s">
        <v>1535</v>
      </c>
      <c r="AZ610" s="79" t="b">
        <v>1</v>
      </c>
    </row>
    <row r="611" spans="1:52" ht="15" customHeight="1">
      <c r="A611" s="54">
        <v>636</v>
      </c>
      <c r="B611" s="405">
        <v>45302</v>
      </c>
      <c r="C611" s="32" t="s">
        <v>1888</v>
      </c>
      <c r="D611" s="32" t="s">
        <v>1889</v>
      </c>
      <c r="E611" s="32" t="s">
        <v>1873</v>
      </c>
      <c r="F611" s="32" t="s">
        <v>1890</v>
      </c>
      <c r="G611" s="60" t="s">
        <v>220</v>
      </c>
      <c r="H611" s="33" t="s">
        <v>90</v>
      </c>
      <c r="I611" s="34"/>
      <c r="J611" s="33">
        <v>6</v>
      </c>
      <c r="K611" s="56" t="s">
        <v>1891</v>
      </c>
      <c r="L611" s="56" t="s">
        <v>1891</v>
      </c>
      <c r="M611" s="386" t="s">
        <v>1149</v>
      </c>
      <c r="N611" s="33" t="s">
        <v>68</v>
      </c>
      <c r="O611" s="33" t="s">
        <v>11</v>
      </c>
      <c r="P611" s="33" t="s">
        <v>1</v>
      </c>
      <c r="Q611" s="47"/>
      <c r="R611" s="47"/>
      <c r="S611" s="45" t="s">
        <v>143</v>
      </c>
      <c r="T611" s="45"/>
      <c r="U611" s="37">
        <v>45265</v>
      </c>
      <c r="V611" s="38">
        <f t="shared" si="104"/>
        <v>45302</v>
      </c>
      <c r="W611" s="50">
        <f>V611-U611</f>
        <v>37</v>
      </c>
      <c r="X611" s="261">
        <f>Y611*0.91</f>
        <v>418600</v>
      </c>
      <c r="Y611" s="260">
        <v>460000</v>
      </c>
      <c r="Z611" s="263">
        <v>422500</v>
      </c>
      <c r="AA611" s="56"/>
      <c r="AB611" s="362" t="s">
        <v>1892</v>
      </c>
      <c r="AC611" s="44">
        <v>0.09</v>
      </c>
      <c r="AD611" s="62">
        <v>-3.9E-2</v>
      </c>
      <c r="AE611" s="41">
        <f t="shared" si="108"/>
        <v>0.129</v>
      </c>
      <c r="AF611" s="75"/>
      <c r="AG611" s="40">
        <f>IF((X611*AE611)&lt;0,0,(X611*AE611))</f>
        <v>53999.4</v>
      </c>
      <c r="AH611" s="65">
        <f t="shared" si="99"/>
        <v>37500</v>
      </c>
      <c r="AI611" s="66">
        <f>AH611/X611</f>
        <v>8.9584328714763503E-2</v>
      </c>
      <c r="AJ611" s="66">
        <f t="shared" si="100"/>
        <v>8.9584328714763503E-2</v>
      </c>
      <c r="AK611" s="65">
        <f>AF611*X611</f>
        <v>0</v>
      </c>
      <c r="AL611" s="40">
        <f t="shared" si="107"/>
        <v>37500</v>
      </c>
      <c r="AM611" s="242">
        <f t="shared" si="105"/>
        <v>45322</v>
      </c>
      <c r="AN611" s="242" t="str">
        <f>IF(AQ611="x","",IF(AQ611="x",AM611,IF(EOMONTH(I611,0)=31,"",EOMONTH(I611,0))))</f>
        <v/>
      </c>
      <c r="AO611" s="79">
        <f>IFERROR(IF(VLOOKUP(C611,C612:C1212,1,0)=0,1,0),1)</f>
        <v>1</v>
      </c>
      <c r="AP611" s="79"/>
      <c r="AQ611" s="243" t="str">
        <f t="shared" si="101"/>
        <v/>
      </c>
      <c r="AR611" s="242" t="b">
        <f>IF(AQ611="x",EOMONTH(I611,0))</f>
        <v>0</v>
      </c>
      <c r="AS611" s="79">
        <f t="shared" si="96"/>
        <v>1</v>
      </c>
      <c r="AT611" s="79">
        <f t="shared" si="97"/>
        <v>1</v>
      </c>
      <c r="AU611" s="79" t="str">
        <f t="shared" si="98"/>
        <v>B</v>
      </c>
      <c r="AV611" s="79">
        <f t="shared" si="102"/>
        <v>1</v>
      </c>
      <c r="AW611" s="79" t="str">
        <f>J611&amp;AU611</f>
        <v>6B</v>
      </c>
      <c r="AX611" s="79">
        <f>IF(COUNTIFS(J:J,"Integral",E:E,E611,H:H,"Ativo")=4,1/4,1/10)</f>
        <v>0.1</v>
      </c>
      <c r="AY611" s="79" t="s">
        <v>1535</v>
      </c>
      <c r="AZ611" s="79" t="b">
        <v>1</v>
      </c>
    </row>
    <row r="612" spans="1:52" ht="15" customHeight="1">
      <c r="A612" s="54">
        <v>637</v>
      </c>
      <c r="B612" s="405">
        <v>45303</v>
      </c>
      <c r="C612" s="32" t="s">
        <v>1893</v>
      </c>
      <c r="D612" s="32" t="s">
        <v>1894</v>
      </c>
      <c r="E612" s="32" t="s">
        <v>1873</v>
      </c>
      <c r="F612" s="32" t="s">
        <v>1895</v>
      </c>
      <c r="G612" s="60" t="s">
        <v>243</v>
      </c>
      <c r="H612" s="33" t="s">
        <v>244</v>
      </c>
      <c r="I612" s="34">
        <v>45307</v>
      </c>
      <c r="J612" s="33">
        <v>6</v>
      </c>
      <c r="K612" s="35" t="s">
        <v>237</v>
      </c>
      <c r="L612" s="35" t="s">
        <v>237</v>
      </c>
      <c r="M612" s="386" t="s">
        <v>246</v>
      </c>
      <c r="N612" s="33" t="s">
        <v>68</v>
      </c>
      <c r="O612" s="33" t="s">
        <v>11</v>
      </c>
      <c r="P612" s="33" t="s">
        <v>1</v>
      </c>
      <c r="Q612" s="47"/>
      <c r="R612" s="47"/>
      <c r="S612" s="45" t="s">
        <v>143</v>
      </c>
      <c r="T612" s="45"/>
      <c r="U612" s="37">
        <v>45303</v>
      </c>
      <c r="V612" s="38">
        <f t="shared" si="104"/>
        <v>45303</v>
      </c>
      <c r="W612" s="50">
        <f>V612-U612</f>
        <v>0</v>
      </c>
      <c r="X612" s="265">
        <f>Y612*0.91</f>
        <v>418600</v>
      </c>
      <c r="Y612" s="260">
        <v>460000</v>
      </c>
      <c r="Z612" s="263">
        <v>431250</v>
      </c>
      <c r="AA612" s="56" t="s">
        <v>911</v>
      </c>
      <c r="AB612" s="362" t="s">
        <v>1896</v>
      </c>
      <c r="AC612" s="44">
        <v>0.09</v>
      </c>
      <c r="AD612" s="62">
        <v>0</v>
      </c>
      <c r="AE612" s="41">
        <f t="shared" si="108"/>
        <v>0.09</v>
      </c>
      <c r="AF612" s="75"/>
      <c r="AG612" s="40">
        <f>IF((X612*AE612)&lt;0,0,(X612*AE612))</f>
        <v>37674</v>
      </c>
      <c r="AH612" s="65">
        <f t="shared" si="99"/>
        <v>28750</v>
      </c>
      <c r="AI612" s="66">
        <f>AH612/X612</f>
        <v>6.8681318681318687E-2</v>
      </c>
      <c r="AJ612" s="66">
        <f t="shared" si="100"/>
        <v>6.8681318681318687E-2</v>
      </c>
      <c r="AK612" s="65">
        <f>AF612*X612</f>
        <v>0</v>
      </c>
      <c r="AL612" s="40">
        <f t="shared" si="107"/>
        <v>28750</v>
      </c>
      <c r="AM612" s="242">
        <f t="shared" si="105"/>
        <v>45322</v>
      </c>
      <c r="AN612" s="242" t="str">
        <f>IF(AQ612="x","",IF(AQ612="x",AM612,IF(EOMONTH(I612,0)=31,"",EOMONTH(I612,0))))</f>
        <v/>
      </c>
      <c r="AO612" s="79">
        <f>IFERROR(IF(VLOOKUP(C612,C613:C1213,1,0)=0,1,0),1)</f>
        <v>1</v>
      </c>
      <c r="AP612" s="79"/>
      <c r="AQ612" s="243" t="str">
        <f t="shared" si="101"/>
        <v>x</v>
      </c>
      <c r="AR612" s="242">
        <f>IF(AQ612="x",EOMONTH(I612,0))</f>
        <v>45322</v>
      </c>
      <c r="AS612" s="79">
        <f t="shared" ref="AS612:AS675" si="109">IF(AH612&lt;0,0,1)</f>
        <v>1</v>
      </c>
      <c r="AT612" s="79">
        <f t="shared" ref="AT612:AT675" si="110">IF(AL612&lt;0,0,1)</f>
        <v>1</v>
      </c>
      <c r="AU612" s="79" t="str">
        <f t="shared" ref="AU612:AU675" si="111">MID(E612,1,1)</f>
        <v>B</v>
      </c>
      <c r="AV612" s="79">
        <f t="shared" si="102"/>
        <v>1</v>
      </c>
      <c r="AW612" s="79" t="str">
        <f>J612&amp;AU612</f>
        <v>6B</v>
      </c>
      <c r="AX612" s="79">
        <f>IF(COUNTIFS(J:J,"Integral",E:E,E612,H:H,"Ativo")=4,1/4,1/10)</f>
        <v>0.1</v>
      </c>
      <c r="AY612" s="79" t="s">
        <v>1535</v>
      </c>
      <c r="AZ612" s="74" t="b">
        <v>1</v>
      </c>
    </row>
    <row r="613" spans="1:52" ht="15" customHeight="1">
      <c r="A613" s="54">
        <v>638</v>
      </c>
      <c r="B613" s="405">
        <v>45305</v>
      </c>
      <c r="C613" s="32" t="s">
        <v>1897</v>
      </c>
      <c r="D613" s="32" t="s">
        <v>1898</v>
      </c>
      <c r="E613" s="32" t="s">
        <v>1873</v>
      </c>
      <c r="F613" s="32" t="s">
        <v>1899</v>
      </c>
      <c r="G613" s="60" t="s">
        <v>220</v>
      </c>
      <c r="H613" s="33" t="s">
        <v>90</v>
      </c>
      <c r="I613" s="34"/>
      <c r="J613" s="33">
        <v>6</v>
      </c>
      <c r="K613" s="56" t="s">
        <v>981</v>
      </c>
      <c r="L613" s="56" t="s">
        <v>981</v>
      </c>
      <c r="M613" s="386" t="s">
        <v>1026</v>
      </c>
      <c r="N613" s="33" t="s">
        <v>68</v>
      </c>
      <c r="O613" s="33" t="s">
        <v>11</v>
      </c>
      <c r="P613" s="33" t="s">
        <v>2</v>
      </c>
      <c r="Q613" s="47"/>
      <c r="R613" s="47"/>
      <c r="S613" s="45" t="s">
        <v>147</v>
      </c>
      <c r="T613" s="45"/>
      <c r="U613" s="37">
        <v>45282</v>
      </c>
      <c r="V613" s="38">
        <f t="shared" si="104"/>
        <v>45305</v>
      </c>
      <c r="W613" s="50">
        <f>V613-U613</f>
        <v>23</v>
      </c>
      <c r="X613" s="261">
        <f>Y613*0.91</f>
        <v>418600</v>
      </c>
      <c r="Y613" s="260">
        <v>460000</v>
      </c>
      <c r="Z613" s="263">
        <v>415240</v>
      </c>
      <c r="AA613" s="56"/>
      <c r="AB613" s="362" t="s">
        <v>1900</v>
      </c>
      <c r="AC613" s="44">
        <v>0.09</v>
      </c>
      <c r="AD613" s="62">
        <v>0</v>
      </c>
      <c r="AE613" s="41">
        <f t="shared" si="108"/>
        <v>0.09</v>
      </c>
      <c r="AF613" s="75"/>
      <c r="AG613" s="40">
        <f>IF((X613*AE613)&lt;0,0,(X613*AE613))</f>
        <v>37674</v>
      </c>
      <c r="AH613" s="65">
        <f t="shared" si="99"/>
        <v>44760</v>
      </c>
      <c r="AI613" s="66">
        <f>AH613/X613</f>
        <v>0.10692785475394172</v>
      </c>
      <c r="AJ613" s="66">
        <f t="shared" si="100"/>
        <v>0.10692785475394172</v>
      </c>
      <c r="AK613" s="65">
        <f>AF613*X613</f>
        <v>0</v>
      </c>
      <c r="AL613" s="40">
        <f t="shared" si="107"/>
        <v>44760</v>
      </c>
      <c r="AM613" s="242">
        <f t="shared" si="105"/>
        <v>45322</v>
      </c>
      <c r="AN613" s="242" t="str">
        <f>IF(AQ613="x","",IF(AQ613="x",AM613,IF(EOMONTH(I613,0)=31,"",EOMONTH(I613,0))))</f>
        <v/>
      </c>
      <c r="AO613" s="79">
        <f>IFERROR(IF(VLOOKUP(C613,C614:C1214,1,0)=0,1,0),1)</f>
        <v>1</v>
      </c>
      <c r="AP613" s="79"/>
      <c r="AQ613" s="243" t="str">
        <f t="shared" si="101"/>
        <v/>
      </c>
      <c r="AR613" s="242" t="b">
        <f>IF(AQ613="x",EOMONTH(I613,0))</f>
        <v>0</v>
      </c>
      <c r="AS613" s="79">
        <f t="shared" si="109"/>
        <v>1</v>
      </c>
      <c r="AT613" s="79">
        <f t="shared" si="110"/>
        <v>1</v>
      </c>
      <c r="AU613" s="79" t="str">
        <f t="shared" si="111"/>
        <v>B</v>
      </c>
      <c r="AV613" s="79">
        <f t="shared" si="102"/>
        <v>1</v>
      </c>
      <c r="AW613" s="79" t="str">
        <f>J613&amp;AU613</f>
        <v>6B</v>
      </c>
      <c r="AX613" s="79">
        <f>IF(COUNTIFS(J:J,"Integral",E:E,E613,H:H,"Ativo")=4,1/4,1/10)</f>
        <v>0.1</v>
      </c>
      <c r="AY613" s="79" t="s">
        <v>1320</v>
      </c>
      <c r="AZ613" s="79" t="b">
        <v>1</v>
      </c>
    </row>
    <row r="614" spans="1:52" ht="15" customHeight="1">
      <c r="A614" s="54">
        <v>639</v>
      </c>
      <c r="B614" s="405">
        <v>45308</v>
      </c>
      <c r="C614" s="32" t="s">
        <v>1901</v>
      </c>
      <c r="D614" s="32" t="s">
        <v>1902</v>
      </c>
      <c r="E614" s="32" t="s">
        <v>1873</v>
      </c>
      <c r="F614" s="32" t="s">
        <v>1903</v>
      </c>
      <c r="G614" s="60" t="s">
        <v>220</v>
      </c>
      <c r="H614" s="33" t="s">
        <v>90</v>
      </c>
      <c r="I614" s="34"/>
      <c r="J614" s="33">
        <v>6</v>
      </c>
      <c r="K614" s="56" t="s">
        <v>1755</v>
      </c>
      <c r="L614" s="56" t="s">
        <v>1755</v>
      </c>
      <c r="M614" s="386" t="s">
        <v>1755</v>
      </c>
      <c r="N614" s="33" t="s">
        <v>73</v>
      </c>
      <c r="O614" s="33" t="s">
        <v>12</v>
      </c>
      <c r="P614" s="33" t="s">
        <v>85</v>
      </c>
      <c r="Q614" s="47" t="s">
        <v>97</v>
      </c>
      <c r="R614" s="47"/>
      <c r="S614" s="45" t="s">
        <v>147</v>
      </c>
      <c r="T614" s="45"/>
      <c r="U614" s="37">
        <v>45307</v>
      </c>
      <c r="V614" s="38">
        <f t="shared" si="104"/>
        <v>45308</v>
      </c>
      <c r="W614" s="50">
        <f>V614-U614</f>
        <v>1</v>
      </c>
      <c r="X614" s="261">
        <f>Y614*0.91</f>
        <v>418600</v>
      </c>
      <c r="Y614" s="260">
        <v>460000</v>
      </c>
      <c r="Z614" s="263">
        <v>362191.96</v>
      </c>
      <c r="AA614" s="56"/>
      <c r="AB614" s="362" t="s">
        <v>1904</v>
      </c>
      <c r="AC614" s="44">
        <v>0.09</v>
      </c>
      <c r="AD614" s="62">
        <v>0.13</v>
      </c>
      <c r="AE614" s="41">
        <f t="shared" si="108"/>
        <v>-4.0000000000000008E-2</v>
      </c>
      <c r="AF614" s="42">
        <v>0.04</v>
      </c>
      <c r="AG614" s="40">
        <f>IF((X614*AE614)&lt;0,0,(X614*AE614))</f>
        <v>0</v>
      </c>
      <c r="AH614" s="65">
        <f t="shared" ref="AH614:AH677" si="112">Y614-Z614</f>
        <v>97808.039999999979</v>
      </c>
      <c r="AI614" s="66">
        <f>AH614/X614</f>
        <v>0.23365513616817959</v>
      </c>
      <c r="AJ614" s="66">
        <f t="shared" ref="AJ614:AJ677" si="113">AI614-AF614</f>
        <v>0.19365513616817959</v>
      </c>
      <c r="AK614" s="65">
        <f>AF614*X614</f>
        <v>16744</v>
      </c>
      <c r="AL614" s="40">
        <f t="shared" si="107"/>
        <v>81064.039999999979</v>
      </c>
      <c r="AM614" s="242">
        <f t="shared" si="105"/>
        <v>45322</v>
      </c>
      <c r="AN614" s="242" t="str">
        <f>IF(AQ614="x","",IF(AQ614="x",AM614,IF(EOMONTH(I614,0)=31,"",EOMONTH(I614,0))))</f>
        <v/>
      </c>
      <c r="AO614" s="79">
        <f>IFERROR(IF(VLOOKUP(C614,C615:C1215,1,0)=0,1,0),1)</f>
        <v>1</v>
      </c>
      <c r="AP614" s="79"/>
      <c r="AQ614" s="243" t="str">
        <f t="shared" si="101"/>
        <v/>
      </c>
      <c r="AR614" s="242" t="b">
        <f>IF(AQ614="x",EOMONTH(I614,0))</f>
        <v>0</v>
      </c>
      <c r="AS614" s="79">
        <f t="shared" si="109"/>
        <v>1</v>
      </c>
      <c r="AT614" s="79">
        <f t="shared" si="110"/>
        <v>1</v>
      </c>
      <c r="AU614" s="79" t="str">
        <f t="shared" si="111"/>
        <v>B</v>
      </c>
      <c r="AV614" s="79">
        <f t="shared" si="102"/>
        <v>1</v>
      </c>
      <c r="AW614" s="79" t="str">
        <f>J614&amp;AU614</f>
        <v>6B</v>
      </c>
      <c r="AX614" s="79">
        <f>IF(COUNTIFS(J:J,"Integral",E:E,E614,H:H,"Ativo")=4,1/4,1/10)</f>
        <v>0.1</v>
      </c>
      <c r="AY614" s="79" t="s">
        <v>1320</v>
      </c>
      <c r="AZ614" s="79" t="b">
        <v>1</v>
      </c>
    </row>
    <row r="615" spans="1:52" ht="15" customHeight="1">
      <c r="A615" s="54">
        <v>640</v>
      </c>
      <c r="B615" s="405">
        <v>45313</v>
      </c>
      <c r="C615" s="32" t="s">
        <v>1905</v>
      </c>
      <c r="D615" s="32" t="s">
        <v>1906</v>
      </c>
      <c r="E615" s="32" t="s">
        <v>1907</v>
      </c>
      <c r="F615" s="32" t="s">
        <v>1908</v>
      </c>
      <c r="G615" s="60" t="s">
        <v>220</v>
      </c>
      <c r="H615" s="33" t="s">
        <v>90</v>
      </c>
      <c r="I615" s="34"/>
      <c r="J615" s="33">
        <v>52</v>
      </c>
      <c r="K615" s="56" t="s">
        <v>1154</v>
      </c>
      <c r="L615" s="56" t="s">
        <v>1154</v>
      </c>
      <c r="M615" s="386" t="s">
        <v>246</v>
      </c>
      <c r="N615" s="33" t="s">
        <v>68</v>
      </c>
      <c r="O615" s="33" t="s">
        <v>11</v>
      </c>
      <c r="P615" s="33" t="s">
        <v>86</v>
      </c>
      <c r="Q615" s="47" t="s">
        <v>98</v>
      </c>
      <c r="R615" s="47"/>
      <c r="S615" s="45" t="s">
        <v>143</v>
      </c>
      <c r="T615" s="45"/>
      <c r="U615" s="37">
        <v>45119</v>
      </c>
      <c r="V615" s="38">
        <f t="shared" si="104"/>
        <v>45313</v>
      </c>
      <c r="W615" s="50">
        <f>V615-U615</f>
        <v>194</v>
      </c>
      <c r="X615" s="261">
        <f>Y615*0.91</f>
        <v>182000</v>
      </c>
      <c r="Y615" s="260">
        <v>200000</v>
      </c>
      <c r="Z615" s="263">
        <v>200000</v>
      </c>
      <c r="AA615" s="56"/>
      <c r="AB615" s="362" t="s">
        <v>1909</v>
      </c>
      <c r="AC615" s="44">
        <v>0.09</v>
      </c>
      <c r="AD615" s="62">
        <v>0</v>
      </c>
      <c r="AE615" s="41">
        <f t="shared" si="108"/>
        <v>0.09</v>
      </c>
      <c r="AF615" s="42"/>
      <c r="AG615" s="40">
        <f>IF((X615*AE615)&lt;0,0,(X615*AE615))</f>
        <v>16380</v>
      </c>
      <c r="AH615" s="65">
        <f t="shared" si="112"/>
        <v>0</v>
      </c>
      <c r="AI615" s="66">
        <f>AH615/X615</f>
        <v>0</v>
      </c>
      <c r="AJ615" s="66">
        <f t="shared" si="113"/>
        <v>0</v>
      </c>
      <c r="AK615" s="65">
        <f>AF615*X615</f>
        <v>0</v>
      </c>
      <c r="AL615" s="40">
        <f t="shared" si="107"/>
        <v>0</v>
      </c>
      <c r="AM615" s="242">
        <f t="shared" si="105"/>
        <v>45322</v>
      </c>
      <c r="AN615" s="242" t="str">
        <f>IF(AQ615="x","",IF(AQ615="x",AM615,IF(EOMONTH(I615,0)=31,"",EOMONTH(I615,0))))</f>
        <v/>
      </c>
      <c r="AO615" s="79">
        <f>IFERROR(IF(VLOOKUP(C615,C616:C1216,1,0)=0,1,0),1)</f>
        <v>0</v>
      </c>
      <c r="AP615" s="79"/>
      <c r="AQ615" s="243" t="str">
        <f t="shared" si="101"/>
        <v/>
      </c>
      <c r="AR615" s="242" t="b">
        <f>IF(AQ615="x",EOMONTH(I615,0))</f>
        <v>0</v>
      </c>
      <c r="AS615" s="79">
        <f t="shared" si="109"/>
        <v>1</v>
      </c>
      <c r="AT615" s="79">
        <f t="shared" si="110"/>
        <v>1</v>
      </c>
      <c r="AU615" s="79" t="str">
        <f t="shared" si="111"/>
        <v>V</v>
      </c>
      <c r="AV615" s="79">
        <f t="shared" si="102"/>
        <v>1</v>
      </c>
      <c r="AW615" s="79" t="str">
        <f>J615&amp;AU615</f>
        <v>52V</v>
      </c>
      <c r="AX615" s="79">
        <f>IF(COUNTIFS(J:J,"Integral",E:E,E615,H:H,"Ativo")=4,1/4,1/10)</f>
        <v>0.1</v>
      </c>
      <c r="AY615" s="79" t="s">
        <v>1535</v>
      </c>
      <c r="AZ615" s="79" t="b">
        <v>1</v>
      </c>
    </row>
    <row r="616" spans="1:52" ht="15" customHeight="1">
      <c r="A616" s="54">
        <v>641</v>
      </c>
      <c r="B616" s="405">
        <v>45313</v>
      </c>
      <c r="C616" s="32" t="s">
        <v>1905</v>
      </c>
      <c r="D616" s="32" t="s">
        <v>1910</v>
      </c>
      <c r="E616" s="32" t="s">
        <v>1911</v>
      </c>
      <c r="F616" s="32" t="s">
        <v>1912</v>
      </c>
      <c r="G616" s="60" t="s">
        <v>220</v>
      </c>
      <c r="H616" s="33" t="s">
        <v>90</v>
      </c>
      <c r="I616" s="34"/>
      <c r="J616" s="33" t="s">
        <v>1701</v>
      </c>
      <c r="K616" s="56" t="s">
        <v>1154</v>
      </c>
      <c r="L616" s="56" t="s">
        <v>1154</v>
      </c>
      <c r="M616" s="386" t="s">
        <v>246</v>
      </c>
      <c r="N616" s="33" t="s">
        <v>68</v>
      </c>
      <c r="O616" s="33" t="s">
        <v>11</v>
      </c>
      <c r="P616" s="33" t="s">
        <v>86</v>
      </c>
      <c r="Q616" s="47" t="s">
        <v>98</v>
      </c>
      <c r="R616" s="47"/>
      <c r="S616" s="45" t="s">
        <v>143</v>
      </c>
      <c r="T616" s="45"/>
      <c r="U616" s="37">
        <v>45119</v>
      </c>
      <c r="V616" s="38">
        <f t="shared" si="104"/>
        <v>45313</v>
      </c>
      <c r="W616" s="50">
        <f>V616-U616</f>
        <v>194</v>
      </c>
      <c r="X616" s="261">
        <f>Y616*0.91</f>
        <v>2763670</v>
      </c>
      <c r="Y616" s="260">
        <v>3037000</v>
      </c>
      <c r="Z616" s="263">
        <v>2539250</v>
      </c>
      <c r="AA616" s="56"/>
      <c r="AB616" s="362" t="s">
        <v>1909</v>
      </c>
      <c r="AC616" s="44">
        <v>0.09</v>
      </c>
      <c r="AD616" s="62">
        <v>0.10539999999999999</v>
      </c>
      <c r="AE616" s="41">
        <f t="shared" si="108"/>
        <v>-1.5399999999999997E-2</v>
      </c>
      <c r="AF616" s="42">
        <v>1.54E-2</v>
      </c>
      <c r="AG616" s="40">
        <f>IF((X616*AE616)&lt;0,0,(X616*AE616))</f>
        <v>0</v>
      </c>
      <c r="AH616" s="65">
        <f t="shared" si="112"/>
        <v>497750</v>
      </c>
      <c r="AI616" s="66">
        <f>AH616/X616</f>
        <v>0.18010471583076126</v>
      </c>
      <c r="AJ616" s="66">
        <f t="shared" si="113"/>
        <v>0.16470471583076127</v>
      </c>
      <c r="AK616" s="65">
        <f>AF616*X616</f>
        <v>42560.518000000004</v>
      </c>
      <c r="AL616" s="40">
        <f>AH616-AK616</f>
        <v>455189.48200000002</v>
      </c>
      <c r="AM616" s="242">
        <f t="shared" si="105"/>
        <v>45322</v>
      </c>
      <c r="AN616" s="242" t="str">
        <f>IF(AQ616="x","",IF(AQ616="x",AM616,IF(EOMONTH(I616,0)=31,"",EOMONTH(I616,0))))</f>
        <v/>
      </c>
      <c r="AO616" s="79">
        <f>IFERROR(IF(VLOOKUP(C616,C617:C1217,1,0)=0,1,0),1)</f>
        <v>0</v>
      </c>
      <c r="AP616" s="79"/>
      <c r="AQ616" s="243" t="str">
        <f t="shared" si="101"/>
        <v/>
      </c>
      <c r="AR616" s="242" t="b">
        <f>IF(AQ616="x",EOMONTH(I616,0))</f>
        <v>0</v>
      </c>
      <c r="AS616" s="79">
        <f t="shared" si="109"/>
        <v>1</v>
      </c>
      <c r="AT616" s="79">
        <f t="shared" si="110"/>
        <v>1</v>
      </c>
      <c r="AU616" s="79" t="str">
        <f t="shared" si="111"/>
        <v>C</v>
      </c>
      <c r="AV616" s="79">
        <f t="shared" si="102"/>
        <v>1</v>
      </c>
      <c r="AW616" s="79" t="str">
        <f>J616&amp;AU616</f>
        <v>INTEGRALC</v>
      </c>
      <c r="AX616" s="79">
        <f>IF(COUNTIFS(J:J,"Integral",E:E,E616,H:H,"Ativo")=4,1/4,1/10)</f>
        <v>0.25</v>
      </c>
      <c r="AY616" s="79" t="s">
        <v>1535</v>
      </c>
      <c r="AZ616" s="79" t="b">
        <v>1</v>
      </c>
    </row>
    <row r="617" spans="1:52" ht="15" customHeight="1">
      <c r="A617" s="54">
        <v>642</v>
      </c>
      <c r="B617" s="405">
        <v>45313</v>
      </c>
      <c r="C617" s="32" t="s">
        <v>1905</v>
      </c>
      <c r="D617" s="32" t="s">
        <v>1913</v>
      </c>
      <c r="E617" s="32" t="s">
        <v>1911</v>
      </c>
      <c r="F617" s="32" t="s">
        <v>1914</v>
      </c>
      <c r="G617" s="60" t="s">
        <v>220</v>
      </c>
      <c r="H617" s="33" t="s">
        <v>90</v>
      </c>
      <c r="I617" s="34"/>
      <c r="J617" s="33" t="s">
        <v>1701</v>
      </c>
      <c r="K617" s="56" t="s">
        <v>1154</v>
      </c>
      <c r="L617" s="56" t="s">
        <v>1154</v>
      </c>
      <c r="M617" s="386" t="s">
        <v>246</v>
      </c>
      <c r="N617" s="33" t="s">
        <v>68</v>
      </c>
      <c r="O617" s="33" t="s">
        <v>11</v>
      </c>
      <c r="P617" s="33" t="s">
        <v>86</v>
      </c>
      <c r="Q617" s="47" t="s">
        <v>98</v>
      </c>
      <c r="R617" s="47"/>
      <c r="S617" s="45" t="s">
        <v>143</v>
      </c>
      <c r="T617" s="45"/>
      <c r="U617" s="37">
        <v>45119</v>
      </c>
      <c r="V617" s="38">
        <f t="shared" si="104"/>
        <v>45313</v>
      </c>
      <c r="W617" s="50">
        <f>V617-U617</f>
        <v>194</v>
      </c>
      <c r="X617" s="261">
        <f>Y617*0.91</f>
        <v>2763670</v>
      </c>
      <c r="Y617" s="260">
        <v>3037000</v>
      </c>
      <c r="Z617" s="263">
        <v>2539250</v>
      </c>
      <c r="AA617" s="56"/>
      <c r="AB617" s="362" t="s">
        <v>1909</v>
      </c>
      <c r="AC617" s="44">
        <v>0.09</v>
      </c>
      <c r="AD617" s="62">
        <v>0.10539999999999999</v>
      </c>
      <c r="AE617" s="41">
        <f t="shared" si="108"/>
        <v>-1.5399999999999997E-2</v>
      </c>
      <c r="AF617" s="42">
        <v>1.54E-2</v>
      </c>
      <c r="AG617" s="40">
        <f>IF((X617*AE617)&lt;0,0,(X617*AE617))</f>
        <v>0</v>
      </c>
      <c r="AH617" s="65">
        <f t="shared" si="112"/>
        <v>497750</v>
      </c>
      <c r="AI617" s="66">
        <f>AH617/X617</f>
        <v>0.18010471583076126</v>
      </c>
      <c r="AJ617" s="66">
        <f t="shared" si="113"/>
        <v>0.16470471583076127</v>
      </c>
      <c r="AK617" s="65">
        <f>AF617*X617</f>
        <v>42560.518000000004</v>
      </c>
      <c r="AL617" s="40">
        <f t="shared" si="107"/>
        <v>455189.48200000002</v>
      </c>
      <c r="AM617" s="242">
        <f t="shared" si="105"/>
        <v>45322</v>
      </c>
      <c r="AN617" s="242" t="str">
        <f>IF(AQ617="x","",IF(AQ617="x",AM617,IF(EOMONTH(I617,0)=31,"",EOMONTH(I617,0))))</f>
        <v/>
      </c>
      <c r="AO617" s="79">
        <f>IFERROR(IF(VLOOKUP(C617,C618:C1218,1,0)=0,1,0),1)</f>
        <v>0</v>
      </c>
      <c r="AP617" s="79"/>
      <c r="AQ617" s="243" t="str">
        <f t="shared" ref="AQ617:AQ680" si="114">IF(MID(G617,1,15)="NAO ASSINADO","x","")</f>
        <v/>
      </c>
      <c r="AR617" s="242" t="b">
        <f>IF(AQ617="x",EOMONTH(I617,0))</f>
        <v>0</v>
      </c>
      <c r="AS617" s="79">
        <f t="shared" si="109"/>
        <v>1</v>
      </c>
      <c r="AT617" s="79">
        <f t="shared" si="110"/>
        <v>1</v>
      </c>
      <c r="AU617" s="79" t="str">
        <f t="shared" si="111"/>
        <v>C</v>
      </c>
      <c r="AV617" s="79">
        <f t="shared" si="102"/>
        <v>1</v>
      </c>
      <c r="AW617" s="79" t="str">
        <f>J617&amp;AU617</f>
        <v>INTEGRALC</v>
      </c>
      <c r="AX617" s="79">
        <f>IF(COUNTIFS(J:J,"Integral",E:E,E617,H:H,"Ativo")=4,1/4,1/10)</f>
        <v>0.25</v>
      </c>
      <c r="AY617" s="79" t="s">
        <v>1535</v>
      </c>
      <c r="AZ617" s="79" t="b">
        <v>1</v>
      </c>
    </row>
    <row r="618" spans="1:52" ht="15" customHeight="1">
      <c r="A618" s="54">
        <v>643</v>
      </c>
      <c r="B618" s="405">
        <v>45313</v>
      </c>
      <c r="C618" s="32" t="s">
        <v>1905</v>
      </c>
      <c r="D618" s="32" t="s">
        <v>1915</v>
      </c>
      <c r="E618" s="32" t="s">
        <v>1911</v>
      </c>
      <c r="F618" s="32" t="s">
        <v>1916</v>
      </c>
      <c r="G618" s="60" t="s">
        <v>220</v>
      </c>
      <c r="H618" s="33" t="s">
        <v>90</v>
      </c>
      <c r="I618" s="34"/>
      <c r="J618" s="33" t="s">
        <v>1701</v>
      </c>
      <c r="K618" s="56" t="s">
        <v>1154</v>
      </c>
      <c r="L618" s="56" t="s">
        <v>1154</v>
      </c>
      <c r="M618" s="386" t="s">
        <v>246</v>
      </c>
      <c r="N618" s="33" t="s">
        <v>68</v>
      </c>
      <c r="O618" s="33" t="s">
        <v>11</v>
      </c>
      <c r="P618" s="33" t="s">
        <v>86</v>
      </c>
      <c r="Q618" s="47" t="s">
        <v>98</v>
      </c>
      <c r="R618" s="47"/>
      <c r="S618" s="45" t="s">
        <v>143</v>
      </c>
      <c r="T618" s="45"/>
      <c r="U618" s="37">
        <v>45119</v>
      </c>
      <c r="V618" s="38">
        <f t="shared" si="104"/>
        <v>45313</v>
      </c>
      <c r="W618" s="50">
        <f>V618-U618</f>
        <v>194</v>
      </c>
      <c r="X618" s="261">
        <f>Y618*0.91</f>
        <v>2763670</v>
      </c>
      <c r="Y618" s="260">
        <v>3037000</v>
      </c>
      <c r="Z618" s="263">
        <v>2539250</v>
      </c>
      <c r="AA618" s="56"/>
      <c r="AB618" s="362" t="s">
        <v>1909</v>
      </c>
      <c r="AC618" s="44">
        <v>0.09</v>
      </c>
      <c r="AD618" s="62">
        <v>0.10539999999999999</v>
      </c>
      <c r="AE618" s="41">
        <f t="shared" si="108"/>
        <v>-1.5399999999999997E-2</v>
      </c>
      <c r="AF618" s="42">
        <v>1.54E-2</v>
      </c>
      <c r="AG618" s="40">
        <f>IF((X618*AE618)&lt;0,0,(X618*AE618))</f>
        <v>0</v>
      </c>
      <c r="AH618" s="65">
        <f t="shared" si="112"/>
        <v>497750</v>
      </c>
      <c r="AI618" s="66">
        <f>AH618/X618</f>
        <v>0.18010471583076126</v>
      </c>
      <c r="AJ618" s="66">
        <f t="shared" si="113"/>
        <v>0.16470471583076127</v>
      </c>
      <c r="AK618" s="65">
        <f>AF618*X618</f>
        <v>42560.518000000004</v>
      </c>
      <c r="AL618" s="40">
        <f t="shared" si="107"/>
        <v>455189.48200000002</v>
      </c>
      <c r="AM618" s="242">
        <f t="shared" si="105"/>
        <v>45322</v>
      </c>
      <c r="AN618" s="242" t="str">
        <f>IF(AQ618="x","",IF(AQ618="x",AM618,IF(EOMONTH(I618,0)=31,"",EOMONTH(I618,0))))</f>
        <v/>
      </c>
      <c r="AO618" s="79">
        <f>IFERROR(IF(VLOOKUP(C618,C619:C1219,1,0)=0,1,0),1)</f>
        <v>0</v>
      </c>
      <c r="AP618" s="79"/>
      <c r="AQ618" s="243" t="str">
        <f t="shared" si="114"/>
        <v/>
      </c>
      <c r="AR618" s="242" t="b">
        <f>IF(AQ618="x",EOMONTH(I618,0))</f>
        <v>0</v>
      </c>
      <c r="AS618" s="79">
        <f t="shared" si="109"/>
        <v>1</v>
      </c>
      <c r="AT618" s="79">
        <f t="shared" si="110"/>
        <v>1</v>
      </c>
      <c r="AU618" s="79" t="str">
        <f t="shared" si="111"/>
        <v>C</v>
      </c>
      <c r="AV618" s="79">
        <f t="shared" si="102"/>
        <v>1</v>
      </c>
      <c r="AW618" s="79" t="str">
        <f>J618&amp;AU618</f>
        <v>INTEGRALC</v>
      </c>
      <c r="AX618" s="79">
        <f>IF(COUNTIFS(J:J,"Integral",E:E,E618,H:H,"Ativo")=4,1/4,1/10)</f>
        <v>0.25</v>
      </c>
      <c r="AY618" s="79" t="s">
        <v>1535</v>
      </c>
      <c r="AZ618" s="79" t="b">
        <v>1</v>
      </c>
    </row>
    <row r="619" spans="1:52" ht="15" customHeight="1">
      <c r="A619" s="54">
        <v>644</v>
      </c>
      <c r="B619" s="405">
        <v>45313</v>
      </c>
      <c r="C619" s="32" t="s">
        <v>1905</v>
      </c>
      <c r="D619" s="32" t="s">
        <v>1917</v>
      </c>
      <c r="E619" s="32" t="s">
        <v>1911</v>
      </c>
      <c r="F619" s="32" t="s">
        <v>1918</v>
      </c>
      <c r="G619" s="60" t="s">
        <v>220</v>
      </c>
      <c r="H619" s="33" t="s">
        <v>90</v>
      </c>
      <c r="I619" s="34"/>
      <c r="J619" s="33" t="s">
        <v>1701</v>
      </c>
      <c r="K619" s="56" t="s">
        <v>1154</v>
      </c>
      <c r="L619" s="56" t="s">
        <v>1154</v>
      </c>
      <c r="M619" s="386" t="s">
        <v>246</v>
      </c>
      <c r="N619" s="33" t="s">
        <v>68</v>
      </c>
      <c r="O619" s="33" t="s">
        <v>11</v>
      </c>
      <c r="P619" s="33" t="s">
        <v>86</v>
      </c>
      <c r="Q619" s="47" t="s">
        <v>98</v>
      </c>
      <c r="R619" s="47"/>
      <c r="S619" s="45" t="s">
        <v>143</v>
      </c>
      <c r="T619" s="45"/>
      <c r="U619" s="37">
        <v>45119</v>
      </c>
      <c r="V619" s="38">
        <f t="shared" si="104"/>
        <v>45313</v>
      </c>
      <c r="W619" s="50">
        <f>V619-U619</f>
        <v>194</v>
      </c>
      <c r="X619" s="261">
        <f>Y619*0.91</f>
        <v>2763670</v>
      </c>
      <c r="Y619" s="260">
        <v>3037000</v>
      </c>
      <c r="Z619" s="263">
        <v>2539250</v>
      </c>
      <c r="AA619" s="56"/>
      <c r="AB619" s="362" t="s">
        <v>1909</v>
      </c>
      <c r="AC619" s="44">
        <v>0.09</v>
      </c>
      <c r="AD619" s="62">
        <v>0.10539999999999999</v>
      </c>
      <c r="AE619" s="41">
        <f t="shared" si="108"/>
        <v>-1.5399999999999997E-2</v>
      </c>
      <c r="AF619" s="42">
        <v>1.54E-2</v>
      </c>
      <c r="AG619" s="40">
        <f>IF((X619*AE619)&lt;0,0,(X619*AE619))</f>
        <v>0</v>
      </c>
      <c r="AH619" s="65">
        <f t="shared" si="112"/>
        <v>497750</v>
      </c>
      <c r="AI619" s="66">
        <f>AH619/X619</f>
        <v>0.18010471583076126</v>
      </c>
      <c r="AJ619" s="66">
        <f t="shared" si="113"/>
        <v>0.16470471583076127</v>
      </c>
      <c r="AK619" s="65">
        <f>AF619*X619</f>
        <v>42560.518000000004</v>
      </c>
      <c r="AL619" s="40">
        <f t="shared" si="107"/>
        <v>455189.48200000002</v>
      </c>
      <c r="AM619" s="242">
        <f t="shared" si="105"/>
        <v>45322</v>
      </c>
      <c r="AN619" s="242" t="str">
        <f>IF(AQ619="x","",IF(AQ619="x",AM619,IF(EOMONTH(I619,0)=31,"",EOMONTH(I619,0))))</f>
        <v/>
      </c>
      <c r="AO619" s="79">
        <f>IFERROR(IF(VLOOKUP(C619,C620:C1220,1,0)=0,1,0),1)</f>
        <v>1</v>
      </c>
      <c r="AP619" s="79"/>
      <c r="AQ619" s="243" t="str">
        <f t="shared" si="114"/>
        <v/>
      </c>
      <c r="AR619" s="242" t="b">
        <f>IF(AQ619="x",EOMONTH(I619,0))</f>
        <v>0</v>
      </c>
      <c r="AS619" s="79">
        <f t="shared" si="109"/>
        <v>1</v>
      </c>
      <c r="AT619" s="79">
        <f t="shared" si="110"/>
        <v>1</v>
      </c>
      <c r="AU619" s="79" t="str">
        <f t="shared" si="111"/>
        <v>C</v>
      </c>
      <c r="AV619" s="79">
        <f t="shared" si="102"/>
        <v>1</v>
      </c>
      <c r="AW619" s="79" t="str">
        <f>J619&amp;AU619</f>
        <v>INTEGRALC</v>
      </c>
      <c r="AX619" s="79">
        <f>IF(COUNTIFS(J:J,"Integral",E:E,E619,H:H,"Ativo")=4,1/4,1/10)</f>
        <v>0.25</v>
      </c>
      <c r="AY619" s="79" t="s">
        <v>1535</v>
      </c>
      <c r="AZ619" s="79" t="b">
        <v>1</v>
      </c>
    </row>
    <row r="620" spans="1:52" ht="15" customHeight="1">
      <c r="A620" s="54">
        <v>645</v>
      </c>
      <c r="B620" s="405">
        <v>45314</v>
      </c>
      <c r="C620" s="32" t="s">
        <v>1919</v>
      </c>
      <c r="D620" s="32" t="s">
        <v>1920</v>
      </c>
      <c r="E620" s="32" t="s">
        <v>1921</v>
      </c>
      <c r="F620" s="32" t="s">
        <v>1922</v>
      </c>
      <c r="G620" s="60" t="s">
        <v>220</v>
      </c>
      <c r="H620" s="33" t="s">
        <v>90</v>
      </c>
      <c r="I620" s="34"/>
      <c r="J620" s="33">
        <v>6</v>
      </c>
      <c r="K620" s="56" t="s">
        <v>1517</v>
      </c>
      <c r="L620" s="56" t="s">
        <v>1517</v>
      </c>
      <c r="M620" s="386" t="s">
        <v>1149</v>
      </c>
      <c r="N620" s="33" t="s">
        <v>68</v>
      </c>
      <c r="O620" s="33" t="s">
        <v>10</v>
      </c>
      <c r="P620" s="33" t="s">
        <v>1</v>
      </c>
      <c r="Q620" s="47"/>
      <c r="R620" s="47"/>
      <c r="S620" s="45" t="s">
        <v>150</v>
      </c>
      <c r="T620" s="45"/>
      <c r="U620" s="37">
        <v>45281</v>
      </c>
      <c r="V620" s="38">
        <f t="shared" si="104"/>
        <v>45314</v>
      </c>
      <c r="W620" s="50">
        <f>V620-U620</f>
        <v>33</v>
      </c>
      <c r="X620" s="261">
        <f>Y620*0.91</f>
        <v>418600</v>
      </c>
      <c r="Y620" s="260">
        <v>460000</v>
      </c>
      <c r="Z620" s="263">
        <v>391000</v>
      </c>
      <c r="AA620" s="56" t="s">
        <v>1671</v>
      </c>
      <c r="AB620" s="362" t="s">
        <v>1923</v>
      </c>
      <c r="AC620" s="44">
        <v>0.09</v>
      </c>
      <c r="AD620" s="62">
        <v>-9.4999999999999998E-3</v>
      </c>
      <c r="AE620" s="41">
        <f t="shared" si="108"/>
        <v>9.9499999999999991E-2</v>
      </c>
      <c r="AF620" s="42"/>
      <c r="AG620" s="40">
        <f>IF((X620*AE620)&lt;0,0,(X620*AE620))</f>
        <v>41650.699999999997</v>
      </c>
      <c r="AH620" s="65">
        <f t="shared" si="112"/>
        <v>69000</v>
      </c>
      <c r="AI620" s="66">
        <f>AH620/X620</f>
        <v>0.16483516483516483</v>
      </c>
      <c r="AJ620" s="66">
        <f t="shared" si="113"/>
        <v>0.16483516483516483</v>
      </c>
      <c r="AK620" s="65">
        <f>AF620*X620</f>
        <v>0</v>
      </c>
      <c r="AL620" s="40">
        <f t="shared" si="107"/>
        <v>69000</v>
      </c>
      <c r="AM620" s="242">
        <f t="shared" si="105"/>
        <v>45322</v>
      </c>
      <c r="AN620" s="242" t="str">
        <f>IF(AQ620="x","",IF(AQ620="x",AM620,IF(EOMONTH(I620,0)=31,"",EOMONTH(I620,0))))</f>
        <v/>
      </c>
      <c r="AO620" s="79">
        <f>IFERROR(IF(VLOOKUP(C620,C621:C1221,1,0)=0,1,0),1)</f>
        <v>1</v>
      </c>
      <c r="AP620" s="79"/>
      <c r="AQ620" s="243" t="str">
        <f t="shared" si="114"/>
        <v/>
      </c>
      <c r="AR620" s="242" t="b">
        <f>IF(AQ620="x",EOMONTH(I620,0))</f>
        <v>0</v>
      </c>
      <c r="AS620" s="79">
        <f t="shared" si="109"/>
        <v>1</v>
      </c>
      <c r="AT620" s="79">
        <f t="shared" si="110"/>
        <v>1</v>
      </c>
      <c r="AU620" s="79" t="str">
        <f t="shared" si="111"/>
        <v>B</v>
      </c>
      <c r="AV620" s="79">
        <f t="shared" si="102"/>
        <v>1</v>
      </c>
      <c r="AW620" s="79" t="str">
        <f>J620&amp;AU620</f>
        <v>6B</v>
      </c>
      <c r="AX620" s="79">
        <f>IF(COUNTIFS(J:J,"Integral",E:E,E620,H:H,"Ativo")=4,1/4,1/10)</f>
        <v>0.1</v>
      </c>
      <c r="AY620" s="79" t="s">
        <v>1332</v>
      </c>
      <c r="AZ620" s="79" t="b">
        <v>1</v>
      </c>
    </row>
    <row r="621" spans="1:52" ht="15" customHeight="1">
      <c r="A621" s="54">
        <v>646</v>
      </c>
      <c r="B621" s="405">
        <v>45318</v>
      </c>
      <c r="C621" s="32" t="s">
        <v>1924</v>
      </c>
      <c r="D621" s="32" t="s">
        <v>815</v>
      </c>
      <c r="E621" s="32" t="s">
        <v>811</v>
      </c>
      <c r="F621" s="32" t="s">
        <v>1925</v>
      </c>
      <c r="G621" s="60" t="s">
        <v>220</v>
      </c>
      <c r="H621" s="33" t="s">
        <v>90</v>
      </c>
      <c r="I621" s="34"/>
      <c r="J621" s="33">
        <v>13</v>
      </c>
      <c r="K621" s="56" t="s">
        <v>1403</v>
      </c>
      <c r="L621" s="56" t="s">
        <v>1403</v>
      </c>
      <c r="M621" s="386" t="s">
        <v>1026</v>
      </c>
      <c r="N621" s="33" t="s">
        <v>68</v>
      </c>
      <c r="O621" s="33" t="s">
        <v>12</v>
      </c>
      <c r="P621" s="33" t="s">
        <v>1</v>
      </c>
      <c r="Q621" s="47"/>
      <c r="R621" s="47"/>
      <c r="S621" s="45" t="s">
        <v>147</v>
      </c>
      <c r="T621" s="45"/>
      <c r="U621" s="37">
        <v>45318</v>
      </c>
      <c r="V621" s="38">
        <f t="shared" si="104"/>
        <v>45318</v>
      </c>
      <c r="W621" s="50">
        <f>V621-U621</f>
        <v>0</v>
      </c>
      <c r="X621" s="261">
        <f>Y621*0.91</f>
        <v>1733550</v>
      </c>
      <c r="Y621" s="260">
        <v>1905000</v>
      </c>
      <c r="Z621" s="263">
        <v>1905000</v>
      </c>
      <c r="AA621" s="35" t="s">
        <v>999</v>
      </c>
      <c r="AB621" s="362">
        <v>0.2</v>
      </c>
      <c r="AC621" s="44">
        <v>0.09</v>
      </c>
      <c r="AD621" s="62">
        <v>3.0000000000000001E-3</v>
      </c>
      <c r="AE621" s="41">
        <f t="shared" si="108"/>
        <v>8.6999999999999994E-2</v>
      </c>
      <c r="AF621" s="42"/>
      <c r="AG621" s="40">
        <f>IF((X621*AE621)&lt;0,0,(X621*AE621))</f>
        <v>150818.84999999998</v>
      </c>
      <c r="AH621" s="65">
        <f t="shared" si="112"/>
        <v>0</v>
      </c>
      <c r="AI621" s="66">
        <f>AH621/X621</f>
        <v>0</v>
      </c>
      <c r="AJ621" s="66">
        <f t="shared" si="113"/>
        <v>0</v>
      </c>
      <c r="AK621" s="65">
        <f>AF621*X621</f>
        <v>0</v>
      </c>
      <c r="AL621" s="40">
        <f t="shared" si="107"/>
        <v>0</v>
      </c>
      <c r="AM621" s="242">
        <f t="shared" si="105"/>
        <v>45322</v>
      </c>
      <c r="AN621" s="242" t="str">
        <f>IF(AQ621="x","",IF(AQ621="x",AM621,IF(EOMONTH(I621,0)=31,"",EOMONTH(I621,0))))</f>
        <v/>
      </c>
      <c r="AO621" s="79">
        <f>IFERROR(IF(VLOOKUP(C621,C622:C1222,1,0)=0,1,0),1)</f>
        <v>1</v>
      </c>
      <c r="AP621" s="79"/>
      <c r="AQ621" s="243" t="str">
        <f t="shared" si="114"/>
        <v/>
      </c>
      <c r="AR621" s="242" t="b">
        <f>IF(AQ621="x",EOMONTH(I621,0))</f>
        <v>0</v>
      </c>
      <c r="AS621" s="79">
        <f t="shared" si="109"/>
        <v>1</v>
      </c>
      <c r="AT621" s="79">
        <f t="shared" si="110"/>
        <v>1</v>
      </c>
      <c r="AU621" s="79" t="str">
        <f t="shared" si="111"/>
        <v>A</v>
      </c>
      <c r="AV621" s="79">
        <f t="shared" si="102"/>
        <v>1</v>
      </c>
      <c r="AW621" s="79" t="str">
        <f>J621&amp;AU621</f>
        <v>13A</v>
      </c>
      <c r="AX621" s="79">
        <f>IF(COUNTIFS(J:J,"Integral",E:E,E621,H:H,"Ativo")=4,1/4,1/10)</f>
        <v>0.1</v>
      </c>
      <c r="AY621" s="79" t="s">
        <v>1320</v>
      </c>
      <c r="AZ621" s="79" t="b">
        <v>1</v>
      </c>
    </row>
    <row r="622" spans="1:52" ht="15" customHeight="1">
      <c r="A622" s="54">
        <v>647</v>
      </c>
      <c r="B622" s="405">
        <v>45319</v>
      </c>
      <c r="C622" s="32" t="s">
        <v>1926</v>
      </c>
      <c r="D622" s="32" t="s">
        <v>1927</v>
      </c>
      <c r="E622" s="32" t="s">
        <v>1928</v>
      </c>
      <c r="F622" s="32" t="s">
        <v>1929</v>
      </c>
      <c r="G622" s="60" t="s">
        <v>220</v>
      </c>
      <c r="H622" s="33" t="s">
        <v>90</v>
      </c>
      <c r="I622" s="34"/>
      <c r="J622" s="33">
        <v>6</v>
      </c>
      <c r="K622" s="56" t="s">
        <v>1154</v>
      </c>
      <c r="L622" s="56" t="s">
        <v>1154</v>
      </c>
      <c r="M622" s="386" t="s">
        <v>246</v>
      </c>
      <c r="N622" s="33" t="s">
        <v>68</v>
      </c>
      <c r="O622" s="33" t="s">
        <v>12</v>
      </c>
      <c r="P622" s="33" t="s">
        <v>1</v>
      </c>
      <c r="Q622" s="47"/>
      <c r="R622" s="47"/>
      <c r="S622" s="45" t="s">
        <v>163</v>
      </c>
      <c r="T622" s="45"/>
      <c r="U622" s="37">
        <v>45318</v>
      </c>
      <c r="V622" s="38">
        <f t="shared" si="104"/>
        <v>45319</v>
      </c>
      <c r="W622" s="50">
        <f>V622-U622</f>
        <v>1</v>
      </c>
      <c r="X622" s="261">
        <f>Y622*0.91</f>
        <v>465010</v>
      </c>
      <c r="Y622" s="260">
        <v>511000</v>
      </c>
      <c r="Z622" s="263">
        <v>498000</v>
      </c>
      <c r="AA622" s="56" t="s">
        <v>1205</v>
      </c>
      <c r="AB622" s="362" t="s">
        <v>1930</v>
      </c>
      <c r="AC622" s="44">
        <v>0.09</v>
      </c>
      <c r="AD622" s="62">
        <v>3.2199999999999999E-2</v>
      </c>
      <c r="AE622" s="41">
        <f t="shared" si="108"/>
        <v>5.7799999999999997E-2</v>
      </c>
      <c r="AF622" s="42"/>
      <c r="AG622" s="40">
        <f>IF((X622*AE622)&lt;0,0,(X622*AE622))</f>
        <v>26877.577999999998</v>
      </c>
      <c r="AH622" s="65">
        <f t="shared" si="112"/>
        <v>13000</v>
      </c>
      <c r="AI622" s="66">
        <f>AH622/X622</f>
        <v>2.7956388034665922E-2</v>
      </c>
      <c r="AJ622" s="66">
        <f t="shared" si="113"/>
        <v>2.7956388034665922E-2</v>
      </c>
      <c r="AK622" s="65">
        <f>AF622*X622</f>
        <v>0</v>
      </c>
      <c r="AL622" s="40">
        <f t="shared" si="107"/>
        <v>13000</v>
      </c>
      <c r="AM622" s="242">
        <f t="shared" si="105"/>
        <v>45322</v>
      </c>
      <c r="AN622" s="242" t="str">
        <f>IF(AQ622="x","",IF(AQ622="x",AM622,IF(EOMONTH(I622,0)=31,"",EOMONTH(I622,0))))</f>
        <v/>
      </c>
      <c r="AO622" s="79">
        <f>IFERROR(IF(VLOOKUP(C622,C623:C1223,1,0)=0,1,0),1)</f>
        <v>1</v>
      </c>
      <c r="AP622" s="79"/>
      <c r="AQ622" s="243" t="str">
        <f t="shared" si="114"/>
        <v/>
      </c>
      <c r="AR622" s="242" t="b">
        <f>IF(AQ622="x",EOMONTH(I622,0))</f>
        <v>0</v>
      </c>
      <c r="AS622" s="79">
        <f t="shared" si="109"/>
        <v>1</v>
      </c>
      <c r="AT622" s="79">
        <f t="shared" si="110"/>
        <v>1</v>
      </c>
      <c r="AU622" s="79" t="str">
        <f t="shared" si="111"/>
        <v>B</v>
      </c>
      <c r="AV622" s="79">
        <f t="shared" si="102"/>
        <v>1</v>
      </c>
      <c r="AW622" s="79" t="str">
        <f>J622&amp;AU622</f>
        <v>6B</v>
      </c>
      <c r="AX622" s="79">
        <f>IF(COUNTIFS(J:J,"Integral",E:E,E622,H:H,"Ativo")=4,1/4,1/10)</f>
        <v>0.1</v>
      </c>
      <c r="AY622" s="79" t="s">
        <v>1332</v>
      </c>
      <c r="AZ622" s="79" t="b">
        <v>1</v>
      </c>
    </row>
    <row r="623" spans="1:52" ht="15" customHeight="1">
      <c r="A623" s="54">
        <v>648</v>
      </c>
      <c r="B623" s="405">
        <v>45322</v>
      </c>
      <c r="C623" s="32" t="s">
        <v>1931</v>
      </c>
      <c r="D623" s="32" t="s">
        <v>1932</v>
      </c>
      <c r="E623" s="32" t="s">
        <v>1928</v>
      </c>
      <c r="F623" s="32" t="s">
        <v>1933</v>
      </c>
      <c r="G623" s="60" t="s">
        <v>220</v>
      </c>
      <c r="H623" s="33" t="s">
        <v>90</v>
      </c>
      <c r="I623" s="34"/>
      <c r="J623" s="33">
        <v>6</v>
      </c>
      <c r="K623" s="56" t="s">
        <v>1517</v>
      </c>
      <c r="L623" s="56" t="s">
        <v>1517</v>
      </c>
      <c r="M623" s="386" t="s">
        <v>1149</v>
      </c>
      <c r="N623" s="33" t="s">
        <v>68</v>
      </c>
      <c r="O623" s="33" t="s">
        <v>12</v>
      </c>
      <c r="P623" s="33" t="s">
        <v>1</v>
      </c>
      <c r="Q623" s="47"/>
      <c r="R623" s="47"/>
      <c r="S623" s="45" t="s">
        <v>143</v>
      </c>
      <c r="T623" s="45"/>
      <c r="U623" s="37">
        <v>45317</v>
      </c>
      <c r="V623" s="38">
        <f t="shared" si="104"/>
        <v>45322</v>
      </c>
      <c r="W623" s="50">
        <f>V623-U623</f>
        <v>5</v>
      </c>
      <c r="X623" s="261">
        <f>Y623*0.91</f>
        <v>465010</v>
      </c>
      <c r="Y623" s="260">
        <v>511000</v>
      </c>
      <c r="Z623" s="263">
        <v>450000</v>
      </c>
      <c r="AA623" s="35" t="s">
        <v>999</v>
      </c>
      <c r="AB623" s="362" t="s">
        <v>1934</v>
      </c>
      <c r="AC623" s="44">
        <v>0.09</v>
      </c>
      <c r="AD623" s="62">
        <v>5.7700000000000001E-2</v>
      </c>
      <c r="AE623" s="41">
        <f t="shared" si="108"/>
        <v>3.2299999999999995E-2</v>
      </c>
      <c r="AF623" s="42"/>
      <c r="AG623" s="40">
        <f>IF((X623*AE623)&lt;0,0,(X623*AE623))</f>
        <v>15019.822999999999</v>
      </c>
      <c r="AH623" s="65">
        <f t="shared" si="112"/>
        <v>61000</v>
      </c>
      <c r="AI623" s="66">
        <f>AH623/X623</f>
        <v>0.13117997462420164</v>
      </c>
      <c r="AJ623" s="66">
        <f t="shared" si="113"/>
        <v>0.13117997462420164</v>
      </c>
      <c r="AK623" s="65">
        <f>AF623*X623</f>
        <v>0</v>
      </c>
      <c r="AL623" s="40">
        <f t="shared" si="107"/>
        <v>61000</v>
      </c>
      <c r="AM623" s="242">
        <f t="shared" si="105"/>
        <v>45322</v>
      </c>
      <c r="AN623" s="242" t="str">
        <f>IF(AQ623="x","",IF(AQ623="x",AM623,IF(EOMONTH(I623,0)=31,"",EOMONTH(I623,0))))</f>
        <v/>
      </c>
      <c r="AO623" s="79">
        <f>IFERROR(IF(VLOOKUP(C623,C624:C1224,1,0)=0,1,0),1)</f>
        <v>1</v>
      </c>
      <c r="AP623" s="79"/>
      <c r="AQ623" s="243" t="str">
        <f t="shared" si="114"/>
        <v/>
      </c>
      <c r="AR623" s="242" t="b">
        <f>IF(AQ623="x",EOMONTH(I623,0))</f>
        <v>0</v>
      </c>
      <c r="AS623" s="79">
        <f t="shared" si="109"/>
        <v>1</v>
      </c>
      <c r="AT623" s="79">
        <f t="shared" si="110"/>
        <v>1</v>
      </c>
      <c r="AU623" s="79" t="str">
        <f t="shared" si="111"/>
        <v>B</v>
      </c>
      <c r="AV623" s="79">
        <f t="shared" si="102"/>
        <v>1</v>
      </c>
      <c r="AW623" s="79" t="str">
        <f>J623&amp;AU623</f>
        <v>6B</v>
      </c>
      <c r="AX623" s="79">
        <f>IF(COUNTIFS(J:J,"Integral",E:E,E623,H:H,"Ativo")=4,1/4,1/10)</f>
        <v>0.1</v>
      </c>
      <c r="AY623" s="79" t="s">
        <v>1320</v>
      </c>
      <c r="AZ623" s="74" t="b">
        <v>1</v>
      </c>
    </row>
    <row r="624" spans="1:52" ht="15" customHeight="1">
      <c r="A624" s="54">
        <v>649</v>
      </c>
      <c r="B624" s="405">
        <v>45324</v>
      </c>
      <c r="C624" s="32" t="s">
        <v>1935</v>
      </c>
      <c r="D624" s="32" t="s">
        <v>1936</v>
      </c>
      <c r="E624" s="32" t="s">
        <v>1921</v>
      </c>
      <c r="F624" s="32" t="s">
        <v>1937</v>
      </c>
      <c r="G624" s="60" t="s">
        <v>220</v>
      </c>
      <c r="H624" s="33" t="s">
        <v>90</v>
      </c>
      <c r="I624" s="34"/>
      <c r="J624" s="33">
        <v>6</v>
      </c>
      <c r="K624" s="56" t="s">
        <v>289</v>
      </c>
      <c r="L624" s="56" t="s">
        <v>289</v>
      </c>
      <c r="M624" s="386" t="s">
        <v>246</v>
      </c>
      <c r="N624" s="33" t="s">
        <v>68</v>
      </c>
      <c r="O624" s="33" t="s">
        <v>10</v>
      </c>
      <c r="P624" s="33" t="s">
        <v>86</v>
      </c>
      <c r="Q624" s="47" t="s">
        <v>100</v>
      </c>
      <c r="R624" s="47"/>
      <c r="S624" s="45" t="s">
        <v>143</v>
      </c>
      <c r="T624" s="45"/>
      <c r="U624" s="37">
        <v>45324</v>
      </c>
      <c r="V624" s="38">
        <f t="shared" si="104"/>
        <v>45324</v>
      </c>
      <c r="W624" s="50">
        <f>V624-U624</f>
        <v>0</v>
      </c>
      <c r="X624" s="261">
        <f>Y624*0.91</f>
        <v>418600</v>
      </c>
      <c r="Y624" s="260">
        <v>460000</v>
      </c>
      <c r="Z624" s="263">
        <v>383616</v>
      </c>
      <c r="AA624" s="56"/>
      <c r="AB624" s="362">
        <v>1</v>
      </c>
      <c r="AC624" s="44">
        <v>0.09</v>
      </c>
      <c r="AD624" s="62">
        <v>0</v>
      </c>
      <c r="AE624" s="41">
        <f t="shared" si="108"/>
        <v>0.09</v>
      </c>
      <c r="AF624" s="42"/>
      <c r="AG624" s="40">
        <f>IF((X624*AE624)&lt;0,0,(X624*AE624))</f>
        <v>37674</v>
      </c>
      <c r="AH624" s="65">
        <f t="shared" si="112"/>
        <v>76384</v>
      </c>
      <c r="AI624" s="66">
        <f>AH624/X624</f>
        <v>0.18247491638795987</v>
      </c>
      <c r="AJ624" s="66">
        <f t="shared" si="113"/>
        <v>0.18247491638795987</v>
      </c>
      <c r="AK624" s="65">
        <f>AF624*X624</f>
        <v>0</v>
      </c>
      <c r="AL624" s="40">
        <f t="shared" si="107"/>
        <v>76384</v>
      </c>
      <c r="AM624" s="242">
        <f t="shared" si="105"/>
        <v>45351</v>
      </c>
      <c r="AN624" s="242" t="str">
        <f>IF(AQ624="x","",IF(AQ624="x",AM624,IF(EOMONTH(I624,0)=31,"",EOMONTH(I624,0))))</f>
        <v/>
      </c>
      <c r="AO624" s="79">
        <f>IFERROR(IF(VLOOKUP(C624,C625:C1225,1,0)=0,1,0),1)</f>
        <v>1</v>
      </c>
      <c r="AP624" s="79"/>
      <c r="AQ624" s="243" t="str">
        <f t="shared" si="114"/>
        <v/>
      </c>
      <c r="AR624" s="242" t="b">
        <f>IF(AQ624="x",EOMONTH(I624,0))</f>
        <v>0</v>
      </c>
      <c r="AS624" s="79">
        <f t="shared" si="109"/>
        <v>1</v>
      </c>
      <c r="AT624" s="79">
        <f t="shared" si="110"/>
        <v>1</v>
      </c>
      <c r="AU624" s="79" t="str">
        <f t="shared" si="111"/>
        <v>B</v>
      </c>
      <c r="AV624" s="79">
        <f t="shared" si="102"/>
        <v>1</v>
      </c>
      <c r="AW624" s="79" t="str">
        <f>J624&amp;AU624</f>
        <v>6B</v>
      </c>
      <c r="AX624" s="79">
        <f>IF(COUNTIFS(J:J,"Integral",E:E,E624,H:H,"Ativo")=4,1/4,1/10)</f>
        <v>0.1</v>
      </c>
      <c r="AY624" s="79" t="s">
        <v>1320</v>
      </c>
      <c r="AZ624" s="79" t="b">
        <v>1</v>
      </c>
    </row>
    <row r="625" spans="1:52" ht="15" customHeight="1">
      <c r="A625" s="54">
        <v>650</v>
      </c>
      <c r="B625" s="405">
        <v>45324</v>
      </c>
      <c r="C625" s="32" t="s">
        <v>1938</v>
      </c>
      <c r="D625" s="32" t="s">
        <v>1939</v>
      </c>
      <c r="E625" s="32" t="s">
        <v>1921</v>
      </c>
      <c r="F625" s="32" t="s">
        <v>1940</v>
      </c>
      <c r="G625" s="60" t="s">
        <v>220</v>
      </c>
      <c r="H625" s="33" t="s">
        <v>90</v>
      </c>
      <c r="I625" s="34"/>
      <c r="J625" s="33">
        <v>6</v>
      </c>
      <c r="K625" s="56" t="s">
        <v>1165</v>
      </c>
      <c r="L625" s="56" t="s">
        <v>1165</v>
      </c>
      <c r="M625" s="386" t="s">
        <v>1026</v>
      </c>
      <c r="N625" s="33" t="s">
        <v>68</v>
      </c>
      <c r="O625" s="33" t="s">
        <v>10</v>
      </c>
      <c r="P625" s="33" t="s">
        <v>2</v>
      </c>
      <c r="Q625" s="47"/>
      <c r="R625" s="47"/>
      <c r="S625" s="45" t="s">
        <v>143</v>
      </c>
      <c r="T625" s="45"/>
      <c r="U625" s="37">
        <v>45312</v>
      </c>
      <c r="V625" s="38">
        <f t="shared" si="104"/>
        <v>45324</v>
      </c>
      <c r="W625" s="50">
        <f>V625-U625</f>
        <v>12</v>
      </c>
      <c r="X625" s="261">
        <f>Y625*0.91</f>
        <v>418600</v>
      </c>
      <c r="Y625" s="260">
        <v>460000</v>
      </c>
      <c r="Z625" s="263">
        <v>375000</v>
      </c>
      <c r="AA625" s="56"/>
      <c r="AB625" s="362">
        <v>1</v>
      </c>
      <c r="AC625" s="44">
        <v>0.09</v>
      </c>
      <c r="AD625" s="62">
        <v>2.2499999999999999E-2</v>
      </c>
      <c r="AE625" s="41">
        <f t="shared" si="108"/>
        <v>6.7500000000000004E-2</v>
      </c>
      <c r="AF625" s="42"/>
      <c r="AG625" s="40">
        <f>IF((X625*AE625)&lt;0,0,(X625*AE625))</f>
        <v>28255.500000000004</v>
      </c>
      <c r="AH625" s="65">
        <f t="shared" si="112"/>
        <v>85000</v>
      </c>
      <c r="AI625" s="66">
        <f>AH625/X625</f>
        <v>0.20305781175346393</v>
      </c>
      <c r="AJ625" s="66">
        <f t="shared" si="113"/>
        <v>0.20305781175346393</v>
      </c>
      <c r="AK625" s="65">
        <f>AF625*X625</f>
        <v>0</v>
      </c>
      <c r="AL625" s="40">
        <f t="shared" si="107"/>
        <v>85000</v>
      </c>
      <c r="AM625" s="242">
        <f t="shared" si="105"/>
        <v>45351</v>
      </c>
      <c r="AN625" s="242" t="str">
        <f>IF(AQ625="x","",IF(AQ625="x",AM625,IF(EOMONTH(I625,0)=31,"",EOMONTH(I625,0))))</f>
        <v/>
      </c>
      <c r="AO625" s="79">
        <f>IFERROR(IF(VLOOKUP(C625,C626:C1226,1,0)=0,1,0),1)</f>
        <v>1</v>
      </c>
      <c r="AP625" s="79"/>
      <c r="AQ625" s="243" t="str">
        <f t="shared" si="114"/>
        <v/>
      </c>
      <c r="AR625" s="242" t="b">
        <f>IF(AQ625="x",EOMONTH(I625,0))</f>
        <v>0</v>
      </c>
      <c r="AS625" s="79">
        <f t="shared" si="109"/>
        <v>1</v>
      </c>
      <c r="AT625" s="79">
        <f t="shared" si="110"/>
        <v>1</v>
      </c>
      <c r="AU625" s="79" t="str">
        <f t="shared" si="111"/>
        <v>B</v>
      </c>
      <c r="AV625" s="79">
        <f t="shared" ref="AV625:AV688" si="115">IF(AG625&lt;0,0,1)</f>
        <v>1</v>
      </c>
      <c r="AW625" s="79" t="str">
        <f>J625&amp;AU625</f>
        <v>6B</v>
      </c>
      <c r="AX625" s="79">
        <f>IF(COUNTIFS(J:J,"Integral",E:E,E625,H:H,"Ativo")=4,1/4,1/10)</f>
        <v>0.1</v>
      </c>
      <c r="AY625" s="79" t="s">
        <v>1535</v>
      </c>
      <c r="AZ625" s="79" t="b">
        <v>1</v>
      </c>
    </row>
    <row r="626" spans="1:52" ht="15" customHeight="1">
      <c r="A626" s="54">
        <v>651</v>
      </c>
      <c r="B626" s="405">
        <v>45325</v>
      </c>
      <c r="C626" s="32" t="s">
        <v>1941</v>
      </c>
      <c r="D626" s="32" t="s">
        <v>1942</v>
      </c>
      <c r="E626" s="32" t="s">
        <v>1921</v>
      </c>
      <c r="F626" s="32" t="s">
        <v>1943</v>
      </c>
      <c r="G626" s="60" t="s">
        <v>243</v>
      </c>
      <c r="H626" s="33" t="s">
        <v>244</v>
      </c>
      <c r="I626" s="34">
        <v>45353</v>
      </c>
      <c r="J626" s="33">
        <v>6</v>
      </c>
      <c r="K626" s="56" t="s">
        <v>289</v>
      </c>
      <c r="L626" s="56" t="s">
        <v>289</v>
      </c>
      <c r="M626" s="386" t="s">
        <v>246</v>
      </c>
      <c r="N626" s="33" t="s">
        <v>68</v>
      </c>
      <c r="O626" s="33" t="s">
        <v>11</v>
      </c>
      <c r="P626" s="33" t="s">
        <v>1</v>
      </c>
      <c r="Q626" s="47"/>
      <c r="R626" s="47"/>
      <c r="S626" s="45" t="s">
        <v>143</v>
      </c>
      <c r="T626" s="45"/>
      <c r="U626" s="37">
        <v>45324</v>
      </c>
      <c r="V626" s="38">
        <f t="shared" si="104"/>
        <v>45325</v>
      </c>
      <c r="W626" s="50">
        <f>V626-U626</f>
        <v>1</v>
      </c>
      <c r="X626" s="261">
        <f>Y626*0.91</f>
        <v>418600</v>
      </c>
      <c r="Y626" s="260">
        <v>460000</v>
      </c>
      <c r="Z626" s="263">
        <v>400000</v>
      </c>
      <c r="AA626" s="56" t="s">
        <v>1596</v>
      </c>
      <c r="AB626" s="362">
        <v>0.375</v>
      </c>
      <c r="AC626" s="44">
        <v>0.09</v>
      </c>
      <c r="AD626" s="62">
        <v>4.2500000000000003E-2</v>
      </c>
      <c r="AE626" s="41">
        <f t="shared" si="108"/>
        <v>4.7499999999999994E-2</v>
      </c>
      <c r="AF626" s="42"/>
      <c r="AG626" s="40">
        <f>IF((X626*AE626)&lt;0,0,(X626*AE626))</f>
        <v>19883.499999999996</v>
      </c>
      <c r="AH626" s="65">
        <f t="shared" si="112"/>
        <v>60000</v>
      </c>
      <c r="AI626" s="66">
        <f>AH626/X626</f>
        <v>0.1433349259436216</v>
      </c>
      <c r="AJ626" s="66">
        <f t="shared" si="113"/>
        <v>0.1433349259436216</v>
      </c>
      <c r="AK626" s="65">
        <f>AF626*X626</f>
        <v>0</v>
      </c>
      <c r="AL626" s="40">
        <f t="shared" si="107"/>
        <v>60000</v>
      </c>
      <c r="AM626" s="242">
        <f t="shared" si="105"/>
        <v>45351</v>
      </c>
      <c r="AN626" s="242" t="str">
        <f>IF(AQ626="x","",IF(AQ626="x",AM626,IF(EOMONTH(I626,0)=31,"",EOMONTH(I626,0))))</f>
        <v/>
      </c>
      <c r="AO626" s="79">
        <f>IFERROR(IF(VLOOKUP(C626,C627:C1227,1,0)=0,1,0),1)</f>
        <v>0</v>
      </c>
      <c r="AP626" s="79"/>
      <c r="AQ626" s="243" t="str">
        <f t="shared" si="114"/>
        <v>x</v>
      </c>
      <c r="AR626" s="242">
        <f>IF(AQ626="x",EOMONTH(I626,0))</f>
        <v>45382</v>
      </c>
      <c r="AS626" s="79">
        <f t="shared" si="109"/>
        <v>1</v>
      </c>
      <c r="AT626" s="79">
        <f t="shared" si="110"/>
        <v>1</v>
      </c>
      <c r="AU626" s="79" t="str">
        <f t="shared" si="111"/>
        <v>B</v>
      </c>
      <c r="AV626" s="79">
        <f t="shared" si="115"/>
        <v>1</v>
      </c>
      <c r="AW626" s="79" t="str">
        <f>J626&amp;AU626</f>
        <v>6B</v>
      </c>
      <c r="AX626" s="79">
        <f>IF(COUNTIFS(J:J,"Integral",E:E,E626,H:H,"Ativo")=4,1/4,1/10)</f>
        <v>0.1</v>
      </c>
      <c r="AY626" s="79" t="s">
        <v>1332</v>
      </c>
      <c r="AZ626" s="74" t="b">
        <v>1</v>
      </c>
    </row>
    <row r="627" spans="1:52" ht="15.75" customHeight="1">
      <c r="A627" s="54">
        <v>652</v>
      </c>
      <c r="B627" s="405">
        <v>45325</v>
      </c>
      <c r="C627" s="32" t="s">
        <v>1941</v>
      </c>
      <c r="D627" s="32" t="s">
        <v>1944</v>
      </c>
      <c r="E627" s="32" t="s">
        <v>1921</v>
      </c>
      <c r="F627" s="32" t="s">
        <v>1945</v>
      </c>
      <c r="G627" s="60" t="s">
        <v>243</v>
      </c>
      <c r="H627" s="33" t="s">
        <v>244</v>
      </c>
      <c r="I627" s="34">
        <v>45353</v>
      </c>
      <c r="J627" s="33">
        <v>6</v>
      </c>
      <c r="K627" s="56" t="s">
        <v>289</v>
      </c>
      <c r="L627" s="56" t="s">
        <v>289</v>
      </c>
      <c r="M627" s="386" t="s">
        <v>246</v>
      </c>
      <c r="N627" s="33" t="s">
        <v>68</v>
      </c>
      <c r="O627" s="33" t="s">
        <v>11</v>
      </c>
      <c r="P627" s="33" t="s">
        <v>1</v>
      </c>
      <c r="Q627" s="47"/>
      <c r="R627" s="47"/>
      <c r="S627" s="45" t="s">
        <v>143</v>
      </c>
      <c r="T627" s="45"/>
      <c r="U627" s="37">
        <v>45324</v>
      </c>
      <c r="V627" s="38">
        <f t="shared" si="104"/>
        <v>45325</v>
      </c>
      <c r="W627" s="50">
        <f>V627-U627</f>
        <v>1</v>
      </c>
      <c r="X627" s="261">
        <f>Y627*0.91</f>
        <v>418600</v>
      </c>
      <c r="Y627" s="260">
        <v>460000</v>
      </c>
      <c r="Z627" s="263">
        <v>400000</v>
      </c>
      <c r="AA627" s="56" t="s">
        <v>1596</v>
      </c>
      <c r="AB627" s="362">
        <v>0.375</v>
      </c>
      <c r="AC627" s="44">
        <v>0.09</v>
      </c>
      <c r="AD627" s="62">
        <v>4.2500000000000003E-2</v>
      </c>
      <c r="AE627" s="41">
        <f t="shared" si="108"/>
        <v>4.7499999999999994E-2</v>
      </c>
      <c r="AF627" s="42"/>
      <c r="AG627" s="40">
        <f>IF((X627*AE627)&lt;0,0,(X627*AE627))</f>
        <v>19883.499999999996</v>
      </c>
      <c r="AH627" s="65">
        <f t="shared" si="112"/>
        <v>60000</v>
      </c>
      <c r="AI627" s="66">
        <f>AH627/X627</f>
        <v>0.1433349259436216</v>
      </c>
      <c r="AJ627" s="66">
        <f t="shared" si="113"/>
        <v>0.1433349259436216</v>
      </c>
      <c r="AK627" s="65">
        <f>AF627*X627</f>
        <v>0</v>
      </c>
      <c r="AL627" s="40">
        <f t="shared" si="107"/>
        <v>60000</v>
      </c>
      <c r="AM627" s="242">
        <f t="shared" si="105"/>
        <v>45351</v>
      </c>
      <c r="AN627" s="242" t="str">
        <f>IF(AQ627="x","",IF(AQ627="x",AM627,IF(EOMONTH(I627,0)=31,"",EOMONTH(I627,0))))</f>
        <v/>
      </c>
      <c r="AO627" s="79">
        <f>IFERROR(IF(VLOOKUP(C627,C628:C1228,1,0)=0,1,0),1)</f>
        <v>1</v>
      </c>
      <c r="AP627" s="79"/>
      <c r="AQ627" s="243" t="str">
        <f t="shared" si="114"/>
        <v>x</v>
      </c>
      <c r="AR627" s="242">
        <f>IF(AQ627="x",EOMONTH(I627,0))</f>
        <v>45382</v>
      </c>
      <c r="AS627" s="79">
        <f t="shared" si="109"/>
        <v>1</v>
      </c>
      <c r="AT627" s="79">
        <f t="shared" si="110"/>
        <v>1</v>
      </c>
      <c r="AU627" s="79" t="str">
        <f t="shared" si="111"/>
        <v>B</v>
      </c>
      <c r="AV627" s="79">
        <f t="shared" si="115"/>
        <v>1</v>
      </c>
      <c r="AW627" s="79" t="str">
        <f>J627&amp;AU627</f>
        <v>6B</v>
      </c>
      <c r="AX627" s="79">
        <f>IF(COUNTIFS(J:J,"Integral",E:E,E627,H:H,"Ativo")=4,1/4,1/10)</f>
        <v>0.1</v>
      </c>
      <c r="AY627" s="79" t="s">
        <v>1535</v>
      </c>
      <c r="AZ627" s="74" t="b">
        <v>1</v>
      </c>
    </row>
    <row r="628" spans="1:52" ht="15.75" customHeight="1">
      <c r="A628" s="54">
        <v>653</v>
      </c>
      <c r="B628" s="405">
        <v>45325</v>
      </c>
      <c r="C628" s="32" t="s">
        <v>1946</v>
      </c>
      <c r="D628" s="32" t="s">
        <v>1947</v>
      </c>
      <c r="E628" s="32" t="s">
        <v>1928</v>
      </c>
      <c r="F628" s="32" t="s">
        <v>1948</v>
      </c>
      <c r="G628" s="60" t="s">
        <v>220</v>
      </c>
      <c r="H628" s="33" t="s">
        <v>90</v>
      </c>
      <c r="I628" s="34"/>
      <c r="J628" s="33">
        <v>6</v>
      </c>
      <c r="K628" s="56" t="s">
        <v>1603</v>
      </c>
      <c r="L628" s="56" t="s">
        <v>1513</v>
      </c>
      <c r="M628" s="386" t="s">
        <v>1026</v>
      </c>
      <c r="N628" s="33" t="s">
        <v>68</v>
      </c>
      <c r="O628" s="33" t="s">
        <v>12</v>
      </c>
      <c r="P628" s="33" t="s">
        <v>1</v>
      </c>
      <c r="Q628" s="47"/>
      <c r="R628" s="47"/>
      <c r="S628" s="45" t="s">
        <v>143</v>
      </c>
      <c r="T628" s="45"/>
      <c r="U628" s="37">
        <v>45325</v>
      </c>
      <c r="V628" s="38">
        <f t="shared" si="104"/>
        <v>45325</v>
      </c>
      <c r="W628" s="50">
        <f>V628-U628</f>
        <v>0</v>
      </c>
      <c r="X628" s="261">
        <f>Y628*0.91</f>
        <v>465920</v>
      </c>
      <c r="Y628" s="260">
        <v>512000</v>
      </c>
      <c r="Z628" s="263">
        <v>503400</v>
      </c>
      <c r="AA628" s="56"/>
      <c r="AB628" s="362" t="s">
        <v>1949</v>
      </c>
      <c r="AC628" s="44">
        <v>0.09</v>
      </c>
      <c r="AD628" s="62">
        <v>-2.9999999999999997E-4</v>
      </c>
      <c r="AE628" s="41">
        <f t="shared" si="108"/>
        <v>9.0299999999999991E-2</v>
      </c>
      <c r="AF628" s="42"/>
      <c r="AG628" s="40">
        <f>IF((X628*AE628)&lt;0,0,(X628*AE628))</f>
        <v>42072.575999999994</v>
      </c>
      <c r="AH628" s="65">
        <f t="shared" si="112"/>
        <v>8600</v>
      </c>
      <c r="AI628" s="66">
        <f>AH628/X628</f>
        <v>1.8458104395604396E-2</v>
      </c>
      <c r="AJ628" s="66">
        <f t="shared" si="113"/>
        <v>1.8458104395604396E-2</v>
      </c>
      <c r="AK628" s="65">
        <f>AF628*X628</f>
        <v>0</v>
      </c>
      <c r="AL628" s="40">
        <f t="shared" si="107"/>
        <v>8600</v>
      </c>
      <c r="AM628" s="242">
        <f t="shared" si="105"/>
        <v>45351</v>
      </c>
      <c r="AN628" s="242" t="str">
        <f>IF(AQ628="x","",IF(AQ628="x",AM628,IF(EOMONTH(I628,0)=31,"",EOMONTH(I628,0))))</f>
        <v/>
      </c>
      <c r="AO628" s="79">
        <f>IFERROR(IF(VLOOKUP(C628,C629:C1229,1,0)=0,1,0),1)</f>
        <v>1</v>
      </c>
      <c r="AP628" s="79"/>
      <c r="AQ628" s="243" t="str">
        <f t="shared" si="114"/>
        <v/>
      </c>
      <c r="AR628" s="242" t="b">
        <f>IF(AQ628="x",EOMONTH(I628,0))</f>
        <v>0</v>
      </c>
      <c r="AS628" s="79">
        <f t="shared" si="109"/>
        <v>1</v>
      </c>
      <c r="AT628" s="79">
        <f t="shared" si="110"/>
        <v>1</v>
      </c>
      <c r="AU628" s="79" t="str">
        <f t="shared" si="111"/>
        <v>B</v>
      </c>
      <c r="AV628" s="79">
        <f t="shared" si="115"/>
        <v>1</v>
      </c>
      <c r="AW628" s="79" t="str">
        <f>J628&amp;AU628</f>
        <v>6B</v>
      </c>
      <c r="AX628" s="79">
        <f>IF(COUNTIFS(J:J,"Integral",E:E,E628,H:H,"Ativo")=4,1/4,1/10)</f>
        <v>0.1</v>
      </c>
      <c r="AY628" s="79" t="s">
        <v>1320</v>
      </c>
      <c r="AZ628" s="74" t="b">
        <v>1</v>
      </c>
    </row>
    <row r="629" spans="1:52" ht="15.75" customHeight="1">
      <c r="A629" s="54">
        <v>655</v>
      </c>
      <c r="B629" s="405">
        <v>45329</v>
      </c>
      <c r="C629" s="32" t="s">
        <v>1950</v>
      </c>
      <c r="D629" s="32" t="s">
        <v>1951</v>
      </c>
      <c r="E629" s="32" t="s">
        <v>1952</v>
      </c>
      <c r="F629" s="32" t="s">
        <v>1953</v>
      </c>
      <c r="G629" s="60" t="s">
        <v>243</v>
      </c>
      <c r="H629" s="33" t="s">
        <v>244</v>
      </c>
      <c r="I629" s="34">
        <v>45363</v>
      </c>
      <c r="J629" s="33">
        <v>6</v>
      </c>
      <c r="K629" s="35" t="s">
        <v>333</v>
      </c>
      <c r="L629" s="56" t="s">
        <v>274</v>
      </c>
      <c r="M629" s="386" t="s">
        <v>246</v>
      </c>
      <c r="N629" s="33" t="s">
        <v>68</v>
      </c>
      <c r="O629" s="33" t="s">
        <v>12</v>
      </c>
      <c r="P629" s="33" t="s">
        <v>1</v>
      </c>
      <c r="Q629" s="47"/>
      <c r="R629" s="47"/>
      <c r="S629" s="45" t="s">
        <v>143</v>
      </c>
      <c r="T629" s="45"/>
      <c r="U629" s="37">
        <v>45269</v>
      </c>
      <c r="V629" s="38">
        <f t="shared" si="104"/>
        <v>45329</v>
      </c>
      <c r="W629" s="50">
        <f>V629-U629</f>
        <v>60</v>
      </c>
      <c r="X629" s="261">
        <f>ROUNDUP(Y629/(1+AC629),-3)</f>
        <v>419000</v>
      </c>
      <c r="Y629" s="260">
        <v>460000</v>
      </c>
      <c r="Z629" s="263">
        <v>459999.99</v>
      </c>
      <c r="AA629" s="56"/>
      <c r="AB629" s="362">
        <v>0.2</v>
      </c>
      <c r="AC629" s="44">
        <v>0.1</v>
      </c>
      <c r="AD629" s="62">
        <v>-1.7000000000000001E-2</v>
      </c>
      <c r="AE629" s="41">
        <f t="shared" si="108"/>
        <v>0.11700000000000001</v>
      </c>
      <c r="AF629" s="42"/>
      <c r="AG629" s="292" t="s">
        <v>1954</v>
      </c>
      <c r="AH629" s="65">
        <f t="shared" si="112"/>
        <v>1.0000000009313226E-2</v>
      </c>
      <c r="AI629" s="66">
        <f>AH629/X629</f>
        <v>2.3866348470914619E-8</v>
      </c>
      <c r="AJ629" s="66">
        <f t="shared" si="113"/>
        <v>2.3866348470914619E-8</v>
      </c>
      <c r="AK629" s="291">
        <v>0</v>
      </c>
      <c r="AL629" s="40">
        <f t="shared" si="107"/>
        <v>1.0000000009313226E-2</v>
      </c>
      <c r="AM629" s="242">
        <f t="shared" si="105"/>
        <v>45351</v>
      </c>
      <c r="AN629" s="242" t="str">
        <f>IF(AQ629="x","",IF(AQ629="x",AM629,IF(EOMONTH(I629,0)=31,"",EOMONTH(I629,0))))</f>
        <v/>
      </c>
      <c r="AO629" s="79">
        <f>IFERROR(IF(VLOOKUP(C629,C630:C1230,1,0)=0,1,0),1)</f>
        <v>1</v>
      </c>
      <c r="AP629" s="79"/>
      <c r="AQ629" s="243" t="str">
        <f t="shared" si="114"/>
        <v>x</v>
      </c>
      <c r="AR629" s="242">
        <f>IF(AQ629="x",EOMONTH(I629,0))</f>
        <v>45382</v>
      </c>
      <c r="AS629" s="79">
        <f t="shared" si="109"/>
        <v>1</v>
      </c>
      <c r="AT629" s="79">
        <f t="shared" si="110"/>
        <v>1</v>
      </c>
      <c r="AU629" s="79" t="str">
        <f t="shared" si="111"/>
        <v>B</v>
      </c>
      <c r="AV629" s="79">
        <f t="shared" si="115"/>
        <v>1</v>
      </c>
      <c r="AW629" s="79" t="str">
        <f>J629&amp;AU629</f>
        <v>6B</v>
      </c>
      <c r="AX629" s="79">
        <f>IF(COUNTIFS(J:J,"Integral",E:E,E629,H:H,"Ativo")=4,1/4,1/10)</f>
        <v>0.1</v>
      </c>
      <c r="AY629" s="79" t="s">
        <v>1320</v>
      </c>
      <c r="AZ629" s="74" t="b">
        <v>1</v>
      </c>
    </row>
    <row r="630" spans="1:52" ht="15.75" customHeight="1">
      <c r="A630" s="54">
        <v>656</v>
      </c>
      <c r="B630" s="405">
        <v>45332</v>
      </c>
      <c r="C630" s="32" t="s">
        <v>1955</v>
      </c>
      <c r="D630" s="32" t="s">
        <v>1956</v>
      </c>
      <c r="E630" s="32" t="s">
        <v>1952</v>
      </c>
      <c r="F630" s="32" t="s">
        <v>1957</v>
      </c>
      <c r="G630" s="60" t="s">
        <v>220</v>
      </c>
      <c r="H630" s="33" t="s">
        <v>90</v>
      </c>
      <c r="I630" s="34"/>
      <c r="J630" s="33">
        <v>6</v>
      </c>
      <c r="K630" s="35" t="s">
        <v>1154</v>
      </c>
      <c r="L630" s="56" t="s">
        <v>1154</v>
      </c>
      <c r="M630" s="386" t="s">
        <v>246</v>
      </c>
      <c r="N630" s="33" t="s">
        <v>68</v>
      </c>
      <c r="O630" s="33" t="s">
        <v>12</v>
      </c>
      <c r="P630" s="33" t="s">
        <v>1</v>
      </c>
      <c r="Q630" s="47"/>
      <c r="R630" s="47"/>
      <c r="S630" s="45" t="s">
        <v>143</v>
      </c>
      <c r="T630" s="45"/>
      <c r="U630" s="37">
        <v>45296</v>
      </c>
      <c r="V630" s="38">
        <f t="shared" si="104"/>
        <v>45332</v>
      </c>
      <c r="W630" s="50">
        <f>V630-U630</f>
        <v>36</v>
      </c>
      <c r="X630" s="261">
        <f>Y630*0.91</f>
        <v>418600</v>
      </c>
      <c r="Y630" s="260">
        <v>460000</v>
      </c>
      <c r="Z630" s="263">
        <v>422000</v>
      </c>
      <c r="AA630" s="56" t="s">
        <v>1958</v>
      </c>
      <c r="AB630" s="362" t="s">
        <v>1959</v>
      </c>
      <c r="AC630" s="44">
        <v>0.09</v>
      </c>
      <c r="AD630" s="62">
        <v>2.5600000000000001E-2</v>
      </c>
      <c r="AE630" s="41">
        <f t="shared" si="108"/>
        <v>6.4399999999999999E-2</v>
      </c>
      <c r="AF630" s="42"/>
      <c r="AG630" s="40">
        <f>IF((X630*AE630)&lt;0,0,(X630*AE630))</f>
        <v>26957.84</v>
      </c>
      <c r="AH630" s="65">
        <f t="shared" si="112"/>
        <v>38000</v>
      </c>
      <c r="AI630" s="66">
        <f>AH630/X630</f>
        <v>9.0778786430960351E-2</v>
      </c>
      <c r="AJ630" s="66">
        <f t="shared" si="113"/>
        <v>9.0778786430960351E-2</v>
      </c>
      <c r="AK630" s="65">
        <f>AF630*X630</f>
        <v>0</v>
      </c>
      <c r="AL630" s="40">
        <f t="shared" si="107"/>
        <v>38000</v>
      </c>
      <c r="AM630" s="242">
        <f t="shared" si="105"/>
        <v>45351</v>
      </c>
      <c r="AN630" s="242" t="str">
        <f>IF(AQ630="x","",IF(AQ630="x",AM630,IF(EOMONTH(I630,0)=31,"",EOMONTH(I630,0))))</f>
        <v/>
      </c>
      <c r="AO630" s="79">
        <f>IFERROR(IF(VLOOKUP(C630,C631:C1231,1,0)=0,1,0),1)</f>
        <v>1</v>
      </c>
      <c r="AP630" s="79"/>
      <c r="AQ630" s="243" t="str">
        <f t="shared" si="114"/>
        <v/>
      </c>
      <c r="AR630" s="242" t="b">
        <f>IF(AQ630="x",EOMONTH(I630,0))</f>
        <v>0</v>
      </c>
      <c r="AS630" s="79">
        <f t="shared" si="109"/>
        <v>1</v>
      </c>
      <c r="AT630" s="79">
        <f t="shared" si="110"/>
        <v>1</v>
      </c>
      <c r="AU630" s="79" t="str">
        <f t="shared" si="111"/>
        <v>B</v>
      </c>
      <c r="AV630" s="79">
        <f t="shared" si="115"/>
        <v>1</v>
      </c>
      <c r="AW630" s="79" t="str">
        <f>J630&amp;AU630</f>
        <v>6B</v>
      </c>
      <c r="AX630" s="79">
        <f>IF(COUNTIFS(J:J,"Integral",E:E,E630,H:H,"Ativo")=4,1/4,1/10)</f>
        <v>0.1</v>
      </c>
      <c r="AY630" s="79" t="s">
        <v>1535</v>
      </c>
      <c r="AZ630" s="79" t="b">
        <v>1</v>
      </c>
    </row>
    <row r="631" spans="1:52" ht="15.75" customHeight="1">
      <c r="A631" s="54">
        <v>657</v>
      </c>
      <c r="B631" s="405">
        <v>45337</v>
      </c>
      <c r="C631" s="32" t="s">
        <v>1960</v>
      </c>
      <c r="D631" s="32" t="s">
        <v>1961</v>
      </c>
      <c r="E631" s="32" t="s">
        <v>1163</v>
      </c>
      <c r="F631" s="32" t="s">
        <v>1962</v>
      </c>
      <c r="G631" s="60" t="s">
        <v>220</v>
      </c>
      <c r="H631" s="33" t="s">
        <v>90</v>
      </c>
      <c r="I631" s="34"/>
      <c r="J631" s="33">
        <v>6</v>
      </c>
      <c r="K631" s="35" t="s">
        <v>1165</v>
      </c>
      <c r="L631" s="56" t="s">
        <v>1165</v>
      </c>
      <c r="M631" s="386" t="s">
        <v>1026</v>
      </c>
      <c r="N631" s="33" t="s">
        <v>68</v>
      </c>
      <c r="O631" s="33" t="s">
        <v>12</v>
      </c>
      <c r="P631" s="33" t="s">
        <v>2</v>
      </c>
      <c r="Q631" s="47"/>
      <c r="R631" s="47"/>
      <c r="S631" s="45" t="s">
        <v>143</v>
      </c>
      <c r="T631" s="45"/>
      <c r="U631" s="37">
        <v>44980</v>
      </c>
      <c r="V631" s="38">
        <f t="shared" si="104"/>
        <v>45337</v>
      </c>
      <c r="W631" s="50">
        <f>V631-U631</f>
        <v>357</v>
      </c>
      <c r="X631" s="261">
        <f>Y631*0.91</f>
        <v>387660</v>
      </c>
      <c r="Y631" s="260">
        <v>426000</v>
      </c>
      <c r="Z631" s="263">
        <v>398520</v>
      </c>
      <c r="AA631" s="56"/>
      <c r="AB631" s="362" t="s">
        <v>1963</v>
      </c>
      <c r="AC631" s="44">
        <v>0.09</v>
      </c>
      <c r="AD631" s="62">
        <v>0.03</v>
      </c>
      <c r="AE631" s="41">
        <f t="shared" si="108"/>
        <v>0.06</v>
      </c>
      <c r="AF631" s="42"/>
      <c r="AG631" s="40">
        <f>IF((X631*AE631)&lt;0,0,(X631*AE631))</f>
        <v>23259.599999999999</v>
      </c>
      <c r="AH631" s="65">
        <f t="shared" si="112"/>
        <v>27480</v>
      </c>
      <c r="AI631" s="66">
        <f>AH631/X631</f>
        <v>7.0886859619253992E-2</v>
      </c>
      <c r="AJ631" s="66">
        <f t="shared" si="113"/>
        <v>7.0886859619253992E-2</v>
      </c>
      <c r="AK631" s="65">
        <f>AF631*X631</f>
        <v>0</v>
      </c>
      <c r="AL631" s="40">
        <f t="shared" si="107"/>
        <v>27480</v>
      </c>
      <c r="AM631" s="242">
        <f t="shared" si="105"/>
        <v>45351</v>
      </c>
      <c r="AN631" s="242" t="str">
        <f>IF(AQ631="x","",IF(AQ631="x",AM631,IF(EOMONTH(I631,0)=31,"",EOMONTH(I631,0))))</f>
        <v/>
      </c>
      <c r="AO631" s="79">
        <f>IFERROR(IF(VLOOKUP(C631,C632:C1232,1,0)=0,1,0),1)</f>
        <v>1</v>
      </c>
      <c r="AP631" s="79"/>
      <c r="AQ631" s="243" t="str">
        <f t="shared" si="114"/>
        <v/>
      </c>
      <c r="AR631" s="242" t="b">
        <f>IF(AQ631="x",EOMONTH(I631,0))</f>
        <v>0</v>
      </c>
      <c r="AS631" s="79">
        <f t="shared" si="109"/>
        <v>1</v>
      </c>
      <c r="AT631" s="79">
        <f t="shared" si="110"/>
        <v>1</v>
      </c>
      <c r="AU631" s="79" t="str">
        <f t="shared" si="111"/>
        <v>B</v>
      </c>
      <c r="AV631" s="79">
        <f t="shared" si="115"/>
        <v>1</v>
      </c>
      <c r="AW631" s="79" t="str">
        <f>J631&amp;AU631</f>
        <v>6B</v>
      </c>
      <c r="AX631" s="79">
        <f>IF(COUNTIFS(J:J,"Integral",E:E,E631,H:H,"Ativo")=4,1/4,1/10)</f>
        <v>0.1</v>
      </c>
      <c r="AY631" s="79" t="s">
        <v>1535</v>
      </c>
      <c r="AZ631" s="79" t="b">
        <v>1</v>
      </c>
    </row>
    <row r="632" spans="1:52" ht="15.75" customHeight="1">
      <c r="A632" s="54">
        <v>658</v>
      </c>
      <c r="B632" s="405">
        <v>45339</v>
      </c>
      <c r="C632" s="32" t="s">
        <v>1964</v>
      </c>
      <c r="D632" s="32" t="s">
        <v>1965</v>
      </c>
      <c r="E632" s="32" t="s">
        <v>1952</v>
      </c>
      <c r="F632" s="32" t="s">
        <v>1966</v>
      </c>
      <c r="G632" s="60" t="s">
        <v>220</v>
      </c>
      <c r="H632" s="33" t="s">
        <v>90</v>
      </c>
      <c r="I632" s="34"/>
      <c r="J632" s="33">
        <v>6</v>
      </c>
      <c r="K632" s="35" t="s">
        <v>1755</v>
      </c>
      <c r="L632" s="56" t="s">
        <v>1755</v>
      </c>
      <c r="M632" s="386" t="s">
        <v>1755</v>
      </c>
      <c r="N632" s="33" t="s">
        <v>73</v>
      </c>
      <c r="O632" s="33" t="s">
        <v>12</v>
      </c>
      <c r="P632" s="33" t="s">
        <v>85</v>
      </c>
      <c r="Q632" s="47"/>
      <c r="R632" s="47"/>
      <c r="S632" s="45" t="s">
        <v>145</v>
      </c>
      <c r="T632" s="45"/>
      <c r="U632" s="37">
        <v>45339</v>
      </c>
      <c r="V632" s="38">
        <f t="shared" si="104"/>
        <v>45339</v>
      </c>
      <c r="W632" s="50">
        <f>V632-U632</f>
        <v>0</v>
      </c>
      <c r="X632" s="261">
        <f>Y632*0.91</f>
        <v>418600</v>
      </c>
      <c r="Y632" s="260">
        <v>460000</v>
      </c>
      <c r="Z632" s="263">
        <v>471904.23</v>
      </c>
      <c r="AA632" s="56"/>
      <c r="AB632" s="362" t="s">
        <v>1967</v>
      </c>
      <c r="AC632" s="44">
        <v>0.09</v>
      </c>
      <c r="AD632" s="62">
        <v>0</v>
      </c>
      <c r="AE632" s="41">
        <f t="shared" ref="AE632:AE663" si="116">AC632-AD632</f>
        <v>0.09</v>
      </c>
      <c r="AF632" s="42"/>
      <c r="AG632" s="40">
        <f>IF((X632*AE632)&lt;0,0,(X632*AE632))</f>
        <v>37674</v>
      </c>
      <c r="AH632" s="65">
        <f t="shared" si="112"/>
        <v>-11904.229999999981</v>
      </c>
      <c r="AI632" s="66">
        <f>AH632/X632</f>
        <v>-2.8438198757763929E-2</v>
      </c>
      <c r="AJ632" s="66">
        <f t="shared" si="113"/>
        <v>-2.8438198757763929E-2</v>
      </c>
      <c r="AK632" s="65">
        <f>AF632*X632</f>
        <v>0</v>
      </c>
      <c r="AL632" s="40">
        <f t="shared" si="107"/>
        <v>-11904.229999999981</v>
      </c>
      <c r="AM632" s="242">
        <f t="shared" si="105"/>
        <v>45351</v>
      </c>
      <c r="AN632" s="242" t="str">
        <f>IF(AQ632="x","",IF(AQ632="x",AM632,IF(EOMONTH(I632,0)=31,"",EOMONTH(I632,0))))</f>
        <v/>
      </c>
      <c r="AO632" s="79">
        <f>IFERROR(IF(VLOOKUP(C632,C633:C1233,1,0)=0,1,0),1)</f>
        <v>1</v>
      </c>
      <c r="AP632" s="79"/>
      <c r="AQ632" s="243" t="str">
        <f t="shared" si="114"/>
        <v/>
      </c>
      <c r="AR632" s="242" t="b">
        <f>IF(AQ632="x",EOMONTH(I632,0))</f>
        <v>0</v>
      </c>
      <c r="AS632" s="79">
        <f t="shared" si="109"/>
        <v>0</v>
      </c>
      <c r="AT632" s="79">
        <f t="shared" si="110"/>
        <v>0</v>
      </c>
      <c r="AU632" s="79" t="str">
        <f t="shared" si="111"/>
        <v>B</v>
      </c>
      <c r="AV632" s="79">
        <f t="shared" si="115"/>
        <v>1</v>
      </c>
      <c r="AW632" s="79" t="str">
        <f>J632&amp;AU632</f>
        <v>6B</v>
      </c>
      <c r="AX632" s="79">
        <f>IF(COUNTIFS(J:J,"Integral",E:E,E632,H:H,"Ativo")=4,1/4,1/10)</f>
        <v>0.1</v>
      </c>
      <c r="AY632" s="79" t="s">
        <v>1320</v>
      </c>
      <c r="AZ632" s="79" t="b">
        <v>1</v>
      </c>
    </row>
    <row r="633" spans="1:52" ht="15.75" customHeight="1">
      <c r="A633" s="54">
        <v>659</v>
      </c>
      <c r="B633" s="405">
        <v>45340</v>
      </c>
      <c r="C633" s="32" t="s">
        <v>1968</v>
      </c>
      <c r="D633" s="32" t="s">
        <v>1969</v>
      </c>
      <c r="E633" s="32" t="s">
        <v>949</v>
      </c>
      <c r="F633" s="32" t="s">
        <v>1970</v>
      </c>
      <c r="G633" s="60" t="s">
        <v>220</v>
      </c>
      <c r="H633" s="33" t="s">
        <v>90</v>
      </c>
      <c r="I633" s="34"/>
      <c r="J633" s="33">
        <v>6</v>
      </c>
      <c r="K633" s="35" t="s">
        <v>1460</v>
      </c>
      <c r="L633" s="56" t="s">
        <v>1460</v>
      </c>
      <c r="M633" s="386" t="s">
        <v>1149</v>
      </c>
      <c r="N633" s="33" t="s">
        <v>68</v>
      </c>
      <c r="O633" s="33" t="s">
        <v>11</v>
      </c>
      <c r="P633" s="33" t="s">
        <v>1</v>
      </c>
      <c r="Q633" s="47"/>
      <c r="R633" s="47"/>
      <c r="S633" s="45" t="s">
        <v>145</v>
      </c>
      <c r="T633" s="45"/>
      <c r="U633" s="37">
        <v>45340</v>
      </c>
      <c r="V633" s="38">
        <f t="shared" si="104"/>
        <v>45340</v>
      </c>
      <c r="W633" s="50">
        <f>V633-U633</f>
        <v>0</v>
      </c>
      <c r="X633" s="261">
        <f>Y633*0.91</f>
        <v>418600</v>
      </c>
      <c r="Y633" s="260">
        <v>460000</v>
      </c>
      <c r="Z633" s="263">
        <v>387800</v>
      </c>
      <c r="AA633" s="56"/>
      <c r="AB633" s="362" t="s">
        <v>1971</v>
      </c>
      <c r="AC633" s="44">
        <v>0.09</v>
      </c>
      <c r="AD633" s="62">
        <v>2.8899999999999999E-2</v>
      </c>
      <c r="AE633" s="41">
        <f t="shared" si="116"/>
        <v>6.1100000000000002E-2</v>
      </c>
      <c r="AF633" s="42"/>
      <c r="AG633" s="40">
        <f>IF((X633*AE633)&lt;0,0,(X633*AE633))</f>
        <v>25576.46</v>
      </c>
      <c r="AH633" s="65">
        <f t="shared" si="112"/>
        <v>72200</v>
      </c>
      <c r="AI633" s="66">
        <f>AH633/X633</f>
        <v>0.17247969421882464</v>
      </c>
      <c r="AJ633" s="66">
        <f t="shared" si="113"/>
        <v>0.17247969421882464</v>
      </c>
      <c r="AK633" s="65">
        <f>AF633*X633</f>
        <v>0</v>
      </c>
      <c r="AL633" s="40">
        <f t="shared" si="107"/>
        <v>72200</v>
      </c>
      <c r="AM633" s="242">
        <f t="shared" si="105"/>
        <v>45351</v>
      </c>
      <c r="AN633" s="242" t="str">
        <f>IF(AQ633="x","",IF(AQ633="x",AM633,IF(EOMONTH(I633,0)=31,"",EOMONTH(I633,0))))</f>
        <v/>
      </c>
      <c r="AO633" s="79">
        <f>IFERROR(IF(VLOOKUP(C633,C634:C1234,1,0)=0,1,0),1)</f>
        <v>1</v>
      </c>
      <c r="AP633" s="79"/>
      <c r="AQ633" s="243" t="str">
        <f t="shared" si="114"/>
        <v/>
      </c>
      <c r="AR633" s="242" t="b">
        <f>IF(AQ633="x",EOMONTH(I633,0))</f>
        <v>0</v>
      </c>
      <c r="AS633" s="79">
        <f t="shared" si="109"/>
        <v>1</v>
      </c>
      <c r="AT633" s="79">
        <f t="shared" si="110"/>
        <v>1</v>
      </c>
      <c r="AU633" s="79" t="str">
        <f t="shared" si="111"/>
        <v>B</v>
      </c>
      <c r="AV633" s="79">
        <f t="shared" si="115"/>
        <v>1</v>
      </c>
      <c r="AW633" s="79" t="str">
        <f>J633&amp;AU633</f>
        <v>6B</v>
      </c>
      <c r="AX633" s="79">
        <f>IF(COUNTIFS(J:J,"Integral",E:E,E633,H:H,"Ativo")=4,1/4,1/10)</f>
        <v>0.1</v>
      </c>
      <c r="AY633" s="79" t="s">
        <v>1535</v>
      </c>
      <c r="AZ633" s="79" t="b">
        <v>1</v>
      </c>
    </row>
    <row r="634" spans="1:52" ht="15.75" customHeight="1">
      <c r="A634" s="54">
        <v>660</v>
      </c>
      <c r="B634" s="405">
        <v>45343</v>
      </c>
      <c r="C634" s="32" t="s">
        <v>1972</v>
      </c>
      <c r="D634" s="32" t="s">
        <v>1973</v>
      </c>
      <c r="E634" s="32" t="s">
        <v>1952</v>
      </c>
      <c r="F634" s="32" t="s">
        <v>1974</v>
      </c>
      <c r="G634" s="60" t="s">
        <v>220</v>
      </c>
      <c r="H634" s="33" t="s">
        <v>90</v>
      </c>
      <c r="I634" s="34"/>
      <c r="J634" s="33">
        <v>6</v>
      </c>
      <c r="K634" s="35" t="s">
        <v>1604</v>
      </c>
      <c r="L634" s="56" t="s">
        <v>1604</v>
      </c>
      <c r="M634" s="386" t="s">
        <v>246</v>
      </c>
      <c r="N634" s="33" t="s">
        <v>68</v>
      </c>
      <c r="O634" s="33" t="s">
        <v>12</v>
      </c>
      <c r="P634" s="33" t="s">
        <v>2</v>
      </c>
      <c r="Q634" s="47"/>
      <c r="R634" s="47"/>
      <c r="S634" s="45" t="s">
        <v>160</v>
      </c>
      <c r="T634" s="45"/>
      <c r="U634" s="37">
        <v>45339</v>
      </c>
      <c r="V634" s="38">
        <f t="shared" si="104"/>
        <v>45343</v>
      </c>
      <c r="W634" s="50">
        <f>V634-U634</f>
        <v>4</v>
      </c>
      <c r="X634" s="261">
        <f>Y634*0.91</f>
        <v>418600</v>
      </c>
      <c r="Y634" s="260">
        <v>460000</v>
      </c>
      <c r="Z634" s="263">
        <v>460000</v>
      </c>
      <c r="AA634" s="56"/>
      <c r="AB634" s="362">
        <v>0.2</v>
      </c>
      <c r="AC634" s="44">
        <v>0.09</v>
      </c>
      <c r="AD634" s="62">
        <v>6.0000000000000001E-3</v>
      </c>
      <c r="AE634" s="41">
        <f t="shared" si="116"/>
        <v>8.3999999999999991E-2</v>
      </c>
      <c r="AF634" s="42"/>
      <c r="AG634" s="40">
        <f>IF((X634*AE634)&lt;0,0,(X634*AE634))</f>
        <v>35162.399999999994</v>
      </c>
      <c r="AH634" s="65">
        <f t="shared" si="112"/>
        <v>0</v>
      </c>
      <c r="AI634" s="66">
        <f>AH634/X634</f>
        <v>0</v>
      </c>
      <c r="AJ634" s="66">
        <f t="shared" si="113"/>
        <v>0</v>
      </c>
      <c r="AK634" s="65">
        <f>AF634*X634</f>
        <v>0</v>
      </c>
      <c r="AL634" s="40">
        <f t="shared" si="107"/>
        <v>0</v>
      </c>
      <c r="AM634" s="242">
        <f t="shared" si="105"/>
        <v>45351</v>
      </c>
      <c r="AN634" s="242" t="str">
        <f>IF(AQ634="x","",IF(AQ634="x",AM634,IF(EOMONTH(I634,0)=31,"",EOMONTH(I634,0))))</f>
        <v/>
      </c>
      <c r="AO634" s="79">
        <f>IFERROR(IF(VLOOKUP(C634,C635:C1235,1,0)=0,1,0),1)</f>
        <v>1</v>
      </c>
      <c r="AP634" s="79"/>
      <c r="AQ634" s="243" t="str">
        <f t="shared" si="114"/>
        <v/>
      </c>
      <c r="AR634" s="242" t="b">
        <f>IF(AQ634="x",EOMONTH(I634,0))</f>
        <v>0</v>
      </c>
      <c r="AS634" s="79">
        <f t="shared" si="109"/>
        <v>1</v>
      </c>
      <c r="AT634" s="79">
        <f t="shared" si="110"/>
        <v>1</v>
      </c>
      <c r="AU634" s="79" t="str">
        <f t="shared" si="111"/>
        <v>B</v>
      </c>
      <c r="AV634" s="79">
        <f t="shared" si="115"/>
        <v>1</v>
      </c>
      <c r="AW634" s="79" t="str">
        <f>J634&amp;AU634</f>
        <v>6B</v>
      </c>
      <c r="AX634" s="79">
        <f>IF(COUNTIFS(J:J,"Integral",E:E,E634,H:H,"Ativo")=4,1/4,1/10)</f>
        <v>0.1</v>
      </c>
      <c r="AY634" s="79" t="s">
        <v>1320</v>
      </c>
      <c r="AZ634" s="79" t="b">
        <v>1</v>
      </c>
    </row>
    <row r="635" spans="1:52" ht="15.75" customHeight="1">
      <c r="A635" s="54">
        <v>661</v>
      </c>
      <c r="B635" s="405">
        <v>45344</v>
      </c>
      <c r="C635" s="32" t="s">
        <v>1975</v>
      </c>
      <c r="D635" s="32" t="s">
        <v>1976</v>
      </c>
      <c r="E635" s="32" t="s">
        <v>949</v>
      </c>
      <c r="F635" s="32" t="s">
        <v>1977</v>
      </c>
      <c r="G635" s="60" t="s">
        <v>220</v>
      </c>
      <c r="H635" s="33" t="s">
        <v>244</v>
      </c>
      <c r="I635" s="34">
        <v>45685</v>
      </c>
      <c r="J635" s="33">
        <v>6</v>
      </c>
      <c r="K635" s="35" t="s">
        <v>237</v>
      </c>
      <c r="L635" s="35" t="s">
        <v>237</v>
      </c>
      <c r="M635" s="386" t="s">
        <v>246</v>
      </c>
      <c r="N635" s="33" t="s">
        <v>68</v>
      </c>
      <c r="O635" s="33" t="s">
        <v>12</v>
      </c>
      <c r="P635" s="33" t="s">
        <v>1</v>
      </c>
      <c r="Q635" s="47"/>
      <c r="R635" s="47"/>
      <c r="S635" s="45" t="s">
        <v>143</v>
      </c>
      <c r="T635" s="45"/>
      <c r="U635" s="37">
        <v>45335</v>
      </c>
      <c r="V635" s="38">
        <f t="shared" si="104"/>
        <v>45344</v>
      </c>
      <c r="W635" s="50">
        <f>V635-U635</f>
        <v>9</v>
      </c>
      <c r="X635" s="261">
        <f>Y635*0.91</f>
        <v>418600</v>
      </c>
      <c r="Y635" s="260">
        <v>460000</v>
      </c>
      <c r="Z635" s="263">
        <v>460000</v>
      </c>
      <c r="AA635" s="56"/>
      <c r="AB635" s="362">
        <v>0.2</v>
      </c>
      <c r="AC635" s="44">
        <v>0.09</v>
      </c>
      <c r="AD635" s="62">
        <v>1.06E-2</v>
      </c>
      <c r="AE635" s="41">
        <f t="shared" si="116"/>
        <v>7.9399999999999998E-2</v>
      </c>
      <c r="AF635" s="42"/>
      <c r="AG635" s="40">
        <f>IF((X635*AE635)&lt;0,0,(X635*AE635))</f>
        <v>33236.839999999997</v>
      </c>
      <c r="AH635" s="65">
        <f t="shared" si="112"/>
        <v>0</v>
      </c>
      <c r="AI635" s="66">
        <f>AH635/X635</f>
        <v>0</v>
      </c>
      <c r="AJ635" s="66">
        <f t="shared" si="113"/>
        <v>0</v>
      </c>
      <c r="AK635" s="65">
        <f>AF635*X635</f>
        <v>0</v>
      </c>
      <c r="AL635" s="40">
        <f t="shared" si="107"/>
        <v>0</v>
      </c>
      <c r="AM635" s="242">
        <f t="shared" si="105"/>
        <v>45351</v>
      </c>
      <c r="AN635" s="242">
        <f>IF(AQ635="x","",IF(AQ635="x",AM635,IF(EOMONTH(I635,0)=31,"",EOMONTH(I635,0))))</f>
        <v>45688</v>
      </c>
      <c r="AO635" s="79">
        <f>IFERROR(IF(VLOOKUP(C635,C636:C1236,1,0)=0,1,0),1)</f>
        <v>1</v>
      </c>
      <c r="AP635" s="79"/>
      <c r="AQ635" s="243" t="str">
        <f t="shared" si="114"/>
        <v/>
      </c>
      <c r="AR635" s="242" t="b">
        <f>IF(AQ635="x",EOMONTH(I635,0))</f>
        <v>0</v>
      </c>
      <c r="AS635" s="79">
        <f t="shared" si="109"/>
        <v>1</v>
      </c>
      <c r="AT635" s="79">
        <f t="shared" si="110"/>
        <v>1</v>
      </c>
      <c r="AU635" s="79" t="str">
        <f t="shared" si="111"/>
        <v>B</v>
      </c>
      <c r="AV635" s="79">
        <f t="shared" si="115"/>
        <v>1</v>
      </c>
      <c r="AW635" s="79" t="str">
        <f>J635&amp;AU635</f>
        <v>6B</v>
      </c>
      <c r="AX635" s="79">
        <f>IF(COUNTIFS(J:J,"Integral",E:E,E635,H:H,"Ativo")=4,1/4,1/10)</f>
        <v>0.1</v>
      </c>
      <c r="AY635" s="79" t="s">
        <v>1535</v>
      </c>
      <c r="AZ635" s="74" t="b">
        <v>1</v>
      </c>
    </row>
    <row r="636" spans="1:52" ht="15.75" customHeight="1">
      <c r="A636" s="54">
        <v>662</v>
      </c>
      <c r="B636" s="405">
        <v>45346</v>
      </c>
      <c r="C636" s="32" t="s">
        <v>1978</v>
      </c>
      <c r="D636" s="32" t="s">
        <v>299</v>
      </c>
      <c r="E636" s="32" t="s">
        <v>300</v>
      </c>
      <c r="F636" s="32" t="s">
        <v>1979</v>
      </c>
      <c r="G636" s="60" t="s">
        <v>220</v>
      </c>
      <c r="H636" s="33" t="s">
        <v>90</v>
      </c>
      <c r="I636" s="34"/>
      <c r="J636" s="33">
        <v>6</v>
      </c>
      <c r="K636" s="56" t="s">
        <v>289</v>
      </c>
      <c r="L636" s="56" t="s">
        <v>289</v>
      </c>
      <c r="M636" s="386" t="s">
        <v>246</v>
      </c>
      <c r="N636" s="33" t="s">
        <v>68</v>
      </c>
      <c r="O636" s="33" t="s">
        <v>12</v>
      </c>
      <c r="P636" s="33" t="s">
        <v>86</v>
      </c>
      <c r="Q636" s="47" t="s">
        <v>100</v>
      </c>
      <c r="R636" s="47"/>
      <c r="S636" s="45" t="s">
        <v>143</v>
      </c>
      <c r="T636" s="45"/>
      <c r="U636" s="37">
        <v>45346</v>
      </c>
      <c r="V636" s="38">
        <f t="shared" si="104"/>
        <v>45346</v>
      </c>
      <c r="W636" s="50">
        <f>V636-U636</f>
        <v>0</v>
      </c>
      <c r="X636" s="261">
        <f>Y636</f>
        <v>426000</v>
      </c>
      <c r="Y636" s="260">
        <v>426000</v>
      </c>
      <c r="Z636" s="263">
        <v>363944</v>
      </c>
      <c r="AA636" s="56"/>
      <c r="AB636" s="362" t="s">
        <v>1980</v>
      </c>
      <c r="AC636" s="44">
        <v>0.09</v>
      </c>
      <c r="AD636" s="62">
        <v>0.15690000000000001</v>
      </c>
      <c r="AE636" s="41">
        <f t="shared" si="116"/>
        <v>-6.6900000000000015E-2</v>
      </c>
      <c r="AF636" s="42">
        <v>6.6900000000000001E-2</v>
      </c>
      <c r="AG636" s="40">
        <f>IF((X636*AE636)&lt;0,0,(X636*AE636))</f>
        <v>0</v>
      </c>
      <c r="AH636" s="65">
        <f t="shared" si="112"/>
        <v>62056</v>
      </c>
      <c r="AI636" s="66">
        <f>AH636/X636</f>
        <v>0.14567136150234741</v>
      </c>
      <c r="AJ636" s="66">
        <f t="shared" si="113"/>
        <v>7.8771361502347412E-2</v>
      </c>
      <c r="AK636" s="65">
        <f>AF636*X636</f>
        <v>28499.4</v>
      </c>
      <c r="AL636" s="40">
        <f t="shared" si="107"/>
        <v>33556.6</v>
      </c>
      <c r="AM636" s="242">
        <f t="shared" si="105"/>
        <v>45351</v>
      </c>
      <c r="AN636" s="242" t="str">
        <f>IF(AQ636="x","",IF(AQ636="x",AM636,IF(EOMONTH(I636,0)=31,"",EOMONTH(I636,0))))</f>
        <v/>
      </c>
      <c r="AO636" s="79">
        <f>IFERROR(IF(VLOOKUP(C636,C637:C1237,1,0)=0,1,0),1)</f>
        <v>1</v>
      </c>
      <c r="AP636" s="79"/>
      <c r="AQ636" s="243" t="str">
        <f t="shared" si="114"/>
        <v/>
      </c>
      <c r="AR636" s="242" t="b">
        <f>IF(AQ636="x",EOMONTH(I636,0))</f>
        <v>0</v>
      </c>
      <c r="AS636" s="79">
        <f t="shared" si="109"/>
        <v>1</v>
      </c>
      <c r="AT636" s="79">
        <f t="shared" si="110"/>
        <v>1</v>
      </c>
      <c r="AU636" s="79" t="str">
        <f t="shared" si="111"/>
        <v>B</v>
      </c>
      <c r="AV636" s="79">
        <f t="shared" si="115"/>
        <v>1</v>
      </c>
      <c r="AW636" s="79" t="str">
        <f>J636&amp;AU636</f>
        <v>6B</v>
      </c>
      <c r="AX636" s="79">
        <f>IF(COUNTIFS(J:J,"Integral",E:E,E636,H:H,"Ativo")=4,1/4,1/10)</f>
        <v>0.1</v>
      </c>
      <c r="AY636" s="79" t="s">
        <v>1320</v>
      </c>
      <c r="AZ636" s="79" t="b">
        <v>1</v>
      </c>
    </row>
    <row r="637" spans="1:52" ht="15.75" customHeight="1">
      <c r="A637" s="54">
        <v>663</v>
      </c>
      <c r="B637" s="405">
        <v>45351</v>
      </c>
      <c r="C637" s="32" t="s">
        <v>1981</v>
      </c>
      <c r="D637" s="32" t="s">
        <v>1982</v>
      </c>
      <c r="E637" s="32" t="s">
        <v>949</v>
      </c>
      <c r="F637" s="32" t="s">
        <v>1983</v>
      </c>
      <c r="G637" s="60" t="s">
        <v>220</v>
      </c>
      <c r="H637" s="33" t="s">
        <v>90</v>
      </c>
      <c r="I637" s="34"/>
      <c r="J637" s="33">
        <v>6</v>
      </c>
      <c r="K637" s="56" t="s">
        <v>1755</v>
      </c>
      <c r="L637" s="56" t="s">
        <v>1755</v>
      </c>
      <c r="M637" s="386" t="s">
        <v>1755</v>
      </c>
      <c r="N637" s="33" t="s">
        <v>73</v>
      </c>
      <c r="O637" s="33" t="s">
        <v>10</v>
      </c>
      <c r="P637" s="33" t="s">
        <v>85</v>
      </c>
      <c r="Q637" s="47"/>
      <c r="R637" s="47"/>
      <c r="S637" s="45" t="s">
        <v>143</v>
      </c>
      <c r="T637" s="45"/>
      <c r="U637" s="37">
        <v>45351</v>
      </c>
      <c r="V637" s="38">
        <f t="shared" si="104"/>
        <v>45351</v>
      </c>
      <c r="W637" s="50">
        <f>V637-U637</f>
        <v>0</v>
      </c>
      <c r="X637" s="261">
        <f>Y637*0.91</f>
        <v>418600</v>
      </c>
      <c r="Y637" s="260">
        <v>460000</v>
      </c>
      <c r="Z637" s="263">
        <v>317400</v>
      </c>
      <c r="AA637" s="56"/>
      <c r="AB637" s="362">
        <v>1</v>
      </c>
      <c r="AC637" s="44">
        <v>0.09</v>
      </c>
      <c r="AD637" s="62">
        <v>0.1792</v>
      </c>
      <c r="AE637" s="41">
        <f t="shared" si="116"/>
        <v>-8.9200000000000002E-2</v>
      </c>
      <c r="AF637" s="42">
        <v>8.9200000000000002E-2</v>
      </c>
      <c r="AG637" s="40">
        <f>IF((X637*AE637)&lt;0,0,(X637*AE637))</f>
        <v>0</v>
      </c>
      <c r="AH637" s="65">
        <f t="shared" si="112"/>
        <v>142600</v>
      </c>
      <c r="AI637" s="66">
        <f>AH637/X637</f>
        <v>0.34065934065934067</v>
      </c>
      <c r="AJ637" s="66">
        <f t="shared" si="113"/>
        <v>0.25145934065934067</v>
      </c>
      <c r="AK637" s="65">
        <f>AF637*X637</f>
        <v>37339.120000000003</v>
      </c>
      <c r="AL637" s="40">
        <f t="shared" si="107"/>
        <v>105260.88</v>
      </c>
      <c r="AM637" s="242">
        <f t="shared" si="105"/>
        <v>45351</v>
      </c>
      <c r="AN637" s="242" t="str">
        <f>IF(AQ637="x","",IF(AQ637="x",AM637,IF(EOMONTH(I637,0)=31,"",EOMONTH(I637,0))))</f>
        <v/>
      </c>
      <c r="AO637" s="350">
        <v>1</v>
      </c>
      <c r="AP637" s="350"/>
      <c r="AQ637" s="243" t="str">
        <f t="shared" si="114"/>
        <v/>
      </c>
      <c r="AR637" s="242" t="b">
        <f>IF(AQ637="x",EOMONTH(I637,0))</f>
        <v>0</v>
      </c>
      <c r="AS637" s="79">
        <f t="shared" si="109"/>
        <v>1</v>
      </c>
      <c r="AT637" s="79">
        <f t="shared" si="110"/>
        <v>1</v>
      </c>
      <c r="AU637" s="79" t="str">
        <f t="shared" si="111"/>
        <v>B</v>
      </c>
      <c r="AV637" s="79">
        <f t="shared" si="115"/>
        <v>1</v>
      </c>
      <c r="AW637" s="79" t="str">
        <f>J637&amp;AU637</f>
        <v>6B</v>
      </c>
      <c r="AX637" s="79">
        <f>IF(COUNTIFS(J:J,"Integral",E:E,E637,H:H,"Ativo")=4,1/4,1/10)</f>
        <v>0.1</v>
      </c>
      <c r="AY637" s="79" t="s">
        <v>1535</v>
      </c>
      <c r="AZ637" s="74" t="b">
        <v>1</v>
      </c>
    </row>
    <row r="638" spans="1:52" ht="15.75" customHeight="1">
      <c r="A638" s="54">
        <v>664</v>
      </c>
      <c r="B638" s="405">
        <v>45351</v>
      </c>
      <c r="C638" s="32" t="s">
        <v>1984</v>
      </c>
      <c r="D638" s="32" t="s">
        <v>664</v>
      </c>
      <c r="E638" s="32" t="s">
        <v>547</v>
      </c>
      <c r="F638" s="32" t="s">
        <v>1985</v>
      </c>
      <c r="G638" s="60" t="s">
        <v>220</v>
      </c>
      <c r="H638" s="33" t="s">
        <v>244</v>
      </c>
      <c r="I638" s="34">
        <v>45505</v>
      </c>
      <c r="J638" s="33">
        <v>6</v>
      </c>
      <c r="K638" s="35" t="s">
        <v>333</v>
      </c>
      <c r="L638" s="35" t="s">
        <v>333</v>
      </c>
      <c r="M638" s="386" t="s">
        <v>246</v>
      </c>
      <c r="N638" s="33" t="s">
        <v>68</v>
      </c>
      <c r="O638" s="33" t="s">
        <v>12</v>
      </c>
      <c r="P638" s="33" t="s">
        <v>1</v>
      </c>
      <c r="Q638" s="47"/>
      <c r="R638" s="47"/>
      <c r="S638" s="45" t="s">
        <v>145</v>
      </c>
      <c r="T638" s="45"/>
      <c r="U638" s="37">
        <v>45107</v>
      </c>
      <c r="V638" s="38">
        <f t="shared" si="104"/>
        <v>45351</v>
      </c>
      <c r="W638" s="50">
        <f>V638-U638</f>
        <v>244</v>
      </c>
      <c r="X638" s="261">
        <f>Y638*0.91</f>
        <v>387660</v>
      </c>
      <c r="Y638" s="260">
        <v>426000</v>
      </c>
      <c r="Z638" s="263">
        <v>390000</v>
      </c>
      <c r="AA638" s="35" t="s">
        <v>999</v>
      </c>
      <c r="AB638" s="362">
        <v>0.1</v>
      </c>
      <c r="AC638" s="44">
        <v>0.09</v>
      </c>
      <c r="AD638" s="62">
        <v>0.12330000000000001</v>
      </c>
      <c r="AE638" s="41">
        <f t="shared" si="116"/>
        <v>-3.330000000000001E-2</v>
      </c>
      <c r="AF638" s="42">
        <v>3.3300000000000003E-2</v>
      </c>
      <c r="AG638" s="40">
        <f>IF((X638*AE638)&lt;0,0,(X638*AE638))</f>
        <v>0</v>
      </c>
      <c r="AH638" s="65">
        <f t="shared" si="112"/>
        <v>36000</v>
      </c>
      <c r="AI638" s="66">
        <f>AH638/X638</f>
        <v>9.2864881597275961E-2</v>
      </c>
      <c r="AJ638" s="66">
        <f t="shared" si="113"/>
        <v>5.9564881597275958E-2</v>
      </c>
      <c r="AK638" s="65">
        <f>AF638*X638</f>
        <v>12909.078000000001</v>
      </c>
      <c r="AL638" s="40">
        <f t="shared" si="107"/>
        <v>23090.921999999999</v>
      </c>
      <c r="AM638" s="76">
        <f t="shared" si="105"/>
        <v>45351</v>
      </c>
      <c r="AN638" s="76">
        <f>IF(AQ638="x","",IF(AQ638="x",AM638,IF(EOMONTH(I638,0)=31,"",EOMONTH(I638,0))))</f>
        <v>45535</v>
      </c>
      <c r="AO638" s="74">
        <f>IFERROR(IF(VLOOKUP(C638,C639:C1239,1,0)=0,1,0),1)</f>
        <v>1</v>
      </c>
      <c r="AP638" s="74"/>
      <c r="AQ638" s="77" t="str">
        <f t="shared" si="114"/>
        <v/>
      </c>
      <c r="AR638" s="76" t="b">
        <f>IF(AQ638="x",EOMONTH(I638,0))</f>
        <v>0</v>
      </c>
      <c r="AS638" s="74">
        <f t="shared" si="109"/>
        <v>1</v>
      </c>
      <c r="AT638" s="74">
        <f t="shared" si="110"/>
        <v>1</v>
      </c>
      <c r="AU638" s="74" t="str">
        <f t="shared" si="111"/>
        <v>B</v>
      </c>
      <c r="AV638" s="74">
        <f t="shared" si="115"/>
        <v>1</v>
      </c>
      <c r="AW638" s="74" t="str">
        <f>J638&amp;AU638</f>
        <v>6B</v>
      </c>
      <c r="AX638" s="74">
        <f>IF(COUNTIFS(J:J,"Integral",E:E,E638,H:H,"Ativo")=4,1/4,1/10)</f>
        <v>0.1</v>
      </c>
      <c r="AY638" s="79" t="s">
        <v>1320</v>
      </c>
      <c r="AZ638" s="74" t="b">
        <v>1</v>
      </c>
    </row>
    <row r="639" spans="1:52" ht="15.75" customHeight="1">
      <c r="A639" s="54">
        <v>665</v>
      </c>
      <c r="B639" s="405">
        <v>45352</v>
      </c>
      <c r="C639" s="32" t="s">
        <v>1986</v>
      </c>
      <c r="D639" s="32" t="s">
        <v>696</v>
      </c>
      <c r="E639" s="32" t="s">
        <v>547</v>
      </c>
      <c r="F639" s="32" t="s">
        <v>1987</v>
      </c>
      <c r="G639" s="60" t="s">
        <v>220</v>
      </c>
      <c r="H639" s="33" t="s">
        <v>90</v>
      </c>
      <c r="I639" s="34"/>
      <c r="J639" s="33">
        <v>6</v>
      </c>
      <c r="K639" s="35" t="s">
        <v>1101</v>
      </c>
      <c r="L639" s="35" t="s">
        <v>1101</v>
      </c>
      <c r="M639" s="386" t="s">
        <v>1026</v>
      </c>
      <c r="N639" s="33" t="s">
        <v>68</v>
      </c>
      <c r="O639" s="33" t="s">
        <v>10</v>
      </c>
      <c r="P639" s="33" t="s">
        <v>1</v>
      </c>
      <c r="Q639" s="47"/>
      <c r="R639" s="47"/>
      <c r="S639" s="45" t="s">
        <v>145</v>
      </c>
      <c r="T639" s="45"/>
      <c r="U639" s="37">
        <v>45344</v>
      </c>
      <c r="V639" s="38">
        <f t="shared" si="104"/>
        <v>45352</v>
      </c>
      <c r="W639" s="50">
        <f>V639-U639</f>
        <v>8</v>
      </c>
      <c r="X639" s="261">
        <f>ROUNDUP(Y639/(1+AC639),-3)</f>
        <v>388000</v>
      </c>
      <c r="Y639" s="260">
        <v>426000</v>
      </c>
      <c r="Z639" s="263">
        <v>250000</v>
      </c>
      <c r="AA639" s="35" t="s">
        <v>999</v>
      </c>
      <c r="AB639" s="362">
        <v>1</v>
      </c>
      <c r="AC639" s="44">
        <v>0.1</v>
      </c>
      <c r="AD639" s="62">
        <v>0.28000000000000003</v>
      </c>
      <c r="AE639" s="41">
        <f t="shared" si="116"/>
        <v>-0.18000000000000002</v>
      </c>
      <c r="AF639" s="42">
        <f>-AE639</f>
        <v>0.18000000000000002</v>
      </c>
      <c r="AG639" s="289">
        <f>IF((X639*AE639)&lt;0,0,(X639*AE639))</f>
        <v>0</v>
      </c>
      <c r="AH639" s="65">
        <f t="shared" si="112"/>
        <v>176000</v>
      </c>
      <c r="AI639" s="66">
        <f>AH639/X639</f>
        <v>0.45360824742268041</v>
      </c>
      <c r="AJ639" s="66">
        <f t="shared" si="113"/>
        <v>0.27360824742268042</v>
      </c>
      <c r="AK639" s="291">
        <v>65627.94</v>
      </c>
      <c r="AL639" s="40">
        <f t="shared" si="107"/>
        <v>110372.06</v>
      </c>
      <c r="AM639" s="242">
        <f t="shared" si="105"/>
        <v>45382</v>
      </c>
      <c r="AN639" s="242" t="str">
        <f>IF(AQ639="x","",IF(AQ639="x",AM639,IF(EOMONTH(I639,0)=31,"",EOMONTH(I639,0))))</f>
        <v/>
      </c>
      <c r="AO639" s="384">
        <v>0</v>
      </c>
      <c r="AP639" s="384"/>
      <c r="AQ639" s="243" t="str">
        <f t="shared" si="114"/>
        <v/>
      </c>
      <c r="AR639" s="242" t="b">
        <f>IF(AQ639="x",EOMONTH(I639,0))</f>
        <v>0</v>
      </c>
      <c r="AS639" s="79">
        <f t="shared" si="109"/>
        <v>1</v>
      </c>
      <c r="AT639" s="79">
        <f t="shared" si="110"/>
        <v>1</v>
      </c>
      <c r="AU639" s="79" t="str">
        <f t="shared" si="111"/>
        <v>B</v>
      </c>
      <c r="AV639" s="79">
        <f t="shared" si="115"/>
        <v>1</v>
      </c>
      <c r="AW639" s="79" t="str">
        <f>J639&amp;AU639</f>
        <v>6B</v>
      </c>
      <c r="AX639" s="79">
        <f>IF(COUNTIFS(J:J,"Integral",E:E,E639,H:H,"Ativo")=4,1/4,1/10)</f>
        <v>0.1</v>
      </c>
      <c r="AY639" s="79" t="s">
        <v>1535</v>
      </c>
      <c r="AZ639" s="79" t="b">
        <v>1</v>
      </c>
    </row>
    <row r="640" spans="1:52" ht="15.75" customHeight="1">
      <c r="A640" s="54">
        <v>666</v>
      </c>
      <c r="B640" s="405">
        <v>45352</v>
      </c>
      <c r="C640" s="32" t="s">
        <v>1986</v>
      </c>
      <c r="D640" s="32" t="s">
        <v>1092</v>
      </c>
      <c r="E640" s="32" t="s">
        <v>984</v>
      </c>
      <c r="F640" s="32" t="s">
        <v>1988</v>
      </c>
      <c r="G640" s="60" t="s">
        <v>220</v>
      </c>
      <c r="H640" s="33" t="s">
        <v>90</v>
      </c>
      <c r="I640" s="34"/>
      <c r="J640" s="33">
        <v>6</v>
      </c>
      <c r="K640" s="35" t="s">
        <v>1101</v>
      </c>
      <c r="L640" s="35" t="s">
        <v>1101</v>
      </c>
      <c r="M640" s="386" t="s">
        <v>1026</v>
      </c>
      <c r="N640" s="33" t="s">
        <v>68</v>
      </c>
      <c r="O640" s="33" t="s">
        <v>10</v>
      </c>
      <c r="P640" s="33" t="s">
        <v>1</v>
      </c>
      <c r="Q640" s="47"/>
      <c r="R640" s="47"/>
      <c r="S640" s="45" t="s">
        <v>145</v>
      </c>
      <c r="T640" s="45"/>
      <c r="U640" s="37">
        <v>45344</v>
      </c>
      <c r="V640" s="38">
        <f t="shared" si="104"/>
        <v>45352</v>
      </c>
      <c r="W640" s="50">
        <f>V640-U640</f>
        <v>8</v>
      </c>
      <c r="X640" s="261">
        <f>ROUNDUP(Y640/(1+AC640),-3)</f>
        <v>388000</v>
      </c>
      <c r="Y640" s="260">
        <v>426000</v>
      </c>
      <c r="Z640" s="263">
        <v>250000</v>
      </c>
      <c r="AA640" s="35" t="s">
        <v>999</v>
      </c>
      <c r="AB640" s="362">
        <v>1</v>
      </c>
      <c r="AC640" s="44">
        <v>0.1</v>
      </c>
      <c r="AD640" s="62">
        <v>0.28000000000000003</v>
      </c>
      <c r="AE640" s="41">
        <f t="shared" si="116"/>
        <v>-0.18000000000000002</v>
      </c>
      <c r="AF640" s="42">
        <v>0.21179999999999999</v>
      </c>
      <c r="AG640" s="289">
        <v>0</v>
      </c>
      <c r="AH640" s="65">
        <f t="shared" si="112"/>
        <v>176000</v>
      </c>
      <c r="AI640" s="66">
        <f>AH640/X640</f>
        <v>0.45360824742268041</v>
      </c>
      <c r="AJ640" s="66">
        <f t="shared" si="113"/>
        <v>0.24180824742268042</v>
      </c>
      <c r="AK640" s="291">
        <v>65627.94</v>
      </c>
      <c r="AL640" s="40">
        <f t="shared" si="107"/>
        <v>110372.06</v>
      </c>
      <c r="AM640" s="242">
        <f t="shared" si="105"/>
        <v>45382</v>
      </c>
      <c r="AN640" s="242" t="str">
        <f>IF(AQ640="x","",IF(AQ640="x",AM640,IF(EOMONTH(I640,0)=31,"",EOMONTH(I640,0))))</f>
        <v/>
      </c>
      <c r="AO640" s="79">
        <f>IFERROR(IF(VLOOKUP(C640,C641:C1241,1,0)=0,1,0),1)</f>
        <v>1</v>
      </c>
      <c r="AP640" s="79"/>
      <c r="AQ640" s="243" t="str">
        <f t="shared" si="114"/>
        <v/>
      </c>
      <c r="AR640" s="242" t="b">
        <f>IF(AQ640="x",EOMONTH(I640,0))</f>
        <v>0</v>
      </c>
      <c r="AS640" s="79">
        <f t="shared" si="109"/>
        <v>1</v>
      </c>
      <c r="AT640" s="79">
        <f t="shared" si="110"/>
        <v>1</v>
      </c>
      <c r="AU640" s="79" t="str">
        <f t="shared" si="111"/>
        <v>B</v>
      </c>
      <c r="AV640" s="79">
        <f t="shared" si="115"/>
        <v>1</v>
      </c>
      <c r="AW640" s="79" t="str">
        <f>J640&amp;AU640</f>
        <v>6B</v>
      </c>
      <c r="AX640" s="79">
        <f>IF(COUNTIFS(J:J,"Integral",E:E,E640,H:H,"Ativo")=4,1/4,1/10)</f>
        <v>0.1</v>
      </c>
      <c r="AY640" s="79" t="s">
        <v>1535</v>
      </c>
      <c r="AZ640" s="79" t="b">
        <v>1</v>
      </c>
    </row>
    <row r="641" spans="1:52" ht="17.25" customHeight="1">
      <c r="A641" s="54">
        <v>667</v>
      </c>
      <c r="B641" s="405">
        <v>45353</v>
      </c>
      <c r="C641" s="32" t="s">
        <v>1989</v>
      </c>
      <c r="D641" s="32" t="s">
        <v>1179</v>
      </c>
      <c r="E641" s="32" t="s">
        <v>1163</v>
      </c>
      <c r="F641" s="32" t="s">
        <v>1990</v>
      </c>
      <c r="G641" s="60" t="s">
        <v>220</v>
      </c>
      <c r="H641" s="33" t="s">
        <v>90</v>
      </c>
      <c r="I641" s="34"/>
      <c r="J641" s="33">
        <v>6</v>
      </c>
      <c r="K641" s="35" t="s">
        <v>1101</v>
      </c>
      <c r="L641" s="35" t="s">
        <v>1101</v>
      </c>
      <c r="M641" s="386" t="s">
        <v>1026</v>
      </c>
      <c r="N641" s="33" t="s">
        <v>68</v>
      </c>
      <c r="O641" s="33" t="s">
        <v>12</v>
      </c>
      <c r="P641" s="33" t="s">
        <v>2</v>
      </c>
      <c r="Q641" s="47"/>
      <c r="R641" s="47"/>
      <c r="S641" s="45" t="s">
        <v>163</v>
      </c>
      <c r="T641" s="45"/>
      <c r="U641" s="37">
        <v>45249</v>
      </c>
      <c r="V641" s="38">
        <f t="shared" si="104"/>
        <v>45353</v>
      </c>
      <c r="W641" s="50">
        <f>V641-U641</f>
        <v>104</v>
      </c>
      <c r="X641" s="261">
        <f>ROUNDUP(Y641/(1+AC641),-3)</f>
        <v>388000</v>
      </c>
      <c r="Y641" s="260">
        <v>426000</v>
      </c>
      <c r="Z641" s="263">
        <v>363944</v>
      </c>
      <c r="AA641" s="35"/>
      <c r="AB641" s="362" t="s">
        <v>1980</v>
      </c>
      <c r="AC641" s="44">
        <v>0.1</v>
      </c>
      <c r="AD641" s="62">
        <v>0.16889999999999999</v>
      </c>
      <c r="AE641" s="41">
        <f t="shared" si="116"/>
        <v>-6.8899999999999989E-2</v>
      </c>
      <c r="AF641" s="42">
        <v>7.51E-2</v>
      </c>
      <c r="AG641" s="289">
        <v>0</v>
      </c>
      <c r="AH641" s="65">
        <f t="shared" si="112"/>
        <v>62056</v>
      </c>
      <c r="AI641" s="66">
        <f>AH641/X641</f>
        <v>0.15993814432989692</v>
      </c>
      <c r="AJ641" s="66">
        <f t="shared" si="113"/>
        <v>8.483814432989692E-2</v>
      </c>
      <c r="AK641" s="291">
        <v>27412.76</v>
      </c>
      <c r="AL641" s="40">
        <f t="shared" si="107"/>
        <v>34643.240000000005</v>
      </c>
      <c r="AM641" s="242">
        <f t="shared" si="105"/>
        <v>45382</v>
      </c>
      <c r="AN641" s="242" t="str">
        <f>IF(AQ641="x","",IF(AQ641="x",AM641,IF(EOMONTH(I641,0)=31,"",EOMONTH(I641,0))))</f>
        <v/>
      </c>
      <c r="AO641" s="79">
        <f>IFERROR(IF(VLOOKUP(C641,C642:C1242,1,0)=0,1,0),1)</f>
        <v>1</v>
      </c>
      <c r="AP641" s="79"/>
      <c r="AQ641" s="243" t="str">
        <f t="shared" si="114"/>
        <v/>
      </c>
      <c r="AR641" s="242" t="b">
        <f>IF(AQ641="x",EOMONTH(I641,0))</f>
        <v>0</v>
      </c>
      <c r="AS641" s="79">
        <f t="shared" si="109"/>
        <v>1</v>
      </c>
      <c r="AT641" s="79">
        <f t="shared" si="110"/>
        <v>1</v>
      </c>
      <c r="AU641" s="79" t="str">
        <f t="shared" si="111"/>
        <v>B</v>
      </c>
      <c r="AV641" s="79">
        <f t="shared" si="115"/>
        <v>1</v>
      </c>
      <c r="AW641" s="79" t="str">
        <f>J641&amp;AU641</f>
        <v>6B</v>
      </c>
      <c r="AX641" s="79">
        <f>IF(COUNTIFS(J:J,"Integral",E:E,E641,H:H,"Ativo")=4,1/4,1/10)</f>
        <v>0.1</v>
      </c>
      <c r="AY641" s="79" t="s">
        <v>1535</v>
      </c>
      <c r="AZ641" s="79" t="b">
        <v>1</v>
      </c>
    </row>
    <row r="642" spans="1:52" ht="15.75" customHeight="1">
      <c r="A642" s="54">
        <v>668</v>
      </c>
      <c r="B642" s="405">
        <v>45377</v>
      </c>
      <c r="C642" s="32" t="s">
        <v>1991</v>
      </c>
      <c r="D642" s="32" t="s">
        <v>1992</v>
      </c>
      <c r="E642" s="32" t="s">
        <v>1993</v>
      </c>
      <c r="F642" s="32" t="s">
        <v>1994</v>
      </c>
      <c r="G642" s="60" t="s">
        <v>243</v>
      </c>
      <c r="H642" s="33" t="s">
        <v>244</v>
      </c>
      <c r="I642" s="34">
        <v>45380</v>
      </c>
      <c r="J642" s="33" t="s">
        <v>1701</v>
      </c>
      <c r="K642" s="56" t="s">
        <v>221</v>
      </c>
      <c r="L642" s="56" t="s">
        <v>221</v>
      </c>
      <c r="M642" s="67" t="s">
        <v>222</v>
      </c>
      <c r="N642" s="33" t="s">
        <v>72</v>
      </c>
      <c r="O642" s="33" t="s">
        <v>11</v>
      </c>
      <c r="P642" s="33" t="s">
        <v>72</v>
      </c>
      <c r="Q642" s="47" t="s">
        <v>96</v>
      </c>
      <c r="R642" s="47"/>
      <c r="S642" s="45" t="s">
        <v>143</v>
      </c>
      <c r="T642" s="45"/>
      <c r="U642" s="37">
        <v>45043</v>
      </c>
      <c r="V642" s="38">
        <f t="shared" ref="V642:V705" si="117">B642</f>
        <v>45377</v>
      </c>
      <c r="W642" s="50">
        <f>V642-U642</f>
        <v>334</v>
      </c>
      <c r="X642" s="261">
        <f>ROUNDUP(Y642/(1+AC642),-3)</f>
        <v>2047000</v>
      </c>
      <c r="Y642" s="260">
        <v>2251000</v>
      </c>
      <c r="Z642" s="263">
        <v>1987500</v>
      </c>
      <c r="AA642" s="35"/>
      <c r="AB642" s="362">
        <v>0.1227</v>
      </c>
      <c r="AC642" s="44">
        <v>0.1</v>
      </c>
      <c r="AD642" s="62">
        <v>0.13389999999999999</v>
      </c>
      <c r="AE642" s="41">
        <f t="shared" si="116"/>
        <v>-3.3899999999999986E-2</v>
      </c>
      <c r="AF642" s="42">
        <v>3.9800000000000002E-2</v>
      </c>
      <c r="AG642" s="289">
        <v>0</v>
      </c>
      <c r="AH642" s="65">
        <f t="shared" si="112"/>
        <v>263500</v>
      </c>
      <c r="AI642" s="66">
        <f>AH642/X642</f>
        <v>0.12872496336101613</v>
      </c>
      <c r="AJ642" s="66">
        <f t="shared" si="113"/>
        <v>8.8924963361016129E-2</v>
      </c>
      <c r="AK642" s="291">
        <v>78116.434999999998</v>
      </c>
      <c r="AL642" s="40">
        <f t="shared" si="107"/>
        <v>185383.565</v>
      </c>
      <c r="AM642" s="242">
        <f t="shared" ref="AM642:AM705" si="118">IFERROR(EOMONTH(B642,0),"Pendente")</f>
        <v>45382</v>
      </c>
      <c r="AN642" s="242" t="str">
        <f>IF(AQ642="x","",IF(AQ642="x",AM642,IF(EOMONTH(I642,0)=31,"",EOMONTH(I642,0))))</f>
        <v/>
      </c>
      <c r="AO642" s="79">
        <f>IFERROR(IF(VLOOKUP(C642,C643:C1243,1,0)=0,1,0),1)</f>
        <v>0</v>
      </c>
      <c r="AP642" s="79"/>
      <c r="AQ642" s="243" t="str">
        <f t="shared" si="114"/>
        <v>x</v>
      </c>
      <c r="AR642" s="242">
        <f>IF(AQ642="x",EOMONTH(I642,0))</f>
        <v>45382</v>
      </c>
      <c r="AS642" s="79">
        <f t="shared" si="109"/>
        <v>1</v>
      </c>
      <c r="AT642" s="79">
        <f t="shared" si="110"/>
        <v>1</v>
      </c>
      <c r="AU642" s="79" t="str">
        <f t="shared" si="111"/>
        <v>A</v>
      </c>
      <c r="AV642" s="79">
        <f t="shared" si="115"/>
        <v>1</v>
      </c>
      <c r="AW642" s="79" t="str">
        <f>J642&amp;AU642</f>
        <v>INTEGRALA</v>
      </c>
      <c r="AX642" s="79">
        <f>IF(COUNTIFS(J:J,"Integral",E:E,E642,H:H,"Ativo")=4,1/4,1/10)</f>
        <v>0.1</v>
      </c>
      <c r="AY642" s="79" t="s">
        <v>1320</v>
      </c>
      <c r="AZ642" s="79" t="b">
        <v>1</v>
      </c>
    </row>
    <row r="643" spans="1:52" ht="15.75" customHeight="1">
      <c r="A643" s="54">
        <v>669</v>
      </c>
      <c r="B643" s="405">
        <v>45377</v>
      </c>
      <c r="C643" s="32" t="s">
        <v>1991</v>
      </c>
      <c r="D643" s="32" t="s">
        <v>1995</v>
      </c>
      <c r="E643" s="32" t="s">
        <v>1996</v>
      </c>
      <c r="F643" s="32" t="s">
        <v>1997</v>
      </c>
      <c r="G643" s="60" t="s">
        <v>243</v>
      </c>
      <c r="H643" s="33" t="s">
        <v>244</v>
      </c>
      <c r="I643" s="34">
        <v>45380</v>
      </c>
      <c r="J643" s="33">
        <v>52</v>
      </c>
      <c r="K643" s="56" t="s">
        <v>221</v>
      </c>
      <c r="L643" s="56" t="s">
        <v>221</v>
      </c>
      <c r="M643" s="67" t="s">
        <v>222</v>
      </c>
      <c r="N643" s="33" t="s">
        <v>72</v>
      </c>
      <c r="O643" s="33" t="s">
        <v>11</v>
      </c>
      <c r="P643" s="33" t="s">
        <v>72</v>
      </c>
      <c r="Q643" s="47" t="s">
        <v>96</v>
      </c>
      <c r="R643" s="47"/>
      <c r="S643" s="45" t="s">
        <v>143</v>
      </c>
      <c r="T643" s="45"/>
      <c r="U643" s="37">
        <v>45043</v>
      </c>
      <c r="V643" s="38">
        <f t="shared" si="117"/>
        <v>45377</v>
      </c>
      <c r="W643" s="50">
        <f>V643-U643</f>
        <v>334</v>
      </c>
      <c r="X643" s="261">
        <f>ROUNDUP(Y643/(1+AC643),-3)</f>
        <v>182000</v>
      </c>
      <c r="Y643" s="260">
        <v>200000</v>
      </c>
      <c r="Z643" s="263">
        <v>200000</v>
      </c>
      <c r="AA643" s="35"/>
      <c r="AB643" s="362">
        <v>0.1227</v>
      </c>
      <c r="AC643" s="44">
        <v>0.1</v>
      </c>
      <c r="AD643" s="62">
        <v>0.13389999999999999</v>
      </c>
      <c r="AE643" s="41">
        <f t="shared" si="116"/>
        <v>-3.3899999999999986E-2</v>
      </c>
      <c r="AF643" s="42">
        <v>3.9800000000000002E-2</v>
      </c>
      <c r="AG643" s="289">
        <f>IF((X643*AE643)&lt;0,0,(X643*AE643))</f>
        <v>0</v>
      </c>
      <c r="AH643" s="65">
        <f t="shared" si="112"/>
        <v>0</v>
      </c>
      <c r="AI643" s="66">
        <f>AH643/X643</f>
        <v>0</v>
      </c>
      <c r="AJ643" s="66">
        <f t="shared" si="113"/>
        <v>-3.9800000000000002E-2</v>
      </c>
      <c r="AK643" s="291">
        <v>7979.08</v>
      </c>
      <c r="AL643" s="40">
        <f t="shared" si="107"/>
        <v>-7979.08</v>
      </c>
      <c r="AM643" s="242">
        <f t="shared" si="118"/>
        <v>45382</v>
      </c>
      <c r="AN643" s="242" t="str">
        <f>IF(AQ643="x","",IF(AQ643="x",AM643,IF(EOMONTH(I643,0)=31,"",EOMONTH(I643,0))))</f>
        <v/>
      </c>
      <c r="AO643" s="79">
        <f>IFERROR(IF(VLOOKUP(C643,C644:C1244,1,0)=0,1,0),1)</f>
        <v>0</v>
      </c>
      <c r="AP643" s="79"/>
      <c r="AQ643" s="243" t="str">
        <f t="shared" si="114"/>
        <v>x</v>
      </c>
      <c r="AR643" s="242">
        <f>IF(AQ643="x",EOMONTH(I643,0))</f>
        <v>45382</v>
      </c>
      <c r="AS643" s="79">
        <f t="shared" si="109"/>
        <v>1</v>
      </c>
      <c r="AT643" s="79">
        <f t="shared" si="110"/>
        <v>0</v>
      </c>
      <c r="AU643" s="79" t="str">
        <f t="shared" si="111"/>
        <v>V</v>
      </c>
      <c r="AV643" s="79">
        <f t="shared" si="115"/>
        <v>1</v>
      </c>
      <c r="AW643" s="79" t="str">
        <f>J643&amp;AU643</f>
        <v>52V</v>
      </c>
      <c r="AX643" s="79">
        <f>IF(COUNTIFS(J:J,"Integral",E:E,E643,H:H,"Ativo")=4,1/4,1/10)</f>
        <v>0.1</v>
      </c>
      <c r="AY643" s="79" t="s">
        <v>1320</v>
      </c>
      <c r="AZ643" s="79" t="b">
        <v>1</v>
      </c>
    </row>
    <row r="644" spans="1:52" ht="15.75" customHeight="1">
      <c r="A644" s="54">
        <v>670</v>
      </c>
      <c r="B644" s="405">
        <v>45377</v>
      </c>
      <c r="C644" s="32" t="s">
        <v>1991</v>
      </c>
      <c r="D644" s="32" t="s">
        <v>1998</v>
      </c>
      <c r="E644" s="32" t="s">
        <v>1993</v>
      </c>
      <c r="F644" s="32" t="s">
        <v>1999</v>
      </c>
      <c r="G644" s="60" t="s">
        <v>243</v>
      </c>
      <c r="H644" s="33" t="s">
        <v>244</v>
      </c>
      <c r="I644" s="34">
        <v>45380</v>
      </c>
      <c r="J644" s="33" t="s">
        <v>1701</v>
      </c>
      <c r="K644" s="56" t="s">
        <v>221</v>
      </c>
      <c r="L644" s="56" t="s">
        <v>221</v>
      </c>
      <c r="M644" s="67" t="s">
        <v>222</v>
      </c>
      <c r="N644" s="33" t="s">
        <v>72</v>
      </c>
      <c r="O644" s="33" t="s">
        <v>11</v>
      </c>
      <c r="P644" s="33" t="s">
        <v>72</v>
      </c>
      <c r="Q644" s="47" t="s">
        <v>96</v>
      </c>
      <c r="R644" s="47"/>
      <c r="S644" s="45" t="s">
        <v>143</v>
      </c>
      <c r="T644" s="45"/>
      <c r="U644" s="37">
        <v>45043</v>
      </c>
      <c r="V644" s="38">
        <f t="shared" si="117"/>
        <v>45377</v>
      </c>
      <c r="W644" s="50">
        <f>V644-U644</f>
        <v>334</v>
      </c>
      <c r="X644" s="261">
        <f>ROUNDUP(Y644/(1+AC644),-3)</f>
        <v>2047000</v>
      </c>
      <c r="Y644" s="260">
        <v>2251000</v>
      </c>
      <c r="Z644" s="263">
        <v>1987500</v>
      </c>
      <c r="AA644" s="35"/>
      <c r="AB644" s="362">
        <v>0.1227</v>
      </c>
      <c r="AC644" s="44">
        <v>0.1</v>
      </c>
      <c r="AD644" s="62">
        <v>0.13389999999999999</v>
      </c>
      <c r="AE644" s="41">
        <f t="shared" si="116"/>
        <v>-3.3899999999999986E-2</v>
      </c>
      <c r="AF644" s="42">
        <v>3.9800000000000002E-2</v>
      </c>
      <c r="AG644" s="289">
        <f>IF((X644*AE644)&lt;0,0,(X644*AE644))</f>
        <v>0</v>
      </c>
      <c r="AH644" s="65">
        <f t="shared" si="112"/>
        <v>263500</v>
      </c>
      <c r="AI644" s="66">
        <f>AH644/X644</f>
        <v>0.12872496336101613</v>
      </c>
      <c r="AJ644" s="66">
        <f t="shared" si="113"/>
        <v>8.8924963361016129E-2</v>
      </c>
      <c r="AK644" s="291">
        <v>78116.434999999998</v>
      </c>
      <c r="AL644" s="40">
        <f t="shared" si="107"/>
        <v>185383.565</v>
      </c>
      <c r="AM644" s="76">
        <f t="shared" si="118"/>
        <v>45382</v>
      </c>
      <c r="AN644" s="76" t="str">
        <f>IF(AQ644="x","",IF(AQ644="x",AM644,IF(EOMONTH(I644,0)=31,"",EOMONTH(I644,0))))</f>
        <v/>
      </c>
      <c r="AO644" s="74">
        <f>IFERROR(IF(VLOOKUP(C644,C645:C1245,1,0)=0,1,0),1)</f>
        <v>0</v>
      </c>
      <c r="AP644" s="74"/>
      <c r="AQ644" s="77" t="str">
        <f t="shared" si="114"/>
        <v>x</v>
      </c>
      <c r="AR644" s="76">
        <f>IF(AQ644="x",EOMONTH(I644,0))</f>
        <v>45382</v>
      </c>
      <c r="AS644" s="74">
        <f t="shared" si="109"/>
        <v>1</v>
      </c>
      <c r="AT644" s="74">
        <f t="shared" si="110"/>
        <v>1</v>
      </c>
      <c r="AU644" s="74" t="str">
        <f t="shared" si="111"/>
        <v>A</v>
      </c>
      <c r="AV644" s="74">
        <f t="shared" si="115"/>
        <v>1</v>
      </c>
      <c r="AW644" s="74" t="str">
        <f>J644&amp;AU644</f>
        <v>INTEGRALA</v>
      </c>
      <c r="AX644" s="74">
        <f>IF(COUNTIFS(J:J,"Integral",E:E,E644,H:H,"Ativo")=4,1/4,1/10)</f>
        <v>0.1</v>
      </c>
      <c r="AY644" s="79" t="s">
        <v>1320</v>
      </c>
      <c r="AZ644" s="74" t="b">
        <v>1</v>
      </c>
    </row>
    <row r="645" spans="1:52" ht="15.75" customHeight="1">
      <c r="A645" s="54">
        <v>671</v>
      </c>
      <c r="B645" s="405">
        <v>45377</v>
      </c>
      <c r="C645" s="32" t="s">
        <v>1991</v>
      </c>
      <c r="D645" s="32" t="s">
        <v>2000</v>
      </c>
      <c r="E645" s="32" t="s">
        <v>1993</v>
      </c>
      <c r="F645" s="32" t="s">
        <v>2001</v>
      </c>
      <c r="G645" s="60" t="s">
        <v>243</v>
      </c>
      <c r="H645" s="33" t="s">
        <v>244</v>
      </c>
      <c r="I645" s="34">
        <v>45380</v>
      </c>
      <c r="J645" s="33" t="s">
        <v>1701</v>
      </c>
      <c r="K645" s="56" t="s">
        <v>221</v>
      </c>
      <c r="L645" s="56" t="s">
        <v>221</v>
      </c>
      <c r="M645" s="67" t="s">
        <v>222</v>
      </c>
      <c r="N645" s="33" t="s">
        <v>72</v>
      </c>
      <c r="O645" s="33" t="s">
        <v>11</v>
      </c>
      <c r="P645" s="33" t="s">
        <v>72</v>
      </c>
      <c r="Q645" s="47" t="s">
        <v>96</v>
      </c>
      <c r="R645" s="47"/>
      <c r="S645" s="45" t="s">
        <v>143</v>
      </c>
      <c r="T645" s="45"/>
      <c r="U645" s="37">
        <v>45043</v>
      </c>
      <c r="V645" s="38">
        <f t="shared" si="117"/>
        <v>45377</v>
      </c>
      <c r="W645" s="50">
        <f>V645-U645</f>
        <v>334</v>
      </c>
      <c r="X645" s="261">
        <f>ROUNDUP(Y645/(1+AC645),-3)</f>
        <v>2047000</v>
      </c>
      <c r="Y645" s="260">
        <v>2251000</v>
      </c>
      <c r="Z645" s="263">
        <v>1987500</v>
      </c>
      <c r="AA645" s="35"/>
      <c r="AB645" s="362">
        <v>0.1227</v>
      </c>
      <c r="AC645" s="44">
        <v>0.1</v>
      </c>
      <c r="AD645" s="62">
        <v>0.13389999999999999</v>
      </c>
      <c r="AE645" s="41">
        <f t="shared" si="116"/>
        <v>-3.3899999999999986E-2</v>
      </c>
      <c r="AF645" s="42">
        <v>3.9800000000000002E-2</v>
      </c>
      <c r="AG645" s="289">
        <f>IF((X645*AE645)&lt;0,0,(X645*AE645))</f>
        <v>0</v>
      </c>
      <c r="AH645" s="65">
        <f t="shared" si="112"/>
        <v>263500</v>
      </c>
      <c r="AI645" s="66">
        <f>AH645/X645</f>
        <v>0.12872496336101613</v>
      </c>
      <c r="AJ645" s="66">
        <f t="shared" si="113"/>
        <v>8.8924963361016129E-2</v>
      </c>
      <c r="AK645" s="291">
        <v>78116.434999999998</v>
      </c>
      <c r="AL645" s="40">
        <f t="shared" si="107"/>
        <v>185383.565</v>
      </c>
      <c r="AM645" s="242">
        <f t="shared" si="118"/>
        <v>45382</v>
      </c>
      <c r="AN645" s="242" t="str">
        <f>IF(AQ645="x","",IF(AQ645="x",AM645,IF(EOMONTH(I645,0)=31,"",EOMONTH(I645,0))))</f>
        <v/>
      </c>
      <c r="AO645" s="79">
        <f>IFERROR(IF(VLOOKUP(C645,C646:C1246,1,0)=0,1,0),1)</f>
        <v>0</v>
      </c>
      <c r="AP645" s="79"/>
      <c r="AQ645" s="243" t="str">
        <f t="shared" si="114"/>
        <v>x</v>
      </c>
      <c r="AR645" s="242">
        <f>IF(AQ645="x",EOMONTH(I645,0))</f>
        <v>45382</v>
      </c>
      <c r="AS645" s="79">
        <f t="shared" si="109"/>
        <v>1</v>
      </c>
      <c r="AT645" s="79">
        <f t="shared" si="110"/>
        <v>1</v>
      </c>
      <c r="AU645" s="79" t="str">
        <f t="shared" si="111"/>
        <v>A</v>
      </c>
      <c r="AV645" s="79">
        <f t="shared" si="115"/>
        <v>1</v>
      </c>
      <c r="AW645" s="79" t="str">
        <f>J645&amp;AU645</f>
        <v>INTEGRALA</v>
      </c>
      <c r="AX645" s="79">
        <f>IF(COUNTIFS(J:J,"Integral",E:E,E645,H:H,"Ativo")=4,1/4,1/10)</f>
        <v>0.1</v>
      </c>
      <c r="AY645" s="79" t="s">
        <v>1320</v>
      </c>
      <c r="AZ645" s="79" t="b">
        <v>1</v>
      </c>
    </row>
    <row r="646" spans="1:52" ht="15.75" customHeight="1">
      <c r="A646" s="54">
        <v>672</v>
      </c>
      <c r="B646" s="405">
        <v>45377</v>
      </c>
      <c r="C646" s="32" t="s">
        <v>1991</v>
      </c>
      <c r="D646" s="32" t="s">
        <v>2002</v>
      </c>
      <c r="E646" s="32" t="s">
        <v>1993</v>
      </c>
      <c r="F646" s="32" t="s">
        <v>2003</v>
      </c>
      <c r="G646" s="60" t="s">
        <v>243</v>
      </c>
      <c r="H646" s="33" t="s">
        <v>244</v>
      </c>
      <c r="I646" s="34">
        <v>45380</v>
      </c>
      <c r="J646" s="33" t="s">
        <v>1701</v>
      </c>
      <c r="K646" s="56" t="s">
        <v>221</v>
      </c>
      <c r="L646" s="56" t="s">
        <v>221</v>
      </c>
      <c r="M646" s="67" t="s">
        <v>222</v>
      </c>
      <c r="N646" s="33" t="s">
        <v>72</v>
      </c>
      <c r="O646" s="33" t="s">
        <v>11</v>
      </c>
      <c r="P646" s="33" t="s">
        <v>72</v>
      </c>
      <c r="Q646" s="47" t="s">
        <v>96</v>
      </c>
      <c r="R646" s="47"/>
      <c r="S646" s="45" t="s">
        <v>143</v>
      </c>
      <c r="T646" s="45"/>
      <c r="U646" s="37">
        <v>45043</v>
      </c>
      <c r="V646" s="38">
        <f t="shared" si="117"/>
        <v>45377</v>
      </c>
      <c r="W646" s="50">
        <f>V646-U646</f>
        <v>334</v>
      </c>
      <c r="X646" s="261">
        <f>ROUNDUP(Y646/(1+AC646),-3)</f>
        <v>2047000</v>
      </c>
      <c r="Y646" s="260">
        <v>2251000</v>
      </c>
      <c r="Z646" s="263">
        <v>1987500</v>
      </c>
      <c r="AA646" s="35"/>
      <c r="AB646" s="362">
        <v>0.1227</v>
      </c>
      <c r="AC646" s="44">
        <v>0.1</v>
      </c>
      <c r="AD646" s="62">
        <v>0.13389999999999999</v>
      </c>
      <c r="AE646" s="41">
        <f t="shared" si="116"/>
        <v>-3.3899999999999986E-2</v>
      </c>
      <c r="AF646" s="42">
        <v>3.9800000000000002E-2</v>
      </c>
      <c r="AG646" s="289">
        <f>IF((X646*AE646)&lt;0,0,(X646*AE646))</f>
        <v>0</v>
      </c>
      <c r="AH646" s="65">
        <f t="shared" si="112"/>
        <v>263500</v>
      </c>
      <c r="AI646" s="66">
        <f>AH646/X646</f>
        <v>0.12872496336101613</v>
      </c>
      <c r="AJ646" s="66">
        <f t="shared" si="113"/>
        <v>8.8924963361016129E-2</v>
      </c>
      <c r="AK646" s="291">
        <v>78116.434999999998</v>
      </c>
      <c r="AL646" s="40">
        <f t="shared" si="107"/>
        <v>185383.565</v>
      </c>
      <c r="AM646" s="76">
        <f t="shared" si="118"/>
        <v>45382</v>
      </c>
      <c r="AN646" s="76" t="str">
        <f>IF(AQ646="x","",IF(AQ646="x",AM646,IF(EOMONTH(I646,0)=31,"",EOMONTH(I646,0))))</f>
        <v/>
      </c>
      <c r="AO646" s="74">
        <f>IFERROR(IF(VLOOKUP(C646,C647:C1247,1,0)=0,1,0),1)</f>
        <v>0</v>
      </c>
      <c r="AP646" s="74"/>
      <c r="AQ646" s="77" t="str">
        <f t="shared" si="114"/>
        <v>x</v>
      </c>
      <c r="AR646" s="76">
        <f>IF(AQ646="x",EOMONTH(I646,0))</f>
        <v>45382</v>
      </c>
      <c r="AS646" s="74">
        <f t="shared" si="109"/>
        <v>1</v>
      </c>
      <c r="AT646" s="74">
        <f t="shared" si="110"/>
        <v>1</v>
      </c>
      <c r="AU646" s="74" t="str">
        <f t="shared" si="111"/>
        <v>A</v>
      </c>
      <c r="AV646" s="74">
        <f t="shared" si="115"/>
        <v>1</v>
      </c>
      <c r="AW646" s="74" t="str">
        <f>J646&amp;AU646</f>
        <v>INTEGRALA</v>
      </c>
      <c r="AX646" s="74">
        <f>IF(COUNTIFS(J:J,"Integral",E:E,E646,H:H,"Ativo")=4,1/4,1/10)</f>
        <v>0.1</v>
      </c>
      <c r="AY646" s="79" t="s">
        <v>1320</v>
      </c>
      <c r="AZ646" s="74" t="b">
        <v>1</v>
      </c>
    </row>
    <row r="647" spans="1:52" ht="15.75" customHeight="1">
      <c r="A647" s="54">
        <v>673</v>
      </c>
      <c r="B647" s="405">
        <v>45377</v>
      </c>
      <c r="C647" s="32" t="s">
        <v>1991</v>
      </c>
      <c r="D647" s="32" t="s">
        <v>2004</v>
      </c>
      <c r="E647" s="32" t="s">
        <v>2005</v>
      </c>
      <c r="F647" s="32" t="s">
        <v>2006</v>
      </c>
      <c r="G647" s="60" t="s">
        <v>243</v>
      </c>
      <c r="H647" s="33" t="s">
        <v>244</v>
      </c>
      <c r="I647" s="34">
        <v>45380</v>
      </c>
      <c r="J647" s="33" t="s">
        <v>1701</v>
      </c>
      <c r="K647" s="56" t="s">
        <v>221</v>
      </c>
      <c r="L647" s="56" t="s">
        <v>221</v>
      </c>
      <c r="M647" s="67" t="s">
        <v>222</v>
      </c>
      <c r="N647" s="33" t="s">
        <v>72</v>
      </c>
      <c r="O647" s="33" t="s">
        <v>11</v>
      </c>
      <c r="P647" s="33" t="s">
        <v>72</v>
      </c>
      <c r="Q647" s="47" t="s">
        <v>96</v>
      </c>
      <c r="R647" s="47"/>
      <c r="S647" s="45" t="s">
        <v>143</v>
      </c>
      <c r="T647" s="45"/>
      <c r="U647" s="37">
        <v>45043</v>
      </c>
      <c r="V647" s="38">
        <f t="shared" si="117"/>
        <v>45377</v>
      </c>
      <c r="W647" s="50">
        <f>V647-U647</f>
        <v>334</v>
      </c>
      <c r="X647" s="261">
        <f>ROUNDUP(Y647/(1+AC647),-3)</f>
        <v>1897000</v>
      </c>
      <c r="Y647" s="260">
        <v>2086000</v>
      </c>
      <c r="Z647" s="263">
        <v>1862500</v>
      </c>
      <c r="AA647" s="35"/>
      <c r="AB647" s="362">
        <v>0.13070000000000001</v>
      </c>
      <c r="AC647" s="44">
        <v>0.1</v>
      </c>
      <c r="AD647" s="62">
        <v>0.1221</v>
      </c>
      <c r="AE647" s="41">
        <f t="shared" si="116"/>
        <v>-2.2099999999999995E-2</v>
      </c>
      <c r="AF647" s="42">
        <v>2.8400000000000002E-2</v>
      </c>
      <c r="AG647" s="289">
        <f>IF((X647*AE647)&lt;0,0,(X647*AE647))</f>
        <v>0</v>
      </c>
      <c r="AH647" s="65">
        <f t="shared" si="112"/>
        <v>223500</v>
      </c>
      <c r="AI647" s="66">
        <f>AH647/X647</f>
        <v>0.11781760674749604</v>
      </c>
      <c r="AJ647" s="66">
        <f t="shared" si="113"/>
        <v>8.9417606747496048E-2</v>
      </c>
      <c r="AK647" s="291">
        <v>52628.656999999999</v>
      </c>
      <c r="AL647" s="40">
        <f t="shared" si="107"/>
        <v>170871.34299999999</v>
      </c>
      <c r="AM647" s="76">
        <f t="shared" si="118"/>
        <v>45382</v>
      </c>
      <c r="AN647" s="76" t="str">
        <f>IF(AQ647="x","",IF(AQ647="x",AM647,IF(EOMONTH(I647,0)=31,"",EOMONTH(I647,0))))</f>
        <v/>
      </c>
      <c r="AO647" s="74">
        <f>IFERROR(IF(VLOOKUP(C647,C648:C1248,1,0)=0,1,0),1)</f>
        <v>0</v>
      </c>
      <c r="AP647" s="74"/>
      <c r="AQ647" s="77" t="str">
        <f t="shared" si="114"/>
        <v>x</v>
      </c>
      <c r="AR647" s="76">
        <f>IF(AQ647="x",EOMONTH(I647,0))</f>
        <v>45382</v>
      </c>
      <c r="AS647" s="74">
        <f t="shared" si="109"/>
        <v>1</v>
      </c>
      <c r="AT647" s="74">
        <f t="shared" si="110"/>
        <v>1</v>
      </c>
      <c r="AU647" s="74" t="str">
        <f t="shared" si="111"/>
        <v>A</v>
      </c>
      <c r="AV647" s="74">
        <f t="shared" si="115"/>
        <v>1</v>
      </c>
      <c r="AW647" s="74" t="str">
        <f>J647&amp;AU647</f>
        <v>INTEGRALA</v>
      </c>
      <c r="AX647" s="74">
        <f>IF(COUNTIFS(J:J,"Integral",E:E,E647,H:H,"Ativo")=4,1/4,1/10)</f>
        <v>0.25</v>
      </c>
      <c r="AY647" s="79" t="s">
        <v>1320</v>
      </c>
      <c r="AZ647" s="74" t="b">
        <v>1</v>
      </c>
    </row>
    <row r="648" spans="1:52" ht="15.75" customHeight="1">
      <c r="A648" s="54">
        <v>674</v>
      </c>
      <c r="B648" s="405">
        <v>45377</v>
      </c>
      <c r="C648" s="32" t="s">
        <v>1991</v>
      </c>
      <c r="D648" s="32" t="s">
        <v>2007</v>
      </c>
      <c r="E648" s="32" t="s">
        <v>2008</v>
      </c>
      <c r="F648" s="32" t="s">
        <v>2009</v>
      </c>
      <c r="G648" s="60" t="s">
        <v>243</v>
      </c>
      <c r="H648" s="33" t="s">
        <v>244</v>
      </c>
      <c r="I648" s="34">
        <v>45380</v>
      </c>
      <c r="J648" s="33">
        <v>52</v>
      </c>
      <c r="K648" s="56" t="s">
        <v>221</v>
      </c>
      <c r="L648" s="56" t="s">
        <v>221</v>
      </c>
      <c r="M648" s="67" t="s">
        <v>222</v>
      </c>
      <c r="N648" s="33" t="s">
        <v>72</v>
      </c>
      <c r="O648" s="33" t="s">
        <v>11</v>
      </c>
      <c r="P648" s="33" t="s">
        <v>72</v>
      </c>
      <c r="Q648" s="47" t="s">
        <v>96</v>
      </c>
      <c r="R648" s="47"/>
      <c r="S648" s="45" t="s">
        <v>143</v>
      </c>
      <c r="T648" s="45"/>
      <c r="U648" s="37">
        <v>45043</v>
      </c>
      <c r="V648" s="38">
        <f t="shared" si="117"/>
        <v>45377</v>
      </c>
      <c r="W648" s="50">
        <f>V648-U648</f>
        <v>334</v>
      </c>
      <c r="X648" s="261">
        <f>ROUNDUP(Y648/(1+AC648),-3)</f>
        <v>182000</v>
      </c>
      <c r="Y648" s="260">
        <v>200000</v>
      </c>
      <c r="Z648" s="263">
        <v>200000</v>
      </c>
      <c r="AA648" s="35"/>
      <c r="AB648" s="362">
        <v>0.13070000000000001</v>
      </c>
      <c r="AC648" s="44">
        <v>0.1</v>
      </c>
      <c r="AD648" s="62">
        <v>0.1221</v>
      </c>
      <c r="AE648" s="41">
        <f t="shared" si="116"/>
        <v>-2.2099999999999995E-2</v>
      </c>
      <c r="AF648" s="42">
        <v>2.8400000000000002E-2</v>
      </c>
      <c r="AG648" s="289">
        <f>IF((X648*AE648)&lt;0,0,(X648*AE648))</f>
        <v>0</v>
      </c>
      <c r="AH648" s="65">
        <f t="shared" si="112"/>
        <v>0</v>
      </c>
      <c r="AI648" s="66">
        <f>AH648/X648</f>
        <v>0</v>
      </c>
      <c r="AJ648" s="66">
        <f t="shared" si="113"/>
        <v>-2.8400000000000002E-2</v>
      </c>
      <c r="AK648" s="291">
        <v>5619.49</v>
      </c>
      <c r="AL648" s="40">
        <f t="shared" si="107"/>
        <v>-5619.49</v>
      </c>
      <c r="AM648" s="76">
        <f t="shared" si="118"/>
        <v>45382</v>
      </c>
      <c r="AN648" s="76" t="str">
        <f>IF(AQ648="x","",IF(AQ648="x",AM648,IF(EOMONTH(I648,0)=31,"",EOMONTH(I648,0))))</f>
        <v/>
      </c>
      <c r="AO648" s="74">
        <f>IFERROR(IF(VLOOKUP(C648,C649:C1249,1,0)=0,1,0),1)</f>
        <v>0</v>
      </c>
      <c r="AP648" s="74"/>
      <c r="AQ648" s="77" t="str">
        <f t="shared" si="114"/>
        <v>x</v>
      </c>
      <c r="AR648" s="76">
        <f>IF(AQ648="x",EOMONTH(I648,0))</f>
        <v>45382</v>
      </c>
      <c r="AS648" s="74">
        <f t="shared" si="109"/>
        <v>1</v>
      </c>
      <c r="AT648" s="74">
        <f t="shared" si="110"/>
        <v>0</v>
      </c>
      <c r="AU648" s="74" t="str">
        <f t="shared" si="111"/>
        <v>V</v>
      </c>
      <c r="AV648" s="74">
        <f t="shared" si="115"/>
        <v>1</v>
      </c>
      <c r="AW648" s="74" t="str">
        <f>J648&amp;AU648</f>
        <v>52V</v>
      </c>
      <c r="AX648" s="74">
        <f>IF(COUNTIFS(J:J,"Integral",E:E,E648,H:H,"Ativo")=4,1/4,1/10)</f>
        <v>0.1</v>
      </c>
      <c r="AY648" s="79" t="s">
        <v>1320</v>
      </c>
      <c r="AZ648" s="74" t="b">
        <v>1</v>
      </c>
    </row>
    <row r="649" spans="1:52" ht="15.75" customHeight="1">
      <c r="A649" s="54">
        <v>675</v>
      </c>
      <c r="B649" s="405">
        <v>45377</v>
      </c>
      <c r="C649" s="32" t="s">
        <v>1991</v>
      </c>
      <c r="D649" s="32" t="s">
        <v>2010</v>
      </c>
      <c r="E649" s="32" t="s">
        <v>2005</v>
      </c>
      <c r="F649" s="32" t="s">
        <v>2011</v>
      </c>
      <c r="G649" s="60" t="s">
        <v>243</v>
      </c>
      <c r="H649" s="33" t="s">
        <v>244</v>
      </c>
      <c r="I649" s="34">
        <v>45380</v>
      </c>
      <c r="J649" s="33" t="s">
        <v>1701</v>
      </c>
      <c r="K649" s="56" t="s">
        <v>221</v>
      </c>
      <c r="L649" s="56" t="s">
        <v>221</v>
      </c>
      <c r="M649" s="67" t="s">
        <v>222</v>
      </c>
      <c r="N649" s="33" t="s">
        <v>72</v>
      </c>
      <c r="O649" s="33" t="s">
        <v>11</v>
      </c>
      <c r="P649" s="33" t="s">
        <v>72</v>
      </c>
      <c r="Q649" s="47" t="s">
        <v>96</v>
      </c>
      <c r="R649" s="47"/>
      <c r="S649" s="45" t="s">
        <v>143</v>
      </c>
      <c r="T649" s="45"/>
      <c r="U649" s="37">
        <v>45043</v>
      </c>
      <c r="V649" s="38">
        <f t="shared" si="117"/>
        <v>45377</v>
      </c>
      <c r="W649" s="50">
        <f>V649-U649</f>
        <v>334</v>
      </c>
      <c r="X649" s="261">
        <f>ROUNDUP(Y649/(1+AC649),-3)</f>
        <v>1897000</v>
      </c>
      <c r="Y649" s="260">
        <v>2086000</v>
      </c>
      <c r="Z649" s="263">
        <v>1862500</v>
      </c>
      <c r="AA649" s="35"/>
      <c r="AB649" s="362">
        <v>0.13070000000000001</v>
      </c>
      <c r="AC649" s="44">
        <v>0.1</v>
      </c>
      <c r="AD649" s="62">
        <v>0.1221</v>
      </c>
      <c r="AE649" s="41">
        <f t="shared" si="116"/>
        <v>-2.2099999999999995E-2</v>
      </c>
      <c r="AF649" s="42">
        <v>2.8400000000000002E-2</v>
      </c>
      <c r="AG649" s="289">
        <f>IF((X649*AE649)&lt;0,0,(X649*AE649))</f>
        <v>0</v>
      </c>
      <c r="AH649" s="65">
        <f t="shared" si="112"/>
        <v>223500</v>
      </c>
      <c r="AI649" s="66">
        <f>AH649/X649</f>
        <v>0.11781760674749604</v>
      </c>
      <c r="AJ649" s="66">
        <f t="shared" si="113"/>
        <v>8.9417606747496048E-2</v>
      </c>
      <c r="AK649" s="291">
        <v>52628.656999999999</v>
      </c>
      <c r="AL649" s="40">
        <f t="shared" si="107"/>
        <v>170871.34299999999</v>
      </c>
      <c r="AM649" s="76">
        <f t="shared" si="118"/>
        <v>45382</v>
      </c>
      <c r="AN649" s="76" t="str">
        <f>IF(AQ649="x","",IF(AQ649="x",AM649,IF(EOMONTH(I649,0)=31,"",EOMONTH(I649,0))))</f>
        <v/>
      </c>
      <c r="AO649" s="74">
        <f>IFERROR(IF(VLOOKUP(C649,C650:C1250,1,0)=0,1,0),1)</f>
        <v>0</v>
      </c>
      <c r="AP649" s="74"/>
      <c r="AQ649" s="77" t="str">
        <f t="shared" si="114"/>
        <v>x</v>
      </c>
      <c r="AR649" s="76">
        <f>IF(AQ649="x",EOMONTH(I649,0))</f>
        <v>45382</v>
      </c>
      <c r="AS649" s="74">
        <f t="shared" si="109"/>
        <v>1</v>
      </c>
      <c r="AT649" s="74">
        <f t="shared" si="110"/>
        <v>1</v>
      </c>
      <c r="AU649" s="74" t="str">
        <f t="shared" si="111"/>
        <v>A</v>
      </c>
      <c r="AV649" s="74">
        <f t="shared" si="115"/>
        <v>1</v>
      </c>
      <c r="AW649" s="74" t="str">
        <f>J649&amp;AU649</f>
        <v>INTEGRALA</v>
      </c>
      <c r="AX649" s="74">
        <f>IF(COUNTIFS(J:J,"Integral",E:E,E649,H:H,"Ativo")=4,1/4,1/10)</f>
        <v>0.25</v>
      </c>
      <c r="AY649" s="79" t="s">
        <v>1320</v>
      </c>
      <c r="AZ649" s="74" t="b">
        <v>1</v>
      </c>
    </row>
    <row r="650" spans="1:52" ht="15.75" customHeight="1">
      <c r="A650" s="54">
        <v>676</v>
      </c>
      <c r="B650" s="405">
        <v>45377</v>
      </c>
      <c r="C650" s="32" t="s">
        <v>1991</v>
      </c>
      <c r="D650" s="32" t="s">
        <v>2012</v>
      </c>
      <c r="E650" s="32" t="s">
        <v>2005</v>
      </c>
      <c r="F650" s="32" t="s">
        <v>2013</v>
      </c>
      <c r="G650" s="60" t="s">
        <v>243</v>
      </c>
      <c r="H650" s="33" t="s">
        <v>244</v>
      </c>
      <c r="I650" s="34">
        <v>45380</v>
      </c>
      <c r="J650" s="33" t="s">
        <v>1701</v>
      </c>
      <c r="K650" s="56" t="s">
        <v>221</v>
      </c>
      <c r="L650" s="56" t="s">
        <v>221</v>
      </c>
      <c r="M650" s="67" t="s">
        <v>222</v>
      </c>
      <c r="N650" s="33" t="s">
        <v>72</v>
      </c>
      <c r="O650" s="33" t="s">
        <v>11</v>
      </c>
      <c r="P650" s="33" t="s">
        <v>72</v>
      </c>
      <c r="Q650" s="47" t="s">
        <v>96</v>
      </c>
      <c r="R650" s="47"/>
      <c r="S650" s="45" t="s">
        <v>143</v>
      </c>
      <c r="T650" s="45"/>
      <c r="U650" s="37">
        <v>45043</v>
      </c>
      <c r="V650" s="38">
        <f t="shared" si="117"/>
        <v>45377</v>
      </c>
      <c r="W650" s="50">
        <f>V650-U650</f>
        <v>334</v>
      </c>
      <c r="X650" s="261">
        <f>ROUNDUP(Y650/(1+AC650),-3)</f>
        <v>1897000</v>
      </c>
      <c r="Y650" s="260">
        <v>2086000</v>
      </c>
      <c r="Z650" s="263">
        <v>1862500</v>
      </c>
      <c r="AA650" s="35"/>
      <c r="AB650" s="362">
        <v>0.13070000000000001</v>
      </c>
      <c r="AC650" s="44">
        <v>0.1</v>
      </c>
      <c r="AD650" s="62">
        <v>0.1221</v>
      </c>
      <c r="AE650" s="41">
        <f t="shared" si="116"/>
        <v>-2.2099999999999995E-2</v>
      </c>
      <c r="AF650" s="42">
        <v>2.8400000000000002E-2</v>
      </c>
      <c r="AG650" s="289">
        <f>IF((X650*AE650)&lt;0,0,(X650*AE650))</f>
        <v>0</v>
      </c>
      <c r="AH650" s="65">
        <f t="shared" si="112"/>
        <v>223500</v>
      </c>
      <c r="AI650" s="66">
        <f>AH650/X650</f>
        <v>0.11781760674749604</v>
      </c>
      <c r="AJ650" s="66">
        <f t="shared" si="113"/>
        <v>8.9417606747496048E-2</v>
      </c>
      <c r="AK650" s="291">
        <v>52628.656999999999</v>
      </c>
      <c r="AL650" s="40">
        <f t="shared" si="107"/>
        <v>170871.34299999999</v>
      </c>
      <c r="AM650" s="242">
        <f t="shared" si="118"/>
        <v>45382</v>
      </c>
      <c r="AN650" s="242" t="str">
        <f>IF(AQ650="x","",IF(AQ650="x",AM650,IF(EOMONTH(I650,0)=31,"",EOMONTH(I650,0))))</f>
        <v/>
      </c>
      <c r="AO650" s="79">
        <f>IFERROR(IF(VLOOKUP(C650,C651:C1251,1,0)=0,1,0),1)</f>
        <v>0</v>
      </c>
      <c r="AP650" s="79"/>
      <c r="AQ650" s="243" t="str">
        <f t="shared" si="114"/>
        <v>x</v>
      </c>
      <c r="AR650" s="242">
        <f>IF(AQ650="x",EOMONTH(I650,0))</f>
        <v>45382</v>
      </c>
      <c r="AS650" s="79">
        <f t="shared" si="109"/>
        <v>1</v>
      </c>
      <c r="AT650" s="79">
        <f t="shared" si="110"/>
        <v>1</v>
      </c>
      <c r="AU650" s="79" t="str">
        <f t="shared" si="111"/>
        <v>A</v>
      </c>
      <c r="AV650" s="79">
        <f t="shared" si="115"/>
        <v>1</v>
      </c>
      <c r="AW650" s="79" t="str">
        <f>J650&amp;AU650</f>
        <v>INTEGRALA</v>
      </c>
      <c r="AX650" s="79">
        <f>IF(COUNTIFS(J:J,"Integral",E:E,E650,H:H,"Ativo")=4,1/4,1/10)</f>
        <v>0.25</v>
      </c>
      <c r="AY650" s="79" t="s">
        <v>1320</v>
      </c>
      <c r="AZ650" s="79" t="b">
        <v>1</v>
      </c>
    </row>
    <row r="651" spans="1:52" ht="15.75" customHeight="1">
      <c r="A651" s="54">
        <v>677</v>
      </c>
      <c r="B651" s="405">
        <v>45377</v>
      </c>
      <c r="C651" s="32" t="s">
        <v>1991</v>
      </c>
      <c r="D651" s="32" t="s">
        <v>2014</v>
      </c>
      <c r="E651" s="32" t="s">
        <v>2005</v>
      </c>
      <c r="F651" s="32" t="s">
        <v>2015</v>
      </c>
      <c r="G651" s="60" t="s">
        <v>243</v>
      </c>
      <c r="H651" s="33" t="s">
        <v>244</v>
      </c>
      <c r="I651" s="34">
        <v>45380</v>
      </c>
      <c r="J651" s="33" t="s">
        <v>1701</v>
      </c>
      <c r="K651" s="56" t="s">
        <v>221</v>
      </c>
      <c r="L651" s="56" t="s">
        <v>221</v>
      </c>
      <c r="M651" s="67" t="s">
        <v>222</v>
      </c>
      <c r="N651" s="33" t="s">
        <v>72</v>
      </c>
      <c r="O651" s="33" t="s">
        <v>11</v>
      </c>
      <c r="P651" s="33" t="s">
        <v>72</v>
      </c>
      <c r="Q651" s="47" t="s">
        <v>96</v>
      </c>
      <c r="R651" s="47"/>
      <c r="S651" s="45" t="s">
        <v>143</v>
      </c>
      <c r="T651" s="45"/>
      <c r="U651" s="37">
        <v>45043</v>
      </c>
      <c r="V651" s="38">
        <f t="shared" si="117"/>
        <v>45377</v>
      </c>
      <c r="W651" s="50">
        <f>V651-U651</f>
        <v>334</v>
      </c>
      <c r="X651" s="261">
        <f>ROUNDUP(Y651/(1+AC651),-3)</f>
        <v>1897000</v>
      </c>
      <c r="Y651" s="260">
        <v>2086000</v>
      </c>
      <c r="Z651" s="263">
        <v>1862500</v>
      </c>
      <c r="AA651" s="35"/>
      <c r="AB651" s="362">
        <v>0.13070000000000001</v>
      </c>
      <c r="AC651" s="44">
        <v>0.1</v>
      </c>
      <c r="AD651" s="62">
        <v>0.1221</v>
      </c>
      <c r="AE651" s="41">
        <f t="shared" si="116"/>
        <v>-2.2099999999999995E-2</v>
      </c>
      <c r="AF651" s="42">
        <v>2.8400000000000002E-2</v>
      </c>
      <c r="AG651" s="289">
        <f>IF((X651*AE651)&lt;0,0,(X651*AE651))</f>
        <v>0</v>
      </c>
      <c r="AH651" s="65">
        <f t="shared" si="112"/>
        <v>223500</v>
      </c>
      <c r="AI651" s="66">
        <f>AH651/X651</f>
        <v>0.11781760674749604</v>
      </c>
      <c r="AJ651" s="66">
        <f t="shared" si="113"/>
        <v>8.9417606747496048E-2</v>
      </c>
      <c r="AK651" s="291">
        <v>52628.656999999999</v>
      </c>
      <c r="AL651" s="40">
        <f t="shared" si="107"/>
        <v>170871.34299999999</v>
      </c>
      <c r="AM651" s="76">
        <f t="shared" si="118"/>
        <v>45382</v>
      </c>
      <c r="AN651" s="76" t="str">
        <f>IF(AQ651="x","",IF(AQ651="x",AM651,IF(EOMONTH(I651,0)=31,"",EOMONTH(I651,0))))</f>
        <v/>
      </c>
      <c r="AO651" s="74">
        <f>IFERROR(IF(VLOOKUP(C651,C652:C1252,1,0)=0,1,0),1)</f>
        <v>1</v>
      </c>
      <c r="AP651" s="74"/>
      <c r="AQ651" s="77" t="str">
        <f t="shared" si="114"/>
        <v>x</v>
      </c>
      <c r="AR651" s="76">
        <f>IF(AQ651="x",EOMONTH(I651,0))</f>
        <v>45382</v>
      </c>
      <c r="AS651" s="74">
        <f t="shared" si="109"/>
        <v>1</v>
      </c>
      <c r="AT651" s="74">
        <f t="shared" si="110"/>
        <v>1</v>
      </c>
      <c r="AU651" s="74" t="str">
        <f t="shared" si="111"/>
        <v>A</v>
      </c>
      <c r="AV651" s="74">
        <f t="shared" si="115"/>
        <v>1</v>
      </c>
      <c r="AW651" s="74" t="str">
        <f>J651&amp;AU651</f>
        <v>INTEGRALA</v>
      </c>
      <c r="AX651" s="74">
        <f>IF(COUNTIFS(J:J,"Integral",E:E,E651,H:H,"Ativo")=4,1/4,1/10)</f>
        <v>0.25</v>
      </c>
      <c r="AY651" s="79" t="s">
        <v>1320</v>
      </c>
      <c r="AZ651" s="74" t="b">
        <v>1</v>
      </c>
    </row>
    <row r="652" spans="1:52" ht="15.75" customHeight="1">
      <c r="A652" s="54">
        <v>679</v>
      </c>
      <c r="B652" s="405">
        <v>45364</v>
      </c>
      <c r="C652" s="32" t="s">
        <v>2016</v>
      </c>
      <c r="D652" s="32" t="s">
        <v>1635</v>
      </c>
      <c r="E652" s="32" t="s">
        <v>1442</v>
      </c>
      <c r="F652" s="32" t="s">
        <v>2017</v>
      </c>
      <c r="G652" s="60" t="s">
        <v>220</v>
      </c>
      <c r="H652" s="33" t="s">
        <v>90</v>
      </c>
      <c r="I652" s="34"/>
      <c r="J652" s="33">
        <v>6</v>
      </c>
      <c r="K652" s="56" t="s">
        <v>1007</v>
      </c>
      <c r="L652" s="56" t="s">
        <v>1007</v>
      </c>
      <c r="M652" s="386" t="s">
        <v>1149</v>
      </c>
      <c r="N652" s="33" t="s">
        <v>68</v>
      </c>
      <c r="O652" s="33" t="s">
        <v>12</v>
      </c>
      <c r="P652" s="33" t="s">
        <v>2</v>
      </c>
      <c r="Q652" s="47"/>
      <c r="R652" s="47"/>
      <c r="S652" s="45" t="s">
        <v>147</v>
      </c>
      <c r="T652" s="45"/>
      <c r="U652" s="37">
        <v>45295</v>
      </c>
      <c r="V652" s="38">
        <f t="shared" si="117"/>
        <v>45364</v>
      </c>
      <c r="W652" s="50">
        <f>V652-U652</f>
        <v>69</v>
      </c>
      <c r="X652" s="261">
        <f>ROUNDUP(Y652/(1+AC652),-3)</f>
        <v>383000</v>
      </c>
      <c r="Y652" s="260">
        <v>421000</v>
      </c>
      <c r="Z652" s="263">
        <v>421000</v>
      </c>
      <c r="AA652" s="35"/>
      <c r="AB652" s="362">
        <v>0.2</v>
      </c>
      <c r="AC652" s="44">
        <v>0.1</v>
      </c>
      <c r="AD652" s="62">
        <v>0</v>
      </c>
      <c r="AE652" s="289"/>
      <c r="AF652" s="65"/>
      <c r="AG652" s="291">
        <v>30686.47</v>
      </c>
      <c r="AH652" s="65">
        <f t="shared" si="112"/>
        <v>0</v>
      </c>
      <c r="AI652" s="242"/>
      <c r="AJ652" s="242"/>
      <c r="AK652" s="291"/>
      <c r="AL652" s="40">
        <f t="shared" si="107"/>
        <v>0</v>
      </c>
      <c r="AM652" s="242">
        <f t="shared" si="118"/>
        <v>45382</v>
      </c>
      <c r="AN652" s="242" t="str">
        <f>IF(AQ652="x","",IF(AQ652="x",AM652,IF(EOMONTH(I652,0)=31,"",EOMONTH(I652,0))))</f>
        <v/>
      </c>
      <c r="AO652" s="79">
        <f>IFERROR(IF(VLOOKUP(C652,C653:C1253,1,0)=0,1,0),1)</f>
        <v>1</v>
      </c>
      <c r="AP652" s="79"/>
      <c r="AQ652" s="243" t="str">
        <f t="shared" si="114"/>
        <v/>
      </c>
      <c r="AR652" s="242" t="b">
        <f>IF(AQ652="x",EOMONTH(I652,0))</f>
        <v>0</v>
      </c>
      <c r="AS652" s="79">
        <f t="shared" si="109"/>
        <v>1</v>
      </c>
      <c r="AT652" s="79">
        <f t="shared" si="110"/>
        <v>1</v>
      </c>
      <c r="AU652" s="79" t="str">
        <f t="shared" si="111"/>
        <v>B</v>
      </c>
      <c r="AV652" s="79">
        <f t="shared" si="115"/>
        <v>1</v>
      </c>
      <c r="AW652" s="79" t="str">
        <f>J652&amp;AU652</f>
        <v>6B</v>
      </c>
      <c r="AX652" s="79">
        <f>IF(COUNTIFS(J:J,"Integral",E:E,E652,H:H,"Ativo")=4,1/4,1/10)</f>
        <v>0.1</v>
      </c>
      <c r="AY652" s="79" t="s">
        <v>1320</v>
      </c>
      <c r="AZ652" s="79" t="b">
        <v>1</v>
      </c>
    </row>
    <row r="653" spans="1:52" ht="15" customHeight="1">
      <c r="A653" s="54">
        <v>680</v>
      </c>
      <c r="B653" s="405">
        <v>45375</v>
      </c>
      <c r="C653" s="32" t="s">
        <v>1981</v>
      </c>
      <c r="D653" s="32" t="s">
        <v>1601</v>
      </c>
      <c r="E653" s="32" t="s">
        <v>1442</v>
      </c>
      <c r="F653" s="32" t="s">
        <v>2018</v>
      </c>
      <c r="G653" s="60" t="s">
        <v>220</v>
      </c>
      <c r="H653" s="33" t="s">
        <v>90</v>
      </c>
      <c r="I653" s="34"/>
      <c r="J653" s="33">
        <v>6</v>
      </c>
      <c r="K653" s="35" t="s">
        <v>1755</v>
      </c>
      <c r="L653" s="35" t="s">
        <v>1603</v>
      </c>
      <c r="M653" s="386" t="s">
        <v>1026</v>
      </c>
      <c r="N653" s="33" t="s">
        <v>73</v>
      </c>
      <c r="O653" s="33" t="s">
        <v>11</v>
      </c>
      <c r="P653" s="33" t="s">
        <v>85</v>
      </c>
      <c r="Q653" s="47" t="s">
        <v>99</v>
      </c>
      <c r="R653" s="47"/>
      <c r="S653" s="45" t="s">
        <v>143</v>
      </c>
      <c r="T653" s="45"/>
      <c r="U653" s="37">
        <v>45351</v>
      </c>
      <c r="V653" s="38">
        <f t="shared" si="117"/>
        <v>45375</v>
      </c>
      <c r="W653" s="50">
        <f>V653-U653</f>
        <v>24</v>
      </c>
      <c r="X653" s="261">
        <f>ROUNDUP(Y653/(1+AC653),-3)</f>
        <v>383000</v>
      </c>
      <c r="Y653" s="260">
        <v>421000</v>
      </c>
      <c r="Z653" s="263">
        <v>320000</v>
      </c>
      <c r="AA653" s="35"/>
      <c r="AB653" s="362">
        <v>0.2</v>
      </c>
      <c r="AC653" s="44">
        <v>0.1</v>
      </c>
      <c r="AD653" s="62">
        <v>9.0499999999999997E-2</v>
      </c>
      <c r="AE653" s="289"/>
      <c r="AF653" s="65"/>
      <c r="AG653" s="291"/>
      <c r="AH653" s="65">
        <f t="shared" si="112"/>
        <v>101000</v>
      </c>
      <c r="AI653" s="242"/>
      <c r="AJ653" s="242"/>
      <c r="AK653" s="291">
        <v>83.39</v>
      </c>
      <c r="AL653" s="40">
        <f t="shared" si="107"/>
        <v>100916.61</v>
      </c>
      <c r="AM653" s="76">
        <f t="shared" si="118"/>
        <v>45382</v>
      </c>
      <c r="AN653" s="76" t="str">
        <f>IF(AQ653="x","",IF(AQ653="x",AM653,IF(EOMONTH(I653,0)=31,"",EOMONTH(I653,0))))</f>
        <v/>
      </c>
      <c r="AO653" s="338">
        <v>1</v>
      </c>
      <c r="AP653" s="338"/>
      <c r="AQ653" s="77" t="str">
        <f t="shared" si="114"/>
        <v/>
      </c>
      <c r="AR653" s="76" t="b">
        <f>IF(AQ653="x",EOMONTH(I653,0))</f>
        <v>0</v>
      </c>
      <c r="AS653" s="74">
        <f t="shared" si="109"/>
        <v>1</v>
      </c>
      <c r="AT653" s="74">
        <f t="shared" si="110"/>
        <v>1</v>
      </c>
      <c r="AU653" s="74" t="str">
        <f t="shared" si="111"/>
        <v>B</v>
      </c>
      <c r="AV653" s="74">
        <f t="shared" si="115"/>
        <v>1</v>
      </c>
      <c r="AW653" s="74" t="str">
        <f>J653&amp;AU653</f>
        <v>6B</v>
      </c>
      <c r="AX653" s="74">
        <f>IF(COUNTIFS(J:J,"Integral",E:E,E653,H:H,"Ativo")=4,1/4,1/10)</f>
        <v>0.1</v>
      </c>
      <c r="AY653" s="79" t="s">
        <v>1535</v>
      </c>
      <c r="AZ653" s="74" t="b">
        <v>1</v>
      </c>
    </row>
    <row r="654" spans="1:52" ht="15" customHeight="1">
      <c r="A654" s="54">
        <v>681</v>
      </c>
      <c r="B654" s="405">
        <v>45378</v>
      </c>
      <c r="C654" s="32" t="s">
        <v>1485</v>
      </c>
      <c r="D654" s="32" t="s">
        <v>897</v>
      </c>
      <c r="E654" s="32" t="s">
        <v>765</v>
      </c>
      <c r="F654" s="32" t="s">
        <v>2019</v>
      </c>
      <c r="G654" s="60" t="s">
        <v>220</v>
      </c>
      <c r="H654" s="33" t="s">
        <v>90</v>
      </c>
      <c r="I654" s="34"/>
      <c r="J654" s="33">
        <v>13</v>
      </c>
      <c r="K654" s="35" t="s">
        <v>1154</v>
      </c>
      <c r="L654" s="56" t="s">
        <v>1154</v>
      </c>
      <c r="M654" s="386" t="s">
        <v>246</v>
      </c>
      <c r="N654" s="33" t="s">
        <v>68</v>
      </c>
      <c r="O654" s="33" t="s">
        <v>12</v>
      </c>
      <c r="P654" s="33" t="s">
        <v>1</v>
      </c>
      <c r="Q654" s="47" t="s">
        <v>84</v>
      </c>
      <c r="R654" s="47"/>
      <c r="S654" s="45" t="s">
        <v>147</v>
      </c>
      <c r="T654" s="45"/>
      <c r="U654" s="37">
        <v>45165</v>
      </c>
      <c r="V654" s="38">
        <f t="shared" si="117"/>
        <v>45378</v>
      </c>
      <c r="W654" s="50">
        <f>V654-U654</f>
        <v>213</v>
      </c>
      <c r="X654" s="261">
        <f>ROUNDUP(Y654/(1+AC654),-3)</f>
        <v>1750000</v>
      </c>
      <c r="Y654" s="260">
        <v>1924000</v>
      </c>
      <c r="Z654" s="263">
        <v>1700000</v>
      </c>
      <c r="AA654" s="35"/>
      <c r="AB654" s="362">
        <v>0.2</v>
      </c>
      <c r="AC654" s="44">
        <v>0.1</v>
      </c>
      <c r="AD654" s="62">
        <v>0.1389</v>
      </c>
      <c r="AE654" s="289"/>
      <c r="AF654" s="65"/>
      <c r="AG654" s="289">
        <f>IF((X654*AE654)&lt;0,0,(X654*AE654))</f>
        <v>0</v>
      </c>
      <c r="AH654" s="65">
        <f t="shared" si="112"/>
        <v>224000</v>
      </c>
      <c r="AI654" s="242"/>
      <c r="AJ654" s="242"/>
      <c r="AK654" s="291">
        <v>75351.44</v>
      </c>
      <c r="AL654" s="40">
        <f t="shared" si="107"/>
        <v>148648.56</v>
      </c>
      <c r="AM654" s="242">
        <f t="shared" si="118"/>
        <v>45382</v>
      </c>
      <c r="AN654" s="242" t="str">
        <f>IF(AQ654="x","",IF(AQ654="x",AM654,IF(EOMONTH(I654,0)=31,"",EOMONTH(I654,0))))</f>
        <v/>
      </c>
      <c r="AO654" s="79">
        <f>IFERROR(IF(VLOOKUP(C654,C655:C1255,1,0)=0,1,0),1)</f>
        <v>1</v>
      </c>
      <c r="AP654" s="79"/>
      <c r="AQ654" s="243" t="str">
        <f t="shared" si="114"/>
        <v/>
      </c>
      <c r="AR654" s="242" t="b">
        <f>IF(AQ654="x",EOMONTH(I654,0))</f>
        <v>0</v>
      </c>
      <c r="AS654" s="79">
        <f t="shared" si="109"/>
        <v>1</v>
      </c>
      <c r="AT654" s="79">
        <f t="shared" si="110"/>
        <v>1</v>
      </c>
      <c r="AU654" s="79" t="str">
        <f t="shared" si="111"/>
        <v>A</v>
      </c>
      <c r="AV654" s="79">
        <f t="shared" si="115"/>
        <v>1</v>
      </c>
      <c r="AW654" s="79" t="str">
        <f>J654&amp;AU654</f>
        <v>13A</v>
      </c>
      <c r="AX654" s="79">
        <f>IF(COUNTIFS(J:J,"Integral",E:E,E654,H:H,"Ativo")=4,1/4,1/10)</f>
        <v>0.1</v>
      </c>
      <c r="AY654" s="79" t="s">
        <v>1332</v>
      </c>
      <c r="AZ654" s="79" t="b">
        <v>1</v>
      </c>
    </row>
    <row r="655" spans="1:52" ht="16.5" customHeight="1">
      <c r="A655" s="54">
        <v>682</v>
      </c>
      <c r="B655" s="405">
        <v>45380</v>
      </c>
      <c r="C655" s="32" t="s">
        <v>2020</v>
      </c>
      <c r="D655" s="32" t="s">
        <v>1096</v>
      </c>
      <c r="E655" s="32" t="s">
        <v>984</v>
      </c>
      <c r="F655" s="32" t="s">
        <v>2021</v>
      </c>
      <c r="G655" s="60" t="s">
        <v>220</v>
      </c>
      <c r="H655" s="33" t="s">
        <v>90</v>
      </c>
      <c r="I655" s="34"/>
      <c r="J655" s="33">
        <v>6</v>
      </c>
      <c r="K655" s="35" t="s">
        <v>274</v>
      </c>
      <c r="L655" s="56" t="s">
        <v>2022</v>
      </c>
      <c r="M655" s="386" t="s">
        <v>246</v>
      </c>
      <c r="N655" s="33" t="s">
        <v>68</v>
      </c>
      <c r="O655" s="33" t="s">
        <v>12</v>
      </c>
      <c r="P655" s="33" t="s">
        <v>1</v>
      </c>
      <c r="Q655" s="47"/>
      <c r="R655" s="47"/>
      <c r="S655" s="45" t="s">
        <v>156</v>
      </c>
      <c r="T655" s="45"/>
      <c r="U655" s="37">
        <v>45380</v>
      </c>
      <c r="V655" s="38">
        <f t="shared" si="117"/>
        <v>45380</v>
      </c>
      <c r="W655" s="50">
        <f>V655-U655</f>
        <v>0</v>
      </c>
      <c r="X655" s="261">
        <f>ROUNDUP(Y655/(1+AC655),-3)</f>
        <v>390000</v>
      </c>
      <c r="Y655" s="260">
        <v>429000</v>
      </c>
      <c r="Z655" s="263">
        <v>426840</v>
      </c>
      <c r="AA655" s="35" t="s">
        <v>999</v>
      </c>
      <c r="AB655" s="362" t="s">
        <v>2023</v>
      </c>
      <c r="AC655" s="44">
        <v>0.1</v>
      </c>
      <c r="AD655" s="62">
        <v>1.6400000000000001E-2</v>
      </c>
      <c r="AE655" s="289"/>
      <c r="AF655" s="65"/>
      <c r="AG655" s="291">
        <v>25800.68</v>
      </c>
      <c r="AH655" s="65">
        <f t="shared" si="112"/>
        <v>2160</v>
      </c>
      <c r="AI655" s="242"/>
      <c r="AJ655" s="242"/>
      <c r="AK655" s="291"/>
      <c r="AL655" s="40">
        <f t="shared" si="107"/>
        <v>2160</v>
      </c>
      <c r="AM655" s="242">
        <f t="shared" si="118"/>
        <v>45382</v>
      </c>
      <c r="AN655" s="242" t="str">
        <f>IF(AQ655="x","",IF(AQ655="x",AM655,IF(EOMONTH(I655,0)=31,"",EOMONTH(I655,0))))</f>
        <v/>
      </c>
      <c r="AO655" s="79">
        <f>IFERROR(IF(VLOOKUP(C655,C656:C1256,1,0)=0,1,0),1)</f>
        <v>1</v>
      </c>
      <c r="AP655" s="79"/>
      <c r="AQ655" s="243" t="str">
        <f t="shared" si="114"/>
        <v/>
      </c>
      <c r="AR655" s="242" t="b">
        <f>IF(AQ655="x",EOMONTH(I655,0))</f>
        <v>0</v>
      </c>
      <c r="AS655" s="79">
        <f t="shared" si="109"/>
        <v>1</v>
      </c>
      <c r="AT655" s="79">
        <f t="shared" si="110"/>
        <v>1</v>
      </c>
      <c r="AU655" s="79" t="str">
        <f t="shared" si="111"/>
        <v>B</v>
      </c>
      <c r="AV655" s="79">
        <f t="shared" si="115"/>
        <v>1</v>
      </c>
      <c r="AW655" s="79" t="str">
        <f>J655&amp;AU655</f>
        <v>6B</v>
      </c>
      <c r="AX655" s="79">
        <f>IF(COUNTIFS(J:J,"Integral",E:E,E655,H:H,"Ativo")=4,1/4,1/10)</f>
        <v>0.1</v>
      </c>
      <c r="AY655" s="79" t="s">
        <v>1320</v>
      </c>
      <c r="AZ655" s="79" t="b">
        <v>1</v>
      </c>
    </row>
    <row r="656" spans="1:52" ht="14.25" customHeight="1">
      <c r="A656" s="54">
        <v>683</v>
      </c>
      <c r="B656" s="405">
        <v>45383</v>
      </c>
      <c r="C656" s="32" t="s">
        <v>2024</v>
      </c>
      <c r="D656" s="32" t="s">
        <v>788</v>
      </c>
      <c r="E656" s="32" t="s">
        <v>300</v>
      </c>
      <c r="F656" s="32" t="s">
        <v>2025</v>
      </c>
      <c r="G656" s="60" t="s">
        <v>220</v>
      </c>
      <c r="H656" s="33" t="s">
        <v>90</v>
      </c>
      <c r="I656" s="34"/>
      <c r="J656" s="33">
        <v>6</v>
      </c>
      <c r="K656" s="56" t="s">
        <v>221</v>
      </c>
      <c r="L656" s="56" t="s">
        <v>221</v>
      </c>
      <c r="M656" s="67" t="s">
        <v>222</v>
      </c>
      <c r="N656" s="33" t="s">
        <v>72</v>
      </c>
      <c r="O656" s="33" t="s">
        <v>11</v>
      </c>
      <c r="P656" s="33" t="s">
        <v>72</v>
      </c>
      <c r="Q656" s="47"/>
      <c r="R656" s="47"/>
      <c r="S656" s="45" t="s">
        <v>143</v>
      </c>
      <c r="T656" s="45"/>
      <c r="U656" s="37">
        <v>45376</v>
      </c>
      <c r="V656" s="38">
        <f t="shared" si="117"/>
        <v>45383</v>
      </c>
      <c r="W656" s="50">
        <f>V656-U656</f>
        <v>7</v>
      </c>
      <c r="X656" s="261">
        <f>ROUNDUP(Y656/(1+AC656),-3)</f>
        <v>391000</v>
      </c>
      <c r="Y656" s="260">
        <v>430000</v>
      </c>
      <c r="Z656" s="263">
        <v>325000</v>
      </c>
      <c r="AA656" s="35"/>
      <c r="AB656" s="362">
        <v>0.2</v>
      </c>
      <c r="AC656" s="44">
        <v>0.1</v>
      </c>
      <c r="AD656" s="62" t="s">
        <v>2026</v>
      </c>
      <c r="AE656" s="289"/>
      <c r="AF656" s="65"/>
      <c r="AG656" s="291"/>
      <c r="AH656" s="65">
        <f t="shared" si="112"/>
        <v>105000</v>
      </c>
      <c r="AI656" s="242"/>
      <c r="AJ656" s="242"/>
      <c r="AK656" s="291">
        <v>24235.17</v>
      </c>
      <c r="AL656" s="40">
        <f t="shared" si="107"/>
        <v>80764.83</v>
      </c>
      <c r="AM656" s="242">
        <f t="shared" si="118"/>
        <v>45412</v>
      </c>
      <c r="AN656" s="242" t="str">
        <f>IF(AQ656="x","",IF(AQ656="x",AM656,IF(EOMONTH(I656,0)=31,"",EOMONTH(I656,0))))</f>
        <v/>
      </c>
      <c r="AO656" s="79">
        <f>IFERROR(IF(VLOOKUP(C656,C657:C1257,1,0)=0,1,0),1)</f>
        <v>0</v>
      </c>
      <c r="AP656" s="79"/>
      <c r="AQ656" s="243" t="str">
        <f t="shared" si="114"/>
        <v/>
      </c>
      <c r="AR656" s="242" t="b">
        <f>IF(AQ656="x",EOMONTH(I656,0))</f>
        <v>0</v>
      </c>
      <c r="AS656" s="79">
        <f t="shared" si="109"/>
        <v>1</v>
      </c>
      <c r="AT656" s="79">
        <f t="shared" si="110"/>
        <v>1</v>
      </c>
      <c r="AU656" s="79" t="str">
        <f t="shared" si="111"/>
        <v>B</v>
      </c>
      <c r="AV656" s="79">
        <f t="shared" si="115"/>
        <v>1</v>
      </c>
      <c r="AW656" s="79" t="str">
        <f>J656&amp;AU656</f>
        <v>6B</v>
      </c>
      <c r="AX656" s="79">
        <f>IF(COUNTIFS(J:J,"Integral",E:E,E656,H:H,"Ativo")=4,1/4,1/10)</f>
        <v>0.1</v>
      </c>
      <c r="AY656" s="79" t="s">
        <v>1535</v>
      </c>
      <c r="AZ656" s="79" t="b">
        <v>1</v>
      </c>
    </row>
    <row r="657" spans="1:52" ht="17.25" customHeight="1">
      <c r="A657" s="54">
        <v>684</v>
      </c>
      <c r="B657" s="405">
        <v>45383</v>
      </c>
      <c r="C657" s="32" t="s">
        <v>2024</v>
      </c>
      <c r="D657" s="32" t="s">
        <v>1354</v>
      </c>
      <c r="E657" s="32" t="s">
        <v>1278</v>
      </c>
      <c r="F657" s="32" t="s">
        <v>2027</v>
      </c>
      <c r="G657" s="60" t="s">
        <v>220</v>
      </c>
      <c r="H657" s="33" t="s">
        <v>90</v>
      </c>
      <c r="I657" s="34"/>
      <c r="J657" s="33">
        <v>6</v>
      </c>
      <c r="K657" s="56" t="s">
        <v>221</v>
      </c>
      <c r="L657" s="56" t="s">
        <v>221</v>
      </c>
      <c r="M657" s="67" t="s">
        <v>222</v>
      </c>
      <c r="N657" s="33" t="s">
        <v>72</v>
      </c>
      <c r="O657" s="33" t="s">
        <v>11</v>
      </c>
      <c r="P657" s="33" t="s">
        <v>72</v>
      </c>
      <c r="Q657" s="47"/>
      <c r="R657" s="47"/>
      <c r="S657" s="45" t="s">
        <v>143</v>
      </c>
      <c r="T657" s="45"/>
      <c r="U657" s="37">
        <v>45376</v>
      </c>
      <c r="V657" s="38">
        <f t="shared" si="117"/>
        <v>45383</v>
      </c>
      <c r="W657" s="50">
        <f>V657-U657</f>
        <v>7</v>
      </c>
      <c r="X657" s="261">
        <f>ROUNDUP(Y657/(1+AC657),-3)</f>
        <v>399000</v>
      </c>
      <c r="Y657" s="260">
        <v>438000</v>
      </c>
      <c r="Z657" s="263">
        <v>325000</v>
      </c>
      <c r="AA657" s="35"/>
      <c r="AB657" s="362">
        <v>0.2</v>
      </c>
      <c r="AC657" s="44">
        <v>0.1</v>
      </c>
      <c r="AD657" s="62" t="s">
        <v>2028</v>
      </c>
      <c r="AE657" s="289"/>
      <c r="AF657" s="65"/>
      <c r="AG657" s="291"/>
      <c r="AH657" s="65">
        <f t="shared" si="112"/>
        <v>113000</v>
      </c>
      <c r="AI657" s="242"/>
      <c r="AJ657" s="242"/>
      <c r="AK657" s="291">
        <v>30695.48</v>
      </c>
      <c r="AL657" s="40">
        <f t="shared" si="107"/>
        <v>82304.52</v>
      </c>
      <c r="AM657" s="242">
        <f t="shared" si="118"/>
        <v>45412</v>
      </c>
      <c r="AN657" s="242" t="str">
        <f>IF(AQ657="x","",IF(AQ657="x",AM657,IF(EOMONTH(I657,0)=31,"",EOMONTH(I657,0))))</f>
        <v/>
      </c>
      <c r="AO657" s="79">
        <f>IFERROR(IF(VLOOKUP(C657,C658:C1258,1,0)=0,1,0),1)</f>
        <v>1</v>
      </c>
      <c r="AP657" s="79"/>
      <c r="AQ657" s="243" t="str">
        <f t="shared" si="114"/>
        <v/>
      </c>
      <c r="AR657" s="242" t="b">
        <f>IF(AQ657="x",EOMONTH(I657,0))</f>
        <v>0</v>
      </c>
      <c r="AS657" s="79">
        <f t="shared" si="109"/>
        <v>1</v>
      </c>
      <c r="AT657" s="79">
        <f t="shared" si="110"/>
        <v>1</v>
      </c>
      <c r="AU657" s="79" t="str">
        <f t="shared" si="111"/>
        <v>B</v>
      </c>
      <c r="AV657" s="79">
        <f t="shared" si="115"/>
        <v>1</v>
      </c>
      <c r="AW657" s="79" t="str">
        <f>J657&amp;AU657</f>
        <v>6B</v>
      </c>
      <c r="AX657" s="79">
        <f>IF(COUNTIFS(J:J,"Integral",E:E,E657,H:H,"Ativo")=4,1/4,1/10)</f>
        <v>0.1</v>
      </c>
      <c r="AY657" s="79" t="s">
        <v>1535</v>
      </c>
      <c r="AZ657" s="79" t="b">
        <v>1</v>
      </c>
    </row>
    <row r="658" spans="1:52" ht="14.25" customHeight="1">
      <c r="A658" s="54">
        <v>685</v>
      </c>
      <c r="B658" s="405">
        <v>45385</v>
      </c>
      <c r="C658" s="32" t="s">
        <v>2029</v>
      </c>
      <c r="D658" s="32" t="s">
        <v>836</v>
      </c>
      <c r="E658" s="32" t="s">
        <v>575</v>
      </c>
      <c r="F658" s="32" t="s">
        <v>2030</v>
      </c>
      <c r="G658" s="60" t="s">
        <v>220</v>
      </c>
      <c r="H658" s="33" t="s">
        <v>90</v>
      </c>
      <c r="I658" s="34"/>
      <c r="J658" s="33">
        <v>6</v>
      </c>
      <c r="K658" s="35" t="s">
        <v>333</v>
      </c>
      <c r="L658" s="35" t="s">
        <v>333</v>
      </c>
      <c r="M658" s="386" t="s">
        <v>246</v>
      </c>
      <c r="N658" s="33" t="s">
        <v>68</v>
      </c>
      <c r="O658" s="33" t="s">
        <v>12</v>
      </c>
      <c r="P658" s="33" t="s">
        <v>2</v>
      </c>
      <c r="Q658" s="47"/>
      <c r="R658" s="47"/>
      <c r="S658" s="45" t="s">
        <v>150</v>
      </c>
      <c r="T658" s="45"/>
      <c r="U658" s="37">
        <v>45384</v>
      </c>
      <c r="V658" s="38">
        <f t="shared" si="117"/>
        <v>45385</v>
      </c>
      <c r="W658" s="50">
        <f>V658-U658</f>
        <v>1</v>
      </c>
      <c r="X658" s="261">
        <f>ROUNDUP(Y658/(1+AC658),-3)</f>
        <v>423000</v>
      </c>
      <c r="Y658" s="260">
        <v>465000</v>
      </c>
      <c r="Z658" s="263">
        <v>398000</v>
      </c>
      <c r="AA658" s="35"/>
      <c r="AB658" s="362">
        <v>0.2</v>
      </c>
      <c r="AC658" s="44">
        <v>0.1</v>
      </c>
      <c r="AD658" s="62" t="s">
        <v>2031</v>
      </c>
      <c r="AE658" s="289"/>
      <c r="AF658" s="65"/>
      <c r="AG658" s="291"/>
      <c r="AH658" s="65">
        <f t="shared" si="112"/>
        <v>67000</v>
      </c>
      <c r="AI658" s="242"/>
      <c r="AJ658" s="242"/>
      <c r="AK658" s="291">
        <v>22034.93</v>
      </c>
      <c r="AL658" s="40">
        <f t="shared" si="107"/>
        <v>44965.07</v>
      </c>
      <c r="AM658" s="242">
        <f t="shared" si="118"/>
        <v>45412</v>
      </c>
      <c r="AN658" s="242" t="str">
        <f>IF(AQ658="x","",IF(AQ658="x",AM658,IF(EOMONTH(I658,0)=31,"",EOMONTH(I658,0))))</f>
        <v/>
      </c>
      <c r="AO658" s="79">
        <f>IFERROR(IF(VLOOKUP(C658,C659:C1259,1,0)=0,1,0),1)</f>
        <v>1</v>
      </c>
      <c r="AP658" s="79"/>
      <c r="AQ658" s="243" t="str">
        <f t="shared" si="114"/>
        <v/>
      </c>
      <c r="AR658" s="242" t="b">
        <f>IF(AQ658="x",EOMONTH(I658,0))</f>
        <v>0</v>
      </c>
      <c r="AS658" s="79">
        <f t="shared" si="109"/>
        <v>1</v>
      </c>
      <c r="AT658" s="79">
        <f t="shared" si="110"/>
        <v>1</v>
      </c>
      <c r="AU658" s="79" t="str">
        <f t="shared" si="111"/>
        <v>B</v>
      </c>
      <c r="AV658" s="79">
        <f t="shared" si="115"/>
        <v>1</v>
      </c>
      <c r="AW658" s="79" t="str">
        <f>J658&amp;AU658</f>
        <v>6B</v>
      </c>
      <c r="AX658" s="79">
        <f>IF(COUNTIFS(J:J,"Integral",E:E,E658,H:H,"Ativo")=4,1/4,1/10)</f>
        <v>0.1</v>
      </c>
      <c r="AY658" s="79" t="s">
        <v>1320</v>
      </c>
      <c r="AZ658" s="79" t="b">
        <v>1</v>
      </c>
    </row>
    <row r="659" spans="1:52" ht="14.25" customHeight="1">
      <c r="A659" s="54">
        <v>686</v>
      </c>
      <c r="B659" s="405">
        <v>45385</v>
      </c>
      <c r="C659" s="32" t="s">
        <v>2032</v>
      </c>
      <c r="D659" s="32" t="s">
        <v>1774</v>
      </c>
      <c r="E659" s="32" t="s">
        <v>1767</v>
      </c>
      <c r="F659" s="32" t="s">
        <v>2033</v>
      </c>
      <c r="G659" s="60" t="s">
        <v>220</v>
      </c>
      <c r="H659" s="33" t="s">
        <v>90</v>
      </c>
      <c r="I659" s="34"/>
      <c r="J659" s="33">
        <v>6</v>
      </c>
      <c r="K659" s="56" t="s">
        <v>1603</v>
      </c>
      <c r="L659" s="56" t="s">
        <v>1603</v>
      </c>
      <c r="M659" s="386" t="s">
        <v>1026</v>
      </c>
      <c r="N659" s="33" t="s">
        <v>68</v>
      </c>
      <c r="O659" s="33" t="s">
        <v>12</v>
      </c>
      <c r="P659" s="33" t="s">
        <v>1</v>
      </c>
      <c r="Q659" s="47"/>
      <c r="R659" s="47"/>
      <c r="S659" s="45" t="s">
        <v>144</v>
      </c>
      <c r="T659" s="45"/>
      <c r="U659" s="37">
        <v>45385</v>
      </c>
      <c r="V659" s="38">
        <f t="shared" si="117"/>
        <v>45385</v>
      </c>
      <c r="W659" s="50">
        <f>V659-U659</f>
        <v>0</v>
      </c>
      <c r="X659" s="261">
        <f>ROUNDUP(Y659/(1+AC659),-3)</f>
        <v>423000</v>
      </c>
      <c r="Y659" s="260">
        <v>465000</v>
      </c>
      <c r="Z659" s="263">
        <v>464970</v>
      </c>
      <c r="AA659" s="35" t="s">
        <v>2034</v>
      </c>
      <c r="AB659" s="362">
        <v>0.2</v>
      </c>
      <c r="AC659" s="44">
        <v>0.1</v>
      </c>
      <c r="AD659" s="62" t="s">
        <v>2035</v>
      </c>
      <c r="AE659" s="289"/>
      <c r="AF659" s="65"/>
      <c r="AG659" s="291">
        <v>30141.16</v>
      </c>
      <c r="AH659" s="65">
        <f t="shared" si="112"/>
        <v>30</v>
      </c>
      <c r="AI659" s="242"/>
      <c r="AJ659" s="242"/>
      <c r="AK659" s="291"/>
      <c r="AL659" s="40">
        <f t="shared" si="107"/>
        <v>30</v>
      </c>
      <c r="AM659" s="242">
        <f t="shared" si="118"/>
        <v>45412</v>
      </c>
      <c r="AN659" s="242" t="str">
        <f>IF(AQ659="x","",IF(AQ659="x",AM659,IF(EOMONTH(I659,0)=31,"",EOMONTH(I659,0))))</f>
        <v/>
      </c>
      <c r="AO659" s="79">
        <f>IFERROR(IF(VLOOKUP(C659,C660:C1260,1,0)=0,1,0),1)</f>
        <v>1</v>
      </c>
      <c r="AP659" s="79"/>
      <c r="AQ659" s="243" t="str">
        <f t="shared" si="114"/>
        <v/>
      </c>
      <c r="AR659" s="242" t="b">
        <f>IF(AQ659="x",EOMONTH(I659,0))</f>
        <v>0</v>
      </c>
      <c r="AS659" s="79">
        <f t="shared" si="109"/>
        <v>1</v>
      </c>
      <c r="AT659" s="79">
        <f t="shared" si="110"/>
        <v>1</v>
      </c>
      <c r="AU659" s="79" t="str">
        <f t="shared" si="111"/>
        <v>B</v>
      </c>
      <c r="AV659" s="79">
        <f t="shared" si="115"/>
        <v>1</v>
      </c>
      <c r="AW659" s="79" t="str">
        <f>J659&amp;AU659</f>
        <v>6B</v>
      </c>
      <c r="AX659" s="79">
        <f>IF(COUNTIFS(J:J,"Integral",E:E,E659,H:H,"Ativo")=4,1/4,1/10)</f>
        <v>0.1</v>
      </c>
      <c r="AY659" s="79" t="s">
        <v>1320</v>
      </c>
      <c r="AZ659" s="79" t="b">
        <v>1</v>
      </c>
    </row>
    <row r="660" spans="1:52" ht="14.25" customHeight="1">
      <c r="A660" s="54">
        <v>687</v>
      </c>
      <c r="B660" s="405">
        <v>45386</v>
      </c>
      <c r="C660" s="32" t="s">
        <v>2036</v>
      </c>
      <c r="D660" s="32" t="s">
        <v>866</v>
      </c>
      <c r="E660" s="32" t="s">
        <v>575</v>
      </c>
      <c r="F660" s="32" t="s">
        <v>2037</v>
      </c>
      <c r="G660" s="60" t="s">
        <v>220</v>
      </c>
      <c r="H660" s="33" t="s">
        <v>90</v>
      </c>
      <c r="I660" s="34"/>
      <c r="J660" s="33">
        <v>6</v>
      </c>
      <c r="K660" s="56" t="s">
        <v>2022</v>
      </c>
      <c r="L660" s="35" t="s">
        <v>274</v>
      </c>
      <c r="M660" s="386" t="s">
        <v>246</v>
      </c>
      <c r="N660" s="33" t="s">
        <v>68</v>
      </c>
      <c r="O660" s="33" t="s">
        <v>10</v>
      </c>
      <c r="P660" s="33" t="s">
        <v>1</v>
      </c>
      <c r="Q660" s="47"/>
      <c r="R660" s="47"/>
      <c r="S660" s="45" t="s">
        <v>147</v>
      </c>
      <c r="T660" s="45"/>
      <c r="U660" s="37">
        <v>45382</v>
      </c>
      <c r="V660" s="38">
        <f t="shared" si="117"/>
        <v>45386</v>
      </c>
      <c r="W660" s="50">
        <f>V660-U660</f>
        <v>4</v>
      </c>
      <c r="X660" s="261">
        <f>ROUNDUP(Y660/(1+AC660),-3)</f>
        <v>423000</v>
      </c>
      <c r="Y660" s="260">
        <v>465000</v>
      </c>
      <c r="Z660" s="263">
        <v>315000</v>
      </c>
      <c r="AA660" s="35" t="s">
        <v>2034</v>
      </c>
      <c r="AB660" s="362">
        <v>1</v>
      </c>
      <c r="AC660" s="44">
        <v>0.1</v>
      </c>
      <c r="AD660" s="62" t="s">
        <v>2038</v>
      </c>
      <c r="AE660" s="289"/>
      <c r="AF660" s="65"/>
      <c r="AG660" s="291"/>
      <c r="AH660" s="65">
        <f t="shared" si="112"/>
        <v>150000</v>
      </c>
      <c r="AI660" s="242"/>
      <c r="AJ660" s="242"/>
      <c r="AK660" s="291">
        <v>26588.89</v>
      </c>
      <c r="AL660" s="40">
        <f t="shared" ref="AL660:AL723" si="119">AH660-AK660</f>
        <v>123411.11</v>
      </c>
      <c r="AM660" s="242">
        <f t="shared" si="118"/>
        <v>45412</v>
      </c>
      <c r="AN660" s="242" t="str">
        <f>IF(AQ660="x","",IF(AQ660="x",AM660,IF(EOMONTH(I660,0)=31,"",EOMONTH(I660,0))))</f>
        <v/>
      </c>
      <c r="AO660" s="79">
        <f>IFERROR(IF(VLOOKUP(C660,C661:C1261,1,0)=0,1,0),1)</f>
        <v>1</v>
      </c>
      <c r="AP660" s="79"/>
      <c r="AQ660" s="243" t="str">
        <f t="shared" si="114"/>
        <v/>
      </c>
      <c r="AR660" s="242" t="b">
        <f>IF(AQ660="x",EOMONTH(I660,0))</f>
        <v>0</v>
      </c>
      <c r="AS660" s="79">
        <f t="shared" si="109"/>
        <v>1</v>
      </c>
      <c r="AT660" s="79">
        <f t="shared" si="110"/>
        <v>1</v>
      </c>
      <c r="AU660" s="79" t="str">
        <f t="shared" si="111"/>
        <v>B</v>
      </c>
      <c r="AV660" s="79">
        <f t="shared" si="115"/>
        <v>1</v>
      </c>
      <c r="AW660" s="79" t="str">
        <f>J660&amp;AU660</f>
        <v>6B</v>
      </c>
      <c r="AX660" s="79">
        <f>IF(COUNTIFS(J:J,"Integral",E:E,E660,H:H,"Ativo")=4,1/4,1/10)</f>
        <v>0.1</v>
      </c>
      <c r="AY660" s="79" t="s">
        <v>1535</v>
      </c>
      <c r="AZ660" s="79" t="b">
        <v>1</v>
      </c>
    </row>
    <row r="661" spans="1:52" ht="13.5" customHeight="1">
      <c r="A661" s="54">
        <v>688</v>
      </c>
      <c r="B661" s="405">
        <v>45387</v>
      </c>
      <c r="C661" s="32" t="s">
        <v>2039</v>
      </c>
      <c r="D661" s="32" t="s">
        <v>2040</v>
      </c>
      <c r="E661" s="32" t="s">
        <v>1330</v>
      </c>
      <c r="F661" s="32" t="s">
        <v>2041</v>
      </c>
      <c r="G661" s="60" t="s">
        <v>220</v>
      </c>
      <c r="H661" s="33" t="s">
        <v>90</v>
      </c>
      <c r="I661" s="34"/>
      <c r="J661" s="33">
        <v>6</v>
      </c>
      <c r="K661" s="56" t="s">
        <v>289</v>
      </c>
      <c r="L661" s="56" t="s">
        <v>289</v>
      </c>
      <c r="M661" s="386" t="s">
        <v>246</v>
      </c>
      <c r="N661" s="33" t="s">
        <v>68</v>
      </c>
      <c r="O661" s="33" t="s">
        <v>10</v>
      </c>
      <c r="P661" s="33" t="s">
        <v>86</v>
      </c>
      <c r="Q661" s="47" t="s">
        <v>100</v>
      </c>
      <c r="R661" s="47"/>
      <c r="S661" s="45" t="s">
        <v>143</v>
      </c>
      <c r="T661" s="45"/>
      <c r="U661" s="37">
        <v>45017</v>
      </c>
      <c r="V661" s="38">
        <f t="shared" si="117"/>
        <v>45387</v>
      </c>
      <c r="W661" s="50">
        <f>V661-U661</f>
        <v>370</v>
      </c>
      <c r="X661" s="261">
        <f>ROUNDUP(Y661/(1+AC661),-3)</f>
        <v>416000</v>
      </c>
      <c r="Y661" s="260">
        <v>457000</v>
      </c>
      <c r="Z661" s="263">
        <v>320000</v>
      </c>
      <c r="AA661" s="35"/>
      <c r="AB661" s="362">
        <v>1</v>
      </c>
      <c r="AC661" s="44">
        <v>0.1</v>
      </c>
      <c r="AD661" s="62" t="s">
        <v>2042</v>
      </c>
      <c r="AE661" s="291"/>
      <c r="AF661" s="65"/>
      <c r="AG661" s="291"/>
      <c r="AH661" s="65">
        <f t="shared" si="112"/>
        <v>137000</v>
      </c>
      <c r="AI661" s="242"/>
      <c r="AJ661" s="242"/>
      <c r="AK661" s="291">
        <v>15936.12</v>
      </c>
      <c r="AL661" s="40">
        <f t="shared" si="119"/>
        <v>121063.88</v>
      </c>
      <c r="AM661" s="242">
        <f t="shared" si="118"/>
        <v>45412</v>
      </c>
      <c r="AN661" s="242" t="str">
        <f>IF(AQ661="x","",IF(AQ661="x",AM661,IF(EOMONTH(I661,0)=31,"",EOMONTH(I661,0))))</f>
        <v/>
      </c>
      <c r="AO661" s="79">
        <f>IFERROR(IF(VLOOKUP(C661,C662:C1262,1,0)=0,1,0),1)</f>
        <v>1</v>
      </c>
      <c r="AP661" s="79"/>
      <c r="AQ661" s="243" t="str">
        <f t="shared" si="114"/>
        <v/>
      </c>
      <c r="AR661" s="242" t="b">
        <f>IF(AQ661="x",EOMONTH(I661,0))</f>
        <v>0</v>
      </c>
      <c r="AS661" s="79">
        <f t="shared" si="109"/>
        <v>1</v>
      </c>
      <c r="AT661" s="79">
        <f t="shared" si="110"/>
        <v>1</v>
      </c>
      <c r="AU661" s="79" t="str">
        <f t="shared" si="111"/>
        <v>B</v>
      </c>
      <c r="AV661" s="79">
        <f t="shared" si="115"/>
        <v>1</v>
      </c>
      <c r="AW661" s="79" t="str">
        <f>J661&amp;AU661</f>
        <v>6B</v>
      </c>
      <c r="AX661" s="79">
        <f>IF(COUNTIFS(J:J,"Integral",E:E,E661,H:H,"Ativo")=4,1/4,1/10)</f>
        <v>0.1</v>
      </c>
      <c r="AY661" s="79" t="s">
        <v>1320</v>
      </c>
      <c r="AZ661" s="79" t="b">
        <v>1</v>
      </c>
    </row>
    <row r="662" spans="1:52" ht="12.75" customHeight="1">
      <c r="A662" s="54">
        <v>689</v>
      </c>
      <c r="B662" s="405">
        <v>45390</v>
      </c>
      <c r="C662" s="32" t="s">
        <v>2043</v>
      </c>
      <c r="D662" s="32" t="s">
        <v>1772</v>
      </c>
      <c r="E662" s="32" t="s">
        <v>1767</v>
      </c>
      <c r="F662" s="32" t="s">
        <v>2044</v>
      </c>
      <c r="G662" s="60" t="s">
        <v>220</v>
      </c>
      <c r="H662" s="33" t="s">
        <v>90</v>
      </c>
      <c r="I662" s="34"/>
      <c r="J662" s="33">
        <v>6</v>
      </c>
      <c r="K662" s="56" t="s">
        <v>1165</v>
      </c>
      <c r="L662" s="56" t="s">
        <v>1165</v>
      </c>
      <c r="M662" s="386" t="s">
        <v>1026</v>
      </c>
      <c r="N662" s="33" t="s">
        <v>68</v>
      </c>
      <c r="O662" s="33" t="s">
        <v>10</v>
      </c>
      <c r="P662" s="33" t="s">
        <v>2</v>
      </c>
      <c r="Q662" s="47" t="s">
        <v>102</v>
      </c>
      <c r="R662" s="47"/>
      <c r="S662" s="45" t="s">
        <v>143</v>
      </c>
      <c r="T662" s="45"/>
      <c r="U662" s="37">
        <v>45358</v>
      </c>
      <c r="V662" s="38">
        <f t="shared" si="117"/>
        <v>45390</v>
      </c>
      <c r="W662" s="50">
        <f>V662-U662</f>
        <v>32</v>
      </c>
      <c r="X662" s="261">
        <f>ROUNDUP(Y662/(1+AC662),-3)</f>
        <v>423000</v>
      </c>
      <c r="Y662" s="260">
        <v>465000</v>
      </c>
      <c r="Z662" s="263">
        <v>375000</v>
      </c>
      <c r="AA662" s="35"/>
      <c r="AB662" s="362">
        <v>1</v>
      </c>
      <c r="AC662" s="44">
        <v>0.1</v>
      </c>
      <c r="AD662" s="62" t="s">
        <v>2045</v>
      </c>
      <c r="AE662" s="291"/>
      <c r="AF662" s="65"/>
      <c r="AG662" s="291">
        <v>23075.31</v>
      </c>
      <c r="AH662" s="65">
        <f t="shared" si="112"/>
        <v>90000</v>
      </c>
      <c r="AI662" s="242"/>
      <c r="AJ662" s="242"/>
      <c r="AK662" s="291"/>
      <c r="AL662" s="40">
        <f t="shared" si="119"/>
        <v>90000</v>
      </c>
      <c r="AM662" s="242">
        <f t="shared" si="118"/>
        <v>45412</v>
      </c>
      <c r="AN662" s="242" t="str">
        <f>IF(AQ662="x","",IF(AQ662="x",AM662,IF(EOMONTH(I662,0)=31,"",EOMONTH(I662,0))))</f>
        <v/>
      </c>
      <c r="AO662" s="79">
        <f>IFERROR(IF(VLOOKUP(C662,C663:C1263,1,0)=0,1,0),1)</f>
        <v>1</v>
      </c>
      <c r="AP662" s="79"/>
      <c r="AQ662" s="243" t="str">
        <f t="shared" si="114"/>
        <v/>
      </c>
      <c r="AR662" s="242" t="b">
        <f>IF(AQ662="x",EOMONTH(I662,0))</f>
        <v>0</v>
      </c>
      <c r="AS662" s="79">
        <f t="shared" si="109"/>
        <v>1</v>
      </c>
      <c r="AT662" s="79">
        <f t="shared" si="110"/>
        <v>1</v>
      </c>
      <c r="AU662" s="79" t="str">
        <f t="shared" si="111"/>
        <v>B</v>
      </c>
      <c r="AV662" s="79">
        <f t="shared" si="115"/>
        <v>1</v>
      </c>
      <c r="AW662" s="79" t="str">
        <f>J662&amp;AU662</f>
        <v>6B</v>
      </c>
      <c r="AX662" s="79">
        <f>IF(COUNTIFS(J:J,"Integral",E:E,E662,H:H,"Ativo")=4,1/4,1/10)</f>
        <v>0.1</v>
      </c>
      <c r="AY662" s="79" t="s">
        <v>1332</v>
      </c>
      <c r="AZ662" s="79" t="b">
        <v>1</v>
      </c>
    </row>
    <row r="663" spans="1:52" ht="15.75" customHeight="1">
      <c r="A663" s="54">
        <v>691</v>
      </c>
      <c r="B663" s="405">
        <v>45398</v>
      </c>
      <c r="C663" s="32" t="s">
        <v>2046</v>
      </c>
      <c r="D663" s="32" t="s">
        <v>2047</v>
      </c>
      <c r="E663" s="32" t="s">
        <v>1330</v>
      </c>
      <c r="F663" s="32" t="s">
        <v>2048</v>
      </c>
      <c r="G663" s="60" t="s">
        <v>220</v>
      </c>
      <c r="H663" s="33" t="s">
        <v>90</v>
      </c>
      <c r="I663" s="34"/>
      <c r="J663" s="33">
        <v>6</v>
      </c>
      <c r="K663" s="35" t="s">
        <v>333</v>
      </c>
      <c r="L663" s="35" t="s">
        <v>333</v>
      </c>
      <c r="M663" s="386" t="s">
        <v>246</v>
      </c>
      <c r="N663" s="33" t="s">
        <v>68</v>
      </c>
      <c r="O663" s="33" t="s">
        <v>11</v>
      </c>
      <c r="P663" s="33" t="s">
        <v>86</v>
      </c>
      <c r="Q663" s="47" t="s">
        <v>100</v>
      </c>
      <c r="R663" s="47"/>
      <c r="S663" s="45" t="s">
        <v>143</v>
      </c>
      <c r="T663" s="45"/>
      <c r="U663" s="37">
        <v>44980</v>
      </c>
      <c r="V663" s="38">
        <f t="shared" si="117"/>
        <v>45398</v>
      </c>
      <c r="W663" s="50">
        <f>V663-U663</f>
        <v>418</v>
      </c>
      <c r="X663" s="261">
        <f>ROUNDUP(Y663/(1+AC663),-3)</f>
        <v>416000</v>
      </c>
      <c r="Y663" s="260">
        <v>457000</v>
      </c>
      <c r="Z663" s="263">
        <v>310000</v>
      </c>
      <c r="AA663" s="56"/>
      <c r="AB663" s="362" t="s">
        <v>2049</v>
      </c>
      <c r="AC663" s="44">
        <v>0.1</v>
      </c>
      <c r="AD663" s="62" t="s">
        <v>2050</v>
      </c>
      <c r="AE663" s="291"/>
      <c r="AF663" s="65"/>
      <c r="AG663" s="291"/>
      <c r="AH663" s="65">
        <f t="shared" si="112"/>
        <v>147000</v>
      </c>
      <c r="AI663" s="242"/>
      <c r="AJ663" s="242"/>
      <c r="AK663" s="291">
        <v>45364.23</v>
      </c>
      <c r="AL663" s="40">
        <f t="shared" si="119"/>
        <v>101635.76999999999</v>
      </c>
      <c r="AM663" s="242">
        <f t="shared" si="118"/>
        <v>45412</v>
      </c>
      <c r="AN663" s="242" t="str">
        <f>IF(AQ663="x","",IF(AQ663="x",AM663,IF(EOMONTH(I663,0)=31,"",EOMONTH(I663,0))))</f>
        <v/>
      </c>
      <c r="AO663" s="79">
        <f>IFERROR(IF(VLOOKUP(C663,C664:C1264,1,0)=0,1,0),1)</f>
        <v>1</v>
      </c>
      <c r="AP663" s="79"/>
      <c r="AQ663" s="243" t="str">
        <f t="shared" si="114"/>
        <v/>
      </c>
      <c r="AR663" s="242" t="b">
        <f>IF(AQ663="x",EOMONTH(I663,0))</f>
        <v>0</v>
      </c>
      <c r="AS663" s="79">
        <f t="shared" si="109"/>
        <v>1</v>
      </c>
      <c r="AT663" s="79">
        <f t="shared" si="110"/>
        <v>1</v>
      </c>
      <c r="AU663" s="79" t="str">
        <f t="shared" si="111"/>
        <v>B</v>
      </c>
      <c r="AV663" s="79">
        <f t="shared" si="115"/>
        <v>1</v>
      </c>
      <c r="AW663" s="79" t="str">
        <f>J663&amp;AU663</f>
        <v>6B</v>
      </c>
      <c r="AX663" s="79">
        <f>IF(COUNTIFS(J:J,"Integral",E:E,E663,H:H,"Ativo")=4,1/4,1/10)</f>
        <v>0.1</v>
      </c>
      <c r="AY663" s="79" t="s">
        <v>2051</v>
      </c>
      <c r="AZ663" s="79" t="b">
        <v>1</v>
      </c>
    </row>
    <row r="664" spans="1:52" ht="15.75" customHeight="1">
      <c r="A664" s="54">
        <v>692</v>
      </c>
      <c r="B664" s="405">
        <v>45401</v>
      </c>
      <c r="C664" s="32" t="s">
        <v>2052</v>
      </c>
      <c r="D664" s="32" t="s">
        <v>2053</v>
      </c>
      <c r="E664" s="32" t="s">
        <v>1330</v>
      </c>
      <c r="F664" s="32" t="s">
        <v>2054</v>
      </c>
      <c r="G664" s="60" t="s">
        <v>220</v>
      </c>
      <c r="H664" s="33" t="s">
        <v>90</v>
      </c>
      <c r="I664" s="34"/>
      <c r="J664" s="33">
        <v>6</v>
      </c>
      <c r="K664" s="56" t="s">
        <v>2022</v>
      </c>
      <c r="L664" s="56" t="s">
        <v>2022</v>
      </c>
      <c r="M664" s="386" t="s">
        <v>246</v>
      </c>
      <c r="N664" s="33" t="s">
        <v>68</v>
      </c>
      <c r="O664" s="33" t="s">
        <v>12</v>
      </c>
      <c r="P664" s="33" t="s">
        <v>1</v>
      </c>
      <c r="Q664" s="47"/>
      <c r="R664" s="47"/>
      <c r="S664" s="45" t="s">
        <v>147</v>
      </c>
      <c r="T664" s="45"/>
      <c r="U664" s="37">
        <v>45398</v>
      </c>
      <c r="V664" s="38">
        <f t="shared" si="117"/>
        <v>45401</v>
      </c>
      <c r="W664" s="50">
        <f>V664-U664</f>
        <v>3</v>
      </c>
      <c r="X664" s="261">
        <f>ROUNDUP(Y664/(1+AC664),-3)</f>
        <v>416000</v>
      </c>
      <c r="Y664" s="260">
        <v>457000</v>
      </c>
      <c r="Z664" s="263">
        <v>456880</v>
      </c>
      <c r="AA664" s="56" t="s">
        <v>911</v>
      </c>
      <c r="AB664" s="362" t="s">
        <v>2055</v>
      </c>
      <c r="AC664" s="44">
        <v>0.1</v>
      </c>
      <c r="AD664" s="62" t="s">
        <v>2056</v>
      </c>
      <c r="AE664" s="291"/>
      <c r="AF664" s="65"/>
      <c r="AG664" s="291">
        <v>17010.7</v>
      </c>
      <c r="AH664" s="65">
        <f t="shared" si="112"/>
        <v>120</v>
      </c>
      <c r="AI664" s="242"/>
      <c r="AJ664" s="242"/>
      <c r="AK664" s="291"/>
      <c r="AL664" s="40">
        <f t="shared" si="119"/>
        <v>120</v>
      </c>
      <c r="AM664" s="242">
        <f t="shared" si="118"/>
        <v>45412</v>
      </c>
      <c r="AN664" s="242" t="str">
        <f>IF(AQ664="x","",IF(AQ664="x",AM664,IF(EOMONTH(I664,0)=31,"",EOMONTH(I664,0))))</f>
        <v/>
      </c>
      <c r="AO664" s="79">
        <f>IFERROR(IF(VLOOKUP(C664,C665:C1264,1,0)=0,1,0),1)</f>
        <v>1</v>
      </c>
      <c r="AP664" s="79"/>
      <c r="AQ664" s="243" t="str">
        <f t="shared" si="114"/>
        <v/>
      </c>
      <c r="AR664" s="242" t="b">
        <f>IF(AQ664="x",EOMONTH(I664,0))</f>
        <v>0</v>
      </c>
      <c r="AS664" s="79">
        <f t="shared" si="109"/>
        <v>1</v>
      </c>
      <c r="AT664" s="79">
        <f t="shared" si="110"/>
        <v>1</v>
      </c>
      <c r="AU664" s="79" t="str">
        <f t="shared" si="111"/>
        <v>B</v>
      </c>
      <c r="AV664" s="79">
        <f t="shared" si="115"/>
        <v>1</v>
      </c>
      <c r="AW664" s="79" t="str">
        <f>J664&amp;AU664</f>
        <v>6B</v>
      </c>
      <c r="AX664" s="79">
        <f>IF(COUNTIFS(J:J,"Integral",E:E,E664,H:H,"Ativo")=4,1/4,1/10)</f>
        <v>0.1</v>
      </c>
      <c r="AY664" s="79" t="s">
        <v>1320</v>
      </c>
      <c r="AZ664" s="79" t="b">
        <v>1</v>
      </c>
    </row>
    <row r="665" spans="1:52" ht="15.75" customHeight="1">
      <c r="A665" s="54">
        <v>693</v>
      </c>
      <c r="B665" s="405">
        <v>45401</v>
      </c>
      <c r="C665" s="32" t="s">
        <v>2057</v>
      </c>
      <c r="D665" s="32" t="s">
        <v>2058</v>
      </c>
      <c r="E665" s="32" t="s">
        <v>1330</v>
      </c>
      <c r="F665" s="32" t="s">
        <v>2059</v>
      </c>
      <c r="G665" s="60" t="s">
        <v>220</v>
      </c>
      <c r="H665" s="33" t="s">
        <v>90</v>
      </c>
      <c r="I665" s="34"/>
      <c r="J665" s="33">
        <v>6</v>
      </c>
      <c r="K665" s="56" t="s">
        <v>1603</v>
      </c>
      <c r="L665" s="56" t="s">
        <v>1603</v>
      </c>
      <c r="M665" s="386" t="s">
        <v>1026</v>
      </c>
      <c r="N665" s="33" t="s">
        <v>68</v>
      </c>
      <c r="O665" s="33" t="s">
        <v>12</v>
      </c>
      <c r="P665" s="33" t="s">
        <v>1</v>
      </c>
      <c r="Q665" s="47"/>
      <c r="R665" s="47"/>
      <c r="S665" s="45" t="s">
        <v>145</v>
      </c>
      <c r="T665" s="45"/>
      <c r="U665" s="37">
        <v>45401</v>
      </c>
      <c r="V665" s="38">
        <f t="shared" si="117"/>
        <v>45401</v>
      </c>
      <c r="W665" s="50">
        <f>V665-U665</f>
        <v>0</v>
      </c>
      <c r="X665" s="261">
        <f>ROUNDUP(Y665/(1+AC665),-3)</f>
        <v>416000</v>
      </c>
      <c r="Y665" s="260">
        <v>457000</v>
      </c>
      <c r="Z665" s="263">
        <v>380000</v>
      </c>
      <c r="AA665" s="35" t="s">
        <v>999</v>
      </c>
      <c r="AB665" s="362" t="s">
        <v>2060</v>
      </c>
      <c r="AC665" s="44">
        <v>0.1</v>
      </c>
      <c r="AD665" s="62" t="s">
        <v>2061</v>
      </c>
      <c r="AE665" s="291"/>
      <c r="AF665" s="65"/>
      <c r="AG665" s="291"/>
      <c r="AH665" s="65">
        <f t="shared" si="112"/>
        <v>77000</v>
      </c>
      <c r="AI665" s="242"/>
      <c r="AJ665" s="242"/>
      <c r="AK665" s="291">
        <v>40106.28</v>
      </c>
      <c r="AL665" s="40">
        <f t="shared" si="119"/>
        <v>36893.72</v>
      </c>
      <c r="AM665" s="242">
        <f t="shared" si="118"/>
        <v>45412</v>
      </c>
      <c r="AN665" s="242" t="str">
        <f>IF(AQ665="x","",IF(AQ665="x",AM665,IF(EOMONTH(I665,0)=31,"",EOMONTH(I665,0))))</f>
        <v/>
      </c>
      <c r="AO665" s="79">
        <f>IFERROR(IF(VLOOKUP(C665,C666:C1266,1,0)=0,1,0),1)</f>
        <v>1</v>
      </c>
      <c r="AP665" s="79"/>
      <c r="AQ665" s="243" t="str">
        <f t="shared" si="114"/>
        <v/>
      </c>
      <c r="AR665" s="242" t="b">
        <f>IF(AQ665="x",EOMONTH(I665,0))</f>
        <v>0</v>
      </c>
      <c r="AS665" s="79">
        <f t="shared" si="109"/>
        <v>1</v>
      </c>
      <c r="AT665" s="79">
        <f t="shared" si="110"/>
        <v>1</v>
      </c>
      <c r="AU665" s="79" t="str">
        <f t="shared" si="111"/>
        <v>B</v>
      </c>
      <c r="AV665" s="79">
        <f t="shared" si="115"/>
        <v>1</v>
      </c>
      <c r="AW665" s="79" t="str">
        <f>J665&amp;AU665</f>
        <v>6B</v>
      </c>
      <c r="AX665" s="79">
        <f>IF(COUNTIFS(J:J,"Integral",E:E,E665,H:H,"Ativo")=4,1/4,1/10)</f>
        <v>0.1</v>
      </c>
      <c r="AY665" s="79" t="s">
        <v>1320</v>
      </c>
      <c r="AZ665" s="79" t="b">
        <v>1</v>
      </c>
    </row>
    <row r="666" spans="1:52" ht="15.75" customHeight="1">
      <c r="A666" s="54">
        <v>694</v>
      </c>
      <c r="B666" s="406">
        <v>45402</v>
      </c>
      <c r="C666" s="32" t="s">
        <v>2062</v>
      </c>
      <c r="D666" s="32" t="s">
        <v>2063</v>
      </c>
      <c r="E666" s="32" t="s">
        <v>2064</v>
      </c>
      <c r="F666" s="32" t="s">
        <v>2065</v>
      </c>
      <c r="G666" s="60" t="s">
        <v>220</v>
      </c>
      <c r="H666" s="33" t="s">
        <v>90</v>
      </c>
      <c r="I666" s="34"/>
      <c r="J666" s="33" t="s">
        <v>1701</v>
      </c>
      <c r="K666" s="35" t="s">
        <v>333</v>
      </c>
      <c r="L666" s="35" t="s">
        <v>333</v>
      </c>
      <c r="M666" s="386" t="s">
        <v>246</v>
      </c>
      <c r="N666" s="33" t="s">
        <v>68</v>
      </c>
      <c r="O666" s="33" t="s">
        <v>12</v>
      </c>
      <c r="P666" s="33" t="s">
        <v>1</v>
      </c>
      <c r="Q666" s="47"/>
      <c r="R666" s="47"/>
      <c r="S666" s="45" t="s">
        <v>147</v>
      </c>
      <c r="T666" s="45"/>
      <c r="U666" s="37">
        <v>45396</v>
      </c>
      <c r="V666" s="38">
        <f t="shared" si="117"/>
        <v>45402</v>
      </c>
      <c r="W666" s="50">
        <f>V666-U666</f>
        <v>6</v>
      </c>
      <c r="X666" s="261">
        <f>ROUNDUP(Y666/(1+AC666),-3)</f>
        <v>380000</v>
      </c>
      <c r="Y666" s="260">
        <v>417200</v>
      </c>
      <c r="Z666" s="263">
        <v>281300</v>
      </c>
      <c r="AA666" s="56" t="s">
        <v>1671</v>
      </c>
      <c r="AB666" s="362">
        <v>0.2</v>
      </c>
      <c r="AC666" s="44">
        <v>0.1</v>
      </c>
      <c r="AD666" s="62" t="s">
        <v>2066</v>
      </c>
      <c r="AE666" s="291"/>
      <c r="AF666" s="65"/>
      <c r="AG666" s="291"/>
      <c r="AH666" s="65">
        <f t="shared" si="112"/>
        <v>135900</v>
      </c>
      <c r="AI666" s="76"/>
      <c r="AJ666" s="76"/>
      <c r="AK666" s="291">
        <v>80091.289999999994</v>
      </c>
      <c r="AL666" s="40">
        <f t="shared" si="119"/>
        <v>55808.710000000006</v>
      </c>
      <c r="AM666" s="76">
        <f t="shared" si="118"/>
        <v>45412</v>
      </c>
      <c r="AN666" s="76" t="str">
        <f>IF(AQ666="x","",IF(AQ666="x",AM666,IF(EOMONTH(I666,0)=31,"",EOMONTH(I666,0))))</f>
        <v/>
      </c>
      <c r="AO666" s="74">
        <f>IFERROR(IF(VLOOKUP(C666,C667:C1267,1,0)=0,1,0),1)</f>
        <v>0</v>
      </c>
      <c r="AP666" s="74"/>
      <c r="AQ666" s="77" t="str">
        <f t="shared" si="114"/>
        <v/>
      </c>
      <c r="AR666" s="76" t="b">
        <f>IF(AQ666="x",EOMONTH(I666,0))</f>
        <v>0</v>
      </c>
      <c r="AS666" s="74">
        <f t="shared" si="109"/>
        <v>1</v>
      </c>
      <c r="AT666" s="74">
        <f t="shared" si="110"/>
        <v>1</v>
      </c>
      <c r="AU666" s="74" t="str">
        <f t="shared" si="111"/>
        <v>B</v>
      </c>
      <c r="AV666" s="74">
        <f t="shared" si="115"/>
        <v>1</v>
      </c>
      <c r="AW666" s="74" t="str">
        <f>J666&amp;AU666</f>
        <v>INTEGRALB</v>
      </c>
      <c r="AX666" s="74">
        <f>IF(COUNTIFS(J:J,"Integral",E:E,E666,H:H,"Ativo")=4,1/4,1/10)</f>
        <v>0.1</v>
      </c>
      <c r="AY666" s="79" t="s">
        <v>1320</v>
      </c>
      <c r="AZ666" s="74" t="b">
        <v>1</v>
      </c>
    </row>
    <row r="667" spans="1:52" ht="15.75" customHeight="1">
      <c r="A667" s="54">
        <v>695</v>
      </c>
      <c r="B667" s="405">
        <v>45402</v>
      </c>
      <c r="C667" s="32" t="s">
        <v>2067</v>
      </c>
      <c r="D667" s="32" t="s">
        <v>2068</v>
      </c>
      <c r="E667" s="32" t="s">
        <v>2069</v>
      </c>
      <c r="F667" s="32" t="s">
        <v>2070</v>
      </c>
      <c r="G667" s="60" t="s">
        <v>220</v>
      </c>
      <c r="H667" s="33" t="s">
        <v>90</v>
      </c>
      <c r="I667" s="34"/>
      <c r="J667" s="33">
        <v>6</v>
      </c>
      <c r="K667" s="56" t="s">
        <v>1755</v>
      </c>
      <c r="L667" s="56" t="s">
        <v>1755</v>
      </c>
      <c r="M667" s="386" t="s">
        <v>1755</v>
      </c>
      <c r="N667" s="33" t="s">
        <v>73</v>
      </c>
      <c r="O667" s="33" t="s">
        <v>10</v>
      </c>
      <c r="P667" s="33" t="s">
        <v>85</v>
      </c>
      <c r="Q667" s="47"/>
      <c r="R667" s="47"/>
      <c r="S667" s="45" t="s">
        <v>147</v>
      </c>
      <c r="T667" s="45"/>
      <c r="U667" s="37">
        <v>45402</v>
      </c>
      <c r="V667" s="38">
        <f t="shared" si="117"/>
        <v>45402</v>
      </c>
      <c r="W667" s="50">
        <f>V667-U667</f>
        <v>0</v>
      </c>
      <c r="X667" s="261">
        <f>ROUNDUP(Y667/(1+AC667),-3)</f>
        <v>416000</v>
      </c>
      <c r="Y667" s="260">
        <v>457000</v>
      </c>
      <c r="Z667" s="263">
        <v>314670</v>
      </c>
      <c r="AA667" s="35"/>
      <c r="AB667" s="362">
        <v>1</v>
      </c>
      <c r="AC667" s="44">
        <v>0.1</v>
      </c>
      <c r="AD667" s="62" t="s">
        <v>2071</v>
      </c>
      <c r="AE667" s="291"/>
      <c r="AF667" s="65"/>
      <c r="AG667" s="291"/>
      <c r="AH667" s="65">
        <f t="shared" si="112"/>
        <v>142330</v>
      </c>
      <c r="AI667" s="242"/>
      <c r="AJ667" s="242"/>
      <c r="AK667" s="291">
        <v>21266.12</v>
      </c>
      <c r="AL667" s="40">
        <f t="shared" si="119"/>
        <v>121063.88</v>
      </c>
      <c r="AM667" s="242">
        <f t="shared" si="118"/>
        <v>45412</v>
      </c>
      <c r="AN667" s="242" t="str">
        <f>IF(AQ667="x","",IF(AQ667="x",AM667,IF(EOMONTH(I667,0)=31,"",EOMONTH(I667,0))))</f>
        <v/>
      </c>
      <c r="AO667" s="79">
        <f>IFERROR(IF(VLOOKUP(C667,C668:C1268,1,0)=0,1,0),1)</f>
        <v>1</v>
      </c>
      <c r="AP667" s="79"/>
      <c r="AQ667" s="243" t="str">
        <f t="shared" si="114"/>
        <v/>
      </c>
      <c r="AR667" s="242" t="b">
        <f>IF(AQ667="x",EOMONTH(I667,0))</f>
        <v>0</v>
      </c>
      <c r="AS667" s="79">
        <f t="shared" si="109"/>
        <v>1</v>
      </c>
      <c r="AT667" s="79">
        <f t="shared" si="110"/>
        <v>1</v>
      </c>
      <c r="AU667" s="79" t="str">
        <f t="shared" si="111"/>
        <v>B</v>
      </c>
      <c r="AV667" s="79">
        <f t="shared" si="115"/>
        <v>1</v>
      </c>
      <c r="AW667" s="79" t="str">
        <f>J667&amp;AU667</f>
        <v>6B</v>
      </c>
      <c r="AX667" s="79">
        <f>IF(COUNTIFS(J:J,"Integral",E:E,E667,H:H,"Ativo")=4,1/4,1/10)</f>
        <v>0.1</v>
      </c>
      <c r="AY667" s="79" t="s">
        <v>1535</v>
      </c>
      <c r="AZ667" s="79" t="b">
        <v>1</v>
      </c>
    </row>
    <row r="668" spans="1:52" ht="15.75" customHeight="1">
      <c r="A668" s="54">
        <v>696</v>
      </c>
      <c r="B668" s="406">
        <v>45402</v>
      </c>
      <c r="C668" s="32" t="s">
        <v>2062</v>
      </c>
      <c r="D668" s="32" t="s">
        <v>2072</v>
      </c>
      <c r="E668" s="32" t="s">
        <v>2064</v>
      </c>
      <c r="F668" s="32" t="s">
        <v>2073</v>
      </c>
      <c r="G668" s="60" t="s">
        <v>220</v>
      </c>
      <c r="H668" s="33" t="s">
        <v>90</v>
      </c>
      <c r="I668" s="34"/>
      <c r="J668" s="33" t="s">
        <v>1701</v>
      </c>
      <c r="K668" s="35" t="s">
        <v>333</v>
      </c>
      <c r="L668" s="35" t="s">
        <v>333</v>
      </c>
      <c r="M668" s="386" t="s">
        <v>246</v>
      </c>
      <c r="N668" s="33" t="s">
        <v>68</v>
      </c>
      <c r="O668" s="33" t="s">
        <v>12</v>
      </c>
      <c r="P668" s="33" t="s">
        <v>1</v>
      </c>
      <c r="Q668" s="47"/>
      <c r="R668" s="47"/>
      <c r="S668" s="45" t="s">
        <v>147</v>
      </c>
      <c r="T668" s="45"/>
      <c r="U668" s="37">
        <v>45396</v>
      </c>
      <c r="V668" s="38">
        <f t="shared" si="117"/>
        <v>45402</v>
      </c>
      <c r="W668" s="50">
        <f>V668-U668</f>
        <v>6</v>
      </c>
      <c r="X668" s="261">
        <f>ROUNDUP(Y668/(1+AC668),-3)</f>
        <v>380000</v>
      </c>
      <c r="Y668" s="260">
        <v>417200</v>
      </c>
      <c r="Z668" s="263">
        <v>281300</v>
      </c>
      <c r="AA668" s="56" t="s">
        <v>1671</v>
      </c>
      <c r="AB668" s="362">
        <v>0.2</v>
      </c>
      <c r="AC668" s="44">
        <v>0.1</v>
      </c>
      <c r="AD668" s="62" t="s">
        <v>2066</v>
      </c>
      <c r="AE668" s="291"/>
      <c r="AF668" s="65"/>
      <c r="AG668" s="291"/>
      <c r="AH668" s="65">
        <f t="shared" si="112"/>
        <v>135900</v>
      </c>
      <c r="AI668" s="242"/>
      <c r="AJ668" s="242"/>
      <c r="AK668" s="291">
        <v>80091.210000000006</v>
      </c>
      <c r="AL668" s="40">
        <f t="shared" si="119"/>
        <v>55808.789999999994</v>
      </c>
      <c r="AM668" s="242">
        <f t="shared" si="118"/>
        <v>45412</v>
      </c>
      <c r="AN668" s="242" t="str">
        <f>IF(AQ668="x","",IF(AQ668="x",AM668,IF(EOMONTH(I668,0)=31,"",EOMONTH(I668,0))))</f>
        <v/>
      </c>
      <c r="AO668" s="79">
        <f>IFERROR(IF(VLOOKUP(C668,C669:C1269,1,0)=0,1,0),1)</f>
        <v>0</v>
      </c>
      <c r="AP668" s="79"/>
      <c r="AQ668" s="243" t="str">
        <f t="shared" si="114"/>
        <v/>
      </c>
      <c r="AR668" s="242" t="b">
        <f>IF(AQ668="x",EOMONTH(I668,0))</f>
        <v>0</v>
      </c>
      <c r="AS668" s="79">
        <f t="shared" si="109"/>
        <v>1</v>
      </c>
      <c r="AT668" s="79">
        <f t="shared" si="110"/>
        <v>1</v>
      </c>
      <c r="AU668" s="79" t="str">
        <f t="shared" si="111"/>
        <v>B</v>
      </c>
      <c r="AV668" s="79">
        <f t="shared" si="115"/>
        <v>1</v>
      </c>
      <c r="AW668" s="79" t="str">
        <f>J668&amp;AU668</f>
        <v>INTEGRALB</v>
      </c>
      <c r="AX668" s="79">
        <f>IF(COUNTIFS(J:J,"Integral",E:E,E668,H:H,"Ativo")=4,1/4,1/10)</f>
        <v>0.1</v>
      </c>
      <c r="AY668" s="79" t="s">
        <v>1320</v>
      </c>
      <c r="AZ668" s="79" t="b">
        <v>1</v>
      </c>
    </row>
    <row r="669" spans="1:52" ht="15.75" customHeight="1">
      <c r="A669" s="54">
        <v>697</v>
      </c>
      <c r="B669" s="406">
        <v>45402</v>
      </c>
      <c r="C669" s="32" t="s">
        <v>2062</v>
      </c>
      <c r="D669" s="32" t="s">
        <v>2074</v>
      </c>
      <c r="E669" s="32" t="s">
        <v>2064</v>
      </c>
      <c r="F669" s="32" t="s">
        <v>2075</v>
      </c>
      <c r="G669" s="60" t="s">
        <v>220</v>
      </c>
      <c r="H669" s="33" t="s">
        <v>90</v>
      </c>
      <c r="I669" s="34"/>
      <c r="J669" s="33" t="s">
        <v>1701</v>
      </c>
      <c r="K669" s="35" t="s">
        <v>333</v>
      </c>
      <c r="L669" s="35" t="s">
        <v>333</v>
      </c>
      <c r="M669" s="386" t="s">
        <v>246</v>
      </c>
      <c r="N669" s="33" t="s">
        <v>68</v>
      </c>
      <c r="O669" s="33" t="s">
        <v>12</v>
      </c>
      <c r="P669" s="33" t="s">
        <v>1</v>
      </c>
      <c r="Q669" s="47"/>
      <c r="R669" s="47"/>
      <c r="S669" s="45" t="s">
        <v>147</v>
      </c>
      <c r="T669" s="45"/>
      <c r="U669" s="37">
        <v>45396</v>
      </c>
      <c r="V669" s="38">
        <f t="shared" si="117"/>
        <v>45402</v>
      </c>
      <c r="W669" s="50">
        <f>V669-U669</f>
        <v>6</v>
      </c>
      <c r="X669" s="261">
        <f>ROUNDUP(Y669/(1+AC669),-3)</f>
        <v>380000</v>
      </c>
      <c r="Y669" s="260">
        <v>417200</v>
      </c>
      <c r="Z669" s="263">
        <v>281300</v>
      </c>
      <c r="AA669" s="56" t="s">
        <v>1671</v>
      </c>
      <c r="AB669" s="362">
        <v>0.2</v>
      </c>
      <c r="AC669" s="44">
        <v>0.1</v>
      </c>
      <c r="AD669" s="62" t="s">
        <v>2066</v>
      </c>
      <c r="AE669" s="291"/>
      <c r="AF669" s="65"/>
      <c r="AG669" s="291"/>
      <c r="AH669" s="65">
        <f t="shared" si="112"/>
        <v>135900</v>
      </c>
      <c r="AI669" s="242"/>
      <c r="AJ669" s="242"/>
      <c r="AK669" s="291">
        <v>80091.210000000006</v>
      </c>
      <c r="AL669" s="40">
        <f t="shared" si="119"/>
        <v>55808.789999999994</v>
      </c>
      <c r="AM669" s="242">
        <f t="shared" si="118"/>
        <v>45412</v>
      </c>
      <c r="AN669" s="242" t="str">
        <f>IF(AQ669="x","",IF(AQ669="x",AM669,IF(EOMONTH(I669,0)=31,"",EOMONTH(I669,0))))</f>
        <v/>
      </c>
      <c r="AO669" s="79">
        <f>IFERROR(IF(VLOOKUP(C669,C670:C1270,1,0)=0,1,0),1)</f>
        <v>0</v>
      </c>
      <c r="AP669" s="79"/>
      <c r="AQ669" s="243" t="str">
        <f t="shared" si="114"/>
        <v/>
      </c>
      <c r="AR669" s="242" t="b">
        <f>IF(AQ669="x",EOMONTH(I669,0))</f>
        <v>0</v>
      </c>
      <c r="AS669" s="79">
        <f t="shared" si="109"/>
        <v>1</v>
      </c>
      <c r="AT669" s="79">
        <f t="shared" si="110"/>
        <v>1</v>
      </c>
      <c r="AU669" s="79" t="str">
        <f t="shared" si="111"/>
        <v>B</v>
      </c>
      <c r="AV669" s="79">
        <f t="shared" si="115"/>
        <v>1</v>
      </c>
      <c r="AW669" s="79" t="str">
        <f>J669&amp;AU669</f>
        <v>INTEGRALB</v>
      </c>
      <c r="AX669" s="79">
        <f>IF(COUNTIFS(J:J,"Integral",E:E,E669,H:H,"Ativo")=4,1/4,1/10)</f>
        <v>0.1</v>
      </c>
      <c r="AY669" s="79" t="s">
        <v>1320</v>
      </c>
      <c r="AZ669" s="79" t="b">
        <v>1</v>
      </c>
    </row>
    <row r="670" spans="1:52" ht="15.75" customHeight="1">
      <c r="A670" s="54">
        <v>698</v>
      </c>
      <c r="B670" s="406">
        <v>45402</v>
      </c>
      <c r="C670" s="32" t="s">
        <v>2062</v>
      </c>
      <c r="D670" s="32" t="s">
        <v>2076</v>
      </c>
      <c r="E670" s="32" t="s">
        <v>2064</v>
      </c>
      <c r="F670" s="32" t="s">
        <v>2077</v>
      </c>
      <c r="G670" s="60" t="s">
        <v>220</v>
      </c>
      <c r="H670" s="33" t="s">
        <v>90</v>
      </c>
      <c r="I670" s="34"/>
      <c r="J670" s="33" t="s">
        <v>1701</v>
      </c>
      <c r="K670" s="35" t="s">
        <v>333</v>
      </c>
      <c r="L670" s="35" t="s">
        <v>333</v>
      </c>
      <c r="M670" s="386" t="s">
        <v>246</v>
      </c>
      <c r="N670" s="33" t="s">
        <v>68</v>
      </c>
      <c r="O670" s="33" t="s">
        <v>12</v>
      </c>
      <c r="P670" s="33" t="s">
        <v>1</v>
      </c>
      <c r="Q670" s="47"/>
      <c r="R670" s="47"/>
      <c r="S670" s="45" t="s">
        <v>147</v>
      </c>
      <c r="T670" s="45"/>
      <c r="U670" s="37">
        <v>45396</v>
      </c>
      <c r="V670" s="38">
        <f t="shared" si="117"/>
        <v>45402</v>
      </c>
      <c r="W670" s="50">
        <f>V670-U670</f>
        <v>6</v>
      </c>
      <c r="X670" s="261">
        <f>ROUNDUP(Y670/(1+AC670),-3)</f>
        <v>380000</v>
      </c>
      <c r="Y670" s="260">
        <v>417200</v>
      </c>
      <c r="Z670" s="263">
        <v>281300</v>
      </c>
      <c r="AA670" s="56" t="s">
        <v>1671</v>
      </c>
      <c r="AB670" s="362">
        <v>0.2</v>
      </c>
      <c r="AC670" s="44">
        <v>0.1</v>
      </c>
      <c r="AD670" s="62" t="s">
        <v>2066</v>
      </c>
      <c r="AE670" s="291"/>
      <c r="AF670" s="65"/>
      <c r="AG670" s="291"/>
      <c r="AH670" s="65">
        <f t="shared" si="112"/>
        <v>135900</v>
      </c>
      <c r="AI670" s="242"/>
      <c r="AJ670" s="242"/>
      <c r="AK670" s="291">
        <v>80091.210000000006</v>
      </c>
      <c r="AL670" s="40">
        <f t="shared" si="119"/>
        <v>55808.789999999994</v>
      </c>
      <c r="AM670" s="242">
        <f t="shared" si="118"/>
        <v>45412</v>
      </c>
      <c r="AN670" s="242" t="str">
        <f>IF(AQ670="x","",IF(AQ670="x",AM670,IF(EOMONTH(I670,0)=31,"",EOMONTH(I670,0))))</f>
        <v/>
      </c>
      <c r="AO670" s="79">
        <f>IFERROR(IF(VLOOKUP(C670,C671:C1271,1,0)=0,1,0),1)</f>
        <v>0</v>
      </c>
      <c r="AP670" s="79"/>
      <c r="AQ670" s="243" t="str">
        <f t="shared" si="114"/>
        <v/>
      </c>
      <c r="AR670" s="242" t="b">
        <f>IF(AQ670="x",EOMONTH(I670,0))</f>
        <v>0</v>
      </c>
      <c r="AS670" s="79">
        <f t="shared" si="109"/>
        <v>1</v>
      </c>
      <c r="AT670" s="79">
        <f t="shared" si="110"/>
        <v>1</v>
      </c>
      <c r="AU670" s="79" t="str">
        <f t="shared" si="111"/>
        <v>B</v>
      </c>
      <c r="AV670" s="79">
        <f t="shared" si="115"/>
        <v>1</v>
      </c>
      <c r="AW670" s="79" t="str">
        <f>J670&amp;AU670</f>
        <v>INTEGRALB</v>
      </c>
      <c r="AX670" s="79">
        <f>IF(COUNTIFS(J:J,"Integral",E:E,E670,H:H,"Ativo")=4,1/4,1/10)</f>
        <v>0.1</v>
      </c>
      <c r="AY670" s="79" t="s">
        <v>1320</v>
      </c>
      <c r="AZ670" s="79" t="b">
        <v>1</v>
      </c>
    </row>
    <row r="671" spans="1:52" ht="15.75" customHeight="1">
      <c r="A671" s="54">
        <v>699</v>
      </c>
      <c r="B671" s="406">
        <v>45402</v>
      </c>
      <c r="C671" s="32" t="s">
        <v>2062</v>
      </c>
      <c r="D671" s="32" t="s">
        <v>2078</v>
      </c>
      <c r="E671" s="32" t="s">
        <v>2064</v>
      </c>
      <c r="F671" s="32" t="s">
        <v>2079</v>
      </c>
      <c r="G671" s="60" t="s">
        <v>220</v>
      </c>
      <c r="H671" s="33" t="s">
        <v>90</v>
      </c>
      <c r="I671" s="34"/>
      <c r="J671" s="33" t="s">
        <v>1701</v>
      </c>
      <c r="K671" s="35" t="s">
        <v>333</v>
      </c>
      <c r="L671" s="35" t="s">
        <v>333</v>
      </c>
      <c r="M671" s="386" t="s">
        <v>246</v>
      </c>
      <c r="N671" s="33" t="s">
        <v>68</v>
      </c>
      <c r="O671" s="33" t="s">
        <v>12</v>
      </c>
      <c r="P671" s="33" t="s">
        <v>1</v>
      </c>
      <c r="Q671" s="47"/>
      <c r="R671" s="47"/>
      <c r="S671" s="45" t="s">
        <v>147</v>
      </c>
      <c r="T671" s="45"/>
      <c r="U671" s="37">
        <v>45396</v>
      </c>
      <c r="V671" s="38">
        <f t="shared" si="117"/>
        <v>45402</v>
      </c>
      <c r="W671" s="50">
        <f>V671-U671</f>
        <v>6</v>
      </c>
      <c r="X671" s="261">
        <f>ROUNDUP(Y671/(1+AC671),-3)</f>
        <v>380000</v>
      </c>
      <c r="Y671" s="260">
        <v>417200</v>
      </c>
      <c r="Z671" s="263">
        <v>281300</v>
      </c>
      <c r="AA671" s="56" t="s">
        <v>1671</v>
      </c>
      <c r="AB671" s="362">
        <v>0.2</v>
      </c>
      <c r="AC671" s="44">
        <v>0.1</v>
      </c>
      <c r="AD671" s="62" t="s">
        <v>2066</v>
      </c>
      <c r="AE671" s="291"/>
      <c r="AF671" s="65"/>
      <c r="AG671" s="291"/>
      <c r="AH671" s="65">
        <f t="shared" si="112"/>
        <v>135900</v>
      </c>
      <c r="AI671" s="242"/>
      <c r="AJ671" s="242"/>
      <c r="AK671" s="291">
        <v>80091.210000000006</v>
      </c>
      <c r="AL671" s="40">
        <f t="shared" si="119"/>
        <v>55808.789999999994</v>
      </c>
      <c r="AM671" s="242">
        <f t="shared" si="118"/>
        <v>45412</v>
      </c>
      <c r="AN671" s="242" t="str">
        <f>IF(AQ671="x","",IF(AQ671="x",AM671,IF(EOMONTH(I671,0)=31,"",EOMONTH(I671,0))))</f>
        <v/>
      </c>
      <c r="AO671" s="79">
        <f>IFERROR(IF(VLOOKUP(C671,C672:C1272,1,0)=0,1,0),1)</f>
        <v>0</v>
      </c>
      <c r="AP671" s="79"/>
      <c r="AQ671" s="243" t="str">
        <f t="shared" si="114"/>
        <v/>
      </c>
      <c r="AR671" s="242" t="b">
        <f>IF(AQ671="x",EOMONTH(I671,0))</f>
        <v>0</v>
      </c>
      <c r="AS671" s="79">
        <f t="shared" si="109"/>
        <v>1</v>
      </c>
      <c r="AT671" s="79">
        <f t="shared" si="110"/>
        <v>1</v>
      </c>
      <c r="AU671" s="79" t="str">
        <f t="shared" si="111"/>
        <v>B</v>
      </c>
      <c r="AV671" s="79">
        <f t="shared" si="115"/>
        <v>1</v>
      </c>
      <c r="AW671" s="79" t="str">
        <f>J671&amp;AU671</f>
        <v>INTEGRALB</v>
      </c>
      <c r="AX671" s="79">
        <f>IF(COUNTIFS(J:J,"Integral",E:E,E671,H:H,"Ativo")=4,1/4,1/10)</f>
        <v>0.1</v>
      </c>
      <c r="AY671" s="79" t="s">
        <v>1320</v>
      </c>
      <c r="AZ671" s="79" t="b">
        <v>1</v>
      </c>
    </row>
    <row r="672" spans="1:52" ht="15.75" customHeight="1">
      <c r="A672" s="54">
        <v>700</v>
      </c>
      <c r="B672" s="406">
        <v>45402</v>
      </c>
      <c r="C672" s="32" t="s">
        <v>2062</v>
      </c>
      <c r="D672" s="32" t="s">
        <v>2080</v>
      </c>
      <c r="E672" s="32" t="s">
        <v>2064</v>
      </c>
      <c r="F672" s="32" t="s">
        <v>2081</v>
      </c>
      <c r="G672" s="60" t="s">
        <v>220</v>
      </c>
      <c r="H672" s="33" t="s">
        <v>90</v>
      </c>
      <c r="I672" s="34"/>
      <c r="J672" s="33" t="s">
        <v>1701</v>
      </c>
      <c r="K672" s="35" t="s">
        <v>333</v>
      </c>
      <c r="L672" s="35" t="s">
        <v>333</v>
      </c>
      <c r="M672" s="386" t="s">
        <v>246</v>
      </c>
      <c r="N672" s="33" t="s">
        <v>68</v>
      </c>
      <c r="O672" s="33" t="s">
        <v>12</v>
      </c>
      <c r="P672" s="33" t="s">
        <v>1</v>
      </c>
      <c r="Q672" s="47"/>
      <c r="R672" s="47"/>
      <c r="S672" s="45" t="s">
        <v>147</v>
      </c>
      <c r="T672" s="45"/>
      <c r="U672" s="37">
        <v>45396</v>
      </c>
      <c r="V672" s="38">
        <f t="shared" si="117"/>
        <v>45402</v>
      </c>
      <c r="W672" s="50">
        <f>V672-U672</f>
        <v>6</v>
      </c>
      <c r="X672" s="261">
        <f>ROUNDUP(Y672/(1+AC672),-3)</f>
        <v>380000</v>
      </c>
      <c r="Y672" s="260">
        <v>417200</v>
      </c>
      <c r="Z672" s="263">
        <v>281300</v>
      </c>
      <c r="AA672" s="56" t="s">
        <v>1671</v>
      </c>
      <c r="AB672" s="362">
        <v>0.2</v>
      </c>
      <c r="AC672" s="44">
        <v>0.1</v>
      </c>
      <c r="AD672" s="62" t="s">
        <v>2066</v>
      </c>
      <c r="AE672" s="291"/>
      <c r="AF672" s="65"/>
      <c r="AG672" s="291"/>
      <c r="AH672" s="65">
        <f t="shared" si="112"/>
        <v>135900</v>
      </c>
      <c r="AI672" s="242"/>
      <c r="AJ672" s="242"/>
      <c r="AK672" s="291">
        <v>80091.210000000006</v>
      </c>
      <c r="AL672" s="40">
        <f t="shared" si="119"/>
        <v>55808.789999999994</v>
      </c>
      <c r="AM672" s="242">
        <f t="shared" si="118"/>
        <v>45412</v>
      </c>
      <c r="AN672" s="242" t="str">
        <f>IF(AQ672="x","",IF(AQ672="x",AM672,IF(EOMONTH(I672,0)=31,"",EOMONTH(I672,0))))</f>
        <v/>
      </c>
      <c r="AO672" s="79">
        <f>IFERROR(IF(VLOOKUP(C672,C673:C1273,1,0)=0,1,0),1)</f>
        <v>0</v>
      </c>
      <c r="AP672" s="79"/>
      <c r="AQ672" s="243" t="str">
        <f t="shared" si="114"/>
        <v/>
      </c>
      <c r="AR672" s="242" t="b">
        <f>IF(AQ672="x",EOMONTH(I672,0))</f>
        <v>0</v>
      </c>
      <c r="AS672" s="79">
        <f t="shared" si="109"/>
        <v>1</v>
      </c>
      <c r="AT672" s="79">
        <f t="shared" si="110"/>
        <v>1</v>
      </c>
      <c r="AU672" s="79" t="str">
        <f t="shared" si="111"/>
        <v>B</v>
      </c>
      <c r="AV672" s="79">
        <f t="shared" si="115"/>
        <v>1</v>
      </c>
      <c r="AW672" s="79" t="str">
        <f>J672&amp;AU672</f>
        <v>INTEGRALB</v>
      </c>
      <c r="AX672" s="79">
        <f>IF(COUNTIFS(J:J,"Integral",E:E,E672,H:H,"Ativo")=4,1/4,1/10)</f>
        <v>0.1</v>
      </c>
      <c r="AY672" s="79" t="s">
        <v>1320</v>
      </c>
      <c r="AZ672" s="79" t="b">
        <v>1</v>
      </c>
    </row>
    <row r="673" spans="1:52" ht="15.75" customHeight="1">
      <c r="A673" s="54">
        <v>701</v>
      </c>
      <c r="B673" s="406">
        <v>45402</v>
      </c>
      <c r="C673" s="32" t="s">
        <v>2062</v>
      </c>
      <c r="D673" s="32" t="s">
        <v>2082</v>
      </c>
      <c r="E673" s="32" t="s">
        <v>2064</v>
      </c>
      <c r="F673" s="32" t="s">
        <v>2083</v>
      </c>
      <c r="G673" s="60" t="s">
        <v>220</v>
      </c>
      <c r="H673" s="33" t="s">
        <v>90</v>
      </c>
      <c r="I673" s="34"/>
      <c r="J673" s="33" t="s">
        <v>1701</v>
      </c>
      <c r="K673" s="35" t="s">
        <v>333</v>
      </c>
      <c r="L673" s="35" t="s">
        <v>333</v>
      </c>
      <c r="M673" s="386" t="s">
        <v>246</v>
      </c>
      <c r="N673" s="33" t="s">
        <v>68</v>
      </c>
      <c r="O673" s="33" t="s">
        <v>12</v>
      </c>
      <c r="P673" s="33" t="s">
        <v>1</v>
      </c>
      <c r="Q673" s="47"/>
      <c r="R673" s="47"/>
      <c r="S673" s="45" t="s">
        <v>147</v>
      </c>
      <c r="T673" s="45"/>
      <c r="U673" s="37">
        <v>45396</v>
      </c>
      <c r="V673" s="38">
        <f t="shared" si="117"/>
        <v>45402</v>
      </c>
      <c r="W673" s="50">
        <f>V673-U673</f>
        <v>6</v>
      </c>
      <c r="X673" s="261">
        <f>ROUNDUP(Y673/(1+AC673),-3)</f>
        <v>380000</v>
      </c>
      <c r="Y673" s="260">
        <v>417200</v>
      </c>
      <c r="Z673" s="263">
        <v>281300</v>
      </c>
      <c r="AA673" s="56" t="s">
        <v>1671</v>
      </c>
      <c r="AB673" s="362">
        <v>0.2</v>
      </c>
      <c r="AC673" s="44">
        <v>0.1</v>
      </c>
      <c r="AD673" s="62" t="s">
        <v>2066</v>
      </c>
      <c r="AE673" s="291"/>
      <c r="AF673" s="65"/>
      <c r="AG673" s="291"/>
      <c r="AH673" s="65">
        <f t="shared" si="112"/>
        <v>135900</v>
      </c>
      <c r="AI673" s="242"/>
      <c r="AJ673" s="242"/>
      <c r="AK673" s="291">
        <v>80091.210000000006</v>
      </c>
      <c r="AL673" s="40">
        <f t="shared" si="119"/>
        <v>55808.789999999994</v>
      </c>
      <c r="AM673" s="242">
        <f t="shared" si="118"/>
        <v>45412</v>
      </c>
      <c r="AN673" s="242" t="str">
        <f>IF(AQ673="x","",IF(AQ673="x",AM673,IF(EOMONTH(I673,0)=31,"",EOMONTH(I673,0))))</f>
        <v/>
      </c>
      <c r="AO673" s="79">
        <f>IFERROR(IF(VLOOKUP(C673,C674:C1274,1,0)=0,1,0),1)</f>
        <v>0</v>
      </c>
      <c r="AP673" s="79"/>
      <c r="AQ673" s="243" t="str">
        <f t="shared" si="114"/>
        <v/>
      </c>
      <c r="AR673" s="242" t="b">
        <f>IF(AQ673="x",EOMONTH(I673,0))</f>
        <v>0</v>
      </c>
      <c r="AS673" s="79">
        <f t="shared" si="109"/>
        <v>1</v>
      </c>
      <c r="AT673" s="79">
        <f t="shared" si="110"/>
        <v>1</v>
      </c>
      <c r="AU673" s="79" t="str">
        <f t="shared" si="111"/>
        <v>B</v>
      </c>
      <c r="AV673" s="79">
        <f t="shared" si="115"/>
        <v>1</v>
      </c>
      <c r="AW673" s="79" t="str">
        <f>J673&amp;AU673</f>
        <v>INTEGRALB</v>
      </c>
      <c r="AX673" s="79">
        <f>IF(COUNTIFS(J:J,"Integral",E:E,E673,H:H,"Ativo")=4,1/4,1/10)</f>
        <v>0.1</v>
      </c>
      <c r="AY673" s="79" t="s">
        <v>1320</v>
      </c>
      <c r="AZ673" s="79" t="b">
        <v>1</v>
      </c>
    </row>
    <row r="674" spans="1:52" ht="15.75" customHeight="1">
      <c r="A674" s="54">
        <v>702</v>
      </c>
      <c r="B674" s="406">
        <v>45402</v>
      </c>
      <c r="C674" s="32" t="s">
        <v>2062</v>
      </c>
      <c r="D674" s="32" t="s">
        <v>2084</v>
      </c>
      <c r="E674" s="32" t="s">
        <v>2064</v>
      </c>
      <c r="F674" s="32" t="s">
        <v>2085</v>
      </c>
      <c r="G674" s="60" t="s">
        <v>220</v>
      </c>
      <c r="H674" s="33" t="s">
        <v>90</v>
      </c>
      <c r="I674" s="34"/>
      <c r="J674" s="33" t="s">
        <v>1701</v>
      </c>
      <c r="K674" s="35" t="s">
        <v>333</v>
      </c>
      <c r="L674" s="35" t="s">
        <v>333</v>
      </c>
      <c r="M674" s="386" t="s">
        <v>246</v>
      </c>
      <c r="N674" s="33" t="s">
        <v>68</v>
      </c>
      <c r="O674" s="33" t="s">
        <v>12</v>
      </c>
      <c r="P674" s="33" t="s">
        <v>1</v>
      </c>
      <c r="Q674" s="47"/>
      <c r="R674" s="47"/>
      <c r="S674" s="45" t="s">
        <v>147</v>
      </c>
      <c r="T674" s="45"/>
      <c r="U674" s="37">
        <v>45396</v>
      </c>
      <c r="V674" s="38">
        <f t="shared" si="117"/>
        <v>45402</v>
      </c>
      <c r="W674" s="50">
        <f>V674-U674</f>
        <v>6</v>
      </c>
      <c r="X674" s="261">
        <f>ROUNDUP(Y674/(1+AC674),-3)</f>
        <v>380000</v>
      </c>
      <c r="Y674" s="260">
        <v>417200</v>
      </c>
      <c r="Z674" s="263">
        <v>281300</v>
      </c>
      <c r="AA674" s="56" t="s">
        <v>1671</v>
      </c>
      <c r="AB674" s="362">
        <v>0.2</v>
      </c>
      <c r="AC674" s="44">
        <v>0.1</v>
      </c>
      <c r="AD674" s="62" t="s">
        <v>2066</v>
      </c>
      <c r="AE674" s="291"/>
      <c r="AF674" s="65"/>
      <c r="AG674" s="291"/>
      <c r="AH674" s="65">
        <f t="shared" si="112"/>
        <v>135900</v>
      </c>
      <c r="AI674" s="242"/>
      <c r="AJ674" s="242"/>
      <c r="AK674" s="291">
        <v>80091.210000000006</v>
      </c>
      <c r="AL674" s="40">
        <f t="shared" si="119"/>
        <v>55808.789999999994</v>
      </c>
      <c r="AM674" s="242">
        <f t="shared" si="118"/>
        <v>45412</v>
      </c>
      <c r="AN674" s="242" t="str">
        <f>IF(AQ674="x","",IF(AQ674="x",AM674,IF(EOMONTH(I674,0)=31,"",EOMONTH(I674,0))))</f>
        <v/>
      </c>
      <c r="AO674" s="79">
        <f>IFERROR(IF(VLOOKUP(C674,C675:C1275,1,0)=0,1,0),1)</f>
        <v>0</v>
      </c>
      <c r="AP674" s="79"/>
      <c r="AQ674" s="243" t="str">
        <f t="shared" si="114"/>
        <v/>
      </c>
      <c r="AR674" s="242" t="b">
        <f>IF(AQ674="x",EOMONTH(I674,0))</f>
        <v>0</v>
      </c>
      <c r="AS674" s="79">
        <f t="shared" si="109"/>
        <v>1</v>
      </c>
      <c r="AT674" s="79">
        <f t="shared" si="110"/>
        <v>1</v>
      </c>
      <c r="AU674" s="79" t="str">
        <f t="shared" si="111"/>
        <v>B</v>
      </c>
      <c r="AV674" s="79">
        <f t="shared" si="115"/>
        <v>1</v>
      </c>
      <c r="AW674" s="79" t="str">
        <f>J674&amp;AU674</f>
        <v>INTEGRALB</v>
      </c>
      <c r="AX674" s="79">
        <f>IF(COUNTIFS(J:J,"Integral",E:E,E674,H:H,"Ativo")=4,1/4,1/10)</f>
        <v>0.1</v>
      </c>
      <c r="AY674" s="79" t="s">
        <v>1320</v>
      </c>
      <c r="AZ674" s="79" t="b">
        <v>1</v>
      </c>
    </row>
    <row r="675" spans="1:52" ht="15.75" customHeight="1">
      <c r="A675" s="54">
        <v>703</v>
      </c>
      <c r="B675" s="406">
        <v>45402</v>
      </c>
      <c r="C675" s="32" t="s">
        <v>2062</v>
      </c>
      <c r="D675" s="32" t="s">
        <v>2086</v>
      </c>
      <c r="E675" s="32" t="s">
        <v>2064</v>
      </c>
      <c r="F675" s="32" t="s">
        <v>2087</v>
      </c>
      <c r="G675" s="60" t="s">
        <v>220</v>
      </c>
      <c r="H675" s="33" t="s">
        <v>90</v>
      </c>
      <c r="I675" s="34"/>
      <c r="J675" s="33" t="s">
        <v>1701</v>
      </c>
      <c r="K675" s="35" t="s">
        <v>333</v>
      </c>
      <c r="L675" s="35" t="s">
        <v>333</v>
      </c>
      <c r="M675" s="386" t="s">
        <v>246</v>
      </c>
      <c r="N675" s="33" t="s">
        <v>68</v>
      </c>
      <c r="O675" s="33" t="s">
        <v>12</v>
      </c>
      <c r="P675" s="33" t="s">
        <v>1</v>
      </c>
      <c r="Q675" s="47"/>
      <c r="R675" s="47"/>
      <c r="S675" s="45" t="s">
        <v>147</v>
      </c>
      <c r="T675" s="45"/>
      <c r="U675" s="37">
        <v>45396</v>
      </c>
      <c r="V675" s="38">
        <f t="shared" si="117"/>
        <v>45402</v>
      </c>
      <c r="W675" s="50">
        <f>V675-U675</f>
        <v>6</v>
      </c>
      <c r="X675" s="261">
        <f>ROUNDUP(Y675/(1+AC675),-3)</f>
        <v>380000</v>
      </c>
      <c r="Y675" s="260">
        <v>417200</v>
      </c>
      <c r="Z675" s="263">
        <v>281300</v>
      </c>
      <c r="AA675" s="56" t="s">
        <v>1671</v>
      </c>
      <c r="AB675" s="362">
        <v>0.2</v>
      </c>
      <c r="AC675" s="44">
        <v>0.1</v>
      </c>
      <c r="AD675" s="62" t="s">
        <v>2066</v>
      </c>
      <c r="AE675" s="291"/>
      <c r="AF675" s="65"/>
      <c r="AG675" s="291"/>
      <c r="AH675" s="65">
        <f t="shared" si="112"/>
        <v>135900</v>
      </c>
      <c r="AI675" s="76"/>
      <c r="AJ675" s="76"/>
      <c r="AK675" s="291">
        <v>80091.210000000006</v>
      </c>
      <c r="AL675" s="40">
        <f t="shared" si="119"/>
        <v>55808.789999999994</v>
      </c>
      <c r="AM675" s="76">
        <f t="shared" si="118"/>
        <v>45412</v>
      </c>
      <c r="AN675" s="76" t="str">
        <f>IF(AQ675="x","",IF(AQ675="x",AM675,IF(EOMONTH(I675,0)=31,"",EOMONTH(I675,0))))</f>
        <v/>
      </c>
      <c r="AO675" s="74">
        <f>IFERROR(IF(VLOOKUP(C675,C676:C1276,1,0)=0,1,0),1)</f>
        <v>0</v>
      </c>
      <c r="AP675" s="74"/>
      <c r="AQ675" s="77" t="str">
        <f t="shared" si="114"/>
        <v/>
      </c>
      <c r="AR675" s="76" t="b">
        <f>IF(AQ675="x",EOMONTH(I675,0))</f>
        <v>0</v>
      </c>
      <c r="AS675" s="74">
        <f t="shared" si="109"/>
        <v>1</v>
      </c>
      <c r="AT675" s="74">
        <f t="shared" si="110"/>
        <v>1</v>
      </c>
      <c r="AU675" s="74" t="str">
        <f t="shared" si="111"/>
        <v>B</v>
      </c>
      <c r="AV675" s="74">
        <f t="shared" si="115"/>
        <v>1</v>
      </c>
      <c r="AW675" s="74" t="str">
        <f>J675&amp;AU675</f>
        <v>INTEGRALB</v>
      </c>
      <c r="AX675" s="74">
        <f>IF(COUNTIFS(J:J,"Integral",E:E,E675,H:H,"Ativo")=4,1/4,1/10)</f>
        <v>0.1</v>
      </c>
      <c r="AY675" s="79" t="s">
        <v>1320</v>
      </c>
      <c r="AZ675" s="74" t="b">
        <v>1</v>
      </c>
    </row>
    <row r="676" spans="1:52" ht="15.75" customHeight="1">
      <c r="A676" s="54">
        <v>704</v>
      </c>
      <c r="B676" s="406">
        <v>45402</v>
      </c>
      <c r="C676" s="32" t="s">
        <v>2062</v>
      </c>
      <c r="D676" s="32" t="s">
        <v>2088</v>
      </c>
      <c r="E676" s="32" t="s">
        <v>2064</v>
      </c>
      <c r="F676" s="32" t="s">
        <v>2089</v>
      </c>
      <c r="G676" s="60" t="s">
        <v>220</v>
      </c>
      <c r="H676" s="33" t="s">
        <v>90</v>
      </c>
      <c r="I676" s="34"/>
      <c r="J676" s="33" t="s">
        <v>1701</v>
      </c>
      <c r="K676" s="35" t="s">
        <v>333</v>
      </c>
      <c r="L676" s="35" t="s">
        <v>333</v>
      </c>
      <c r="M676" s="386" t="s">
        <v>246</v>
      </c>
      <c r="N676" s="33" t="s">
        <v>68</v>
      </c>
      <c r="O676" s="33" t="s">
        <v>12</v>
      </c>
      <c r="P676" s="33" t="s">
        <v>1</v>
      </c>
      <c r="Q676" s="47"/>
      <c r="R676" s="47"/>
      <c r="S676" s="45" t="s">
        <v>147</v>
      </c>
      <c r="T676" s="45"/>
      <c r="U676" s="37">
        <v>45396</v>
      </c>
      <c r="V676" s="38">
        <f t="shared" si="117"/>
        <v>45402</v>
      </c>
      <c r="W676" s="50">
        <f>V676-U676</f>
        <v>6</v>
      </c>
      <c r="X676" s="261">
        <f>ROUNDUP(Y676/(1+AC676),-3)</f>
        <v>380000</v>
      </c>
      <c r="Y676" s="260">
        <v>417200</v>
      </c>
      <c r="Z676" s="263">
        <v>281300</v>
      </c>
      <c r="AA676" s="56" t="s">
        <v>1671</v>
      </c>
      <c r="AB676" s="362">
        <v>0.2</v>
      </c>
      <c r="AC676" s="44">
        <v>0.1</v>
      </c>
      <c r="AD676" s="62" t="s">
        <v>2066</v>
      </c>
      <c r="AE676" s="291"/>
      <c r="AF676" s="65"/>
      <c r="AG676" s="291"/>
      <c r="AH676" s="65">
        <f t="shared" si="112"/>
        <v>135900</v>
      </c>
      <c r="AI676" s="242"/>
      <c r="AJ676" s="242"/>
      <c r="AK676" s="291">
        <v>80091.210000000006</v>
      </c>
      <c r="AL676" s="40">
        <f t="shared" si="119"/>
        <v>55808.789999999994</v>
      </c>
      <c r="AM676" s="242">
        <f t="shared" si="118"/>
        <v>45412</v>
      </c>
      <c r="AN676" s="242" t="str">
        <f>IF(AQ676="x","",IF(AQ676="x",AM676,IF(EOMONTH(I676,0)=31,"",EOMONTH(I676,0))))</f>
        <v/>
      </c>
      <c r="AO676" s="79">
        <f>IFERROR(IF(VLOOKUP(C676,C677:C1277,1,0)=0,1,0),1)</f>
        <v>1</v>
      </c>
      <c r="AP676" s="79"/>
      <c r="AQ676" s="243" t="str">
        <f t="shared" si="114"/>
        <v/>
      </c>
      <c r="AR676" s="242" t="b">
        <f>IF(AQ676="x",EOMONTH(I676,0))</f>
        <v>0</v>
      </c>
      <c r="AS676" s="79">
        <f t="shared" ref="AS676:AS739" si="120">IF(AH676&lt;0,0,1)</f>
        <v>1</v>
      </c>
      <c r="AT676" s="79">
        <f t="shared" ref="AT676:AT739" si="121">IF(AL676&lt;0,0,1)</f>
        <v>1</v>
      </c>
      <c r="AU676" s="79" t="str">
        <f t="shared" ref="AU676:AU739" si="122">MID(E676,1,1)</f>
        <v>B</v>
      </c>
      <c r="AV676" s="79">
        <f t="shared" si="115"/>
        <v>1</v>
      </c>
      <c r="AW676" s="79" t="str">
        <f>J676&amp;AU676</f>
        <v>INTEGRALB</v>
      </c>
      <c r="AX676" s="79">
        <f>IF(COUNTIFS(J:J,"Integral",E:E,E676,H:H,"Ativo")=4,1/4,1/10)</f>
        <v>0.1</v>
      </c>
      <c r="AY676" s="79" t="s">
        <v>1320</v>
      </c>
      <c r="AZ676" s="79" t="b">
        <v>1</v>
      </c>
    </row>
    <row r="677" spans="1:52" ht="15.75" customHeight="1">
      <c r="A677" s="54">
        <v>705</v>
      </c>
      <c r="B677" s="406">
        <v>45405</v>
      </c>
      <c r="C677" s="32" t="s">
        <v>2090</v>
      </c>
      <c r="D677" s="32" t="s">
        <v>2091</v>
      </c>
      <c r="E677" s="32" t="s">
        <v>2092</v>
      </c>
      <c r="F677" s="32" t="s">
        <v>2093</v>
      </c>
      <c r="G677" s="60" t="s">
        <v>220</v>
      </c>
      <c r="H677" s="33" t="s">
        <v>90</v>
      </c>
      <c r="I677" s="34"/>
      <c r="J677" s="33" t="s">
        <v>1701</v>
      </c>
      <c r="K677" s="56" t="s">
        <v>1755</v>
      </c>
      <c r="L677" s="56" t="s">
        <v>1755</v>
      </c>
      <c r="M677" s="386" t="s">
        <v>1755</v>
      </c>
      <c r="N677" s="33" t="s">
        <v>73</v>
      </c>
      <c r="O677" s="33" t="s">
        <v>10</v>
      </c>
      <c r="P677" s="33" t="s">
        <v>85</v>
      </c>
      <c r="Q677" s="47"/>
      <c r="R677" s="47"/>
      <c r="S677" s="45" t="s">
        <v>147</v>
      </c>
      <c r="T677" s="45"/>
      <c r="U677" s="37">
        <v>45405</v>
      </c>
      <c r="V677" s="38">
        <f t="shared" si="117"/>
        <v>45405</v>
      </c>
      <c r="W677" s="50">
        <f>V677-U677</f>
        <v>0</v>
      </c>
      <c r="X677" s="261">
        <f>ROUNDUP(Y677/(1+AC677),-3)</f>
        <v>1265000</v>
      </c>
      <c r="Y677" s="260">
        <v>1391500</v>
      </c>
      <c r="Z677" s="260">
        <v>871000</v>
      </c>
      <c r="AA677" s="56"/>
      <c r="AB677" s="43" t="s">
        <v>2094</v>
      </c>
      <c r="AC677" s="44">
        <v>0.1</v>
      </c>
      <c r="AD677" s="62" t="s">
        <v>2095</v>
      </c>
      <c r="AE677" s="291"/>
      <c r="AF677" s="65"/>
      <c r="AG677" s="291"/>
      <c r="AH677" s="65">
        <f t="shared" si="112"/>
        <v>520500</v>
      </c>
      <c r="AI677" s="242"/>
      <c r="AJ677" s="242"/>
      <c r="AK677" s="291">
        <v>138614</v>
      </c>
      <c r="AL677" s="40">
        <f t="shared" si="119"/>
        <v>381886</v>
      </c>
      <c r="AM677" s="242">
        <f t="shared" si="118"/>
        <v>45412</v>
      </c>
      <c r="AN677" s="242" t="str">
        <f>IF(AQ677="x","",IF(AQ677="x",AM677,IF(EOMONTH(I677,0)=31,"",EOMONTH(I677,0))))</f>
        <v/>
      </c>
      <c r="AO677" s="79">
        <f>IFERROR(IF(VLOOKUP(C677,C678:C1278,1,0)=0,1,0),1)</f>
        <v>0</v>
      </c>
      <c r="AP677" s="79"/>
      <c r="AQ677" s="243" t="str">
        <f t="shared" si="114"/>
        <v/>
      </c>
      <c r="AR677" s="242" t="b">
        <f>IF(AQ677="x",EOMONTH(I677,0))</f>
        <v>0</v>
      </c>
      <c r="AS677" s="79">
        <f t="shared" si="120"/>
        <v>1</v>
      </c>
      <c r="AT677" s="79">
        <f t="shared" si="121"/>
        <v>1</v>
      </c>
      <c r="AU677" s="79" t="str">
        <f t="shared" si="122"/>
        <v>C</v>
      </c>
      <c r="AV677" s="79">
        <f t="shared" si="115"/>
        <v>1</v>
      </c>
      <c r="AW677" s="79" t="str">
        <f>J677&amp;AU677</f>
        <v>INTEGRALC</v>
      </c>
      <c r="AX677" s="79">
        <f>IF(COUNTIFS(J:J,"Integral",E:E,E677,H:H,"Ativo")=4,1/4,1/10)</f>
        <v>0.25</v>
      </c>
      <c r="AY677" s="79" t="s">
        <v>1535</v>
      </c>
      <c r="AZ677" s="79" t="b">
        <v>1</v>
      </c>
    </row>
    <row r="678" spans="1:52" ht="15.75" customHeight="1">
      <c r="A678" s="54">
        <v>706</v>
      </c>
      <c r="B678" s="406">
        <v>45405</v>
      </c>
      <c r="C678" s="32" t="s">
        <v>2090</v>
      </c>
      <c r="D678" s="32" t="s">
        <v>2096</v>
      </c>
      <c r="E678" s="32" t="s">
        <v>2092</v>
      </c>
      <c r="F678" s="32" t="s">
        <v>2097</v>
      </c>
      <c r="G678" s="60" t="s">
        <v>220</v>
      </c>
      <c r="H678" s="33" t="s">
        <v>90</v>
      </c>
      <c r="I678" s="34"/>
      <c r="J678" s="33" t="s">
        <v>1701</v>
      </c>
      <c r="K678" s="56" t="s">
        <v>1755</v>
      </c>
      <c r="L678" s="56" t="s">
        <v>1755</v>
      </c>
      <c r="M678" s="386" t="s">
        <v>1755</v>
      </c>
      <c r="N678" s="33" t="s">
        <v>73</v>
      </c>
      <c r="O678" s="33" t="s">
        <v>10</v>
      </c>
      <c r="P678" s="33" t="s">
        <v>85</v>
      </c>
      <c r="Q678" s="47"/>
      <c r="R678" s="47"/>
      <c r="S678" s="45" t="s">
        <v>147</v>
      </c>
      <c r="T678" s="45"/>
      <c r="U678" s="37">
        <v>45405</v>
      </c>
      <c r="V678" s="38">
        <f t="shared" si="117"/>
        <v>45405</v>
      </c>
      <c r="W678" s="50">
        <f>V678-U678</f>
        <v>0</v>
      </c>
      <c r="X678" s="261">
        <f>ROUNDUP(Y678/(1+AC678),-3)</f>
        <v>1265000</v>
      </c>
      <c r="Y678" s="260">
        <v>1391500</v>
      </c>
      <c r="Z678" s="260">
        <v>871000</v>
      </c>
      <c r="AA678" s="56"/>
      <c r="AB678" s="43" t="s">
        <v>2094</v>
      </c>
      <c r="AC678" s="44">
        <v>0.1</v>
      </c>
      <c r="AD678" s="62" t="s">
        <v>2095</v>
      </c>
      <c r="AE678" s="291"/>
      <c r="AF678" s="65"/>
      <c r="AG678" s="291"/>
      <c r="AH678" s="65">
        <f t="shared" ref="AH678:AH741" si="123">Y678-Z678</f>
        <v>520500</v>
      </c>
      <c r="AI678" s="242"/>
      <c r="AJ678" s="242"/>
      <c r="AK678" s="291">
        <v>138613.97</v>
      </c>
      <c r="AL678" s="40">
        <f t="shared" si="119"/>
        <v>381886.03</v>
      </c>
      <c r="AM678" s="242">
        <f t="shared" si="118"/>
        <v>45412</v>
      </c>
      <c r="AN678" s="242" t="str">
        <f>IF(AQ678="x","",IF(AQ678="x",AM678,IF(EOMONTH(I678,0)=31,"",EOMONTH(I678,0))))</f>
        <v/>
      </c>
      <c r="AO678" s="79">
        <f>IFERROR(IF(VLOOKUP(C678,C679:C1279,1,0)=0,1,0),1)</f>
        <v>0</v>
      </c>
      <c r="AP678" s="79"/>
      <c r="AQ678" s="243" t="str">
        <f t="shared" si="114"/>
        <v/>
      </c>
      <c r="AR678" s="242" t="b">
        <f>IF(AQ678="x",EOMONTH(I678,0))</f>
        <v>0</v>
      </c>
      <c r="AS678" s="79">
        <f t="shared" si="120"/>
        <v>1</v>
      </c>
      <c r="AT678" s="79">
        <f t="shared" si="121"/>
        <v>1</v>
      </c>
      <c r="AU678" s="79" t="str">
        <f t="shared" si="122"/>
        <v>C</v>
      </c>
      <c r="AV678" s="79">
        <f t="shared" si="115"/>
        <v>1</v>
      </c>
      <c r="AW678" s="79" t="str">
        <f>J678&amp;AU678</f>
        <v>INTEGRALC</v>
      </c>
      <c r="AX678" s="79">
        <f>IF(COUNTIFS(J:J,"Integral",E:E,E678,H:H,"Ativo")=4,1/4,1/10)</f>
        <v>0.25</v>
      </c>
      <c r="AY678" s="79" t="s">
        <v>1535</v>
      </c>
      <c r="AZ678" s="79" t="b">
        <v>1</v>
      </c>
    </row>
    <row r="679" spans="1:52" ht="15.75" customHeight="1">
      <c r="A679" s="54">
        <v>707</v>
      </c>
      <c r="B679" s="406">
        <v>45405</v>
      </c>
      <c r="C679" s="32" t="s">
        <v>2090</v>
      </c>
      <c r="D679" s="32" t="s">
        <v>2098</v>
      </c>
      <c r="E679" s="32" t="s">
        <v>2092</v>
      </c>
      <c r="F679" s="32" t="s">
        <v>2099</v>
      </c>
      <c r="G679" s="60" t="s">
        <v>220</v>
      </c>
      <c r="H679" s="33" t="s">
        <v>90</v>
      </c>
      <c r="I679" s="34"/>
      <c r="J679" s="33" t="s">
        <v>1701</v>
      </c>
      <c r="K679" s="56" t="s">
        <v>1755</v>
      </c>
      <c r="L679" s="56" t="s">
        <v>1755</v>
      </c>
      <c r="M679" s="386" t="s">
        <v>1755</v>
      </c>
      <c r="N679" s="33" t="s">
        <v>73</v>
      </c>
      <c r="O679" s="33" t="s">
        <v>10</v>
      </c>
      <c r="P679" s="33" t="s">
        <v>85</v>
      </c>
      <c r="Q679" s="47"/>
      <c r="R679" s="47"/>
      <c r="S679" s="45" t="s">
        <v>147</v>
      </c>
      <c r="T679" s="45"/>
      <c r="U679" s="37">
        <v>45405</v>
      </c>
      <c r="V679" s="38">
        <f t="shared" si="117"/>
        <v>45405</v>
      </c>
      <c r="W679" s="50">
        <f>V679-U679</f>
        <v>0</v>
      </c>
      <c r="X679" s="261">
        <f>ROUNDUP(Y679/(1+AC679),-3)</f>
        <v>1265000</v>
      </c>
      <c r="Y679" s="260">
        <v>1391500</v>
      </c>
      <c r="Z679" s="260">
        <v>871000</v>
      </c>
      <c r="AA679" s="56"/>
      <c r="AB679" s="43" t="s">
        <v>2094</v>
      </c>
      <c r="AC679" s="44">
        <v>0.1</v>
      </c>
      <c r="AD679" s="62" t="s">
        <v>2095</v>
      </c>
      <c r="AE679" s="291"/>
      <c r="AF679" s="65"/>
      <c r="AG679" s="291"/>
      <c r="AH679" s="65">
        <f t="shared" si="123"/>
        <v>520500</v>
      </c>
      <c r="AI679" s="242"/>
      <c r="AJ679" s="242"/>
      <c r="AK679" s="291">
        <v>138613.97</v>
      </c>
      <c r="AL679" s="40">
        <f t="shared" si="119"/>
        <v>381886.03</v>
      </c>
      <c r="AM679" s="242">
        <f t="shared" si="118"/>
        <v>45412</v>
      </c>
      <c r="AN679" s="242" t="str">
        <f>IF(AQ679="x","",IF(AQ679="x",AM679,IF(EOMONTH(I679,0)=31,"",EOMONTH(I679,0))))</f>
        <v/>
      </c>
      <c r="AO679" s="79">
        <f>IFERROR(IF(VLOOKUP(C679,C680:C1280,1,0)=0,1,0),1)</f>
        <v>0</v>
      </c>
      <c r="AP679" s="79"/>
      <c r="AQ679" s="243" t="str">
        <f t="shared" si="114"/>
        <v/>
      </c>
      <c r="AR679" s="242" t="b">
        <f>IF(AQ679="x",EOMONTH(I679,0))</f>
        <v>0</v>
      </c>
      <c r="AS679" s="79">
        <f t="shared" si="120"/>
        <v>1</v>
      </c>
      <c r="AT679" s="79">
        <f t="shared" si="121"/>
        <v>1</v>
      </c>
      <c r="AU679" s="79" t="str">
        <f t="shared" si="122"/>
        <v>C</v>
      </c>
      <c r="AV679" s="79">
        <f t="shared" si="115"/>
        <v>1</v>
      </c>
      <c r="AW679" s="79" t="str">
        <f>J679&amp;AU679</f>
        <v>INTEGRALC</v>
      </c>
      <c r="AX679" s="79">
        <f>IF(COUNTIFS(J:J,"Integral",E:E,E679,H:H,"Ativo")=4,1/4,1/10)</f>
        <v>0.25</v>
      </c>
      <c r="AY679" s="79" t="s">
        <v>1535</v>
      </c>
      <c r="AZ679" s="79" t="b">
        <v>1</v>
      </c>
    </row>
    <row r="680" spans="1:52" ht="15.75" customHeight="1">
      <c r="A680" s="54">
        <v>708</v>
      </c>
      <c r="B680" s="406">
        <v>45405</v>
      </c>
      <c r="C680" s="32" t="s">
        <v>2090</v>
      </c>
      <c r="D680" s="32" t="s">
        <v>2100</v>
      </c>
      <c r="E680" s="32" t="s">
        <v>2092</v>
      </c>
      <c r="F680" s="32" t="s">
        <v>2101</v>
      </c>
      <c r="G680" s="60" t="s">
        <v>220</v>
      </c>
      <c r="H680" s="33" t="s">
        <v>90</v>
      </c>
      <c r="I680" s="34"/>
      <c r="J680" s="33" t="s">
        <v>1701</v>
      </c>
      <c r="K680" s="56" t="s">
        <v>1755</v>
      </c>
      <c r="L680" s="56" t="s">
        <v>1755</v>
      </c>
      <c r="M680" s="386" t="s">
        <v>1755</v>
      </c>
      <c r="N680" s="33" t="s">
        <v>73</v>
      </c>
      <c r="O680" s="33" t="s">
        <v>10</v>
      </c>
      <c r="P680" s="33" t="s">
        <v>85</v>
      </c>
      <c r="Q680" s="47"/>
      <c r="R680" s="47"/>
      <c r="S680" s="45" t="s">
        <v>147</v>
      </c>
      <c r="T680" s="45"/>
      <c r="U680" s="37">
        <v>45405</v>
      </c>
      <c r="V680" s="38">
        <f t="shared" si="117"/>
        <v>45405</v>
      </c>
      <c r="W680" s="50">
        <f>V680-U680</f>
        <v>0</v>
      </c>
      <c r="X680" s="261">
        <f>ROUNDUP(Y680/(1+AC680),-3)</f>
        <v>1265000</v>
      </c>
      <c r="Y680" s="260">
        <v>1391500</v>
      </c>
      <c r="Z680" s="260">
        <v>871000</v>
      </c>
      <c r="AA680" s="56"/>
      <c r="AB680" s="43" t="s">
        <v>2094</v>
      </c>
      <c r="AC680" s="44">
        <v>0.1</v>
      </c>
      <c r="AD680" s="62" t="s">
        <v>2095</v>
      </c>
      <c r="AE680" s="291"/>
      <c r="AF680" s="65"/>
      <c r="AG680" s="291"/>
      <c r="AH680" s="65">
        <f t="shared" si="123"/>
        <v>520500</v>
      </c>
      <c r="AI680" s="242"/>
      <c r="AJ680" s="242"/>
      <c r="AK680" s="291">
        <v>138613.97</v>
      </c>
      <c r="AL680" s="40">
        <f t="shared" si="119"/>
        <v>381886.03</v>
      </c>
      <c r="AM680" s="242">
        <f t="shared" si="118"/>
        <v>45412</v>
      </c>
      <c r="AN680" s="242" t="str">
        <f>IF(AQ680="x","",IF(AQ680="x",AM680,IF(EOMONTH(I680,0)=31,"",EOMONTH(I680,0))))</f>
        <v/>
      </c>
      <c r="AO680" s="79">
        <f>IFERROR(IF(VLOOKUP(C680,C681:C1281,1,0)=0,1,0),1)</f>
        <v>0</v>
      </c>
      <c r="AP680" s="79"/>
      <c r="AQ680" s="243" t="str">
        <f t="shared" si="114"/>
        <v/>
      </c>
      <c r="AR680" s="242" t="b">
        <f>IF(AQ680="x",EOMONTH(I680,0))</f>
        <v>0</v>
      </c>
      <c r="AS680" s="79">
        <f t="shared" si="120"/>
        <v>1</v>
      </c>
      <c r="AT680" s="79">
        <f t="shared" si="121"/>
        <v>1</v>
      </c>
      <c r="AU680" s="79" t="str">
        <f t="shared" si="122"/>
        <v>C</v>
      </c>
      <c r="AV680" s="79">
        <f t="shared" si="115"/>
        <v>1</v>
      </c>
      <c r="AW680" s="79" t="str">
        <f>J680&amp;AU680</f>
        <v>INTEGRALC</v>
      </c>
      <c r="AX680" s="79">
        <f>IF(COUNTIFS(J:J,"Integral",E:E,E680,H:H,"Ativo")=4,1/4,1/10)</f>
        <v>0.25</v>
      </c>
      <c r="AY680" s="79" t="s">
        <v>1535</v>
      </c>
      <c r="AZ680" s="79" t="b">
        <v>1</v>
      </c>
    </row>
    <row r="681" spans="1:52" ht="15.75" customHeight="1">
      <c r="A681" s="54">
        <v>709</v>
      </c>
      <c r="B681" s="406">
        <v>45405</v>
      </c>
      <c r="C681" s="32" t="s">
        <v>2090</v>
      </c>
      <c r="D681" s="32" t="s">
        <v>2102</v>
      </c>
      <c r="E681" s="32" t="s">
        <v>2103</v>
      </c>
      <c r="F681" s="32" t="s">
        <v>2104</v>
      </c>
      <c r="G681" s="60" t="s">
        <v>220</v>
      </c>
      <c r="H681" s="33" t="s">
        <v>90</v>
      </c>
      <c r="I681" s="34"/>
      <c r="J681" s="33">
        <v>52</v>
      </c>
      <c r="K681" s="56" t="s">
        <v>1755</v>
      </c>
      <c r="L681" s="56" t="s">
        <v>1755</v>
      </c>
      <c r="M681" s="386" t="s">
        <v>1755</v>
      </c>
      <c r="N681" s="33" t="s">
        <v>73</v>
      </c>
      <c r="O681" s="33" t="s">
        <v>10</v>
      </c>
      <c r="P681" s="33" t="s">
        <v>85</v>
      </c>
      <c r="Q681" s="47"/>
      <c r="R681" s="47"/>
      <c r="S681" s="45" t="s">
        <v>147</v>
      </c>
      <c r="T681" s="45"/>
      <c r="U681" s="37">
        <v>45405</v>
      </c>
      <c r="V681" s="38">
        <f t="shared" si="117"/>
        <v>45405</v>
      </c>
      <c r="W681" s="50">
        <f>V681-U681</f>
        <v>0</v>
      </c>
      <c r="X681" s="261">
        <f>ROUNDUP(Y681/(1+AC681),-3)</f>
        <v>182000</v>
      </c>
      <c r="Y681" s="260">
        <v>200000</v>
      </c>
      <c r="Z681" s="260">
        <v>200000</v>
      </c>
      <c r="AA681" s="56"/>
      <c r="AB681" s="43" t="s">
        <v>2105</v>
      </c>
      <c r="AC681" s="44">
        <v>0.1</v>
      </c>
      <c r="AD681" s="62" t="s">
        <v>2095</v>
      </c>
      <c r="AE681" s="291"/>
      <c r="AF681" s="65"/>
      <c r="AG681" s="40">
        <f>IF((X681*AE681)&lt;0,0,(X681*AE681))</f>
        <v>0</v>
      </c>
      <c r="AH681" s="65">
        <f t="shared" si="123"/>
        <v>0</v>
      </c>
      <c r="AI681" s="66">
        <f>AH681/X681</f>
        <v>0</v>
      </c>
      <c r="AJ681" s="66">
        <f>AI681-AF681</f>
        <v>0</v>
      </c>
      <c r="AK681" s="291">
        <v>29181.88</v>
      </c>
      <c r="AL681" s="40">
        <f t="shared" si="119"/>
        <v>-29181.88</v>
      </c>
      <c r="AM681" s="242">
        <f t="shared" si="118"/>
        <v>45412</v>
      </c>
      <c r="AN681" s="242" t="str">
        <f>IF(AQ681="x","",IF(AQ681="x",AM681,IF(EOMONTH(I681,0)=31,"",EOMONTH(I681,0))))</f>
        <v/>
      </c>
      <c r="AO681" s="79">
        <f>IFERROR(IF(VLOOKUP(C681,C682:C1282,1,0)=0,1,0),1)</f>
        <v>1</v>
      </c>
      <c r="AP681" s="79"/>
      <c r="AQ681" s="243" t="str">
        <f t="shared" ref="AQ681:AQ744" si="124">IF(MID(G681,1,15)="NAO ASSINADO","x","")</f>
        <v/>
      </c>
      <c r="AR681" s="242" t="b">
        <f>IF(AQ681="x",EOMONTH(I681,0))</f>
        <v>0</v>
      </c>
      <c r="AS681" s="79">
        <f t="shared" si="120"/>
        <v>1</v>
      </c>
      <c r="AT681" s="79">
        <f t="shared" si="121"/>
        <v>0</v>
      </c>
      <c r="AU681" s="79" t="str">
        <f t="shared" si="122"/>
        <v>V</v>
      </c>
      <c r="AV681" s="79">
        <f t="shared" si="115"/>
        <v>1</v>
      </c>
      <c r="AW681" s="79" t="str">
        <f>J681&amp;AU681</f>
        <v>52V</v>
      </c>
      <c r="AX681" s="79">
        <f>IF(COUNTIFS(J:J,"Integral",E:E,E681,H:H,"Ativo")=4,1/4,1/10)</f>
        <v>0.1</v>
      </c>
      <c r="AY681" s="79" t="s">
        <v>1535</v>
      </c>
      <c r="AZ681" s="79" t="b">
        <v>1</v>
      </c>
    </row>
    <row r="682" spans="1:52" ht="15.75" customHeight="1">
      <c r="A682" s="54">
        <v>710</v>
      </c>
      <c r="B682" s="406">
        <v>45407</v>
      </c>
      <c r="C682" s="32" t="s">
        <v>2106</v>
      </c>
      <c r="D682" s="32" t="s">
        <v>1861</v>
      </c>
      <c r="E682" s="32" t="s">
        <v>1820</v>
      </c>
      <c r="F682" s="32" t="s">
        <v>2107</v>
      </c>
      <c r="G682" s="60" t="s">
        <v>220</v>
      </c>
      <c r="H682" s="33" t="s">
        <v>90</v>
      </c>
      <c r="I682" s="34"/>
      <c r="J682" s="33">
        <v>6</v>
      </c>
      <c r="K682" s="56" t="s">
        <v>1165</v>
      </c>
      <c r="L682" s="56" t="s">
        <v>1165</v>
      </c>
      <c r="M682" s="386" t="s">
        <v>1026</v>
      </c>
      <c r="N682" s="33" t="s">
        <v>68</v>
      </c>
      <c r="O682" s="33" t="s">
        <v>10</v>
      </c>
      <c r="P682" s="33" t="s">
        <v>2</v>
      </c>
      <c r="Q682" s="47" t="s">
        <v>102</v>
      </c>
      <c r="R682" s="47"/>
      <c r="S682" s="45" t="s">
        <v>143</v>
      </c>
      <c r="T682" s="45"/>
      <c r="U682" s="37">
        <v>45404</v>
      </c>
      <c r="V682" s="38">
        <f t="shared" si="117"/>
        <v>45407</v>
      </c>
      <c r="W682" s="50">
        <f>V682-U682</f>
        <v>3</v>
      </c>
      <c r="X682" s="261">
        <f>ROUNDUP(Y682/(1+AC682),-3)</f>
        <v>423000</v>
      </c>
      <c r="Y682" s="260">
        <v>465000</v>
      </c>
      <c r="Z682" s="260">
        <v>381000</v>
      </c>
      <c r="AA682" s="56"/>
      <c r="AB682" s="43">
        <v>1</v>
      </c>
      <c r="AC682" s="44">
        <v>0.1</v>
      </c>
      <c r="AD682" s="62" t="s">
        <v>2108</v>
      </c>
      <c r="AE682" s="291"/>
      <c r="AF682" s="65"/>
      <c r="AG682" s="291">
        <v>28907.7</v>
      </c>
      <c r="AH682" s="65">
        <f t="shared" si="123"/>
        <v>84000</v>
      </c>
      <c r="AI682" s="242"/>
      <c r="AJ682" s="242"/>
      <c r="AK682" s="291"/>
      <c r="AL682" s="40">
        <f t="shared" si="119"/>
        <v>84000</v>
      </c>
      <c r="AM682" s="242">
        <f t="shared" si="118"/>
        <v>45412</v>
      </c>
      <c r="AN682" s="242" t="str">
        <f>IF(AQ682="x","",IF(AQ682="x",AM682,IF(EOMONTH(I682,0)=31,"",EOMONTH(I682,0))))</f>
        <v/>
      </c>
      <c r="AO682" s="79">
        <f>IFERROR(IF(VLOOKUP(C682,C683:C1283,1,0)=0,1,0),1)</f>
        <v>1</v>
      </c>
      <c r="AP682" s="79"/>
      <c r="AQ682" s="243" t="str">
        <f t="shared" si="124"/>
        <v/>
      </c>
      <c r="AR682" s="242" t="b">
        <f>IF(AQ682="x",EOMONTH(I682,0))</f>
        <v>0</v>
      </c>
      <c r="AS682" s="79">
        <f t="shared" si="120"/>
        <v>1</v>
      </c>
      <c r="AT682" s="79">
        <f t="shared" si="121"/>
        <v>1</v>
      </c>
      <c r="AU682" s="79" t="str">
        <f t="shared" si="122"/>
        <v>B</v>
      </c>
      <c r="AV682" s="79">
        <f t="shared" si="115"/>
        <v>1</v>
      </c>
      <c r="AW682" s="79" t="str">
        <f>J682&amp;AU682</f>
        <v>6B</v>
      </c>
      <c r="AX682" s="79">
        <f>IF(COUNTIFS(J:J,"Integral",E:E,E682,H:H,"Ativo")=4,1/4,1/10)</f>
        <v>0.1</v>
      </c>
      <c r="AY682" s="79" t="s">
        <v>1320</v>
      </c>
      <c r="AZ682" s="79" t="b">
        <v>1</v>
      </c>
    </row>
    <row r="683" spans="1:52" ht="15.75" customHeight="1">
      <c r="A683" s="54">
        <v>711</v>
      </c>
      <c r="B683" s="405">
        <v>45444</v>
      </c>
      <c r="C683" s="32" t="s">
        <v>2109</v>
      </c>
      <c r="D683" s="32" t="s">
        <v>2110</v>
      </c>
      <c r="E683" s="32" t="s">
        <v>2069</v>
      </c>
      <c r="F683" s="32" t="s">
        <v>2111</v>
      </c>
      <c r="G683" s="60" t="s">
        <v>243</v>
      </c>
      <c r="H683" s="33" t="s">
        <v>244</v>
      </c>
      <c r="I683" s="34">
        <v>45470</v>
      </c>
      <c r="J683" s="33">
        <v>6</v>
      </c>
      <c r="K683" s="56" t="s">
        <v>1714</v>
      </c>
      <c r="L683" s="56" t="s">
        <v>1714</v>
      </c>
      <c r="M683" s="386" t="s">
        <v>1149</v>
      </c>
      <c r="N683" s="33" t="s">
        <v>68</v>
      </c>
      <c r="O683" s="33" t="s">
        <v>10</v>
      </c>
      <c r="P683" s="33" t="s">
        <v>2</v>
      </c>
      <c r="Q683" s="47"/>
      <c r="R683" s="47"/>
      <c r="S683" s="45" t="s">
        <v>143</v>
      </c>
      <c r="T683" s="45"/>
      <c r="U683" s="37">
        <v>45407</v>
      </c>
      <c r="V683" s="38">
        <f t="shared" si="117"/>
        <v>45444</v>
      </c>
      <c r="W683" s="50">
        <f>V683-U683</f>
        <v>37</v>
      </c>
      <c r="X683" s="261">
        <f>ROUNDUP(Y683/(1+AC683),-3)</f>
        <v>416000</v>
      </c>
      <c r="Y683" s="260">
        <v>457000</v>
      </c>
      <c r="Z683" s="260">
        <v>324470</v>
      </c>
      <c r="AA683" s="56"/>
      <c r="AB683" s="43">
        <v>1</v>
      </c>
      <c r="AC683" s="44">
        <v>0.1</v>
      </c>
      <c r="AD683" s="62" t="s">
        <v>2112</v>
      </c>
      <c r="AE683" s="291"/>
      <c r="AF683" s="65"/>
      <c r="AG683" s="291"/>
      <c r="AH683" s="65">
        <f t="shared" si="123"/>
        <v>132530</v>
      </c>
      <c r="AI683" s="242"/>
      <c r="AJ683" s="242"/>
      <c r="AK683" s="291">
        <v>14506.61</v>
      </c>
      <c r="AL683" s="40">
        <f t="shared" si="119"/>
        <v>118023.39</v>
      </c>
      <c r="AM683" s="242">
        <f t="shared" si="118"/>
        <v>45473</v>
      </c>
      <c r="AN683" s="242" t="str">
        <f>IF(AQ683="x","",IF(AQ683="x",AM683,IF(EOMONTH(I683,0)=31,"",EOMONTH(I683,0))))</f>
        <v/>
      </c>
      <c r="AO683" s="79">
        <f>IFERROR(IF(VLOOKUP(C683,C684:C1284,1,0)=0,1,0),1)</f>
        <v>1</v>
      </c>
      <c r="AP683" s="79"/>
      <c r="AQ683" s="243" t="str">
        <f t="shared" si="124"/>
        <v>x</v>
      </c>
      <c r="AR683" s="242">
        <f>IF(AQ683="x",EOMONTH(I683,0))</f>
        <v>45473</v>
      </c>
      <c r="AS683" s="79">
        <f t="shared" si="120"/>
        <v>1</v>
      </c>
      <c r="AT683" s="79">
        <f t="shared" si="121"/>
        <v>1</v>
      </c>
      <c r="AU683" s="79" t="str">
        <f t="shared" si="122"/>
        <v>B</v>
      </c>
      <c r="AV683" s="79">
        <f t="shared" si="115"/>
        <v>1</v>
      </c>
      <c r="AW683" s="79" t="str">
        <f>J683&amp;AU683</f>
        <v>6B</v>
      </c>
      <c r="AX683" s="79">
        <f>IF(COUNTIFS(J:J,"Integral",E:E,E683,H:H,"Ativo")=4,1/4,1/10)</f>
        <v>0.1</v>
      </c>
      <c r="AY683" s="79" t="s">
        <v>2051</v>
      </c>
      <c r="AZ683" s="79" t="b">
        <v>1</v>
      </c>
    </row>
    <row r="684" spans="1:52" ht="15.75" customHeight="1">
      <c r="A684" s="54">
        <v>712</v>
      </c>
      <c r="B684" s="406">
        <v>45426</v>
      </c>
      <c r="C684" s="32" t="s">
        <v>2113</v>
      </c>
      <c r="D684" s="32" t="s">
        <v>1864</v>
      </c>
      <c r="E684" s="32" t="s">
        <v>1820</v>
      </c>
      <c r="F684" s="32" t="s">
        <v>2114</v>
      </c>
      <c r="G684" s="60" t="s">
        <v>220</v>
      </c>
      <c r="H684" s="33" t="s">
        <v>90</v>
      </c>
      <c r="I684" s="34"/>
      <c r="J684" s="33">
        <v>6</v>
      </c>
      <c r="K684" s="56" t="s">
        <v>1027</v>
      </c>
      <c r="L684" s="56" t="s">
        <v>1027</v>
      </c>
      <c r="M684" s="386" t="s">
        <v>246</v>
      </c>
      <c r="N684" s="33" t="s">
        <v>68</v>
      </c>
      <c r="O684" s="33" t="s">
        <v>10</v>
      </c>
      <c r="P684" s="33" t="s">
        <v>2</v>
      </c>
      <c r="Q684" s="47"/>
      <c r="R684" s="47"/>
      <c r="S684" s="45" t="s">
        <v>147</v>
      </c>
      <c r="T684" s="45"/>
      <c r="U684" s="37">
        <v>45339</v>
      </c>
      <c r="V684" s="38">
        <f t="shared" si="117"/>
        <v>45426</v>
      </c>
      <c r="W684" s="50">
        <f>V684-U684</f>
        <v>87</v>
      </c>
      <c r="X684" s="261">
        <f>ROUNDUP(Y684/(1+AC684),-3)</f>
        <v>425000</v>
      </c>
      <c r="Y684" s="260">
        <v>467000</v>
      </c>
      <c r="Z684" s="260">
        <v>336240</v>
      </c>
      <c r="AA684" s="56"/>
      <c r="AB684" s="43">
        <v>0.5</v>
      </c>
      <c r="AC684" s="44">
        <v>0.1</v>
      </c>
      <c r="AD684" s="62" t="s">
        <v>2115</v>
      </c>
      <c r="AE684" s="291"/>
      <c r="AF684" s="65"/>
      <c r="AG684" s="291"/>
      <c r="AH684" s="65">
        <f t="shared" si="123"/>
        <v>130760</v>
      </c>
      <c r="AI684" s="242"/>
      <c r="AJ684" s="242"/>
      <c r="AK684" s="291">
        <v>8544.23</v>
      </c>
      <c r="AL684" s="40">
        <f>AH684-AK684</f>
        <v>122215.77</v>
      </c>
      <c r="AM684" s="242">
        <f t="shared" si="118"/>
        <v>45443</v>
      </c>
      <c r="AN684" s="242" t="str">
        <f>IF(AQ684="x","",IF(AQ684="x",AM684,IF(EOMONTH(I684,0)=31,"",EOMONTH(I684,0))))</f>
        <v/>
      </c>
      <c r="AO684" s="79">
        <f>IFERROR(IF(VLOOKUP(C684,C685:C1285,1,0)=0,1,0),1)</f>
        <v>1</v>
      </c>
      <c r="AP684" s="79"/>
      <c r="AQ684" s="243" t="str">
        <f t="shared" si="124"/>
        <v/>
      </c>
      <c r="AR684" s="242" t="b">
        <f>IF(AQ684="x",EOMONTH(I684,0))</f>
        <v>0</v>
      </c>
      <c r="AS684" s="79">
        <f t="shared" si="120"/>
        <v>1</v>
      </c>
      <c r="AT684" s="79">
        <f t="shared" si="121"/>
        <v>1</v>
      </c>
      <c r="AU684" s="79" t="str">
        <f t="shared" si="122"/>
        <v>B</v>
      </c>
      <c r="AV684" s="79">
        <f t="shared" si="115"/>
        <v>1</v>
      </c>
      <c r="AW684" s="79" t="str">
        <f>J684&amp;AU684</f>
        <v>6B</v>
      </c>
      <c r="AX684" s="79">
        <f>IF(COUNTIFS(J:J,"Integral",E:E,E684,H:H,"Ativo")=4,1/4,1/10)</f>
        <v>0.1</v>
      </c>
      <c r="AY684" s="79" t="s">
        <v>1535</v>
      </c>
      <c r="AZ684" s="79" t="b">
        <v>1</v>
      </c>
    </row>
    <row r="685" spans="1:52" ht="15.75" customHeight="1">
      <c r="A685" s="54">
        <v>713</v>
      </c>
      <c r="B685" s="406">
        <v>45429</v>
      </c>
      <c r="C685" s="32" t="s">
        <v>2116</v>
      </c>
      <c r="D685" s="32" t="s">
        <v>2117</v>
      </c>
      <c r="E685" s="32" t="s">
        <v>2118</v>
      </c>
      <c r="F685" s="32" t="s">
        <v>2119</v>
      </c>
      <c r="G685" s="60" t="s">
        <v>220</v>
      </c>
      <c r="H685" s="33" t="s">
        <v>90</v>
      </c>
      <c r="I685" s="34"/>
      <c r="J685" s="33">
        <v>4</v>
      </c>
      <c r="K685" s="56" t="s">
        <v>289</v>
      </c>
      <c r="L685" s="56" t="s">
        <v>1755</v>
      </c>
      <c r="M685" s="386" t="s">
        <v>1755</v>
      </c>
      <c r="N685" s="33" t="s">
        <v>73</v>
      </c>
      <c r="O685" s="33" t="s">
        <v>10</v>
      </c>
      <c r="P685" s="33" t="s">
        <v>85</v>
      </c>
      <c r="Q685" s="47"/>
      <c r="R685" s="47"/>
      <c r="S685" s="45" t="s">
        <v>143</v>
      </c>
      <c r="T685" s="45"/>
      <c r="U685" s="37">
        <v>45427</v>
      </c>
      <c r="V685" s="38">
        <f t="shared" si="117"/>
        <v>45429</v>
      </c>
      <c r="W685" s="50">
        <f>V685-U685</f>
        <v>2</v>
      </c>
      <c r="X685" s="261">
        <v>365000</v>
      </c>
      <c r="Y685" s="260">
        <v>420000</v>
      </c>
      <c r="Z685" s="260">
        <v>339166.28</v>
      </c>
      <c r="AA685" s="56"/>
      <c r="AB685" s="43">
        <v>1</v>
      </c>
      <c r="AC685" s="44">
        <v>0</v>
      </c>
      <c r="AD685" s="62">
        <v>0</v>
      </c>
      <c r="AE685" s="291"/>
      <c r="AF685" s="65"/>
      <c r="AG685" s="291">
        <v>44414.63</v>
      </c>
      <c r="AH685" s="65">
        <f t="shared" si="123"/>
        <v>80833.719999999972</v>
      </c>
      <c r="AI685" s="242"/>
      <c r="AJ685" s="242"/>
      <c r="AK685" s="291"/>
      <c r="AL685" s="40">
        <f t="shared" si="119"/>
        <v>80833.719999999972</v>
      </c>
      <c r="AM685" s="242">
        <f t="shared" si="118"/>
        <v>45443</v>
      </c>
      <c r="AN685" s="242" t="str">
        <f>IF(AQ685="x","",IF(AQ685="x",AM685,IF(EOMONTH(I685,0)=31,"",EOMONTH(I685,0))))</f>
        <v/>
      </c>
      <c r="AO685" s="79">
        <f>IFERROR(IF(VLOOKUP(C685,C686:C1286,1,0)=0,1,0),1)</f>
        <v>1</v>
      </c>
      <c r="AP685" s="79"/>
      <c r="AQ685" s="243" t="str">
        <f t="shared" si="124"/>
        <v/>
      </c>
      <c r="AR685" s="242" t="b">
        <f>IF(AQ685="x",EOMONTH(I685,0))</f>
        <v>0</v>
      </c>
      <c r="AS685" s="79">
        <f t="shared" si="120"/>
        <v>1</v>
      </c>
      <c r="AT685" s="79">
        <f t="shared" si="121"/>
        <v>1</v>
      </c>
      <c r="AU685" s="79" t="str">
        <f t="shared" si="122"/>
        <v>B</v>
      </c>
      <c r="AV685" s="79">
        <f t="shared" si="115"/>
        <v>1</v>
      </c>
      <c r="AW685" s="79" t="str">
        <f>J685&amp;AU685</f>
        <v>4B</v>
      </c>
      <c r="AX685" s="79">
        <f>IF(COUNTIFS(J:J,"Integral",E:E,E685,H:H,"Ativo")=4,1/4,1/10)</f>
        <v>0.1</v>
      </c>
      <c r="AY685" s="79" t="s">
        <v>1535</v>
      </c>
      <c r="AZ685" s="79" t="b">
        <v>1</v>
      </c>
    </row>
    <row r="686" spans="1:52" ht="15.75" customHeight="1">
      <c r="A686" s="54">
        <v>714</v>
      </c>
      <c r="B686" s="406">
        <v>45441</v>
      </c>
      <c r="C686" s="32" t="s">
        <v>2120</v>
      </c>
      <c r="D686" s="32" t="s">
        <v>1819</v>
      </c>
      <c r="E686" s="32" t="s">
        <v>1820</v>
      </c>
      <c r="F686" s="32" t="s">
        <v>2121</v>
      </c>
      <c r="G686" s="60" t="s">
        <v>220</v>
      </c>
      <c r="H686" s="33" t="s">
        <v>90</v>
      </c>
      <c r="I686" s="34"/>
      <c r="J686" s="33">
        <v>6</v>
      </c>
      <c r="K686" s="56" t="s">
        <v>221</v>
      </c>
      <c r="L686" s="56" t="s">
        <v>221</v>
      </c>
      <c r="M686" s="67" t="s">
        <v>222</v>
      </c>
      <c r="N686" s="33" t="s">
        <v>72</v>
      </c>
      <c r="O686" s="33" t="s">
        <v>11</v>
      </c>
      <c r="P686" s="33" t="s">
        <v>72</v>
      </c>
      <c r="Q686" s="47" t="s">
        <v>96</v>
      </c>
      <c r="R686" s="47"/>
      <c r="S686" s="45" t="s">
        <v>147</v>
      </c>
      <c r="T686" s="45"/>
      <c r="U686" s="37">
        <v>45441</v>
      </c>
      <c r="V686" s="38">
        <f t="shared" si="117"/>
        <v>45441</v>
      </c>
      <c r="W686" s="50">
        <f>V686-U686</f>
        <v>0</v>
      </c>
      <c r="X686" s="294">
        <v>380000</v>
      </c>
      <c r="Y686" s="260">
        <v>389500</v>
      </c>
      <c r="Z686" s="260">
        <v>365000</v>
      </c>
      <c r="AA686" s="56"/>
      <c r="AB686" s="43">
        <v>0.1</v>
      </c>
      <c r="AC686" s="295">
        <v>0</v>
      </c>
      <c r="AD686" s="62">
        <v>-0.1021</v>
      </c>
      <c r="AE686" s="291"/>
      <c r="AF686" s="65"/>
      <c r="AG686" s="291">
        <v>39787.800000000003</v>
      </c>
      <c r="AH686" s="65">
        <f t="shared" si="123"/>
        <v>24500</v>
      </c>
      <c r="AI686" s="242"/>
      <c r="AJ686" s="242"/>
      <c r="AK686" s="291"/>
      <c r="AL686" s="40">
        <f t="shared" si="119"/>
        <v>24500</v>
      </c>
      <c r="AM686" s="242">
        <f t="shared" si="118"/>
        <v>45443</v>
      </c>
      <c r="AN686" s="242" t="str">
        <f>IF(AQ686="x","",IF(AQ686="x",AM686,IF(EOMONTH(I686,0)=31,"",EOMONTH(I686,0))))</f>
        <v/>
      </c>
      <c r="AO686" s="79">
        <f>IFERROR(IF(VLOOKUP(C686,C687:C1287,1,0)=0,1,0),1)</f>
        <v>0</v>
      </c>
      <c r="AP686" s="79"/>
      <c r="AQ686" s="243" t="str">
        <f t="shared" si="124"/>
        <v/>
      </c>
      <c r="AR686" s="242" t="b">
        <f>IF(AQ686="x",EOMONTH(I686,0))</f>
        <v>0</v>
      </c>
      <c r="AS686" s="79">
        <f t="shared" si="120"/>
        <v>1</v>
      </c>
      <c r="AT686" s="79">
        <f t="shared" si="121"/>
        <v>1</v>
      </c>
      <c r="AU686" s="79" t="str">
        <f t="shared" si="122"/>
        <v>B</v>
      </c>
      <c r="AV686" s="79">
        <f t="shared" si="115"/>
        <v>1</v>
      </c>
      <c r="AW686" s="79" t="str">
        <f>J686&amp;AU686</f>
        <v>6B</v>
      </c>
      <c r="AX686" s="79">
        <f>IF(COUNTIFS(J:J,"Integral",E:E,E686,H:H,"Ativo")=4,1/4,1/10)</f>
        <v>0.1</v>
      </c>
      <c r="AY686" s="79" t="s">
        <v>1535</v>
      </c>
      <c r="AZ686" s="79" t="b">
        <v>1</v>
      </c>
    </row>
    <row r="687" spans="1:52" ht="15.75" customHeight="1">
      <c r="A687" s="54">
        <v>715</v>
      </c>
      <c r="B687" s="406">
        <v>45441</v>
      </c>
      <c r="C687" s="32" t="s">
        <v>2120</v>
      </c>
      <c r="D687" s="32" t="s">
        <v>1822</v>
      </c>
      <c r="E687" s="32" t="s">
        <v>1820</v>
      </c>
      <c r="F687" s="32" t="s">
        <v>2122</v>
      </c>
      <c r="G687" s="60" t="s">
        <v>220</v>
      </c>
      <c r="H687" s="33" t="s">
        <v>90</v>
      </c>
      <c r="I687" s="34"/>
      <c r="J687" s="33">
        <v>6</v>
      </c>
      <c r="K687" s="56" t="s">
        <v>221</v>
      </c>
      <c r="L687" s="56" t="s">
        <v>221</v>
      </c>
      <c r="M687" s="67" t="s">
        <v>222</v>
      </c>
      <c r="N687" s="33" t="s">
        <v>72</v>
      </c>
      <c r="O687" s="33" t="s">
        <v>11</v>
      </c>
      <c r="P687" s="33" t="s">
        <v>72</v>
      </c>
      <c r="Q687" s="47" t="s">
        <v>96</v>
      </c>
      <c r="R687" s="47"/>
      <c r="S687" s="45" t="s">
        <v>147</v>
      </c>
      <c r="T687" s="45"/>
      <c r="U687" s="37">
        <v>45441</v>
      </c>
      <c r="V687" s="38">
        <f t="shared" si="117"/>
        <v>45441</v>
      </c>
      <c r="W687" s="50">
        <f>V687-U687</f>
        <v>0</v>
      </c>
      <c r="X687" s="294">
        <v>380000</v>
      </c>
      <c r="Y687" s="260">
        <v>389500</v>
      </c>
      <c r="Z687" s="260">
        <v>365000</v>
      </c>
      <c r="AA687" s="56"/>
      <c r="AB687" s="43">
        <v>0.1</v>
      </c>
      <c r="AC687" s="295">
        <v>0</v>
      </c>
      <c r="AD687" s="62">
        <v>-0.1021</v>
      </c>
      <c r="AE687" s="291"/>
      <c r="AF687" s="65"/>
      <c r="AG687" s="291">
        <v>39787.800000000003</v>
      </c>
      <c r="AH687" s="65">
        <f t="shared" si="123"/>
        <v>24500</v>
      </c>
      <c r="AI687" s="242"/>
      <c r="AJ687" s="242"/>
      <c r="AK687" s="291"/>
      <c r="AL687" s="40">
        <f t="shared" si="119"/>
        <v>24500</v>
      </c>
      <c r="AM687" s="242">
        <f t="shared" si="118"/>
        <v>45443</v>
      </c>
      <c r="AN687" s="242" t="str">
        <f>IF(AQ687="x","",IF(AQ687="x",AM687,IF(EOMONTH(I687,0)=31,"",EOMONTH(I687,0))))</f>
        <v/>
      </c>
      <c r="AO687" s="79">
        <f>IFERROR(IF(VLOOKUP(C687,C688:C1288,1,0)=0,1,0),1)</f>
        <v>1</v>
      </c>
      <c r="AP687" s="79"/>
      <c r="AQ687" s="243" t="str">
        <f t="shared" si="124"/>
        <v/>
      </c>
      <c r="AR687" s="242" t="b">
        <f>IF(AQ687="x",EOMONTH(I687,0))</f>
        <v>0</v>
      </c>
      <c r="AS687" s="79">
        <f t="shared" si="120"/>
        <v>1</v>
      </c>
      <c r="AT687" s="79">
        <f t="shared" si="121"/>
        <v>1</v>
      </c>
      <c r="AU687" s="79" t="str">
        <f t="shared" si="122"/>
        <v>B</v>
      </c>
      <c r="AV687" s="79">
        <f t="shared" si="115"/>
        <v>1</v>
      </c>
      <c r="AW687" s="79" t="str">
        <f>J687&amp;AU687</f>
        <v>6B</v>
      </c>
      <c r="AX687" s="79">
        <f>IF(COUNTIFS(J:J,"Integral",E:E,E687,H:H,"Ativo")=4,1/4,1/10)</f>
        <v>0.1</v>
      </c>
      <c r="AY687" s="79" t="s">
        <v>1535</v>
      </c>
      <c r="AZ687" s="79" t="b">
        <v>1</v>
      </c>
    </row>
    <row r="688" spans="1:52" ht="15.75" customHeight="1">
      <c r="A688" s="54">
        <v>716</v>
      </c>
      <c r="B688" s="405">
        <v>45448</v>
      </c>
      <c r="C688" s="32" t="s">
        <v>2123</v>
      </c>
      <c r="D688" s="32" t="s">
        <v>2124</v>
      </c>
      <c r="E688" s="32" t="s">
        <v>2118</v>
      </c>
      <c r="F688" s="32" t="s">
        <v>2125</v>
      </c>
      <c r="G688" s="60" t="s">
        <v>220</v>
      </c>
      <c r="H688" s="33" t="s">
        <v>90</v>
      </c>
      <c r="I688" s="34"/>
      <c r="J688" s="33">
        <v>4</v>
      </c>
      <c r="K688" s="56" t="s">
        <v>1755</v>
      </c>
      <c r="L688" s="56" t="s">
        <v>1755</v>
      </c>
      <c r="M688" s="386" t="s">
        <v>1755</v>
      </c>
      <c r="N688" s="33" t="s">
        <v>73</v>
      </c>
      <c r="O688" s="33" t="s">
        <v>12</v>
      </c>
      <c r="P688" s="33" t="s">
        <v>85</v>
      </c>
      <c r="Q688" s="47"/>
      <c r="R688" s="47"/>
      <c r="S688" s="45" t="s">
        <v>160</v>
      </c>
      <c r="T688" s="45"/>
      <c r="U688" s="37">
        <v>45445</v>
      </c>
      <c r="V688" s="38">
        <f t="shared" si="117"/>
        <v>45448</v>
      </c>
      <c r="W688" s="50">
        <f>V688-U688</f>
        <v>3</v>
      </c>
      <c r="X688" s="294">
        <v>367153.5</v>
      </c>
      <c r="Y688" s="260">
        <v>421000</v>
      </c>
      <c r="Z688" s="260">
        <v>421000</v>
      </c>
      <c r="AA688" s="56"/>
      <c r="AB688" s="43">
        <v>0.2</v>
      </c>
      <c r="AC688" s="295">
        <v>0</v>
      </c>
      <c r="AD688" s="62">
        <v>2.5000000000000001E-3</v>
      </c>
      <c r="AE688" s="291"/>
      <c r="AF688" s="65"/>
      <c r="AG688" s="291">
        <v>42636.41</v>
      </c>
      <c r="AH688" s="65">
        <f t="shared" si="123"/>
        <v>0</v>
      </c>
      <c r="AI688" s="242"/>
      <c r="AJ688" s="242"/>
      <c r="AK688" s="291"/>
      <c r="AL688" s="40">
        <f t="shared" si="119"/>
        <v>0</v>
      </c>
      <c r="AM688" s="242">
        <f t="shared" si="118"/>
        <v>45473</v>
      </c>
      <c r="AN688" s="242" t="str">
        <f>IF(AQ688="x","",IF(AQ688="x",AM688,IF(EOMONTH(I688,0)=31,"",EOMONTH(I688,0))))</f>
        <v/>
      </c>
      <c r="AO688" s="79">
        <f>IFERROR(IF(VLOOKUP(C688,C689:C1289,1,0)=0,1,0),1)</f>
        <v>1</v>
      </c>
      <c r="AP688" s="79"/>
      <c r="AQ688" s="243" t="str">
        <f t="shared" si="124"/>
        <v/>
      </c>
      <c r="AR688" s="242" t="b">
        <f>IF(AQ688="x",EOMONTH(I688,0))</f>
        <v>0</v>
      </c>
      <c r="AS688" s="79">
        <f t="shared" si="120"/>
        <v>1</v>
      </c>
      <c r="AT688" s="79">
        <f t="shared" si="121"/>
        <v>1</v>
      </c>
      <c r="AU688" s="79" t="str">
        <f t="shared" si="122"/>
        <v>B</v>
      </c>
      <c r="AV688" s="79">
        <f t="shared" si="115"/>
        <v>1</v>
      </c>
      <c r="AW688" s="79" t="str">
        <f>J688&amp;AU688</f>
        <v>4B</v>
      </c>
      <c r="AX688" s="79">
        <f>IF(COUNTIFS(J:J,"Integral",E:E,E688,H:H,"Ativo")=4,1/4,1/10)</f>
        <v>0.1</v>
      </c>
      <c r="AY688" s="79" t="s">
        <v>2051</v>
      </c>
      <c r="AZ688" s="79" t="b">
        <v>1</v>
      </c>
    </row>
    <row r="689" spans="1:52" ht="15.75" customHeight="1">
      <c r="A689" s="54">
        <v>717</v>
      </c>
      <c r="B689" s="405">
        <v>45453</v>
      </c>
      <c r="C689" s="32" t="s">
        <v>2126</v>
      </c>
      <c r="D689" s="32" t="s">
        <v>2127</v>
      </c>
      <c r="E689" s="32" t="s">
        <v>2118</v>
      </c>
      <c r="F689" s="32" t="s">
        <v>2128</v>
      </c>
      <c r="G689" s="60" t="s">
        <v>220</v>
      </c>
      <c r="H689" s="33" t="s">
        <v>90</v>
      </c>
      <c r="I689" s="34"/>
      <c r="J689" s="33">
        <v>4</v>
      </c>
      <c r="K689" s="56" t="s">
        <v>1755</v>
      </c>
      <c r="L689" s="56" t="s">
        <v>1755</v>
      </c>
      <c r="M689" s="386" t="s">
        <v>1755</v>
      </c>
      <c r="N689" s="33" t="s">
        <v>73</v>
      </c>
      <c r="O689" s="33" t="s">
        <v>10</v>
      </c>
      <c r="P689" s="33" t="s">
        <v>85</v>
      </c>
      <c r="Q689" s="47"/>
      <c r="R689" s="47"/>
      <c r="S689" s="45" t="s">
        <v>143</v>
      </c>
      <c r="T689" s="45"/>
      <c r="U689" s="37">
        <v>45453</v>
      </c>
      <c r="V689" s="38">
        <f t="shared" si="117"/>
        <v>45453</v>
      </c>
      <c r="W689" s="50">
        <f>V689-U689</f>
        <v>0</v>
      </c>
      <c r="X689" s="294">
        <v>367153.5</v>
      </c>
      <c r="Y689" s="260">
        <v>421000</v>
      </c>
      <c r="Z689" s="260">
        <v>330000</v>
      </c>
      <c r="AA689" s="56"/>
      <c r="AB689" s="43">
        <v>1</v>
      </c>
      <c r="AC689" s="295">
        <v>0</v>
      </c>
      <c r="AD689" s="62">
        <v>2.93E-2</v>
      </c>
      <c r="AE689" s="291"/>
      <c r="AF689" s="65"/>
      <c r="AG689" s="291">
        <v>33509.32</v>
      </c>
      <c r="AH689" s="65">
        <f t="shared" si="123"/>
        <v>91000</v>
      </c>
      <c r="AI689" s="242"/>
      <c r="AJ689" s="242"/>
      <c r="AK689" s="291"/>
      <c r="AL689" s="40">
        <f t="shared" si="119"/>
        <v>91000</v>
      </c>
      <c r="AM689" s="242">
        <f t="shared" si="118"/>
        <v>45473</v>
      </c>
      <c r="AN689" s="242" t="str">
        <f>IF(AQ689="x","",IF(AQ689="x",AM689,IF(EOMONTH(I689,0)=31,"",EOMONTH(I689,0))))</f>
        <v/>
      </c>
      <c r="AO689" s="79">
        <f>IFERROR(IF(VLOOKUP(C689,C690:C1290,1,0)=0,1,0),1)</f>
        <v>1</v>
      </c>
      <c r="AP689" s="79"/>
      <c r="AQ689" s="243" t="str">
        <f t="shared" si="124"/>
        <v/>
      </c>
      <c r="AR689" s="242" t="b">
        <f>IF(AQ689="x",EOMONTH(I689,0))</f>
        <v>0</v>
      </c>
      <c r="AS689" s="79">
        <f t="shared" si="120"/>
        <v>1</v>
      </c>
      <c r="AT689" s="79">
        <f t="shared" si="121"/>
        <v>1</v>
      </c>
      <c r="AU689" s="79" t="str">
        <f t="shared" si="122"/>
        <v>B</v>
      </c>
      <c r="AV689" s="79">
        <f t="shared" ref="AV689:AV752" si="125">IF(AG689&lt;0,0,1)</f>
        <v>1</v>
      </c>
      <c r="AW689" s="79" t="str">
        <f>J689&amp;AU689</f>
        <v>4B</v>
      </c>
      <c r="AX689" s="79">
        <f>IF(COUNTIFS(J:J,"Integral",E:E,E689,H:H,"Ativo")=4,1/4,1/10)</f>
        <v>0.1</v>
      </c>
      <c r="AY689" s="79" t="s">
        <v>1535</v>
      </c>
      <c r="AZ689" s="79" t="b">
        <v>1</v>
      </c>
    </row>
    <row r="690" spans="1:52" ht="15.75" customHeight="1">
      <c r="A690" s="54">
        <v>718</v>
      </c>
      <c r="B690" s="405">
        <v>45454</v>
      </c>
      <c r="C690" s="32" t="s">
        <v>2129</v>
      </c>
      <c r="D690" s="32" t="s">
        <v>2130</v>
      </c>
      <c r="E690" s="32" t="s">
        <v>1697</v>
      </c>
      <c r="F690" s="32" t="s">
        <v>2131</v>
      </c>
      <c r="G690" s="60" t="s">
        <v>220</v>
      </c>
      <c r="H690" s="33" t="s">
        <v>90</v>
      </c>
      <c r="I690" s="34"/>
      <c r="J690" s="33">
        <v>6</v>
      </c>
      <c r="K690" s="56" t="s">
        <v>1165</v>
      </c>
      <c r="L690" s="56" t="s">
        <v>1165</v>
      </c>
      <c r="M690" s="386" t="s">
        <v>1026</v>
      </c>
      <c r="N690" s="33" t="s">
        <v>68</v>
      </c>
      <c r="O690" s="33" t="s">
        <v>11</v>
      </c>
      <c r="P690" s="33" t="s">
        <v>2</v>
      </c>
      <c r="Q690" s="47"/>
      <c r="R690" s="47"/>
      <c r="S690" s="45" t="s">
        <v>143</v>
      </c>
      <c r="T690" s="45"/>
      <c r="U690" s="37">
        <v>45454</v>
      </c>
      <c r="V690" s="38">
        <f t="shared" si="117"/>
        <v>45454</v>
      </c>
      <c r="W690" s="50">
        <f>V690-U690</f>
        <v>0</v>
      </c>
      <c r="X690" s="294">
        <v>382242</v>
      </c>
      <c r="Y690" s="260">
        <v>389500</v>
      </c>
      <c r="Z690" s="260">
        <v>300000</v>
      </c>
      <c r="AA690" s="56"/>
      <c r="AB690" s="43">
        <v>8.3299999999999999E-2</v>
      </c>
      <c r="AC690" s="295">
        <v>0</v>
      </c>
      <c r="AD690" s="62" t="s">
        <v>2132</v>
      </c>
      <c r="AE690" s="291"/>
      <c r="AF690" s="65"/>
      <c r="AG690" s="291"/>
      <c r="AH690" s="65">
        <f t="shared" si="123"/>
        <v>89500</v>
      </c>
      <c r="AI690" s="242"/>
      <c r="AJ690" s="242"/>
      <c r="AK690" s="291">
        <v>23708.76</v>
      </c>
      <c r="AL690" s="40">
        <f t="shared" si="119"/>
        <v>65791.240000000005</v>
      </c>
      <c r="AM690" s="242">
        <f t="shared" si="118"/>
        <v>45473</v>
      </c>
      <c r="AN690" s="242" t="str">
        <f>IF(AQ690="x","",IF(AQ690="x",AM690,IF(EOMONTH(I690,0)=31,"",EOMONTH(I690,0))))</f>
        <v/>
      </c>
      <c r="AO690" s="79">
        <f>IFERROR(IF(VLOOKUP(C690,C691:C1291,1,0)=0,1,0),1)</f>
        <v>0</v>
      </c>
      <c r="AP690" s="79"/>
      <c r="AQ690" s="243" t="str">
        <f t="shared" si="124"/>
        <v/>
      </c>
      <c r="AR690" s="242" t="b">
        <f>IF(AQ690="x",EOMONTH(I690,0))</f>
        <v>0</v>
      </c>
      <c r="AS690" s="79">
        <f t="shared" si="120"/>
        <v>1</v>
      </c>
      <c r="AT690" s="79">
        <f t="shared" si="121"/>
        <v>1</v>
      </c>
      <c r="AU690" s="79" t="str">
        <f t="shared" si="122"/>
        <v>B</v>
      </c>
      <c r="AV690" s="79">
        <f t="shared" si="125"/>
        <v>1</v>
      </c>
      <c r="AW690" s="79" t="str">
        <f>J690&amp;AU690</f>
        <v>6B</v>
      </c>
      <c r="AX690" s="79">
        <f>IF(COUNTIFS(J:J,"Integral",E:E,E690,H:H,"Ativo")=4,1/4,1/10)</f>
        <v>0.1</v>
      </c>
      <c r="AY690" s="79" t="s">
        <v>2133</v>
      </c>
      <c r="AZ690" s="79" t="b">
        <v>1</v>
      </c>
    </row>
    <row r="691" spans="1:52" ht="15.75" customHeight="1">
      <c r="A691" s="54">
        <v>720</v>
      </c>
      <c r="B691" s="405">
        <v>45465</v>
      </c>
      <c r="C691" s="32" t="s">
        <v>2129</v>
      </c>
      <c r="D691" s="32" t="s">
        <v>1696</v>
      </c>
      <c r="E691" s="32" t="s">
        <v>1697</v>
      </c>
      <c r="F691" s="32" t="s">
        <v>2134</v>
      </c>
      <c r="G691" s="60" t="s">
        <v>220</v>
      </c>
      <c r="H691" s="33" t="s">
        <v>90</v>
      </c>
      <c r="I691" s="34"/>
      <c r="J691" s="33">
        <v>6</v>
      </c>
      <c r="K691" s="56" t="s">
        <v>1165</v>
      </c>
      <c r="L691" s="56" t="s">
        <v>1165</v>
      </c>
      <c r="M691" s="386" t="s">
        <v>1026</v>
      </c>
      <c r="N691" s="33" t="s">
        <v>68</v>
      </c>
      <c r="O691" s="33" t="s">
        <v>11</v>
      </c>
      <c r="P691" s="33" t="s">
        <v>2</v>
      </c>
      <c r="Q691" s="47"/>
      <c r="R691" s="47"/>
      <c r="S691" s="45" t="s">
        <v>143</v>
      </c>
      <c r="T691" s="45"/>
      <c r="U691" s="37">
        <v>45454</v>
      </c>
      <c r="V691" s="38">
        <f t="shared" si="117"/>
        <v>45465</v>
      </c>
      <c r="W691" s="50">
        <f>V691-U691</f>
        <v>11</v>
      </c>
      <c r="X691" s="294">
        <v>382242</v>
      </c>
      <c r="Y691" s="260">
        <v>389500</v>
      </c>
      <c r="Z691" s="260">
        <v>300000</v>
      </c>
      <c r="AA691" s="56"/>
      <c r="AB691" s="43">
        <v>8.3299999999999999E-2</v>
      </c>
      <c r="AC691" s="295">
        <v>0</v>
      </c>
      <c r="AD691" s="62">
        <v>9.4E-2</v>
      </c>
      <c r="AE691" s="291"/>
      <c r="AF691" s="65"/>
      <c r="AG691" s="291"/>
      <c r="AH691" s="65">
        <f t="shared" si="123"/>
        <v>89500</v>
      </c>
      <c r="AI691" s="242"/>
      <c r="AJ691" s="242"/>
      <c r="AK691" s="291">
        <v>23708.76</v>
      </c>
      <c r="AL691" s="40">
        <f t="shared" si="119"/>
        <v>65791.240000000005</v>
      </c>
      <c r="AM691" s="242">
        <f t="shared" si="118"/>
        <v>45473</v>
      </c>
      <c r="AN691" s="242" t="str">
        <f>IF(AQ691="x","",IF(AQ691="x",AM691,IF(EOMONTH(I691,0)=31,"",EOMONTH(I691,0))))</f>
        <v/>
      </c>
      <c r="AO691" s="79">
        <f>IFERROR(IF(VLOOKUP(C691,C692:C1292,1,0)=0,1,0),1)</f>
        <v>1</v>
      </c>
      <c r="AP691" s="79"/>
      <c r="AQ691" s="243" t="str">
        <f t="shared" si="124"/>
        <v/>
      </c>
      <c r="AR691" s="242" t="b">
        <f>IF(AQ691="x",EOMONTH(I691,0))</f>
        <v>0</v>
      </c>
      <c r="AS691" s="79">
        <f t="shared" si="120"/>
        <v>1</v>
      </c>
      <c r="AT691" s="79">
        <f t="shared" si="121"/>
        <v>1</v>
      </c>
      <c r="AU691" s="79" t="str">
        <f t="shared" si="122"/>
        <v>B</v>
      </c>
      <c r="AV691" s="79">
        <f t="shared" si="125"/>
        <v>1</v>
      </c>
      <c r="AW691" s="79" t="str">
        <f>J691&amp;AU691</f>
        <v>6B</v>
      </c>
      <c r="AX691" s="79">
        <f>IF(COUNTIFS(J:J,"Integral",E:E,E691,H:H,"Ativo")=4,1/4,1/10)</f>
        <v>0.1</v>
      </c>
      <c r="AY691" s="79" t="s">
        <v>2133</v>
      </c>
      <c r="AZ691" s="79" t="b">
        <v>1</v>
      </c>
    </row>
    <row r="692" spans="1:52" ht="13.5" customHeight="1">
      <c r="A692" s="54">
        <v>721</v>
      </c>
      <c r="B692" s="405">
        <v>45469</v>
      </c>
      <c r="C692" s="32" t="s">
        <v>2135</v>
      </c>
      <c r="D692" s="32" t="s">
        <v>2136</v>
      </c>
      <c r="E692" s="32" t="s">
        <v>2137</v>
      </c>
      <c r="F692" s="32" t="s">
        <v>2138</v>
      </c>
      <c r="G692" s="60" t="s">
        <v>220</v>
      </c>
      <c r="H692" s="33" t="s">
        <v>90</v>
      </c>
      <c r="I692" s="34"/>
      <c r="J692" s="33">
        <v>6</v>
      </c>
      <c r="K692" s="35" t="s">
        <v>237</v>
      </c>
      <c r="L692" s="35" t="s">
        <v>237</v>
      </c>
      <c r="M692" s="386" t="s">
        <v>246</v>
      </c>
      <c r="N692" s="33" t="s">
        <v>68</v>
      </c>
      <c r="O692" s="33" t="s">
        <v>12</v>
      </c>
      <c r="P692" s="33" t="s">
        <v>2</v>
      </c>
      <c r="Q692" s="47"/>
      <c r="R692" s="47"/>
      <c r="S692" s="45" t="s">
        <v>149</v>
      </c>
      <c r="T692" s="45"/>
      <c r="U692" s="37">
        <v>45451</v>
      </c>
      <c r="V692" s="38">
        <f t="shared" si="117"/>
        <v>45469</v>
      </c>
      <c r="W692" s="50">
        <f>V692-U692</f>
        <v>18</v>
      </c>
      <c r="X692" s="294">
        <v>382242</v>
      </c>
      <c r="Y692" s="260">
        <v>389500</v>
      </c>
      <c r="Z692" s="260">
        <v>389500</v>
      </c>
      <c r="AA692" s="56"/>
      <c r="AB692" s="43">
        <v>0.2</v>
      </c>
      <c r="AC692" s="295">
        <v>0</v>
      </c>
      <c r="AD692" s="62">
        <v>0</v>
      </c>
      <c r="AE692" s="291"/>
      <c r="AF692" s="65"/>
      <c r="AG692" s="291">
        <v>5868.73</v>
      </c>
      <c r="AH692" s="65">
        <f t="shared" si="123"/>
        <v>0</v>
      </c>
      <c r="AI692" s="242"/>
      <c r="AJ692" s="242"/>
      <c r="AK692" s="291"/>
      <c r="AL692" s="40">
        <f t="shared" si="119"/>
        <v>0</v>
      </c>
      <c r="AM692" s="242">
        <f t="shared" si="118"/>
        <v>45473</v>
      </c>
      <c r="AN692" s="242" t="str">
        <f>IF(AQ692="x","",IF(AQ692="x",AM692,IF(EOMONTH(I692,0)=31,"",EOMONTH(I692,0))))</f>
        <v/>
      </c>
      <c r="AO692" s="79">
        <f>IFERROR(IF(VLOOKUP(C692,C693:C1293,1,0)=0,1,0),1)</f>
        <v>0</v>
      </c>
      <c r="AP692" s="79"/>
      <c r="AQ692" s="243" t="str">
        <f t="shared" si="124"/>
        <v/>
      </c>
      <c r="AR692" s="242" t="b">
        <f>IF(AQ692="x",EOMONTH(I692,0))</f>
        <v>0</v>
      </c>
      <c r="AS692" s="79">
        <f t="shared" si="120"/>
        <v>1</v>
      </c>
      <c r="AT692" s="79">
        <f t="shared" si="121"/>
        <v>1</v>
      </c>
      <c r="AU692" s="79" t="str">
        <f t="shared" si="122"/>
        <v>B</v>
      </c>
      <c r="AV692" s="79">
        <f t="shared" si="125"/>
        <v>1</v>
      </c>
      <c r="AW692" s="79" t="str">
        <f>J692&amp;AU692</f>
        <v>6B</v>
      </c>
      <c r="AX692" s="79">
        <f>IF(COUNTIFS(J:J,"Integral",E:E,E692,H:H,"Ativo")=4,1/4,1/10)</f>
        <v>0.1</v>
      </c>
      <c r="AY692" s="79" t="s">
        <v>2133</v>
      </c>
      <c r="AZ692" s="79" t="b">
        <v>1</v>
      </c>
    </row>
    <row r="693" spans="1:52" ht="12" customHeight="1">
      <c r="A693" s="54">
        <v>722</v>
      </c>
      <c r="B693" s="405">
        <v>45469</v>
      </c>
      <c r="C693" s="32" t="s">
        <v>2139</v>
      </c>
      <c r="D693" s="32" t="s">
        <v>2140</v>
      </c>
      <c r="E693" s="32" t="s">
        <v>2137</v>
      </c>
      <c r="F693" s="32" t="s">
        <v>2141</v>
      </c>
      <c r="G693" s="60" t="s">
        <v>220</v>
      </c>
      <c r="H693" s="33" t="s">
        <v>90</v>
      </c>
      <c r="I693" s="34"/>
      <c r="J693" s="33">
        <v>6</v>
      </c>
      <c r="K693" s="35" t="s">
        <v>237</v>
      </c>
      <c r="L693" s="35" t="s">
        <v>237</v>
      </c>
      <c r="M693" s="386" t="s">
        <v>246</v>
      </c>
      <c r="N693" s="33" t="s">
        <v>68</v>
      </c>
      <c r="O693" s="33" t="s">
        <v>12</v>
      </c>
      <c r="P693" s="33" t="s">
        <v>2</v>
      </c>
      <c r="Q693" s="47"/>
      <c r="R693" s="47"/>
      <c r="S693" s="45" t="s">
        <v>149</v>
      </c>
      <c r="T693" s="45"/>
      <c r="U693" s="37">
        <v>45451</v>
      </c>
      <c r="V693" s="38">
        <f t="shared" si="117"/>
        <v>45469</v>
      </c>
      <c r="W693" s="50">
        <f>V693-U693</f>
        <v>18</v>
      </c>
      <c r="X693" s="294">
        <v>382242</v>
      </c>
      <c r="Y693" s="260">
        <v>389500</v>
      </c>
      <c r="Z693" s="260">
        <v>389500</v>
      </c>
      <c r="AA693" s="56"/>
      <c r="AB693" s="43">
        <v>0.2</v>
      </c>
      <c r="AC693" s="295">
        <v>0</v>
      </c>
      <c r="AD693" s="62">
        <v>0</v>
      </c>
      <c r="AE693" s="291"/>
      <c r="AF693" s="65"/>
      <c r="AG693" s="291">
        <v>5868.73</v>
      </c>
      <c r="AH693" s="65">
        <f t="shared" si="123"/>
        <v>0</v>
      </c>
      <c r="AI693" s="242"/>
      <c r="AJ693" s="242"/>
      <c r="AK693" s="291"/>
      <c r="AL693" s="40">
        <f t="shared" si="119"/>
        <v>0</v>
      </c>
      <c r="AM693" s="242">
        <f t="shared" si="118"/>
        <v>45473</v>
      </c>
      <c r="AN693" s="242" t="str">
        <f>IF(AQ693="x","",IF(AQ693="x",AM693,IF(EOMONTH(I693,0)=31,"",EOMONTH(I693,0))))</f>
        <v/>
      </c>
      <c r="AO693" s="350">
        <f>IFERROR(IF(VLOOKUP(C693,C694:C1294,1,0)=0,1,0),1)</f>
        <v>1</v>
      </c>
      <c r="AP693" s="350"/>
      <c r="AQ693" s="243" t="str">
        <f t="shared" si="124"/>
        <v/>
      </c>
      <c r="AR693" s="242" t="b">
        <f>IF(AQ693="x",EOMONTH(I693,0))</f>
        <v>0</v>
      </c>
      <c r="AS693" s="79">
        <f t="shared" si="120"/>
        <v>1</v>
      </c>
      <c r="AT693" s="79">
        <f t="shared" si="121"/>
        <v>1</v>
      </c>
      <c r="AU693" s="79" t="str">
        <f t="shared" si="122"/>
        <v>B</v>
      </c>
      <c r="AV693" s="79">
        <f t="shared" si="125"/>
        <v>1</v>
      </c>
      <c r="AW693" s="79" t="str">
        <f>J693&amp;AU693</f>
        <v>6B</v>
      </c>
      <c r="AX693" s="79">
        <f>IF(COUNTIFS(J:J,"Integral",E:E,E693,H:H,"Ativo")=4,1/4,1/10)</f>
        <v>0.1</v>
      </c>
      <c r="AY693" s="79" t="s">
        <v>2133</v>
      </c>
      <c r="AZ693" s="79" t="b">
        <v>1</v>
      </c>
    </row>
    <row r="694" spans="1:52" ht="15.75" customHeight="1">
      <c r="A694" s="54">
        <v>723</v>
      </c>
      <c r="B694" s="405">
        <v>45505</v>
      </c>
      <c r="C694" s="32" t="s">
        <v>2142</v>
      </c>
      <c r="D694" s="32" t="s">
        <v>2143</v>
      </c>
      <c r="E694" s="32" t="s">
        <v>2137</v>
      </c>
      <c r="F694" s="32" t="s">
        <v>2144</v>
      </c>
      <c r="G694" s="60" t="s">
        <v>243</v>
      </c>
      <c r="H694" s="33" t="s">
        <v>244</v>
      </c>
      <c r="I694" s="34">
        <v>45530</v>
      </c>
      <c r="J694" s="33">
        <v>6</v>
      </c>
      <c r="K694" s="56" t="s">
        <v>1154</v>
      </c>
      <c r="L694" s="56" t="s">
        <v>1154</v>
      </c>
      <c r="M694" s="386" t="s">
        <v>246</v>
      </c>
      <c r="N694" s="33" t="s">
        <v>68</v>
      </c>
      <c r="O694" s="33" t="s">
        <v>12</v>
      </c>
      <c r="P694" s="33" t="s">
        <v>1</v>
      </c>
      <c r="Q694" s="47"/>
      <c r="R694" s="47"/>
      <c r="S694" s="45" t="s">
        <v>143</v>
      </c>
      <c r="T694" s="45"/>
      <c r="U694" s="37">
        <v>44997</v>
      </c>
      <c r="V694" s="38">
        <f t="shared" si="117"/>
        <v>45505</v>
      </c>
      <c r="W694" s="50">
        <f>V694-U694</f>
        <v>508</v>
      </c>
      <c r="X694" s="294">
        <v>385796.85</v>
      </c>
      <c r="Y694" s="260">
        <v>391000</v>
      </c>
      <c r="Z694" s="260">
        <v>391000</v>
      </c>
      <c r="AA694" s="56" t="s">
        <v>1671</v>
      </c>
      <c r="AB694" s="43">
        <v>6.3899999999999998E-2</v>
      </c>
      <c r="AC694" s="295">
        <v>0</v>
      </c>
      <c r="AD694" s="62" t="s">
        <v>2145</v>
      </c>
      <c r="AE694" s="291"/>
      <c r="AF694" s="65"/>
      <c r="AG694" s="291"/>
      <c r="AH694" s="65">
        <f t="shared" si="123"/>
        <v>0</v>
      </c>
      <c r="AI694" s="242"/>
      <c r="AJ694" s="242"/>
      <c r="AK694" s="291">
        <v>8600.89</v>
      </c>
      <c r="AL694" s="40">
        <f t="shared" si="119"/>
        <v>-8600.89</v>
      </c>
      <c r="AM694" s="242">
        <f t="shared" si="118"/>
        <v>45535</v>
      </c>
      <c r="AN694" s="242" t="str">
        <f>IF(AQ694="x","",IF(AQ694="x",AM694,IF(EOMONTH(I694,0)=31,"",EOMONTH(I694,0))))</f>
        <v/>
      </c>
      <c r="AO694" s="79">
        <f>IFERROR(IF(VLOOKUP(C694,C695:C1295,1,0)=0,1,0),1)</f>
        <v>0</v>
      </c>
      <c r="AP694" s="79"/>
      <c r="AQ694" s="243" t="str">
        <f t="shared" si="124"/>
        <v>x</v>
      </c>
      <c r="AR694" s="242">
        <f>IF(AQ694="x",EOMONTH(I694,0))</f>
        <v>45535</v>
      </c>
      <c r="AS694" s="79">
        <f t="shared" si="120"/>
        <v>1</v>
      </c>
      <c r="AT694" s="79">
        <f t="shared" si="121"/>
        <v>0</v>
      </c>
      <c r="AU694" s="79" t="str">
        <f t="shared" si="122"/>
        <v>B</v>
      </c>
      <c r="AV694" s="79">
        <f t="shared" si="125"/>
        <v>1</v>
      </c>
      <c r="AW694" s="79" t="str">
        <f>J694&amp;AU694</f>
        <v>6B</v>
      </c>
      <c r="AX694" s="79">
        <f>IF(COUNTIFS(J:J,"Integral",E:E,E694,H:H,"Ativo")=4,1/4,1/10)</f>
        <v>0.1</v>
      </c>
      <c r="AY694" s="79" t="s">
        <v>2133</v>
      </c>
      <c r="AZ694" s="79" t="b">
        <v>1</v>
      </c>
    </row>
    <row r="695" spans="1:52" ht="15.75" customHeight="1">
      <c r="A695" s="54">
        <v>724</v>
      </c>
      <c r="B695" s="405">
        <v>45505</v>
      </c>
      <c r="C695" s="32" t="s">
        <v>2142</v>
      </c>
      <c r="D695" s="32" t="s">
        <v>2146</v>
      </c>
      <c r="E695" s="32" t="s">
        <v>2137</v>
      </c>
      <c r="F695" s="32" t="s">
        <v>2147</v>
      </c>
      <c r="G695" s="60" t="s">
        <v>243</v>
      </c>
      <c r="H695" s="33" t="s">
        <v>244</v>
      </c>
      <c r="I695" s="34">
        <v>45530</v>
      </c>
      <c r="J695" s="33">
        <v>6</v>
      </c>
      <c r="K695" s="56" t="s">
        <v>1154</v>
      </c>
      <c r="L695" s="56" t="s">
        <v>1154</v>
      </c>
      <c r="M695" s="386" t="s">
        <v>246</v>
      </c>
      <c r="N695" s="33" t="s">
        <v>68</v>
      </c>
      <c r="O695" s="33" t="s">
        <v>12</v>
      </c>
      <c r="P695" s="33" t="s">
        <v>1</v>
      </c>
      <c r="Q695" s="47"/>
      <c r="R695" s="47"/>
      <c r="S695" s="45" t="s">
        <v>143</v>
      </c>
      <c r="T695" s="45"/>
      <c r="U695" s="37">
        <v>45263</v>
      </c>
      <c r="V695" s="38">
        <f t="shared" si="117"/>
        <v>45505</v>
      </c>
      <c r="W695" s="50">
        <f>V695-U695</f>
        <v>242</v>
      </c>
      <c r="X695" s="294">
        <v>385796.85</v>
      </c>
      <c r="Y695" s="260">
        <v>391000</v>
      </c>
      <c r="Z695" s="260">
        <v>391000</v>
      </c>
      <c r="AA695" s="56" t="s">
        <v>1671</v>
      </c>
      <c r="AB695" s="43">
        <v>6.3899999999999998E-2</v>
      </c>
      <c r="AC695" s="295">
        <v>0</v>
      </c>
      <c r="AD695" s="62" t="s">
        <v>2145</v>
      </c>
      <c r="AE695" s="291"/>
      <c r="AF695" s="65"/>
      <c r="AG695" s="291"/>
      <c r="AH695" s="65">
        <f t="shared" si="123"/>
        <v>0</v>
      </c>
      <c r="AI695" s="242"/>
      <c r="AJ695" s="242"/>
      <c r="AK695" s="291">
        <v>8600.89</v>
      </c>
      <c r="AL695" s="40">
        <f t="shared" si="119"/>
        <v>-8600.89</v>
      </c>
      <c r="AM695" s="242">
        <f t="shared" si="118"/>
        <v>45535</v>
      </c>
      <c r="AN695" s="242" t="str">
        <f>IF(AQ695="x","",IF(AQ695="x",AM695,IF(EOMONTH(I695,0)=31,"",EOMONTH(I695,0))))</f>
        <v/>
      </c>
      <c r="AO695" s="79">
        <f>IFERROR(IF(VLOOKUP(C695,C696:C1296,1,0)=0,1,0),1)</f>
        <v>1</v>
      </c>
      <c r="AP695" s="79"/>
      <c r="AQ695" s="243" t="str">
        <f t="shared" si="124"/>
        <v>x</v>
      </c>
      <c r="AR695" s="242">
        <f>IF(AQ695="x",EOMONTH(I695,0))</f>
        <v>45535</v>
      </c>
      <c r="AS695" s="79">
        <f t="shared" si="120"/>
        <v>1</v>
      </c>
      <c r="AT695" s="79">
        <f t="shared" si="121"/>
        <v>0</v>
      </c>
      <c r="AU695" s="79" t="str">
        <f t="shared" si="122"/>
        <v>B</v>
      </c>
      <c r="AV695" s="79">
        <f t="shared" si="125"/>
        <v>1</v>
      </c>
      <c r="AW695" s="79" t="str">
        <f>J695&amp;AU695</f>
        <v>6B</v>
      </c>
      <c r="AX695" s="79">
        <f>IF(COUNTIFS(J:J,"Integral",E:E,E695,H:H,"Ativo")=4,1/4,1/10)</f>
        <v>0.1</v>
      </c>
      <c r="AY695" s="79" t="s">
        <v>2133</v>
      </c>
      <c r="AZ695" s="79" t="b">
        <v>1</v>
      </c>
    </row>
    <row r="696" spans="1:52" ht="15.75" customHeight="1">
      <c r="A696" s="54">
        <v>725</v>
      </c>
      <c r="B696" s="405">
        <v>45487</v>
      </c>
      <c r="C696" s="32" t="s">
        <v>2148</v>
      </c>
      <c r="D696" s="32" t="s">
        <v>740</v>
      </c>
      <c r="E696" s="32" t="s">
        <v>716</v>
      </c>
      <c r="F696" s="32" t="s">
        <v>2149</v>
      </c>
      <c r="G696" s="60" t="s">
        <v>220</v>
      </c>
      <c r="H696" s="33" t="s">
        <v>90</v>
      </c>
      <c r="I696" s="34"/>
      <c r="J696" s="33">
        <v>6</v>
      </c>
      <c r="K696" s="56" t="s">
        <v>1724</v>
      </c>
      <c r="L696" s="56" t="s">
        <v>1724</v>
      </c>
      <c r="M696" s="386" t="s">
        <v>246</v>
      </c>
      <c r="N696" s="33" t="s">
        <v>68</v>
      </c>
      <c r="O696" s="33" t="s">
        <v>12</v>
      </c>
      <c r="P696" s="33" t="s">
        <v>1</v>
      </c>
      <c r="Q696" s="47"/>
      <c r="R696" s="47"/>
      <c r="S696" s="45" t="s">
        <v>143</v>
      </c>
      <c r="T696" s="45"/>
      <c r="U696" s="37">
        <v>45486</v>
      </c>
      <c r="V696" s="38">
        <f t="shared" si="117"/>
        <v>45487</v>
      </c>
      <c r="W696" s="50">
        <f>V696-U696</f>
        <v>1</v>
      </c>
      <c r="X696" s="294">
        <v>385796.85</v>
      </c>
      <c r="Y696" s="260">
        <v>391000</v>
      </c>
      <c r="Z696" s="260">
        <v>391000</v>
      </c>
      <c r="AA696" s="56"/>
      <c r="AB696" s="43">
        <v>0.2</v>
      </c>
      <c r="AC696" s="295">
        <v>0</v>
      </c>
      <c r="AD696" s="62" t="s">
        <v>2150</v>
      </c>
      <c r="AE696" s="291"/>
      <c r="AF696" s="65"/>
      <c r="AG696" s="291">
        <v>2405.64</v>
      </c>
      <c r="AH696" s="65">
        <f t="shared" si="123"/>
        <v>0</v>
      </c>
      <c r="AI696" s="242"/>
      <c r="AJ696" s="242"/>
      <c r="AK696" s="291"/>
      <c r="AL696" s="40">
        <f t="shared" si="119"/>
        <v>0</v>
      </c>
      <c r="AM696" s="242">
        <f t="shared" si="118"/>
        <v>45504</v>
      </c>
      <c r="AN696" s="242" t="str">
        <f>IF(AQ696="x","",IF(AQ696="x",AM696,IF(EOMONTH(I696,0)=31,"",EOMONTH(I696,0))))</f>
        <v/>
      </c>
      <c r="AO696" s="79">
        <f>IFERROR(IF(VLOOKUP(C696,C697:C1297,1,0)=0,1,0),1)</f>
        <v>0</v>
      </c>
      <c r="AP696" s="79"/>
      <c r="AQ696" s="243" t="str">
        <f t="shared" si="124"/>
        <v/>
      </c>
      <c r="AR696" s="242" t="b">
        <f>IF(AQ696="x",EOMONTH(I696,0))</f>
        <v>0</v>
      </c>
      <c r="AS696" s="79">
        <f t="shared" si="120"/>
        <v>1</v>
      </c>
      <c r="AT696" s="79">
        <f t="shared" si="121"/>
        <v>1</v>
      </c>
      <c r="AU696" s="79" t="str">
        <f t="shared" si="122"/>
        <v>B</v>
      </c>
      <c r="AV696" s="79">
        <f t="shared" si="125"/>
        <v>1</v>
      </c>
      <c r="AW696" s="79" t="str">
        <f>J696&amp;AU696</f>
        <v>6B</v>
      </c>
      <c r="AX696" s="79">
        <f>IF(COUNTIFS(J:J,"Integral",E:E,E696,H:H,"Ativo")=4,1/4,1/10)</f>
        <v>0.1</v>
      </c>
      <c r="AY696" s="79" t="s">
        <v>1535</v>
      </c>
      <c r="AZ696" s="79" t="b">
        <v>1</v>
      </c>
    </row>
    <row r="697" spans="1:52" ht="15.75" customHeight="1">
      <c r="A697" s="54">
        <v>726</v>
      </c>
      <c r="B697" s="405">
        <v>45487</v>
      </c>
      <c r="C697" s="32" t="s">
        <v>2148</v>
      </c>
      <c r="D697" s="32" t="s">
        <v>742</v>
      </c>
      <c r="E697" s="32" t="s">
        <v>716</v>
      </c>
      <c r="F697" s="32" t="s">
        <v>2151</v>
      </c>
      <c r="G697" s="60" t="s">
        <v>220</v>
      </c>
      <c r="H697" s="33" t="s">
        <v>90</v>
      </c>
      <c r="I697" s="34"/>
      <c r="J697" s="33">
        <v>6</v>
      </c>
      <c r="K697" s="56" t="s">
        <v>1724</v>
      </c>
      <c r="L697" s="56" t="s">
        <v>1724</v>
      </c>
      <c r="M697" s="386" t="s">
        <v>246</v>
      </c>
      <c r="N697" s="33" t="s">
        <v>68</v>
      </c>
      <c r="O697" s="33" t="s">
        <v>12</v>
      </c>
      <c r="P697" s="33" t="s">
        <v>1</v>
      </c>
      <c r="Q697" s="47"/>
      <c r="R697" s="47"/>
      <c r="S697" s="45" t="s">
        <v>143</v>
      </c>
      <c r="T697" s="45"/>
      <c r="U697" s="37">
        <v>45486</v>
      </c>
      <c r="V697" s="38">
        <f t="shared" si="117"/>
        <v>45487</v>
      </c>
      <c r="W697" s="50">
        <f>V697-U697</f>
        <v>1</v>
      </c>
      <c r="X697" s="294">
        <v>385796.85</v>
      </c>
      <c r="Y697" s="260">
        <v>391000</v>
      </c>
      <c r="Z697" s="260">
        <v>391000</v>
      </c>
      <c r="AA697" s="56"/>
      <c r="AB697" s="43">
        <v>0.2</v>
      </c>
      <c r="AC697" s="295">
        <v>0</v>
      </c>
      <c r="AD697" s="62" t="s">
        <v>2150</v>
      </c>
      <c r="AE697" s="291"/>
      <c r="AF697" s="65"/>
      <c r="AG697" s="291">
        <v>2405.63</v>
      </c>
      <c r="AH697" s="65">
        <f t="shared" si="123"/>
        <v>0</v>
      </c>
      <c r="AI697" s="242"/>
      <c r="AJ697" s="242"/>
      <c r="AK697" s="291"/>
      <c r="AL697" s="40">
        <f t="shared" si="119"/>
        <v>0</v>
      </c>
      <c r="AM697" s="242">
        <f t="shared" si="118"/>
        <v>45504</v>
      </c>
      <c r="AN697" s="242" t="str">
        <f>IF(AQ697="x","",IF(AQ697="x",AM697,IF(EOMONTH(I697,0)=31,"",EOMONTH(I697,0))))</f>
        <v/>
      </c>
      <c r="AO697" s="79">
        <f>IFERROR(IF(VLOOKUP(C697,C698:C1298,1,0)=0,1,0),1)</f>
        <v>1</v>
      </c>
      <c r="AP697" s="79"/>
      <c r="AQ697" s="243" t="str">
        <f t="shared" si="124"/>
        <v/>
      </c>
      <c r="AR697" s="242" t="b">
        <f>IF(AQ697="x",EOMONTH(I697,0))</f>
        <v>0</v>
      </c>
      <c r="AS697" s="79">
        <f t="shared" si="120"/>
        <v>1</v>
      </c>
      <c r="AT697" s="79">
        <f t="shared" si="121"/>
        <v>1</v>
      </c>
      <c r="AU697" s="79" t="str">
        <f t="shared" si="122"/>
        <v>B</v>
      </c>
      <c r="AV697" s="79">
        <f t="shared" si="125"/>
        <v>1</v>
      </c>
      <c r="AW697" s="79" t="str">
        <f>J697&amp;AU697</f>
        <v>6B</v>
      </c>
      <c r="AX697" s="79">
        <f>IF(COUNTIFS(J:J,"Integral",E:E,E697,H:H,"Ativo")=4,1/4,1/10)</f>
        <v>0.1</v>
      </c>
      <c r="AY697" s="79" t="s">
        <v>1535</v>
      </c>
      <c r="AZ697" s="79" t="b">
        <v>1</v>
      </c>
    </row>
    <row r="698" spans="1:52" ht="15.75" customHeight="1">
      <c r="A698" s="54">
        <v>727</v>
      </c>
      <c r="B698" s="405">
        <v>45487</v>
      </c>
      <c r="C698" s="32" t="s">
        <v>1981</v>
      </c>
      <c r="D698" s="32" t="s">
        <v>2152</v>
      </c>
      <c r="E698" s="32" t="s">
        <v>1684</v>
      </c>
      <c r="F698" s="32" t="s">
        <v>2153</v>
      </c>
      <c r="G698" s="60" t="s">
        <v>220</v>
      </c>
      <c r="H698" s="33" t="s">
        <v>90</v>
      </c>
      <c r="I698" s="34"/>
      <c r="J698" s="33">
        <v>6</v>
      </c>
      <c r="K698" s="56" t="s">
        <v>1755</v>
      </c>
      <c r="L698" s="56" t="s">
        <v>1755</v>
      </c>
      <c r="M698" s="386" t="s">
        <v>1755</v>
      </c>
      <c r="N698" s="33" t="s">
        <v>73</v>
      </c>
      <c r="O698" s="33" t="s">
        <v>11</v>
      </c>
      <c r="P698" s="33" t="s">
        <v>85</v>
      </c>
      <c r="Q698" s="47"/>
      <c r="R698" s="47"/>
      <c r="S698" s="45" t="s">
        <v>143</v>
      </c>
      <c r="T698" s="45"/>
      <c r="U698" s="37">
        <v>45351</v>
      </c>
      <c r="V698" s="38">
        <f t="shared" si="117"/>
        <v>45487</v>
      </c>
      <c r="W698" s="50">
        <f>V698-U698</f>
        <v>136</v>
      </c>
      <c r="X698" s="294">
        <v>385796.85</v>
      </c>
      <c r="Y698" s="260">
        <v>391000</v>
      </c>
      <c r="Z698" s="260">
        <v>305000</v>
      </c>
      <c r="AA698" s="56"/>
      <c r="AB698" s="43">
        <v>9.8400000000000001E-2</v>
      </c>
      <c r="AC698" s="295">
        <v>0</v>
      </c>
      <c r="AD698" s="62" t="s">
        <v>2154</v>
      </c>
      <c r="AE698" s="291"/>
      <c r="AF698" s="65"/>
      <c r="AG698" s="291"/>
      <c r="AH698" s="65">
        <f t="shared" si="123"/>
        <v>86000</v>
      </c>
      <c r="AI698" s="242"/>
      <c r="AJ698" s="242"/>
      <c r="AK698" s="291">
        <v>24335.08</v>
      </c>
      <c r="AL698" s="40">
        <f t="shared" si="119"/>
        <v>61664.92</v>
      </c>
      <c r="AM698" s="242">
        <f t="shared" si="118"/>
        <v>45504</v>
      </c>
      <c r="AN698" s="242" t="str">
        <f>IF(AQ698="x","",IF(AQ698="x",AM698,IF(EOMONTH(I698,0)=31,"",EOMONTH(I698,0))))</f>
        <v/>
      </c>
      <c r="AO698" s="79">
        <f>IFERROR(IF(VLOOKUP(C698,C699:C1299,1,0)=0,1,0),1)</f>
        <v>0</v>
      </c>
      <c r="AP698" s="79"/>
      <c r="AQ698" s="243" t="str">
        <f t="shared" si="124"/>
        <v/>
      </c>
      <c r="AR698" s="242" t="b">
        <f>IF(AQ698="x",EOMONTH(I698,0))</f>
        <v>0</v>
      </c>
      <c r="AS698" s="79">
        <f t="shared" si="120"/>
        <v>1</v>
      </c>
      <c r="AT698" s="79">
        <f t="shared" si="121"/>
        <v>1</v>
      </c>
      <c r="AU698" s="79" t="str">
        <f t="shared" si="122"/>
        <v>B</v>
      </c>
      <c r="AV698" s="79">
        <f t="shared" si="125"/>
        <v>1</v>
      </c>
      <c r="AW698" s="79" t="str">
        <f>J698&amp;AU698</f>
        <v>6B</v>
      </c>
      <c r="AX698" s="79">
        <f>IF(COUNTIFS(J:J,"Integral",E:E,E698,H:H,"Ativo")=4,1/4,1/10)</f>
        <v>0.1</v>
      </c>
      <c r="AY698" s="79" t="s">
        <v>2133</v>
      </c>
      <c r="AZ698" s="79" t="b">
        <v>1</v>
      </c>
    </row>
    <row r="699" spans="1:52" ht="15.75" customHeight="1">
      <c r="A699" s="54">
        <v>728</v>
      </c>
      <c r="B699" s="405">
        <v>45487</v>
      </c>
      <c r="C699" s="32" t="s">
        <v>1981</v>
      </c>
      <c r="D699" s="32" t="s">
        <v>2155</v>
      </c>
      <c r="E699" s="32" t="s">
        <v>1684</v>
      </c>
      <c r="F699" s="32" t="s">
        <v>2156</v>
      </c>
      <c r="G699" s="60" t="s">
        <v>220</v>
      </c>
      <c r="H699" s="33" t="s">
        <v>90</v>
      </c>
      <c r="I699" s="34"/>
      <c r="J699" s="33">
        <v>6</v>
      </c>
      <c r="K699" s="56" t="s">
        <v>1755</v>
      </c>
      <c r="L699" s="56" t="s">
        <v>1755</v>
      </c>
      <c r="M699" s="386" t="s">
        <v>1755</v>
      </c>
      <c r="N699" s="33" t="s">
        <v>73</v>
      </c>
      <c r="O699" s="33" t="s">
        <v>11</v>
      </c>
      <c r="P699" s="33" t="s">
        <v>85</v>
      </c>
      <c r="Q699" s="47" t="s">
        <v>99</v>
      </c>
      <c r="R699" s="47"/>
      <c r="S699" s="45" t="s">
        <v>143</v>
      </c>
      <c r="T699" s="45"/>
      <c r="U699" s="37">
        <v>45351</v>
      </c>
      <c r="V699" s="38">
        <f t="shared" si="117"/>
        <v>45487</v>
      </c>
      <c r="W699" s="50">
        <f>V699-U699</f>
        <v>136</v>
      </c>
      <c r="X699" s="294">
        <v>385796.85</v>
      </c>
      <c r="Y699" s="260">
        <v>391000</v>
      </c>
      <c r="Z699" s="260">
        <v>305000</v>
      </c>
      <c r="AA699" s="56"/>
      <c r="AB699" s="43">
        <v>9.8400000000000001E-2</v>
      </c>
      <c r="AC699" s="295">
        <v>0</v>
      </c>
      <c r="AD699" s="62" t="s">
        <v>2154</v>
      </c>
      <c r="AE699" s="291"/>
      <c r="AF699" s="65"/>
      <c r="AG699" s="291"/>
      <c r="AH699" s="65">
        <f t="shared" si="123"/>
        <v>86000</v>
      </c>
      <c r="AI699" s="242"/>
      <c r="AJ699" s="242"/>
      <c r="AK699" s="291">
        <v>24335.08</v>
      </c>
      <c r="AL699" s="40">
        <f t="shared" si="119"/>
        <v>61664.92</v>
      </c>
      <c r="AM699" s="242">
        <f t="shared" si="118"/>
        <v>45504</v>
      </c>
      <c r="AN699" s="242" t="str">
        <f>IF(AQ699="x","",IF(AQ699="x",AM699,IF(EOMONTH(I699,0)=31,"",EOMONTH(I699,0))))</f>
        <v/>
      </c>
      <c r="AO699" s="350">
        <f>IFERROR(IF(VLOOKUP(C699,C700:C1300,1,0)=0,1,0),1)</f>
        <v>1</v>
      </c>
      <c r="AP699" s="350"/>
      <c r="AQ699" s="243" t="str">
        <f t="shared" si="124"/>
        <v/>
      </c>
      <c r="AR699" s="242" t="b">
        <f>IF(AQ699="x",EOMONTH(I699,0))</f>
        <v>0</v>
      </c>
      <c r="AS699" s="79">
        <f t="shared" si="120"/>
        <v>1</v>
      </c>
      <c r="AT699" s="79">
        <f t="shared" si="121"/>
        <v>1</v>
      </c>
      <c r="AU699" s="79" t="str">
        <f t="shared" si="122"/>
        <v>B</v>
      </c>
      <c r="AV699" s="79">
        <f t="shared" si="125"/>
        <v>1</v>
      </c>
      <c r="AW699" s="79" t="str">
        <f>J699&amp;AU699</f>
        <v>6B</v>
      </c>
      <c r="AX699" s="79">
        <f>IF(COUNTIFS(J:J,"Integral",E:E,E699,H:H,"Ativo")=4,1/4,1/10)</f>
        <v>0.1</v>
      </c>
      <c r="AY699" s="79" t="s">
        <v>2133</v>
      </c>
      <c r="AZ699" s="79" t="b">
        <v>1</v>
      </c>
    </row>
    <row r="700" spans="1:52" ht="15.75" customHeight="1">
      <c r="A700" s="54">
        <v>729</v>
      </c>
      <c r="B700" s="405">
        <v>45488</v>
      </c>
      <c r="C700" s="32" t="s">
        <v>2157</v>
      </c>
      <c r="D700" s="32" t="s">
        <v>2158</v>
      </c>
      <c r="E700" s="32" t="s">
        <v>1952</v>
      </c>
      <c r="F700" s="32" t="s">
        <v>2159</v>
      </c>
      <c r="G700" s="60" t="s">
        <v>220</v>
      </c>
      <c r="H700" s="33" t="s">
        <v>90</v>
      </c>
      <c r="I700" s="34"/>
      <c r="J700" s="33">
        <v>6</v>
      </c>
      <c r="K700" s="35" t="s">
        <v>274</v>
      </c>
      <c r="L700" s="35" t="s">
        <v>274</v>
      </c>
      <c r="M700" s="386" t="s">
        <v>246</v>
      </c>
      <c r="N700" s="33" t="s">
        <v>68</v>
      </c>
      <c r="O700" s="33" t="s">
        <v>12</v>
      </c>
      <c r="P700" s="33" t="s">
        <v>1</v>
      </c>
      <c r="Q700" s="47"/>
      <c r="R700" s="47"/>
      <c r="S700" s="45" t="s">
        <v>143</v>
      </c>
      <c r="T700" s="45"/>
      <c r="U700" s="37">
        <v>45480</v>
      </c>
      <c r="V700" s="38">
        <f t="shared" si="117"/>
        <v>45488</v>
      </c>
      <c r="W700" s="50">
        <f>V700-U700</f>
        <v>8</v>
      </c>
      <c r="X700" s="294">
        <v>385796.85</v>
      </c>
      <c r="Y700" s="260">
        <v>391000</v>
      </c>
      <c r="Z700" s="260">
        <v>390500</v>
      </c>
      <c r="AA700" s="56" t="s">
        <v>911</v>
      </c>
      <c r="AB700" s="43">
        <v>0.1421</v>
      </c>
      <c r="AC700" s="295">
        <v>0</v>
      </c>
      <c r="AD700" s="62" t="s">
        <v>2160</v>
      </c>
      <c r="AE700" s="291"/>
      <c r="AF700" s="65"/>
      <c r="AG700" s="291"/>
      <c r="AH700" s="65">
        <f t="shared" si="123"/>
        <v>500</v>
      </c>
      <c r="AI700" s="242"/>
      <c r="AJ700" s="242"/>
      <c r="AK700" s="291">
        <v>14901.25</v>
      </c>
      <c r="AL700" s="40">
        <f t="shared" si="119"/>
        <v>-14401.25</v>
      </c>
      <c r="AM700" s="242">
        <f t="shared" si="118"/>
        <v>45504</v>
      </c>
      <c r="AN700" s="242" t="str">
        <f>IF(AQ700="x","",IF(AQ700="x",AM700,IF(EOMONTH(I700,0)=31,"",EOMONTH(I700,0))))</f>
        <v/>
      </c>
      <c r="AO700" s="79">
        <f>IFERROR(IF(VLOOKUP(C700,C701:C1300,1,0)=0,1,0),1)</f>
        <v>0</v>
      </c>
      <c r="AP700" s="79"/>
      <c r="AQ700" s="243" t="str">
        <f t="shared" si="124"/>
        <v/>
      </c>
      <c r="AR700" s="242" t="b">
        <f>IF(AQ700="x",EOMONTH(I700,0))</f>
        <v>0</v>
      </c>
      <c r="AS700" s="79">
        <f t="shared" si="120"/>
        <v>1</v>
      </c>
      <c r="AT700" s="79">
        <f t="shared" si="121"/>
        <v>0</v>
      </c>
      <c r="AU700" s="79" t="str">
        <f t="shared" si="122"/>
        <v>B</v>
      </c>
      <c r="AV700" s="79">
        <f t="shared" si="125"/>
        <v>1</v>
      </c>
      <c r="AW700" s="79" t="str">
        <f>J700&amp;AU700</f>
        <v>6B</v>
      </c>
      <c r="AX700" s="79">
        <f>IF(COUNTIFS(J:J,"Integral",E:E,E700,H:H,"Ativo")=4,1/4,1/10)</f>
        <v>0.1</v>
      </c>
      <c r="AY700" s="79" t="s">
        <v>1535</v>
      </c>
      <c r="AZ700" s="79" t="b">
        <v>1</v>
      </c>
    </row>
    <row r="701" spans="1:52" ht="15.75" customHeight="1">
      <c r="A701" s="54">
        <v>730</v>
      </c>
      <c r="B701" s="405">
        <v>45488</v>
      </c>
      <c r="C701" s="32" t="s">
        <v>2157</v>
      </c>
      <c r="D701" s="32" t="s">
        <v>2161</v>
      </c>
      <c r="E701" s="32" t="s">
        <v>1952</v>
      </c>
      <c r="F701" s="32" t="s">
        <v>2162</v>
      </c>
      <c r="G701" s="60" t="s">
        <v>220</v>
      </c>
      <c r="H701" s="33" t="s">
        <v>90</v>
      </c>
      <c r="I701" s="34"/>
      <c r="J701" s="33">
        <v>6</v>
      </c>
      <c r="K701" s="35" t="s">
        <v>274</v>
      </c>
      <c r="L701" s="35" t="s">
        <v>274</v>
      </c>
      <c r="M701" s="386" t="s">
        <v>246</v>
      </c>
      <c r="N701" s="33" t="s">
        <v>68</v>
      </c>
      <c r="O701" s="33" t="s">
        <v>12</v>
      </c>
      <c r="P701" s="33" t="s">
        <v>1</v>
      </c>
      <c r="Q701" s="47"/>
      <c r="R701" s="47"/>
      <c r="S701" s="45" t="s">
        <v>143</v>
      </c>
      <c r="T701" s="45"/>
      <c r="U701" s="37">
        <v>45480</v>
      </c>
      <c r="V701" s="38">
        <f t="shared" si="117"/>
        <v>45488</v>
      </c>
      <c r="W701" s="50">
        <f>V701-U701</f>
        <v>8</v>
      </c>
      <c r="X701" s="294">
        <v>385796.85</v>
      </c>
      <c r="Y701" s="260">
        <v>391000</v>
      </c>
      <c r="Z701" s="260">
        <v>390500</v>
      </c>
      <c r="AA701" s="56" t="s">
        <v>911</v>
      </c>
      <c r="AB701" s="43">
        <v>0.1421</v>
      </c>
      <c r="AC701" s="295">
        <v>0</v>
      </c>
      <c r="AD701" s="62" t="s">
        <v>2160</v>
      </c>
      <c r="AE701" s="291"/>
      <c r="AF701" s="65"/>
      <c r="AG701" s="291"/>
      <c r="AH701" s="65">
        <f t="shared" si="123"/>
        <v>500</v>
      </c>
      <c r="AI701" s="242"/>
      <c r="AJ701" s="242"/>
      <c r="AK701" s="291">
        <v>14901.25</v>
      </c>
      <c r="AL701" s="40">
        <f t="shared" si="119"/>
        <v>-14401.25</v>
      </c>
      <c r="AM701" s="242">
        <f t="shared" si="118"/>
        <v>45504</v>
      </c>
      <c r="AN701" s="242" t="str">
        <f>IF(AQ701="x","",IF(AQ701="x",AM701,IF(EOMONTH(I701,0)=31,"",EOMONTH(I701,0))))</f>
        <v/>
      </c>
      <c r="AO701" s="79">
        <f>IFERROR(IF(VLOOKUP(C701,C702:C1301,1,0)=0,1,0),1)</f>
        <v>1</v>
      </c>
      <c r="AP701" s="79"/>
      <c r="AQ701" s="243" t="str">
        <f t="shared" si="124"/>
        <v/>
      </c>
      <c r="AR701" s="242" t="b">
        <f>IF(AQ701="x",EOMONTH(I701,0))</f>
        <v>0</v>
      </c>
      <c r="AS701" s="79">
        <f t="shared" si="120"/>
        <v>1</v>
      </c>
      <c r="AT701" s="79">
        <f t="shared" si="121"/>
        <v>0</v>
      </c>
      <c r="AU701" s="79" t="str">
        <f t="shared" si="122"/>
        <v>B</v>
      </c>
      <c r="AV701" s="79">
        <f t="shared" si="125"/>
        <v>1</v>
      </c>
      <c r="AW701" s="79" t="str">
        <f>J701&amp;AU701</f>
        <v>6B</v>
      </c>
      <c r="AX701" s="79">
        <f>IF(COUNTIFS(J:J,"Integral",E:E,E701,H:H,"Ativo")=4,1/4,1/10)</f>
        <v>0.1</v>
      </c>
      <c r="AY701" s="79" t="s">
        <v>1535</v>
      </c>
      <c r="AZ701" s="79" t="b">
        <v>1</v>
      </c>
    </row>
    <row r="702" spans="1:52" ht="15.75" customHeight="1">
      <c r="A702" s="54">
        <v>731</v>
      </c>
      <c r="B702" s="405">
        <v>45490</v>
      </c>
      <c r="C702" s="32" t="s">
        <v>2163</v>
      </c>
      <c r="D702" s="32" t="s">
        <v>2164</v>
      </c>
      <c r="E702" s="32" t="s">
        <v>1163</v>
      </c>
      <c r="F702" s="32" t="s">
        <v>2165</v>
      </c>
      <c r="G702" s="60" t="s">
        <v>243</v>
      </c>
      <c r="H702" s="33" t="s">
        <v>244</v>
      </c>
      <c r="I702" s="34">
        <v>45500</v>
      </c>
      <c r="J702" s="33">
        <v>4</v>
      </c>
      <c r="K702" s="35" t="s">
        <v>378</v>
      </c>
      <c r="L702" s="35" t="s">
        <v>378</v>
      </c>
      <c r="M702" s="386" t="s">
        <v>1026</v>
      </c>
      <c r="N702" s="33" t="s">
        <v>68</v>
      </c>
      <c r="O702" s="33" t="s">
        <v>12</v>
      </c>
      <c r="P702" s="33" t="s">
        <v>2</v>
      </c>
      <c r="Q702" s="47"/>
      <c r="R702" s="47"/>
      <c r="S702" s="45" t="s">
        <v>160</v>
      </c>
      <c r="T702" s="45"/>
      <c r="U702" s="37">
        <v>45434</v>
      </c>
      <c r="V702" s="38">
        <f t="shared" si="117"/>
        <v>45490</v>
      </c>
      <c r="W702" s="50">
        <f>V702-U702</f>
        <v>56</v>
      </c>
      <c r="X702" s="294">
        <v>370568.03</v>
      </c>
      <c r="Y702" s="260">
        <v>383000</v>
      </c>
      <c r="Z702" s="260">
        <v>364000</v>
      </c>
      <c r="AA702" s="56"/>
      <c r="AB702" s="43">
        <v>0.1648</v>
      </c>
      <c r="AC702" s="295">
        <v>0</v>
      </c>
      <c r="AD702" s="62" t="s">
        <v>2166</v>
      </c>
      <c r="AE702" s="291"/>
      <c r="AF702" s="65"/>
      <c r="AG702" s="291"/>
      <c r="AH702" s="65">
        <f t="shared" si="123"/>
        <v>19000</v>
      </c>
      <c r="AI702" s="242"/>
      <c r="AJ702" s="242"/>
      <c r="AK702" s="291">
        <v>8368.16</v>
      </c>
      <c r="AL702" s="40">
        <f t="shared" si="119"/>
        <v>10631.84</v>
      </c>
      <c r="AM702" s="242">
        <f t="shared" si="118"/>
        <v>45504</v>
      </c>
      <c r="AN702" s="242" t="str">
        <f>IF(AQ702="x","",IF(AQ702="x",AM702,IF(EOMONTH(I702,0)=31,"",EOMONTH(I702,0))))</f>
        <v/>
      </c>
      <c r="AO702" s="79">
        <f>IFERROR(IF(VLOOKUP(C702,C703:C1303,1,0)=0,1,0),1)</f>
        <v>1</v>
      </c>
      <c r="AP702" s="79"/>
      <c r="AQ702" s="243" t="str">
        <f t="shared" si="124"/>
        <v>x</v>
      </c>
      <c r="AR702" s="242">
        <f>IF(AQ702="x",EOMONTH(I702,0))</f>
        <v>45504</v>
      </c>
      <c r="AS702" s="79">
        <f t="shared" si="120"/>
        <v>1</v>
      </c>
      <c r="AT702" s="79">
        <f t="shared" si="121"/>
        <v>1</v>
      </c>
      <c r="AU702" s="79" t="str">
        <f t="shared" si="122"/>
        <v>B</v>
      </c>
      <c r="AV702" s="79">
        <f t="shared" si="125"/>
        <v>1</v>
      </c>
      <c r="AW702" s="79" t="str">
        <f>J702&amp;AU702</f>
        <v>4B</v>
      </c>
      <c r="AX702" s="79">
        <f>IF(COUNTIFS(J:J,"Integral",E:E,E702,H:H,"Ativo")=4,1/4,1/10)</f>
        <v>0.1</v>
      </c>
      <c r="AY702" s="79" t="s">
        <v>2133</v>
      </c>
      <c r="AZ702" s="74" t="b">
        <v>1</v>
      </c>
    </row>
    <row r="703" spans="1:52" ht="15.75" customHeight="1">
      <c r="A703" s="54">
        <v>732</v>
      </c>
      <c r="B703" s="405">
        <v>45491</v>
      </c>
      <c r="C703" s="32" t="s">
        <v>2167</v>
      </c>
      <c r="D703" s="32" t="s">
        <v>2168</v>
      </c>
      <c r="E703" s="32" t="s">
        <v>1163</v>
      </c>
      <c r="F703" s="32" t="s">
        <v>2169</v>
      </c>
      <c r="G703" s="60" t="s">
        <v>220</v>
      </c>
      <c r="H703" s="33" t="s">
        <v>90</v>
      </c>
      <c r="I703" s="34"/>
      <c r="J703" s="33">
        <v>4</v>
      </c>
      <c r="K703" s="35" t="s">
        <v>333</v>
      </c>
      <c r="L703" s="35" t="s">
        <v>333</v>
      </c>
      <c r="M703" s="386" t="s">
        <v>246</v>
      </c>
      <c r="N703" s="33" t="s">
        <v>68</v>
      </c>
      <c r="O703" s="33" t="s">
        <v>12</v>
      </c>
      <c r="P703" s="33" t="s">
        <v>1</v>
      </c>
      <c r="Q703" s="47"/>
      <c r="R703" s="47"/>
      <c r="S703" s="45" t="s">
        <v>143</v>
      </c>
      <c r="T703" s="45"/>
      <c r="U703" s="37">
        <v>45490</v>
      </c>
      <c r="V703" s="38">
        <f t="shared" si="117"/>
        <v>45491</v>
      </c>
      <c r="W703" s="50">
        <f>V703-U703</f>
        <v>1</v>
      </c>
      <c r="X703" s="294">
        <v>370568.03</v>
      </c>
      <c r="Y703" s="260">
        <v>383000</v>
      </c>
      <c r="Z703" s="260">
        <v>382900</v>
      </c>
      <c r="AA703" s="56" t="s">
        <v>2034</v>
      </c>
      <c r="AB703" s="43">
        <v>0.1</v>
      </c>
      <c r="AC703" s="295">
        <v>0</v>
      </c>
      <c r="AD703" s="62">
        <v>0.03</v>
      </c>
      <c r="AE703" s="291"/>
      <c r="AF703" s="65"/>
      <c r="AG703" s="291">
        <v>774.71</v>
      </c>
      <c r="AH703" s="65">
        <f t="shared" si="123"/>
        <v>100</v>
      </c>
      <c r="AI703" s="242"/>
      <c r="AJ703" s="242"/>
      <c r="AK703" s="291"/>
      <c r="AL703" s="40">
        <f t="shared" si="119"/>
        <v>100</v>
      </c>
      <c r="AM703" s="242">
        <f t="shared" si="118"/>
        <v>45504</v>
      </c>
      <c r="AN703" s="242" t="str">
        <f>IF(AQ703="x","",IF(AQ703="x",AM703,IF(EOMONTH(I703,0)=31,"",EOMONTH(I703,0))))</f>
        <v/>
      </c>
      <c r="AO703" s="79">
        <f>IFERROR(IF(VLOOKUP(C703,C704:C1304,1,0)=0,1,0),1)</f>
        <v>1</v>
      </c>
      <c r="AP703" s="79"/>
      <c r="AQ703" s="243" t="str">
        <f t="shared" si="124"/>
        <v/>
      </c>
      <c r="AR703" s="242" t="b">
        <f>IF(AQ703="x",EOMONTH(I703,0))</f>
        <v>0</v>
      </c>
      <c r="AS703" s="79">
        <f t="shared" si="120"/>
        <v>1</v>
      </c>
      <c r="AT703" s="79">
        <f t="shared" si="121"/>
        <v>1</v>
      </c>
      <c r="AU703" s="79" t="str">
        <f t="shared" si="122"/>
        <v>B</v>
      </c>
      <c r="AV703" s="79">
        <f t="shared" si="125"/>
        <v>1</v>
      </c>
      <c r="AW703" s="79" t="str">
        <f>J703&amp;AU703</f>
        <v>4B</v>
      </c>
      <c r="AX703" s="79">
        <f>IF(COUNTIFS(J:J,"Integral",E:E,E703,H:H,"Ativo")=4,1/4,1/10)</f>
        <v>0.1</v>
      </c>
      <c r="AY703" s="79" t="s">
        <v>1535</v>
      </c>
      <c r="AZ703" s="79" t="b">
        <v>1</v>
      </c>
    </row>
    <row r="704" spans="1:52" ht="18" customHeight="1">
      <c r="A704" s="54">
        <v>733</v>
      </c>
      <c r="B704" s="405">
        <v>45495</v>
      </c>
      <c r="C704" s="32" t="s">
        <v>2170</v>
      </c>
      <c r="D704" s="32" t="s">
        <v>2171</v>
      </c>
      <c r="E704" s="32" t="s">
        <v>2118</v>
      </c>
      <c r="F704" s="32" t="s">
        <v>2172</v>
      </c>
      <c r="G704" s="60" t="s">
        <v>243</v>
      </c>
      <c r="H704" s="33" t="s">
        <v>244</v>
      </c>
      <c r="I704" s="34">
        <v>45513</v>
      </c>
      <c r="J704" s="33">
        <v>6</v>
      </c>
      <c r="K704" s="56" t="s">
        <v>289</v>
      </c>
      <c r="L704" s="56" t="s">
        <v>289</v>
      </c>
      <c r="M704" s="386" t="s">
        <v>246</v>
      </c>
      <c r="N704" s="33" t="s">
        <v>68</v>
      </c>
      <c r="O704" s="33" t="s">
        <v>12</v>
      </c>
      <c r="P704" s="33" t="s">
        <v>1</v>
      </c>
      <c r="Q704" s="47"/>
      <c r="R704" s="47"/>
      <c r="S704" s="45" t="s">
        <v>145</v>
      </c>
      <c r="T704" s="45"/>
      <c r="U704" s="37">
        <v>45488</v>
      </c>
      <c r="V704" s="38">
        <f t="shared" si="117"/>
        <v>45495</v>
      </c>
      <c r="W704" s="50">
        <f>V704-U704</f>
        <v>7</v>
      </c>
      <c r="X704" s="294">
        <v>385796.85</v>
      </c>
      <c r="Y704" s="260">
        <v>391000</v>
      </c>
      <c r="Z704" s="260">
        <v>391000</v>
      </c>
      <c r="AA704" s="56" t="s">
        <v>911</v>
      </c>
      <c r="AB704" s="43">
        <v>0.2</v>
      </c>
      <c r="AC704" s="295">
        <v>0</v>
      </c>
      <c r="AD704" s="62" t="s">
        <v>2173</v>
      </c>
      <c r="AE704" s="291"/>
      <c r="AF704" s="65"/>
      <c r="AG704" s="291">
        <v>1097.46</v>
      </c>
      <c r="AH704" s="65">
        <f t="shared" si="123"/>
        <v>0</v>
      </c>
      <c r="AI704" s="242"/>
      <c r="AJ704" s="242"/>
      <c r="AK704" s="291"/>
      <c r="AL704" s="40">
        <f t="shared" si="119"/>
        <v>0</v>
      </c>
      <c r="AM704" s="242">
        <f t="shared" si="118"/>
        <v>45504</v>
      </c>
      <c r="AN704" s="242" t="str">
        <f>IF(AQ704="x","",IF(AQ704="x",AM704,IF(EOMONTH(I704,0)=31,"",EOMONTH(I704,0))))</f>
        <v/>
      </c>
      <c r="AO704" s="79">
        <f>IFERROR(IF(VLOOKUP(C704,C705:C1305,1,0)=0,1,0),1)</f>
        <v>0</v>
      </c>
      <c r="AP704" s="79"/>
      <c r="AQ704" s="243" t="str">
        <f t="shared" si="124"/>
        <v>x</v>
      </c>
      <c r="AR704" s="242">
        <f>IF(AQ704="x",EOMONTH(I704,0))</f>
        <v>45535</v>
      </c>
      <c r="AS704" s="79">
        <f t="shared" si="120"/>
        <v>1</v>
      </c>
      <c r="AT704" s="79">
        <f t="shared" si="121"/>
        <v>1</v>
      </c>
      <c r="AU704" s="79" t="str">
        <f t="shared" si="122"/>
        <v>B</v>
      </c>
      <c r="AV704" s="79">
        <f t="shared" si="125"/>
        <v>1</v>
      </c>
      <c r="AW704" s="79" t="str">
        <f>J704&amp;AU704</f>
        <v>6B</v>
      </c>
      <c r="AX704" s="79">
        <f>IF(COUNTIFS(J:J,"Integral",E:E,E704,H:H,"Ativo")=4,1/4,1/10)</f>
        <v>0.1</v>
      </c>
      <c r="AY704" s="79" t="s">
        <v>2133</v>
      </c>
      <c r="AZ704" s="79" t="b">
        <v>1</v>
      </c>
    </row>
    <row r="705" spans="1:52" ht="15.75" customHeight="1">
      <c r="A705" s="54">
        <v>734</v>
      </c>
      <c r="B705" s="405">
        <v>45495</v>
      </c>
      <c r="C705" s="32" t="s">
        <v>2170</v>
      </c>
      <c r="D705" s="32" t="s">
        <v>2174</v>
      </c>
      <c r="E705" s="32" t="s">
        <v>2118</v>
      </c>
      <c r="F705" s="32" t="s">
        <v>2175</v>
      </c>
      <c r="G705" s="60" t="s">
        <v>243</v>
      </c>
      <c r="H705" s="33" t="s">
        <v>244</v>
      </c>
      <c r="I705" s="34">
        <v>45513</v>
      </c>
      <c r="J705" s="33">
        <v>6</v>
      </c>
      <c r="K705" s="56" t="s">
        <v>289</v>
      </c>
      <c r="L705" s="56" t="s">
        <v>289</v>
      </c>
      <c r="M705" s="386" t="s">
        <v>246</v>
      </c>
      <c r="N705" s="33" t="s">
        <v>68</v>
      </c>
      <c r="O705" s="33" t="s">
        <v>12</v>
      </c>
      <c r="P705" s="33" t="s">
        <v>1</v>
      </c>
      <c r="Q705" s="47"/>
      <c r="R705" s="47"/>
      <c r="S705" s="45" t="s">
        <v>145</v>
      </c>
      <c r="T705" s="45"/>
      <c r="U705" s="37">
        <v>45488</v>
      </c>
      <c r="V705" s="38">
        <f t="shared" si="117"/>
        <v>45495</v>
      </c>
      <c r="W705" s="50">
        <f>V705-U705</f>
        <v>7</v>
      </c>
      <c r="X705" s="294">
        <v>385796.85</v>
      </c>
      <c r="Y705" s="260">
        <v>391000</v>
      </c>
      <c r="Z705" s="260">
        <v>391000</v>
      </c>
      <c r="AA705" s="56" t="s">
        <v>911</v>
      </c>
      <c r="AB705" s="43">
        <v>0.2</v>
      </c>
      <c r="AC705" s="295">
        <v>0</v>
      </c>
      <c r="AD705" s="62" t="s">
        <v>2173</v>
      </c>
      <c r="AE705" s="291"/>
      <c r="AF705" s="65"/>
      <c r="AG705" s="291">
        <v>1097.46</v>
      </c>
      <c r="AH705" s="65">
        <f t="shared" si="123"/>
        <v>0</v>
      </c>
      <c r="AI705" s="242"/>
      <c r="AJ705" s="242"/>
      <c r="AK705" s="291"/>
      <c r="AL705" s="40">
        <f t="shared" si="119"/>
        <v>0</v>
      </c>
      <c r="AM705" s="242">
        <f t="shared" si="118"/>
        <v>45504</v>
      </c>
      <c r="AN705" s="242" t="str">
        <f>IF(AQ705="x","",IF(AQ705="x",AM705,IF(EOMONTH(I705,0)=31,"",EOMONTH(I705,0))))</f>
        <v/>
      </c>
      <c r="AO705" s="79">
        <f>IFERROR(IF(VLOOKUP(C705,C706:C1306,1,0)=0,1,0),1)</f>
        <v>1</v>
      </c>
      <c r="AP705" s="79"/>
      <c r="AQ705" s="243" t="str">
        <f t="shared" si="124"/>
        <v>x</v>
      </c>
      <c r="AR705" s="242">
        <f>IF(AQ705="x",EOMONTH(I705,0))</f>
        <v>45535</v>
      </c>
      <c r="AS705" s="79">
        <f t="shared" si="120"/>
        <v>1</v>
      </c>
      <c r="AT705" s="79">
        <f t="shared" si="121"/>
        <v>1</v>
      </c>
      <c r="AU705" s="79" t="str">
        <f t="shared" si="122"/>
        <v>B</v>
      </c>
      <c r="AV705" s="79">
        <f t="shared" si="125"/>
        <v>1</v>
      </c>
      <c r="AW705" s="79" t="str">
        <f>J705&amp;AU705</f>
        <v>6B</v>
      </c>
      <c r="AX705" s="79">
        <f>IF(COUNTIFS(J:J,"Integral",E:E,E705,H:H,"Ativo")=4,1/4,1/10)</f>
        <v>0.1</v>
      </c>
      <c r="AY705" s="79" t="s">
        <v>2133</v>
      </c>
      <c r="AZ705" s="79" t="b">
        <v>1</v>
      </c>
    </row>
    <row r="706" spans="1:52" ht="15.75" customHeight="1">
      <c r="A706" s="54">
        <v>735</v>
      </c>
      <c r="B706" s="405">
        <v>45493</v>
      </c>
      <c r="C706" s="32" t="s">
        <v>1243</v>
      </c>
      <c r="D706" s="32" t="s">
        <v>2176</v>
      </c>
      <c r="E706" s="32" t="s">
        <v>1697</v>
      </c>
      <c r="F706" s="32" t="s">
        <v>2177</v>
      </c>
      <c r="G706" s="60" t="s">
        <v>220</v>
      </c>
      <c r="H706" s="33" t="s">
        <v>90</v>
      </c>
      <c r="I706" s="34"/>
      <c r="J706" s="33">
        <v>6</v>
      </c>
      <c r="K706" s="56" t="s">
        <v>1149</v>
      </c>
      <c r="L706" s="56" t="s">
        <v>1149</v>
      </c>
      <c r="M706" s="386" t="s">
        <v>1026</v>
      </c>
      <c r="N706" s="33" t="s">
        <v>68</v>
      </c>
      <c r="O706" s="33" t="s">
        <v>10</v>
      </c>
      <c r="P706" s="33" t="s">
        <v>1</v>
      </c>
      <c r="Q706" s="47" t="s">
        <v>99</v>
      </c>
      <c r="R706" s="47"/>
      <c r="S706" s="45" t="s">
        <v>144</v>
      </c>
      <c r="T706" s="45"/>
      <c r="U706" s="37">
        <v>45120</v>
      </c>
      <c r="V706" s="38">
        <f t="shared" ref="V706:V769" si="126">B706</f>
        <v>45493</v>
      </c>
      <c r="W706" s="50">
        <f>V706-U706</f>
        <v>373</v>
      </c>
      <c r="X706" s="294">
        <v>385796.85</v>
      </c>
      <c r="Y706" s="260">
        <v>391000</v>
      </c>
      <c r="Z706" s="260">
        <v>290000</v>
      </c>
      <c r="AA706" s="56"/>
      <c r="AB706" s="43">
        <v>1</v>
      </c>
      <c r="AC706" s="295">
        <v>0</v>
      </c>
      <c r="AD706" s="62" t="s">
        <v>2178</v>
      </c>
      <c r="AE706" s="291"/>
      <c r="AF706" s="65"/>
      <c r="AG706" s="291"/>
      <c r="AH706" s="65">
        <f t="shared" si="123"/>
        <v>101000</v>
      </c>
      <c r="AI706" s="242"/>
      <c r="AJ706" s="242"/>
      <c r="AK706" s="291">
        <v>21545.91</v>
      </c>
      <c r="AL706" s="40">
        <f t="shared" si="119"/>
        <v>79454.09</v>
      </c>
      <c r="AM706" s="242">
        <f t="shared" ref="AM706:AM769" si="127">IFERROR(EOMONTH(B706,0),"Pendente")</f>
        <v>45504</v>
      </c>
      <c r="AN706" s="242" t="str">
        <f>IF(AQ706="x","",IF(AQ706="x",AM706,IF(EOMONTH(I706,0)=31,"",EOMONTH(I706,0))))</f>
        <v/>
      </c>
      <c r="AO706" s="79">
        <f>IFERROR(IF(VLOOKUP(C706,C707:C1307,1,0)=0,1,0),1)</f>
        <v>0</v>
      </c>
      <c r="AP706" s="79"/>
      <c r="AQ706" s="243" t="str">
        <f t="shared" si="124"/>
        <v/>
      </c>
      <c r="AR706" s="242" t="b">
        <f>IF(AQ706="x",EOMONTH(I706,0))</f>
        <v>0</v>
      </c>
      <c r="AS706" s="79">
        <f t="shared" si="120"/>
        <v>1</v>
      </c>
      <c r="AT706" s="79">
        <f t="shared" si="121"/>
        <v>1</v>
      </c>
      <c r="AU706" s="79" t="str">
        <f t="shared" si="122"/>
        <v>B</v>
      </c>
      <c r="AV706" s="79">
        <f t="shared" si="125"/>
        <v>1</v>
      </c>
      <c r="AW706" s="79" t="str">
        <f>J706&amp;AU706</f>
        <v>6B</v>
      </c>
      <c r="AX706" s="79">
        <f>IF(COUNTIFS(J:J,"Integral",E:E,E706,H:H,"Ativo")=4,1/4,1/10)</f>
        <v>0.1</v>
      </c>
      <c r="AY706" s="79" t="s">
        <v>2133</v>
      </c>
      <c r="AZ706" s="79" t="b">
        <v>1</v>
      </c>
    </row>
    <row r="707" spans="1:52" ht="15.75" customHeight="1">
      <c r="A707" s="54">
        <v>736</v>
      </c>
      <c r="B707" s="405">
        <v>45493</v>
      </c>
      <c r="C707" s="32" t="s">
        <v>1243</v>
      </c>
      <c r="D707" s="32" t="s">
        <v>2179</v>
      </c>
      <c r="E707" s="32" t="s">
        <v>1697</v>
      </c>
      <c r="F707" s="32" t="s">
        <v>2180</v>
      </c>
      <c r="G707" s="60" t="s">
        <v>220</v>
      </c>
      <c r="H707" s="33" t="s">
        <v>90</v>
      </c>
      <c r="I707" s="34"/>
      <c r="J707" s="33">
        <v>6</v>
      </c>
      <c r="K707" s="56" t="s">
        <v>1149</v>
      </c>
      <c r="L707" s="56" t="s">
        <v>1149</v>
      </c>
      <c r="M707" s="386" t="s">
        <v>1026</v>
      </c>
      <c r="N707" s="33" t="s">
        <v>68</v>
      </c>
      <c r="O707" s="33" t="s">
        <v>10</v>
      </c>
      <c r="P707" s="33" t="s">
        <v>1</v>
      </c>
      <c r="Q707" s="47" t="s">
        <v>99</v>
      </c>
      <c r="R707" s="47"/>
      <c r="S707" s="45" t="s">
        <v>144</v>
      </c>
      <c r="T707" s="45"/>
      <c r="U707" s="37">
        <v>45120</v>
      </c>
      <c r="V707" s="38">
        <f t="shared" si="126"/>
        <v>45493</v>
      </c>
      <c r="W707" s="50">
        <f>V707-U707</f>
        <v>373</v>
      </c>
      <c r="X707" s="294">
        <v>385796.85</v>
      </c>
      <c r="Y707" s="260">
        <v>391000</v>
      </c>
      <c r="Z707" s="260">
        <v>290000</v>
      </c>
      <c r="AA707" s="56"/>
      <c r="AB707" s="43">
        <v>1</v>
      </c>
      <c r="AC707" s="295">
        <v>0</v>
      </c>
      <c r="AD707" s="62" t="s">
        <v>2178</v>
      </c>
      <c r="AE707" s="291"/>
      <c r="AF707" s="65">
        <f>V707-W707</f>
        <v>45120</v>
      </c>
      <c r="AG707" s="291"/>
      <c r="AH707" s="65">
        <f t="shared" si="123"/>
        <v>101000</v>
      </c>
      <c r="AI707" s="242" t="str">
        <f>IFERROR(EOMONTH(#REF!,0),"Pendente")</f>
        <v>Pendente</v>
      </c>
      <c r="AJ707" s="242" t="e">
        <f>IF(AK707="x","",IF(AK707="x",AI707,IF(EOMONTH(E707,0)=31,"",EOMONTH(E707,0))))</f>
        <v>#VALUE!</v>
      </c>
      <c r="AK707" s="291">
        <v>21545.91</v>
      </c>
      <c r="AL707" s="40">
        <f t="shared" si="119"/>
        <v>79454.09</v>
      </c>
      <c r="AM707" s="242">
        <f t="shared" si="127"/>
        <v>45504</v>
      </c>
      <c r="AN707" s="242" t="str">
        <f>IF(AQ707="x","",IF(AQ707="x",AM707,IF(EOMONTH(I707,0)=31,"",EOMONTH(I707,0))))</f>
        <v/>
      </c>
      <c r="AO707" s="79">
        <f>IFERROR(IF(VLOOKUP(C707,C708:C1308,1,0)=0,1,0),1)</f>
        <v>1</v>
      </c>
      <c r="AP707" s="79"/>
      <c r="AQ707" s="243" t="str">
        <f t="shared" si="124"/>
        <v/>
      </c>
      <c r="AR707" s="242" t="b">
        <f>IF(AQ707="x",EOMONTH(I707,0))</f>
        <v>0</v>
      </c>
      <c r="AS707" s="79">
        <f t="shared" si="120"/>
        <v>1</v>
      </c>
      <c r="AT707" s="79">
        <f t="shared" si="121"/>
        <v>1</v>
      </c>
      <c r="AU707" s="79" t="str">
        <f t="shared" si="122"/>
        <v>B</v>
      </c>
      <c r="AV707" s="79">
        <f t="shared" si="125"/>
        <v>1</v>
      </c>
      <c r="AW707" s="79" t="str">
        <f>J707&amp;AU707</f>
        <v>6B</v>
      </c>
      <c r="AX707" s="79">
        <f>IF(COUNTIFS(J:J,"Integral",E:E,E707,H:H,"Ativo")=4,1/4,1/10)</f>
        <v>0.1</v>
      </c>
      <c r="AY707" s="79" t="s">
        <v>2133</v>
      </c>
      <c r="AZ707" s="79" t="b">
        <v>1</v>
      </c>
    </row>
    <row r="708" spans="1:52" ht="15.75" customHeight="1">
      <c r="A708" s="54">
        <v>737</v>
      </c>
      <c r="B708" s="405">
        <v>45502</v>
      </c>
      <c r="C708" s="32" t="s">
        <v>2181</v>
      </c>
      <c r="D708" s="32" t="s">
        <v>2182</v>
      </c>
      <c r="E708" s="32" t="s">
        <v>2183</v>
      </c>
      <c r="F708" s="32" t="s">
        <v>2184</v>
      </c>
      <c r="G708" s="60" t="s">
        <v>220</v>
      </c>
      <c r="H708" s="33" t="s">
        <v>90</v>
      </c>
      <c r="I708" s="34"/>
      <c r="J708" s="33">
        <v>6</v>
      </c>
      <c r="K708" s="56" t="s">
        <v>981</v>
      </c>
      <c r="L708" s="56" t="s">
        <v>981</v>
      </c>
      <c r="M708" s="386" t="s">
        <v>1026</v>
      </c>
      <c r="N708" s="33" t="s">
        <v>68</v>
      </c>
      <c r="O708" s="33" t="s">
        <v>12</v>
      </c>
      <c r="P708" s="33" t="s">
        <v>2</v>
      </c>
      <c r="Q708" s="47"/>
      <c r="R708" s="47"/>
      <c r="S708" s="45" t="s">
        <v>152</v>
      </c>
      <c r="T708" s="45"/>
      <c r="U708" s="37">
        <v>45454</v>
      </c>
      <c r="V708" s="38">
        <f t="shared" si="126"/>
        <v>45502</v>
      </c>
      <c r="W708" s="50">
        <f>V708-U708</f>
        <v>48</v>
      </c>
      <c r="X708" s="294">
        <v>385796.85</v>
      </c>
      <c r="Y708" s="260">
        <v>391000</v>
      </c>
      <c r="Z708" s="260">
        <v>360000</v>
      </c>
      <c r="AA708" s="56"/>
      <c r="AB708" s="43">
        <v>0.27779999999999999</v>
      </c>
      <c r="AC708" s="295">
        <v>0</v>
      </c>
      <c r="AD708" s="62" t="s">
        <v>2185</v>
      </c>
      <c r="AE708" s="291"/>
      <c r="AF708" s="65"/>
      <c r="AG708" s="291"/>
      <c r="AH708" s="65">
        <f t="shared" si="123"/>
        <v>31000</v>
      </c>
      <c r="AI708" s="242"/>
      <c r="AJ708" s="242"/>
      <c r="AK708" s="291">
        <v>14090.65</v>
      </c>
      <c r="AL708" s="40">
        <f t="shared" si="119"/>
        <v>16909.349999999999</v>
      </c>
      <c r="AM708" s="242">
        <f t="shared" si="127"/>
        <v>45504</v>
      </c>
      <c r="AN708" s="242" t="str">
        <f>IF(AQ708="x","",IF(AQ708="x",AM708,IF(EOMONTH(I708,0)=31,"",EOMONTH(I708,0))))</f>
        <v/>
      </c>
      <c r="AO708" s="79">
        <f>IFERROR(IF(VLOOKUP(C708,C709:C1309,1,0)=0,1,0),1)</f>
        <v>0</v>
      </c>
      <c r="AP708" s="79"/>
      <c r="AQ708" s="243" t="str">
        <f t="shared" si="124"/>
        <v/>
      </c>
      <c r="AR708" s="242" t="b">
        <f>IF(AQ708="x",EOMONTH(I708,0))</f>
        <v>0</v>
      </c>
      <c r="AS708" s="79">
        <f t="shared" si="120"/>
        <v>1</v>
      </c>
      <c r="AT708" s="79">
        <f t="shared" si="121"/>
        <v>1</v>
      </c>
      <c r="AU708" s="79" t="str">
        <f t="shared" si="122"/>
        <v>B</v>
      </c>
      <c r="AV708" s="79">
        <f t="shared" si="125"/>
        <v>1</v>
      </c>
      <c r="AW708" s="79" t="str">
        <f>J708&amp;AU708</f>
        <v>6B</v>
      </c>
      <c r="AX708" s="79">
        <f>IF(COUNTIFS(J:J,"Integral",E:E,E708,H:H,"Ativo")=4,1/4,1/10)</f>
        <v>0.1</v>
      </c>
      <c r="AY708" s="79" t="s">
        <v>2133</v>
      </c>
      <c r="AZ708" s="79" t="b">
        <v>1</v>
      </c>
    </row>
    <row r="709" spans="1:52" ht="15.75" customHeight="1">
      <c r="A709" s="54">
        <v>738</v>
      </c>
      <c r="B709" s="405">
        <v>45502</v>
      </c>
      <c r="C709" s="32" t="s">
        <v>2181</v>
      </c>
      <c r="D709" s="32" t="s">
        <v>2186</v>
      </c>
      <c r="E709" s="32" t="s">
        <v>2183</v>
      </c>
      <c r="F709" s="32" t="s">
        <v>2187</v>
      </c>
      <c r="G709" s="60" t="s">
        <v>220</v>
      </c>
      <c r="H709" s="33" t="s">
        <v>90</v>
      </c>
      <c r="I709" s="34"/>
      <c r="J709" s="33">
        <v>6</v>
      </c>
      <c r="K709" s="56" t="s">
        <v>981</v>
      </c>
      <c r="L709" s="56" t="s">
        <v>981</v>
      </c>
      <c r="M709" s="386" t="s">
        <v>1026</v>
      </c>
      <c r="N709" s="33" t="s">
        <v>68</v>
      </c>
      <c r="O709" s="33" t="s">
        <v>12</v>
      </c>
      <c r="P709" s="33" t="s">
        <v>2</v>
      </c>
      <c r="Q709" s="47"/>
      <c r="R709" s="47"/>
      <c r="S709" s="45" t="s">
        <v>152</v>
      </c>
      <c r="T709" s="45"/>
      <c r="U709" s="37">
        <v>45454</v>
      </c>
      <c r="V709" s="38">
        <f t="shared" si="126"/>
        <v>45502</v>
      </c>
      <c r="W709" s="50">
        <f>V709-U709</f>
        <v>48</v>
      </c>
      <c r="X709" s="294">
        <v>385796.85</v>
      </c>
      <c r="Y709" s="260">
        <v>391000</v>
      </c>
      <c r="Z709" s="260">
        <v>360000</v>
      </c>
      <c r="AA709" s="56"/>
      <c r="AB709" s="43">
        <v>0.27779999999999999</v>
      </c>
      <c r="AC709" s="295">
        <v>0</v>
      </c>
      <c r="AD709" s="62" t="s">
        <v>2185</v>
      </c>
      <c r="AE709" s="291"/>
      <c r="AF709" s="65"/>
      <c r="AG709" s="291"/>
      <c r="AH709" s="65">
        <f t="shared" si="123"/>
        <v>31000</v>
      </c>
      <c r="AI709" s="242"/>
      <c r="AJ709" s="242"/>
      <c r="AK709" s="291">
        <v>14090.64</v>
      </c>
      <c r="AL709" s="40">
        <f t="shared" si="119"/>
        <v>16909.36</v>
      </c>
      <c r="AM709" s="242">
        <f t="shared" si="127"/>
        <v>45504</v>
      </c>
      <c r="AN709" s="242" t="str">
        <f>IF(AQ709="x","",IF(AQ709="x",AM709,IF(EOMONTH(I709,0)=31,"",EOMONTH(I709,0))))</f>
        <v/>
      </c>
      <c r="AO709" s="79">
        <f>IFERROR(IF(VLOOKUP(C709,C710:C1310,1,0)=0,1,0),1)</f>
        <v>1</v>
      </c>
      <c r="AP709" s="79"/>
      <c r="AQ709" s="243" t="str">
        <f t="shared" si="124"/>
        <v/>
      </c>
      <c r="AR709" s="242" t="b">
        <f>IF(AQ709="x",EOMONTH(I709,0))</f>
        <v>0</v>
      </c>
      <c r="AS709" s="79">
        <f t="shared" si="120"/>
        <v>1</v>
      </c>
      <c r="AT709" s="79">
        <f t="shared" si="121"/>
        <v>1</v>
      </c>
      <c r="AU709" s="79" t="str">
        <f t="shared" si="122"/>
        <v>B</v>
      </c>
      <c r="AV709" s="79">
        <f t="shared" si="125"/>
        <v>1</v>
      </c>
      <c r="AW709" s="79" t="str">
        <f>J709&amp;AU709</f>
        <v>6B</v>
      </c>
      <c r="AX709" s="79">
        <f>IF(COUNTIFS(J:J,"Integral",E:E,E709,H:H,"Ativo")=4,1/4,1/10)</f>
        <v>0.1</v>
      </c>
      <c r="AY709" s="79" t="s">
        <v>2133</v>
      </c>
      <c r="AZ709" s="79" t="b">
        <v>1</v>
      </c>
    </row>
    <row r="710" spans="1:52" ht="15.75" customHeight="1">
      <c r="A710" s="54">
        <v>739</v>
      </c>
      <c r="B710" s="406">
        <v>45496</v>
      </c>
      <c r="C710" s="32" t="s">
        <v>400</v>
      </c>
      <c r="D710" s="32" t="s">
        <v>2188</v>
      </c>
      <c r="E710" s="32" t="s">
        <v>1697</v>
      </c>
      <c r="F710" s="32" t="s">
        <v>2189</v>
      </c>
      <c r="G710" s="60" t="s">
        <v>220</v>
      </c>
      <c r="H710" s="33" t="s">
        <v>90</v>
      </c>
      <c r="I710" s="34"/>
      <c r="J710" s="33">
        <v>6</v>
      </c>
      <c r="K710" s="35" t="s">
        <v>237</v>
      </c>
      <c r="L710" s="35" t="s">
        <v>237</v>
      </c>
      <c r="M710" s="386" t="s">
        <v>246</v>
      </c>
      <c r="N710" s="33" t="s">
        <v>68</v>
      </c>
      <c r="O710" s="33" t="s">
        <v>12</v>
      </c>
      <c r="P710" s="33" t="s">
        <v>1</v>
      </c>
      <c r="Q710" s="47" t="s">
        <v>84</v>
      </c>
      <c r="R710" s="47"/>
      <c r="S710" s="45" t="s">
        <v>147</v>
      </c>
      <c r="T710" s="45"/>
      <c r="U710" s="37">
        <v>44824</v>
      </c>
      <c r="V710" s="38">
        <f t="shared" si="126"/>
        <v>45496</v>
      </c>
      <c r="W710" s="50">
        <f>V710-U710</f>
        <v>672</v>
      </c>
      <c r="X710" s="294">
        <v>385796.85</v>
      </c>
      <c r="Y710" s="260">
        <v>391000</v>
      </c>
      <c r="Z710" s="260">
        <v>390611.20000000001</v>
      </c>
      <c r="AA710" s="56"/>
      <c r="AB710" s="43">
        <v>0.1321</v>
      </c>
      <c r="AC710" s="295">
        <v>0</v>
      </c>
      <c r="AD710" s="62" t="s">
        <v>2190</v>
      </c>
      <c r="AE710" s="291"/>
      <c r="AF710" s="65"/>
      <c r="AG710" s="291"/>
      <c r="AH710" s="65">
        <f t="shared" si="123"/>
        <v>388.79999999998836</v>
      </c>
      <c r="AI710" s="242"/>
      <c r="AJ710" s="242"/>
      <c r="AK710" s="291">
        <v>15826.05</v>
      </c>
      <c r="AL710" s="40">
        <f t="shared" si="119"/>
        <v>-15437.250000000011</v>
      </c>
      <c r="AM710" s="242">
        <f t="shared" si="127"/>
        <v>45504</v>
      </c>
      <c r="AN710" s="242" t="str">
        <f>IF(AQ710="x","",IF(AQ710="x",AM710,IF(EOMONTH(I710,0)=31,"",EOMONTH(I710,0))))</f>
        <v/>
      </c>
      <c r="AO710" s="79">
        <f>IFERROR(IF(VLOOKUP(C710,C711:C1311,1,0)=0,1,0),1)</f>
        <v>0</v>
      </c>
      <c r="AP710" s="79"/>
      <c r="AQ710" s="243" t="str">
        <f t="shared" si="124"/>
        <v/>
      </c>
      <c r="AR710" s="242" t="b">
        <f>IF(AQ710="x",EOMONTH(I710,0))</f>
        <v>0</v>
      </c>
      <c r="AS710" s="79">
        <f t="shared" si="120"/>
        <v>1</v>
      </c>
      <c r="AT710" s="79">
        <f t="shared" si="121"/>
        <v>0</v>
      </c>
      <c r="AU710" s="79" t="str">
        <f t="shared" si="122"/>
        <v>B</v>
      </c>
      <c r="AV710" s="79">
        <f t="shared" si="125"/>
        <v>1</v>
      </c>
      <c r="AW710" s="79" t="str">
        <f>J710&amp;AU710</f>
        <v>6B</v>
      </c>
      <c r="AX710" s="79">
        <f>IF(COUNTIFS(J:J,"Integral",E:E,E710,H:H,"Ativo")=4,1/4,1/10)</f>
        <v>0.1</v>
      </c>
      <c r="AY710" s="79" t="s">
        <v>1332</v>
      </c>
      <c r="AZ710" s="79" t="b">
        <v>1</v>
      </c>
    </row>
    <row r="711" spans="1:52" ht="15.75" customHeight="1">
      <c r="A711" s="54">
        <v>740</v>
      </c>
      <c r="B711" s="406">
        <v>45496</v>
      </c>
      <c r="C711" s="32" t="s">
        <v>400</v>
      </c>
      <c r="D711" s="32" t="s">
        <v>2191</v>
      </c>
      <c r="E711" s="32" t="s">
        <v>1697</v>
      </c>
      <c r="F711" s="32" t="s">
        <v>2192</v>
      </c>
      <c r="G711" s="60" t="s">
        <v>220</v>
      </c>
      <c r="H711" s="33" t="s">
        <v>90</v>
      </c>
      <c r="I711" s="34"/>
      <c r="J711" s="33">
        <v>6</v>
      </c>
      <c r="K711" s="35" t="s">
        <v>237</v>
      </c>
      <c r="L711" s="35" t="s">
        <v>237</v>
      </c>
      <c r="M711" s="386" t="s">
        <v>246</v>
      </c>
      <c r="N711" s="33" t="s">
        <v>68</v>
      </c>
      <c r="O711" s="33" t="s">
        <v>12</v>
      </c>
      <c r="P711" s="33" t="s">
        <v>1</v>
      </c>
      <c r="Q711" s="47" t="s">
        <v>84</v>
      </c>
      <c r="R711" s="47"/>
      <c r="S711" s="45" t="s">
        <v>147</v>
      </c>
      <c r="T711" s="45"/>
      <c r="U711" s="37">
        <v>44824</v>
      </c>
      <c r="V711" s="38">
        <f t="shared" si="126"/>
        <v>45496</v>
      </c>
      <c r="W711" s="50">
        <f>V711-U711</f>
        <v>672</v>
      </c>
      <c r="X711" s="294">
        <v>385796.85</v>
      </c>
      <c r="Y711" s="260">
        <v>391000</v>
      </c>
      <c r="Z711" s="260">
        <v>390611.20000000001</v>
      </c>
      <c r="AA711" s="56"/>
      <c r="AB711" s="43">
        <v>0.1321</v>
      </c>
      <c r="AC711" s="295">
        <v>0</v>
      </c>
      <c r="AD711" s="62" t="s">
        <v>2190</v>
      </c>
      <c r="AE711" s="291"/>
      <c r="AF711" s="65"/>
      <c r="AG711" s="291"/>
      <c r="AH711" s="65">
        <f t="shared" si="123"/>
        <v>388.79999999998836</v>
      </c>
      <c r="AI711" s="242"/>
      <c r="AJ711" s="242"/>
      <c r="AK711" s="291">
        <v>15826.05</v>
      </c>
      <c r="AL711" s="40">
        <f t="shared" si="119"/>
        <v>-15437.250000000011</v>
      </c>
      <c r="AM711" s="242">
        <f t="shared" si="127"/>
        <v>45504</v>
      </c>
      <c r="AN711" s="242" t="str">
        <f>IF(AQ711="x","",IF(AQ711="x",AM711,IF(EOMONTH(I711,0)=31,"",EOMONTH(I711,0))))</f>
        <v/>
      </c>
      <c r="AO711" s="79">
        <f>IFERROR(IF(VLOOKUP(C711,C712:C1312,1,0)=0,1,0),1)</f>
        <v>1</v>
      </c>
      <c r="AP711" s="79"/>
      <c r="AQ711" s="243" t="str">
        <f t="shared" si="124"/>
        <v/>
      </c>
      <c r="AR711" s="242" t="b">
        <f>IF(AQ711="x",EOMONTH(I711,0))</f>
        <v>0</v>
      </c>
      <c r="AS711" s="79">
        <f t="shared" si="120"/>
        <v>1</v>
      </c>
      <c r="AT711" s="79">
        <f t="shared" si="121"/>
        <v>0</v>
      </c>
      <c r="AU711" s="79" t="str">
        <f t="shared" si="122"/>
        <v>B</v>
      </c>
      <c r="AV711" s="79">
        <f t="shared" si="125"/>
        <v>1</v>
      </c>
      <c r="AW711" s="79" t="str">
        <f>J711&amp;AU711</f>
        <v>6B</v>
      </c>
      <c r="AX711" s="79">
        <f>IF(COUNTIFS(J:J,"Integral",E:E,E711,H:H,"Ativo")=4,1/4,1/10)</f>
        <v>0.1</v>
      </c>
      <c r="AY711" s="79" t="s">
        <v>1332</v>
      </c>
      <c r="AZ711" s="79" t="b">
        <v>1</v>
      </c>
    </row>
    <row r="712" spans="1:52" ht="15.75" customHeight="1">
      <c r="A712" s="54">
        <v>741</v>
      </c>
      <c r="B712" s="405">
        <v>45498</v>
      </c>
      <c r="C712" s="32" t="s">
        <v>1494</v>
      </c>
      <c r="D712" s="32" t="s">
        <v>2193</v>
      </c>
      <c r="E712" s="32" t="s">
        <v>2183</v>
      </c>
      <c r="F712" s="32" t="s">
        <v>2194</v>
      </c>
      <c r="G712" s="60" t="s">
        <v>220</v>
      </c>
      <c r="H712" s="33" t="s">
        <v>90</v>
      </c>
      <c r="I712" s="34"/>
      <c r="J712" s="33">
        <v>6</v>
      </c>
      <c r="K712" s="56" t="s">
        <v>1149</v>
      </c>
      <c r="L712" s="56" t="s">
        <v>1149</v>
      </c>
      <c r="M712" s="386" t="s">
        <v>1026</v>
      </c>
      <c r="N712" s="33" t="s">
        <v>68</v>
      </c>
      <c r="O712" s="33" t="s">
        <v>11</v>
      </c>
      <c r="P712" s="33" t="s">
        <v>2</v>
      </c>
      <c r="Q712" s="47" t="s">
        <v>84</v>
      </c>
      <c r="R712" s="47"/>
      <c r="S712" s="45" t="s">
        <v>147</v>
      </c>
      <c r="T712" s="45"/>
      <c r="U712" s="37">
        <v>45051</v>
      </c>
      <c r="V712" s="38">
        <f t="shared" si="126"/>
        <v>45498</v>
      </c>
      <c r="W712" s="50">
        <f>V712-U712</f>
        <v>447</v>
      </c>
      <c r="X712" s="294">
        <v>385796.85</v>
      </c>
      <c r="Y712" s="260">
        <v>391000</v>
      </c>
      <c r="Z712" s="260">
        <v>349125</v>
      </c>
      <c r="AA712" s="56"/>
      <c r="AB712" s="43">
        <v>0.23150000000000001</v>
      </c>
      <c r="AC712" s="295">
        <v>0</v>
      </c>
      <c r="AD712" s="62" t="s">
        <v>2195</v>
      </c>
      <c r="AE712" s="291"/>
      <c r="AF712" s="65"/>
      <c r="AG712" s="291"/>
      <c r="AH712" s="65">
        <f t="shared" si="123"/>
        <v>41875</v>
      </c>
      <c r="AI712" s="242"/>
      <c r="AJ712" s="242"/>
      <c r="AK712" s="291">
        <v>13367.8</v>
      </c>
      <c r="AL712" s="40">
        <f t="shared" si="119"/>
        <v>28507.200000000001</v>
      </c>
      <c r="AM712" s="242">
        <f t="shared" si="127"/>
        <v>45504</v>
      </c>
      <c r="AN712" s="242" t="str">
        <f>IF(AQ712="x","",IF(AQ712="x",AM712,IF(EOMONTH(I712,0)=31,"",EOMONTH(I712,0))))</f>
        <v/>
      </c>
      <c r="AO712" s="79">
        <f>IFERROR(IF(VLOOKUP(C712,C713:C1313,1,0)=0,1,0),1)</f>
        <v>0</v>
      </c>
      <c r="AP712" s="79"/>
      <c r="AQ712" s="243" t="str">
        <f t="shared" si="124"/>
        <v/>
      </c>
      <c r="AR712" s="242" t="b">
        <f>IF(AQ712="x",EOMONTH(I712,0))</f>
        <v>0</v>
      </c>
      <c r="AS712" s="79">
        <f t="shared" si="120"/>
        <v>1</v>
      </c>
      <c r="AT712" s="79">
        <f t="shared" si="121"/>
        <v>1</v>
      </c>
      <c r="AU712" s="79" t="str">
        <f t="shared" si="122"/>
        <v>B</v>
      </c>
      <c r="AV712" s="79">
        <f t="shared" si="125"/>
        <v>1</v>
      </c>
      <c r="AW712" s="79" t="str">
        <f>J712&amp;AU712</f>
        <v>6B</v>
      </c>
      <c r="AX712" s="79">
        <f>IF(COUNTIFS(J:J,"Integral",E:E,E712,H:H,"Ativo")=4,1/4,1/10)</f>
        <v>0.1</v>
      </c>
      <c r="AY712" s="79" t="s">
        <v>1535</v>
      </c>
      <c r="AZ712" s="79" t="b">
        <v>1</v>
      </c>
    </row>
    <row r="713" spans="1:52" ht="15.75" customHeight="1">
      <c r="A713" s="54">
        <v>742</v>
      </c>
      <c r="B713" s="405">
        <v>45498</v>
      </c>
      <c r="C713" s="32" t="s">
        <v>1494</v>
      </c>
      <c r="D713" s="32" t="s">
        <v>2196</v>
      </c>
      <c r="E713" s="32" t="s">
        <v>1268</v>
      </c>
      <c r="F713" s="32" t="s">
        <v>2197</v>
      </c>
      <c r="G713" s="60" t="s">
        <v>220</v>
      </c>
      <c r="H713" s="33" t="s">
        <v>90</v>
      </c>
      <c r="I713" s="34"/>
      <c r="J713" s="33">
        <v>6</v>
      </c>
      <c r="K713" s="56" t="s">
        <v>1149</v>
      </c>
      <c r="L713" s="56" t="s">
        <v>1149</v>
      </c>
      <c r="M713" s="386" t="s">
        <v>1026</v>
      </c>
      <c r="N713" s="33" t="s">
        <v>68</v>
      </c>
      <c r="O713" s="33" t="s">
        <v>11</v>
      </c>
      <c r="P713" s="33" t="s">
        <v>2</v>
      </c>
      <c r="Q713" s="47" t="s">
        <v>84</v>
      </c>
      <c r="R713" s="47"/>
      <c r="S713" s="45" t="s">
        <v>147</v>
      </c>
      <c r="T713" s="45"/>
      <c r="U713" s="37">
        <v>45051</v>
      </c>
      <c r="V713" s="38">
        <f t="shared" si="126"/>
        <v>45498</v>
      </c>
      <c r="W713" s="50">
        <f>V713-U713</f>
        <v>447</v>
      </c>
      <c r="X713" s="294">
        <v>385796.85</v>
      </c>
      <c r="Y713" s="260">
        <v>391000</v>
      </c>
      <c r="Z713" s="260">
        <v>349125</v>
      </c>
      <c r="AA713" s="56"/>
      <c r="AB713" s="43">
        <v>0.23150000000000001</v>
      </c>
      <c r="AC713" s="295">
        <v>0</v>
      </c>
      <c r="AD713" s="62" t="s">
        <v>2195</v>
      </c>
      <c r="AE713" s="291"/>
      <c r="AF713" s="65"/>
      <c r="AG713" s="291"/>
      <c r="AH713" s="65">
        <f t="shared" si="123"/>
        <v>41875</v>
      </c>
      <c r="AI713" s="242"/>
      <c r="AJ713" s="242"/>
      <c r="AK713" s="291">
        <v>13367.79</v>
      </c>
      <c r="AL713" s="40">
        <f t="shared" si="119"/>
        <v>28507.21</v>
      </c>
      <c r="AM713" s="242">
        <f t="shared" si="127"/>
        <v>45504</v>
      </c>
      <c r="AN713" s="242" t="str">
        <f>IF(AQ713="x","",IF(AQ713="x",AM713,IF(EOMONTH(I713,0)=31,"",EOMONTH(I713,0))))</f>
        <v/>
      </c>
      <c r="AO713" s="79">
        <f>IFERROR(IF(VLOOKUP(C713,C714:C1314,1,0)=0,1,0),1)</f>
        <v>1</v>
      </c>
      <c r="AP713" s="79"/>
      <c r="AQ713" s="243" t="str">
        <f t="shared" si="124"/>
        <v/>
      </c>
      <c r="AR713" s="242" t="b">
        <f>IF(AQ713="x",EOMONTH(I713,0))</f>
        <v>0</v>
      </c>
      <c r="AS713" s="79">
        <f t="shared" si="120"/>
        <v>1</v>
      </c>
      <c r="AT713" s="79">
        <f t="shared" si="121"/>
        <v>1</v>
      </c>
      <c r="AU713" s="79" t="str">
        <f t="shared" si="122"/>
        <v>B</v>
      </c>
      <c r="AV713" s="79">
        <f t="shared" si="125"/>
        <v>1</v>
      </c>
      <c r="AW713" s="79" t="str">
        <f>J713&amp;AU713</f>
        <v>6B</v>
      </c>
      <c r="AX713" s="79">
        <f>IF(COUNTIFS(J:J,"Integral",E:E,E713,H:H,"Ativo")=4,1/4,1/10)</f>
        <v>0.1</v>
      </c>
      <c r="AY713" s="79" t="s">
        <v>1535</v>
      </c>
      <c r="AZ713" s="79" t="b">
        <v>1</v>
      </c>
    </row>
    <row r="714" spans="1:52" ht="15.75" customHeight="1">
      <c r="A714" s="54">
        <v>743</v>
      </c>
      <c r="B714" s="405">
        <v>45499</v>
      </c>
      <c r="C714" s="32" t="s">
        <v>2198</v>
      </c>
      <c r="D714" s="32" t="s">
        <v>2199</v>
      </c>
      <c r="E714" s="32" t="s">
        <v>1163</v>
      </c>
      <c r="F714" s="32" t="s">
        <v>2200</v>
      </c>
      <c r="G714" s="60" t="s">
        <v>220</v>
      </c>
      <c r="H714" s="33" t="s">
        <v>90</v>
      </c>
      <c r="I714" s="34"/>
      <c r="J714" s="33">
        <v>4</v>
      </c>
      <c r="K714" s="35" t="s">
        <v>378</v>
      </c>
      <c r="L714" s="35" t="s">
        <v>333</v>
      </c>
      <c r="M714" s="386" t="s">
        <v>246</v>
      </c>
      <c r="N714" s="33" t="s">
        <v>68</v>
      </c>
      <c r="O714" s="33" t="s">
        <v>12</v>
      </c>
      <c r="P714" s="33" t="s">
        <v>2</v>
      </c>
      <c r="Q714" s="47"/>
      <c r="R714" s="47"/>
      <c r="S714" s="45" t="s">
        <v>145</v>
      </c>
      <c r="T714" s="45"/>
      <c r="U714" s="37">
        <v>45488</v>
      </c>
      <c r="V714" s="38">
        <f t="shared" si="126"/>
        <v>45499</v>
      </c>
      <c r="W714" s="50">
        <f>V714-U714</f>
        <v>11</v>
      </c>
      <c r="X714" s="294">
        <v>370568.03</v>
      </c>
      <c r="Y714" s="260">
        <v>383000</v>
      </c>
      <c r="Z714" s="260">
        <v>385000</v>
      </c>
      <c r="AA714" s="56" t="s">
        <v>1671</v>
      </c>
      <c r="AB714" s="43">
        <v>0.19900000000000001</v>
      </c>
      <c r="AC714" s="295">
        <v>0</v>
      </c>
      <c r="AD714" s="62" t="s">
        <v>2201</v>
      </c>
      <c r="AE714" s="291"/>
      <c r="AF714" s="65"/>
      <c r="AG714" s="291">
        <v>5454.31</v>
      </c>
      <c r="AH714" s="65">
        <f t="shared" si="123"/>
        <v>-2000</v>
      </c>
      <c r="AI714" s="242"/>
      <c r="AJ714" s="242"/>
      <c r="AK714" s="291"/>
      <c r="AL714" s="40">
        <f t="shared" si="119"/>
        <v>-2000</v>
      </c>
      <c r="AM714" s="242">
        <f t="shared" si="127"/>
        <v>45504</v>
      </c>
      <c r="AN714" s="242" t="str">
        <f>IF(AQ714="x","",IF(AQ714="x",AM714,IF(EOMONTH(I714,0)=31,"",EOMONTH(I714,0))))</f>
        <v/>
      </c>
      <c r="AO714" s="79">
        <f>IFERROR(IF(VLOOKUP(C714,C715:C1314,1,0)=0,1,0),1)</f>
        <v>1</v>
      </c>
      <c r="AP714" s="79"/>
      <c r="AQ714" s="243" t="str">
        <f t="shared" si="124"/>
        <v/>
      </c>
      <c r="AR714" s="242" t="b">
        <f>IF(AQ714="x",EOMONTH(I714,0))</f>
        <v>0</v>
      </c>
      <c r="AS714" s="79">
        <f t="shared" si="120"/>
        <v>0</v>
      </c>
      <c r="AT714" s="79">
        <f t="shared" si="121"/>
        <v>0</v>
      </c>
      <c r="AU714" s="79" t="str">
        <f t="shared" si="122"/>
        <v>B</v>
      </c>
      <c r="AV714" s="79">
        <f t="shared" si="125"/>
        <v>1</v>
      </c>
      <c r="AW714" s="79" t="str">
        <f>J714&amp;AU714</f>
        <v>4B</v>
      </c>
      <c r="AX714" s="79">
        <f>IF(COUNTIFS(J:J,"Integral",E:E,E714,H:H,"Ativo")=4,1/4,1/10)</f>
        <v>0.1</v>
      </c>
      <c r="AY714" s="79" t="s">
        <v>2133</v>
      </c>
      <c r="AZ714" s="79" t="b">
        <v>1</v>
      </c>
    </row>
    <row r="715" spans="1:52" ht="15.75" customHeight="1">
      <c r="A715" s="54">
        <v>744</v>
      </c>
      <c r="B715" s="405">
        <v>45499</v>
      </c>
      <c r="C715" s="32" t="s">
        <v>2202</v>
      </c>
      <c r="D715" s="32" t="s">
        <v>2203</v>
      </c>
      <c r="E715" s="32" t="s">
        <v>1163</v>
      </c>
      <c r="F715" s="32" t="s">
        <v>2204</v>
      </c>
      <c r="G715" s="60" t="s">
        <v>243</v>
      </c>
      <c r="H715" s="33" t="s">
        <v>244</v>
      </c>
      <c r="I715" s="34">
        <v>45510</v>
      </c>
      <c r="J715" s="33">
        <v>4</v>
      </c>
      <c r="K715" s="35" t="s">
        <v>2205</v>
      </c>
      <c r="L715" s="35" t="s">
        <v>2205</v>
      </c>
      <c r="M715" s="386" t="s">
        <v>246</v>
      </c>
      <c r="N715" s="33" t="s">
        <v>68</v>
      </c>
      <c r="O715" s="33" t="s">
        <v>12</v>
      </c>
      <c r="P715" s="33" t="s">
        <v>1</v>
      </c>
      <c r="Q715" s="47"/>
      <c r="R715" s="47"/>
      <c r="S715" s="45" t="s">
        <v>143</v>
      </c>
      <c r="T715" s="45"/>
      <c r="U715" s="37">
        <v>45499</v>
      </c>
      <c r="V715" s="38">
        <f t="shared" si="126"/>
        <v>45499</v>
      </c>
      <c r="W715" s="50">
        <f>V715-U715</f>
        <v>0</v>
      </c>
      <c r="X715" s="294">
        <v>370568.03</v>
      </c>
      <c r="Y715" s="260">
        <v>383000</v>
      </c>
      <c r="Z715" s="260">
        <v>382998</v>
      </c>
      <c r="AA715" s="35" t="s">
        <v>999</v>
      </c>
      <c r="AB715" s="43">
        <v>8.2799999999999999E-2</v>
      </c>
      <c r="AC715" s="295">
        <v>0</v>
      </c>
      <c r="AD715" s="62" t="s">
        <v>2206</v>
      </c>
      <c r="AE715" s="291"/>
      <c r="AF715" s="65"/>
      <c r="AG715" s="291">
        <v>6780.78</v>
      </c>
      <c r="AH715" s="65">
        <f t="shared" si="123"/>
        <v>2</v>
      </c>
      <c r="AI715" s="242"/>
      <c r="AJ715" s="242"/>
      <c r="AK715" s="291"/>
      <c r="AL715" s="40">
        <f t="shared" si="119"/>
        <v>2</v>
      </c>
      <c r="AM715" s="242">
        <f t="shared" si="127"/>
        <v>45504</v>
      </c>
      <c r="AN715" s="242" t="str">
        <f>IF(AQ715="x","",IF(AQ715="x",AM715,IF(EOMONTH(I715,0)=31,"",EOMONTH(I715,0))))</f>
        <v/>
      </c>
      <c r="AO715" s="79">
        <f>IFERROR(IF(VLOOKUP(C715,C716:C1316,1,0)=0,1,0),1)</f>
        <v>1</v>
      </c>
      <c r="AP715" s="79"/>
      <c r="AQ715" s="243" t="str">
        <f t="shared" si="124"/>
        <v>x</v>
      </c>
      <c r="AR715" s="242">
        <f>IF(AQ715="x",EOMONTH(I715,0))</f>
        <v>45535</v>
      </c>
      <c r="AS715" s="79">
        <f t="shared" si="120"/>
        <v>1</v>
      </c>
      <c r="AT715" s="79">
        <f t="shared" si="121"/>
        <v>1</v>
      </c>
      <c r="AU715" s="79" t="str">
        <f t="shared" si="122"/>
        <v>B</v>
      </c>
      <c r="AV715" s="79">
        <f t="shared" si="125"/>
        <v>1</v>
      </c>
      <c r="AW715" s="79" t="str">
        <f>J715&amp;AU715</f>
        <v>4B</v>
      </c>
      <c r="AX715" s="79">
        <f>IF(COUNTIFS(J:J,"Integral",E:E,E715,H:H,"Ativo")=4,1/4,1/10)</f>
        <v>0.1</v>
      </c>
      <c r="AY715" s="79" t="s">
        <v>2133</v>
      </c>
      <c r="AZ715" s="79" t="b">
        <v>1</v>
      </c>
    </row>
    <row r="716" spans="1:52" ht="15.75" customHeight="1">
      <c r="A716" s="54">
        <v>745</v>
      </c>
      <c r="B716" s="405">
        <v>45500</v>
      </c>
      <c r="C716" s="32" t="s">
        <v>2207</v>
      </c>
      <c r="D716" s="32" t="s">
        <v>2208</v>
      </c>
      <c r="E716" s="32" t="s">
        <v>1442</v>
      </c>
      <c r="F716" s="32" t="s">
        <v>2209</v>
      </c>
      <c r="G716" s="60" t="s">
        <v>220</v>
      </c>
      <c r="H716" s="33" t="s">
        <v>90</v>
      </c>
      <c r="I716" s="34"/>
      <c r="J716" s="33">
        <v>4</v>
      </c>
      <c r="K716" s="35" t="s">
        <v>1101</v>
      </c>
      <c r="L716" s="35" t="s">
        <v>1101</v>
      </c>
      <c r="M716" s="386" t="s">
        <v>1026</v>
      </c>
      <c r="N716" s="33" t="s">
        <v>68</v>
      </c>
      <c r="O716" s="33" t="s">
        <v>12</v>
      </c>
      <c r="P716" s="33" t="s">
        <v>2</v>
      </c>
      <c r="Q716" s="47"/>
      <c r="R716" s="47"/>
      <c r="S716" s="45" t="s">
        <v>148</v>
      </c>
      <c r="T716" s="45"/>
      <c r="U716" s="37">
        <v>45442</v>
      </c>
      <c r="V716" s="38">
        <f t="shared" si="126"/>
        <v>45500</v>
      </c>
      <c r="W716" s="50">
        <f>V716-U716</f>
        <v>58</v>
      </c>
      <c r="X716" s="294">
        <v>370568.03</v>
      </c>
      <c r="Y716" s="260">
        <v>383000</v>
      </c>
      <c r="Z716" s="260">
        <v>383000</v>
      </c>
      <c r="AA716" s="35"/>
      <c r="AB716" s="43">
        <v>0.19839999999999999</v>
      </c>
      <c r="AC716" s="295">
        <v>0</v>
      </c>
      <c r="AD716" s="62" t="s">
        <v>2210</v>
      </c>
      <c r="AE716" s="291"/>
      <c r="AF716" s="65"/>
      <c r="AG716" s="291">
        <v>23459.33</v>
      </c>
      <c r="AH716" s="65">
        <f t="shared" si="123"/>
        <v>0</v>
      </c>
      <c r="AI716" s="242"/>
      <c r="AJ716" s="242"/>
      <c r="AK716" s="291"/>
      <c r="AL716" s="40">
        <f t="shared" si="119"/>
        <v>0</v>
      </c>
      <c r="AM716" s="242">
        <f t="shared" si="127"/>
        <v>45504</v>
      </c>
      <c r="AN716" s="242" t="str">
        <f>IF(AQ716="x","",IF(AQ716="x",AM716,IF(EOMONTH(I716,0)=31,"",EOMONTH(I716,0))))</f>
        <v/>
      </c>
      <c r="AO716" s="79">
        <f>IFERROR(IF(VLOOKUP(C716,C717:C1317,1,0)=0,1,0),1)</f>
        <v>1</v>
      </c>
      <c r="AP716" s="79"/>
      <c r="AQ716" s="243" t="str">
        <f t="shared" si="124"/>
        <v/>
      </c>
      <c r="AR716" s="242" t="b">
        <f>IF(AQ716="x",EOMONTH(I716,0))</f>
        <v>0</v>
      </c>
      <c r="AS716" s="79">
        <f t="shared" si="120"/>
        <v>1</v>
      </c>
      <c r="AT716" s="79">
        <f t="shared" si="121"/>
        <v>1</v>
      </c>
      <c r="AU716" s="79" t="str">
        <f t="shared" si="122"/>
        <v>B</v>
      </c>
      <c r="AV716" s="79">
        <f t="shared" si="125"/>
        <v>1</v>
      </c>
      <c r="AW716" s="79" t="str">
        <f>J716&amp;AU716</f>
        <v>4B</v>
      </c>
      <c r="AX716" s="79">
        <f>IF(COUNTIFS(J:J,"Integral",E:E,E716,H:H,"Ativo")=4,1/4,1/10)</f>
        <v>0.1</v>
      </c>
      <c r="AY716" s="79" t="s">
        <v>1535</v>
      </c>
      <c r="AZ716" s="79" t="b">
        <v>1</v>
      </c>
    </row>
    <row r="717" spans="1:52" ht="15.75" customHeight="1">
      <c r="A717" s="54">
        <v>746</v>
      </c>
      <c r="B717" s="405">
        <v>45501</v>
      </c>
      <c r="C717" s="32" t="s">
        <v>2211</v>
      </c>
      <c r="D717" s="32" t="s">
        <v>2212</v>
      </c>
      <c r="E717" s="32" t="s">
        <v>2213</v>
      </c>
      <c r="F717" s="32" t="s">
        <v>2214</v>
      </c>
      <c r="G717" s="60" t="s">
        <v>220</v>
      </c>
      <c r="H717" s="33" t="s">
        <v>90</v>
      </c>
      <c r="I717" s="34"/>
      <c r="J717" s="33" t="s">
        <v>1701</v>
      </c>
      <c r="K717" s="56" t="s">
        <v>1755</v>
      </c>
      <c r="L717" s="56" t="s">
        <v>1755</v>
      </c>
      <c r="M717" s="386" t="s">
        <v>1755</v>
      </c>
      <c r="N717" s="33" t="s">
        <v>73</v>
      </c>
      <c r="O717" s="33" t="s">
        <v>11</v>
      </c>
      <c r="P717" s="33" t="s">
        <v>85</v>
      </c>
      <c r="Q717" s="47"/>
      <c r="R717" s="47"/>
      <c r="S717" s="45" t="s">
        <v>160</v>
      </c>
      <c r="T717" s="45"/>
      <c r="U717" s="37">
        <v>45499</v>
      </c>
      <c r="V717" s="38">
        <f t="shared" si="126"/>
        <v>45501</v>
      </c>
      <c r="W717" s="50">
        <f>V717-U717</f>
        <v>2</v>
      </c>
      <c r="X717" s="294">
        <v>314729.01</v>
      </c>
      <c r="Y717" s="260">
        <v>318500</v>
      </c>
      <c r="Z717" s="260">
        <v>284500</v>
      </c>
      <c r="AA717" s="35"/>
      <c r="AB717" s="43">
        <v>0.246</v>
      </c>
      <c r="AC717" s="295">
        <v>0</v>
      </c>
      <c r="AD717" s="62" t="s">
        <v>2215</v>
      </c>
      <c r="AE717" s="291"/>
      <c r="AF717" s="65"/>
      <c r="AG717" s="291">
        <v>3778.52</v>
      </c>
      <c r="AH717" s="65">
        <f t="shared" si="123"/>
        <v>34000</v>
      </c>
      <c r="AI717" s="242"/>
      <c r="AJ717" s="242"/>
      <c r="AK717" s="291"/>
      <c r="AL717" s="40">
        <f t="shared" si="119"/>
        <v>34000</v>
      </c>
      <c r="AM717" s="242">
        <f t="shared" si="127"/>
        <v>45504</v>
      </c>
      <c r="AN717" s="242" t="str">
        <f>IF(AQ717="x","",IF(AQ717="x",AM717,IF(EOMONTH(I717,0)=31,"",EOMONTH(I717,0))))</f>
        <v/>
      </c>
      <c r="AO717" s="79">
        <f>IFERROR(IF(VLOOKUP(C717,C718:C1318,1,0)=0,1,0),1)</f>
        <v>0</v>
      </c>
      <c r="AP717" s="79"/>
      <c r="AQ717" s="243" t="str">
        <f t="shared" si="124"/>
        <v/>
      </c>
      <c r="AR717" s="242" t="b">
        <f>IF(AQ717="x",EOMONTH(I717,0))</f>
        <v>0</v>
      </c>
      <c r="AS717" s="79">
        <f t="shared" si="120"/>
        <v>1</v>
      </c>
      <c r="AT717" s="79">
        <f t="shared" si="121"/>
        <v>1</v>
      </c>
      <c r="AU717" s="79" t="str">
        <f t="shared" si="122"/>
        <v>B</v>
      </c>
      <c r="AV717" s="79">
        <f t="shared" si="125"/>
        <v>1</v>
      </c>
      <c r="AW717" s="79" t="str">
        <f>J717&amp;AU717</f>
        <v>INTEGRALB</v>
      </c>
      <c r="AX717" s="79">
        <f>IF(COUNTIFS(J:J,"Integral",E:E,E717,H:H,"Ativo")=4,1/4,1/10)</f>
        <v>0.1</v>
      </c>
      <c r="AY717" s="79" t="s">
        <v>2133</v>
      </c>
      <c r="AZ717" s="79" t="b">
        <v>1</v>
      </c>
    </row>
    <row r="718" spans="1:52" ht="15.75" customHeight="1">
      <c r="A718" s="54">
        <v>747</v>
      </c>
      <c r="B718" s="405">
        <v>45501</v>
      </c>
      <c r="C718" s="32" t="s">
        <v>2211</v>
      </c>
      <c r="D718" s="32" t="s">
        <v>2216</v>
      </c>
      <c r="E718" s="32" t="s">
        <v>2213</v>
      </c>
      <c r="F718" s="32" t="s">
        <v>2217</v>
      </c>
      <c r="G718" s="60" t="s">
        <v>220</v>
      </c>
      <c r="H718" s="33" t="s">
        <v>90</v>
      </c>
      <c r="I718" s="34"/>
      <c r="J718" s="33" t="s">
        <v>1701</v>
      </c>
      <c r="K718" s="56" t="s">
        <v>1755</v>
      </c>
      <c r="L718" s="56" t="s">
        <v>1755</v>
      </c>
      <c r="M718" s="386" t="s">
        <v>1755</v>
      </c>
      <c r="N718" s="33" t="s">
        <v>73</v>
      </c>
      <c r="O718" s="33" t="s">
        <v>11</v>
      </c>
      <c r="P718" s="33" t="s">
        <v>85</v>
      </c>
      <c r="Q718" s="47"/>
      <c r="R718" s="47"/>
      <c r="S718" s="45" t="s">
        <v>160</v>
      </c>
      <c r="T718" s="45"/>
      <c r="U718" s="37">
        <v>45499</v>
      </c>
      <c r="V718" s="38">
        <f t="shared" si="126"/>
        <v>45501</v>
      </c>
      <c r="W718" s="50">
        <f>V718-U718</f>
        <v>2</v>
      </c>
      <c r="X718" s="294">
        <v>314729.01</v>
      </c>
      <c r="Y718" s="260">
        <v>318500</v>
      </c>
      <c r="Z718" s="260">
        <v>284500</v>
      </c>
      <c r="AA718" s="35"/>
      <c r="AB718" s="43">
        <v>0.246</v>
      </c>
      <c r="AC718" s="295">
        <v>0</v>
      </c>
      <c r="AD718" s="62" t="s">
        <v>2215</v>
      </c>
      <c r="AE718" s="291"/>
      <c r="AF718" s="65"/>
      <c r="AG718" s="291">
        <v>3778.52</v>
      </c>
      <c r="AH718" s="65">
        <f t="shared" si="123"/>
        <v>34000</v>
      </c>
      <c r="AI718" s="242"/>
      <c r="AJ718" s="242"/>
      <c r="AK718" s="291"/>
      <c r="AL718" s="40">
        <f t="shared" si="119"/>
        <v>34000</v>
      </c>
      <c r="AM718" s="242">
        <f t="shared" si="127"/>
        <v>45504</v>
      </c>
      <c r="AN718" s="242" t="str">
        <f>IF(AQ718="x","",IF(AQ718="x",AM718,IF(EOMONTH(I718,0)=31,"",EOMONTH(I718,0))))</f>
        <v/>
      </c>
      <c r="AO718" s="79">
        <f>IFERROR(IF(VLOOKUP(C718,C719:C1319,1,0)=0,1,0),1)</f>
        <v>0</v>
      </c>
      <c r="AP718" s="79"/>
      <c r="AQ718" s="243" t="str">
        <f t="shared" si="124"/>
        <v/>
      </c>
      <c r="AR718" s="242" t="b">
        <f>IF(AQ718="x",EOMONTH(I718,0))</f>
        <v>0</v>
      </c>
      <c r="AS718" s="79">
        <f t="shared" si="120"/>
        <v>1</v>
      </c>
      <c r="AT718" s="79">
        <f t="shared" si="121"/>
        <v>1</v>
      </c>
      <c r="AU718" s="79" t="str">
        <f t="shared" si="122"/>
        <v>B</v>
      </c>
      <c r="AV718" s="79">
        <f t="shared" si="125"/>
        <v>1</v>
      </c>
      <c r="AW718" s="79" t="str">
        <f>J718&amp;AU718</f>
        <v>INTEGRALB</v>
      </c>
      <c r="AX718" s="79">
        <f>IF(COUNTIFS(J:J,"Integral",E:E,E718,H:H,"Ativo")=4,1/4,1/10)</f>
        <v>0.1</v>
      </c>
      <c r="AY718" s="79" t="s">
        <v>2133</v>
      </c>
      <c r="AZ718" s="79" t="b">
        <v>1</v>
      </c>
    </row>
    <row r="719" spans="1:52" ht="15.75" customHeight="1">
      <c r="A719" s="54">
        <v>748</v>
      </c>
      <c r="B719" s="405">
        <v>45501</v>
      </c>
      <c r="C719" s="32" t="s">
        <v>2211</v>
      </c>
      <c r="D719" s="32" t="s">
        <v>2218</v>
      </c>
      <c r="E719" s="32" t="s">
        <v>2213</v>
      </c>
      <c r="F719" s="32" t="s">
        <v>2219</v>
      </c>
      <c r="G719" s="60" t="s">
        <v>220</v>
      </c>
      <c r="H719" s="33" t="s">
        <v>90</v>
      </c>
      <c r="I719" s="34"/>
      <c r="J719" s="33" t="s">
        <v>1701</v>
      </c>
      <c r="K719" s="56" t="s">
        <v>1755</v>
      </c>
      <c r="L719" s="56" t="s">
        <v>1755</v>
      </c>
      <c r="M719" s="386" t="s">
        <v>1755</v>
      </c>
      <c r="N719" s="33" t="s">
        <v>73</v>
      </c>
      <c r="O719" s="33" t="s">
        <v>11</v>
      </c>
      <c r="P719" s="33" t="s">
        <v>85</v>
      </c>
      <c r="Q719" s="47"/>
      <c r="R719" s="47"/>
      <c r="S719" s="45" t="s">
        <v>160</v>
      </c>
      <c r="T719" s="45"/>
      <c r="U719" s="37">
        <v>45499</v>
      </c>
      <c r="V719" s="38">
        <f t="shared" si="126"/>
        <v>45501</v>
      </c>
      <c r="W719" s="50">
        <f>V719-U719</f>
        <v>2</v>
      </c>
      <c r="X719" s="294">
        <v>314729.01</v>
      </c>
      <c r="Y719" s="260">
        <v>318500</v>
      </c>
      <c r="Z719" s="260">
        <v>284500</v>
      </c>
      <c r="AA719" s="35"/>
      <c r="AB719" s="43">
        <v>0.246</v>
      </c>
      <c r="AC719" s="295">
        <v>0</v>
      </c>
      <c r="AD719" s="62" t="s">
        <v>2215</v>
      </c>
      <c r="AE719" s="291"/>
      <c r="AF719" s="65"/>
      <c r="AG719" s="291">
        <v>3778.52</v>
      </c>
      <c r="AH719" s="65">
        <f t="shared" si="123"/>
        <v>34000</v>
      </c>
      <c r="AI719" s="242"/>
      <c r="AJ719" s="242"/>
      <c r="AK719" s="291"/>
      <c r="AL719" s="40">
        <f t="shared" si="119"/>
        <v>34000</v>
      </c>
      <c r="AM719" s="242">
        <f t="shared" si="127"/>
        <v>45504</v>
      </c>
      <c r="AN719" s="242" t="str">
        <f>IF(AQ719="x","",IF(AQ719="x",AM719,IF(EOMONTH(I719,0)=31,"",EOMONTH(I719,0))))</f>
        <v/>
      </c>
      <c r="AO719" s="79">
        <f>IFERROR(IF(VLOOKUP(C719,C720:C1320,1,0)=0,1,0),1)</f>
        <v>0</v>
      </c>
      <c r="AP719" s="79"/>
      <c r="AQ719" s="243" t="str">
        <f t="shared" si="124"/>
        <v/>
      </c>
      <c r="AR719" s="242" t="b">
        <f>IF(AQ719="x",EOMONTH(I719,0))</f>
        <v>0</v>
      </c>
      <c r="AS719" s="79">
        <f t="shared" si="120"/>
        <v>1</v>
      </c>
      <c r="AT719" s="79">
        <f t="shared" si="121"/>
        <v>1</v>
      </c>
      <c r="AU719" s="79" t="str">
        <f t="shared" si="122"/>
        <v>B</v>
      </c>
      <c r="AV719" s="79">
        <f t="shared" si="125"/>
        <v>1</v>
      </c>
      <c r="AW719" s="79" t="str">
        <f>J719&amp;AU719</f>
        <v>INTEGRALB</v>
      </c>
      <c r="AX719" s="79">
        <f>IF(COUNTIFS(J:J,"Integral",E:E,E719,H:H,"Ativo")=4,1/4,1/10)</f>
        <v>0.1</v>
      </c>
      <c r="AY719" s="79" t="s">
        <v>2133</v>
      </c>
      <c r="AZ719" s="79" t="b">
        <v>1</v>
      </c>
    </row>
    <row r="720" spans="1:52" ht="15.75" customHeight="1">
      <c r="A720" s="54">
        <v>749</v>
      </c>
      <c r="B720" s="405">
        <v>45501</v>
      </c>
      <c r="C720" s="32" t="s">
        <v>2211</v>
      </c>
      <c r="D720" s="32" t="s">
        <v>2220</v>
      </c>
      <c r="E720" s="32" t="s">
        <v>2213</v>
      </c>
      <c r="F720" s="32" t="s">
        <v>2221</v>
      </c>
      <c r="G720" s="60" t="s">
        <v>220</v>
      </c>
      <c r="H720" s="33" t="s">
        <v>90</v>
      </c>
      <c r="I720" s="34"/>
      <c r="J720" s="33" t="s">
        <v>1701</v>
      </c>
      <c r="K720" s="56" t="s">
        <v>1755</v>
      </c>
      <c r="L720" s="56" t="s">
        <v>1755</v>
      </c>
      <c r="M720" s="386" t="s">
        <v>1755</v>
      </c>
      <c r="N720" s="33" t="s">
        <v>73</v>
      </c>
      <c r="O720" s="33" t="s">
        <v>11</v>
      </c>
      <c r="P720" s="33" t="s">
        <v>85</v>
      </c>
      <c r="Q720" s="47"/>
      <c r="R720" s="47"/>
      <c r="S720" s="45" t="s">
        <v>160</v>
      </c>
      <c r="T720" s="45"/>
      <c r="U720" s="37">
        <v>45499</v>
      </c>
      <c r="V720" s="38">
        <f t="shared" si="126"/>
        <v>45501</v>
      </c>
      <c r="W720" s="50">
        <f>V720-U720</f>
        <v>2</v>
      </c>
      <c r="X720" s="294">
        <v>314729.01</v>
      </c>
      <c r="Y720" s="260">
        <v>318500</v>
      </c>
      <c r="Z720" s="260">
        <v>284500</v>
      </c>
      <c r="AA720" s="35"/>
      <c r="AB720" s="43">
        <v>0.246</v>
      </c>
      <c r="AC720" s="295">
        <v>0</v>
      </c>
      <c r="AD720" s="62" t="s">
        <v>2215</v>
      </c>
      <c r="AE720" s="291"/>
      <c r="AF720" s="65"/>
      <c r="AG720" s="291">
        <v>3778.52</v>
      </c>
      <c r="AH720" s="65">
        <f t="shared" si="123"/>
        <v>34000</v>
      </c>
      <c r="AI720" s="242"/>
      <c r="AJ720" s="242"/>
      <c r="AK720" s="291"/>
      <c r="AL720" s="40">
        <f t="shared" si="119"/>
        <v>34000</v>
      </c>
      <c r="AM720" s="242">
        <f t="shared" si="127"/>
        <v>45504</v>
      </c>
      <c r="AN720" s="242" t="str">
        <f>IF(AQ720="x","",IF(AQ720="x",AM720,IF(EOMONTH(I720,0)=31,"",EOMONTH(I720,0))))</f>
        <v/>
      </c>
      <c r="AO720" s="79">
        <f>IFERROR(IF(VLOOKUP(C720,C721:C1321,1,0)=0,1,0),1)</f>
        <v>0</v>
      </c>
      <c r="AP720" s="79"/>
      <c r="AQ720" s="243" t="str">
        <f t="shared" si="124"/>
        <v/>
      </c>
      <c r="AR720" s="242" t="b">
        <f>IF(AQ720="x",EOMONTH(I720,0))</f>
        <v>0</v>
      </c>
      <c r="AS720" s="79">
        <f t="shared" si="120"/>
        <v>1</v>
      </c>
      <c r="AT720" s="79">
        <f t="shared" si="121"/>
        <v>1</v>
      </c>
      <c r="AU720" s="79" t="str">
        <f t="shared" si="122"/>
        <v>B</v>
      </c>
      <c r="AV720" s="79">
        <f t="shared" si="125"/>
        <v>1</v>
      </c>
      <c r="AW720" s="79" t="str">
        <f>J720&amp;AU720</f>
        <v>INTEGRALB</v>
      </c>
      <c r="AX720" s="79">
        <f>IF(COUNTIFS(J:J,"Integral",E:E,E720,H:H,"Ativo")=4,1/4,1/10)</f>
        <v>0.1</v>
      </c>
      <c r="AY720" s="79" t="s">
        <v>2133</v>
      </c>
      <c r="AZ720" s="74" t="b">
        <v>1</v>
      </c>
    </row>
    <row r="721" spans="1:52" ht="15.75" customHeight="1">
      <c r="A721" s="54">
        <v>750</v>
      </c>
      <c r="B721" s="405">
        <v>45501</v>
      </c>
      <c r="C721" s="32" t="s">
        <v>2211</v>
      </c>
      <c r="D721" s="32" t="s">
        <v>2222</v>
      </c>
      <c r="E721" s="32" t="s">
        <v>2213</v>
      </c>
      <c r="F721" s="32" t="s">
        <v>2223</v>
      </c>
      <c r="G721" s="60" t="s">
        <v>220</v>
      </c>
      <c r="H721" s="33" t="s">
        <v>90</v>
      </c>
      <c r="I721" s="34"/>
      <c r="J721" s="33" t="s">
        <v>1701</v>
      </c>
      <c r="K721" s="56" t="s">
        <v>1755</v>
      </c>
      <c r="L721" s="56" t="s">
        <v>1755</v>
      </c>
      <c r="M721" s="386" t="s">
        <v>1755</v>
      </c>
      <c r="N721" s="33" t="s">
        <v>73</v>
      </c>
      <c r="O721" s="33" t="s">
        <v>11</v>
      </c>
      <c r="P721" s="33" t="s">
        <v>85</v>
      </c>
      <c r="Q721" s="47"/>
      <c r="R721" s="47"/>
      <c r="S721" s="45" t="s">
        <v>160</v>
      </c>
      <c r="T721" s="45"/>
      <c r="U721" s="37">
        <v>45499</v>
      </c>
      <c r="V721" s="38">
        <f t="shared" si="126"/>
        <v>45501</v>
      </c>
      <c r="W721" s="50">
        <f>V721-U721</f>
        <v>2</v>
      </c>
      <c r="X721" s="294">
        <v>314729.01</v>
      </c>
      <c r="Y721" s="260">
        <v>318500</v>
      </c>
      <c r="Z721" s="260">
        <v>284500</v>
      </c>
      <c r="AA721" s="35"/>
      <c r="AB721" s="43">
        <v>0.246</v>
      </c>
      <c r="AC721" s="295">
        <v>0</v>
      </c>
      <c r="AD721" s="62" t="s">
        <v>2215</v>
      </c>
      <c r="AE721" s="291"/>
      <c r="AF721" s="65"/>
      <c r="AG721" s="291">
        <v>3778.52</v>
      </c>
      <c r="AH721" s="65">
        <f t="shared" si="123"/>
        <v>34000</v>
      </c>
      <c r="AI721" s="242"/>
      <c r="AJ721" s="242"/>
      <c r="AK721" s="291"/>
      <c r="AL721" s="40">
        <f t="shared" si="119"/>
        <v>34000</v>
      </c>
      <c r="AM721" s="242">
        <f t="shared" si="127"/>
        <v>45504</v>
      </c>
      <c r="AN721" s="242" t="str">
        <f>IF(AQ721="x","",IF(AQ721="x",AM721,IF(EOMONTH(I721,0)=31,"",EOMONTH(I721,0))))</f>
        <v/>
      </c>
      <c r="AO721" s="79">
        <f>IFERROR(IF(VLOOKUP(C721,C722:C1322,1,0)=0,1,0),1)</f>
        <v>0</v>
      </c>
      <c r="AP721" s="79"/>
      <c r="AQ721" s="243" t="str">
        <f t="shared" si="124"/>
        <v/>
      </c>
      <c r="AR721" s="242" t="b">
        <f>IF(AQ721="x",EOMONTH(I721,0))</f>
        <v>0</v>
      </c>
      <c r="AS721" s="79">
        <f t="shared" si="120"/>
        <v>1</v>
      </c>
      <c r="AT721" s="79">
        <f t="shared" si="121"/>
        <v>1</v>
      </c>
      <c r="AU721" s="79" t="str">
        <f t="shared" si="122"/>
        <v>B</v>
      </c>
      <c r="AV721" s="79">
        <f t="shared" si="125"/>
        <v>1</v>
      </c>
      <c r="AW721" s="79" t="str">
        <f>J721&amp;AU721</f>
        <v>INTEGRALB</v>
      </c>
      <c r="AX721" s="79">
        <f>IF(COUNTIFS(J:J,"Integral",E:E,E721,H:H,"Ativo")=4,1/4,1/10)</f>
        <v>0.1</v>
      </c>
      <c r="AY721" s="79" t="s">
        <v>2133</v>
      </c>
      <c r="AZ721" s="79" t="b">
        <v>1</v>
      </c>
    </row>
    <row r="722" spans="1:52" ht="15.75" customHeight="1">
      <c r="A722" s="54">
        <v>751</v>
      </c>
      <c r="B722" s="405">
        <v>45501</v>
      </c>
      <c r="C722" s="32" t="s">
        <v>2211</v>
      </c>
      <c r="D722" s="32" t="s">
        <v>2224</v>
      </c>
      <c r="E722" s="32" t="s">
        <v>2213</v>
      </c>
      <c r="F722" s="32" t="s">
        <v>2225</v>
      </c>
      <c r="G722" s="60" t="s">
        <v>220</v>
      </c>
      <c r="H722" s="33" t="s">
        <v>90</v>
      </c>
      <c r="I722" s="34"/>
      <c r="J722" s="33" t="s">
        <v>1701</v>
      </c>
      <c r="K722" s="56" t="s">
        <v>1755</v>
      </c>
      <c r="L722" s="56" t="s">
        <v>1755</v>
      </c>
      <c r="M722" s="386" t="s">
        <v>1755</v>
      </c>
      <c r="N722" s="33" t="s">
        <v>73</v>
      </c>
      <c r="O722" s="33" t="s">
        <v>11</v>
      </c>
      <c r="P722" s="33" t="s">
        <v>85</v>
      </c>
      <c r="Q722" s="47"/>
      <c r="R722" s="47"/>
      <c r="S722" s="45" t="s">
        <v>160</v>
      </c>
      <c r="T722" s="45"/>
      <c r="U722" s="37">
        <v>45499</v>
      </c>
      <c r="V722" s="38">
        <f t="shared" si="126"/>
        <v>45501</v>
      </c>
      <c r="W722" s="50">
        <f>V722-U722</f>
        <v>2</v>
      </c>
      <c r="X722" s="294">
        <v>314729.01</v>
      </c>
      <c r="Y722" s="260">
        <v>318500</v>
      </c>
      <c r="Z722" s="260">
        <v>284500</v>
      </c>
      <c r="AA722" s="35"/>
      <c r="AB722" s="43">
        <v>0.246</v>
      </c>
      <c r="AC722" s="295">
        <v>0</v>
      </c>
      <c r="AD722" s="62" t="s">
        <v>2215</v>
      </c>
      <c r="AE722" s="291"/>
      <c r="AF722" s="65"/>
      <c r="AG722" s="291">
        <v>3778.52</v>
      </c>
      <c r="AH722" s="65">
        <f t="shared" si="123"/>
        <v>34000</v>
      </c>
      <c r="AI722" s="242"/>
      <c r="AJ722" s="242"/>
      <c r="AK722" s="291"/>
      <c r="AL722" s="40">
        <f t="shared" si="119"/>
        <v>34000</v>
      </c>
      <c r="AM722" s="242">
        <f t="shared" si="127"/>
        <v>45504</v>
      </c>
      <c r="AN722" s="242" t="str">
        <f>IF(AQ722="x","",IF(AQ722="x",AM722,IF(EOMONTH(I722,0)=31,"",EOMONTH(I722,0))))</f>
        <v/>
      </c>
      <c r="AO722" s="79">
        <f>IFERROR(IF(VLOOKUP(C722,C723:C1323,1,0)=0,1,0),1)</f>
        <v>0</v>
      </c>
      <c r="AP722" s="79"/>
      <c r="AQ722" s="243" t="str">
        <f t="shared" si="124"/>
        <v/>
      </c>
      <c r="AR722" s="242" t="b">
        <f>IF(AQ722="x",EOMONTH(I722,0))</f>
        <v>0</v>
      </c>
      <c r="AS722" s="79">
        <f t="shared" si="120"/>
        <v>1</v>
      </c>
      <c r="AT722" s="79">
        <f t="shared" si="121"/>
        <v>1</v>
      </c>
      <c r="AU722" s="79" t="str">
        <f t="shared" si="122"/>
        <v>B</v>
      </c>
      <c r="AV722" s="79">
        <f t="shared" si="125"/>
        <v>1</v>
      </c>
      <c r="AW722" s="79" t="str">
        <f>J722&amp;AU722</f>
        <v>INTEGRALB</v>
      </c>
      <c r="AX722" s="79">
        <f>IF(COUNTIFS(J:J,"Integral",E:E,E722,H:H,"Ativo")=4,1/4,1/10)</f>
        <v>0.1</v>
      </c>
      <c r="AY722" s="79" t="s">
        <v>2133</v>
      </c>
      <c r="AZ722" s="74" t="b">
        <v>1</v>
      </c>
    </row>
    <row r="723" spans="1:52" ht="15.75" customHeight="1">
      <c r="A723" s="54">
        <v>752</v>
      </c>
      <c r="B723" s="405">
        <v>45501</v>
      </c>
      <c r="C723" s="32" t="s">
        <v>2211</v>
      </c>
      <c r="D723" s="32" t="s">
        <v>2226</v>
      </c>
      <c r="E723" s="32" t="s">
        <v>2213</v>
      </c>
      <c r="F723" s="32" t="s">
        <v>2227</v>
      </c>
      <c r="G723" s="60" t="s">
        <v>220</v>
      </c>
      <c r="H723" s="33" t="s">
        <v>90</v>
      </c>
      <c r="I723" s="34"/>
      <c r="J723" s="33" t="s">
        <v>1701</v>
      </c>
      <c r="K723" s="56" t="s">
        <v>1755</v>
      </c>
      <c r="L723" s="56" t="s">
        <v>1755</v>
      </c>
      <c r="M723" s="386" t="s">
        <v>1755</v>
      </c>
      <c r="N723" s="33" t="s">
        <v>73</v>
      </c>
      <c r="O723" s="33" t="s">
        <v>11</v>
      </c>
      <c r="P723" s="33" t="s">
        <v>85</v>
      </c>
      <c r="Q723" s="47"/>
      <c r="R723" s="47"/>
      <c r="S723" s="45" t="s">
        <v>160</v>
      </c>
      <c r="T723" s="45"/>
      <c r="U723" s="37">
        <v>45499</v>
      </c>
      <c r="V723" s="38">
        <f t="shared" si="126"/>
        <v>45501</v>
      </c>
      <c r="W723" s="50">
        <f>V723-U723</f>
        <v>2</v>
      </c>
      <c r="X723" s="294">
        <v>314729.01</v>
      </c>
      <c r="Y723" s="260">
        <v>318500</v>
      </c>
      <c r="Z723" s="260">
        <v>284500</v>
      </c>
      <c r="AA723" s="35"/>
      <c r="AB723" s="43">
        <v>0.246</v>
      </c>
      <c r="AC723" s="295">
        <v>0</v>
      </c>
      <c r="AD723" s="62" t="s">
        <v>2215</v>
      </c>
      <c r="AE723" s="291"/>
      <c r="AF723" s="65"/>
      <c r="AG723" s="291">
        <v>3778.52</v>
      </c>
      <c r="AH723" s="65">
        <f t="shared" si="123"/>
        <v>34000</v>
      </c>
      <c r="AI723" s="242"/>
      <c r="AJ723" s="242"/>
      <c r="AK723" s="291"/>
      <c r="AL723" s="40">
        <f t="shared" si="119"/>
        <v>34000</v>
      </c>
      <c r="AM723" s="242">
        <f t="shared" si="127"/>
        <v>45504</v>
      </c>
      <c r="AN723" s="242" t="str">
        <f>IF(AQ723="x","",IF(AQ723="x",AM723,IF(EOMONTH(I723,0)=31,"",EOMONTH(I723,0))))</f>
        <v/>
      </c>
      <c r="AO723" s="79">
        <f>IFERROR(IF(VLOOKUP(C723,C724:C1324,1,0)=0,1,0),1)</f>
        <v>0</v>
      </c>
      <c r="AP723" s="79"/>
      <c r="AQ723" s="243" t="str">
        <f t="shared" si="124"/>
        <v/>
      </c>
      <c r="AR723" s="242" t="b">
        <f>IF(AQ723="x",EOMONTH(I723,0))</f>
        <v>0</v>
      </c>
      <c r="AS723" s="79">
        <f t="shared" si="120"/>
        <v>1</v>
      </c>
      <c r="AT723" s="79">
        <f t="shared" si="121"/>
        <v>1</v>
      </c>
      <c r="AU723" s="79" t="str">
        <f t="shared" si="122"/>
        <v>B</v>
      </c>
      <c r="AV723" s="79">
        <f t="shared" si="125"/>
        <v>1</v>
      </c>
      <c r="AW723" s="79" t="str">
        <f>J723&amp;AU723</f>
        <v>INTEGRALB</v>
      </c>
      <c r="AX723" s="79">
        <f>IF(COUNTIFS(J:J,"Integral",E:E,E723,H:H,"Ativo")=4,1/4,1/10)</f>
        <v>0.1</v>
      </c>
      <c r="AY723" s="79" t="s">
        <v>2133</v>
      </c>
      <c r="AZ723" s="74" t="b">
        <v>1</v>
      </c>
    </row>
    <row r="724" spans="1:52" ht="15.75" customHeight="1">
      <c r="A724" s="54">
        <v>753</v>
      </c>
      <c r="B724" s="405">
        <v>45501</v>
      </c>
      <c r="C724" s="32" t="s">
        <v>2211</v>
      </c>
      <c r="D724" s="32" t="s">
        <v>2228</v>
      </c>
      <c r="E724" s="32" t="s">
        <v>2213</v>
      </c>
      <c r="F724" s="32" t="s">
        <v>2229</v>
      </c>
      <c r="G724" s="60" t="s">
        <v>220</v>
      </c>
      <c r="H724" s="33" t="s">
        <v>90</v>
      </c>
      <c r="I724" s="34"/>
      <c r="J724" s="33" t="s">
        <v>1701</v>
      </c>
      <c r="K724" s="56" t="s">
        <v>1755</v>
      </c>
      <c r="L724" s="56" t="s">
        <v>1755</v>
      </c>
      <c r="M724" s="386" t="s">
        <v>1755</v>
      </c>
      <c r="N724" s="33" t="s">
        <v>73</v>
      </c>
      <c r="O724" s="33" t="s">
        <v>11</v>
      </c>
      <c r="P724" s="33" t="s">
        <v>85</v>
      </c>
      <c r="Q724" s="47"/>
      <c r="R724" s="47"/>
      <c r="S724" s="45" t="s">
        <v>160</v>
      </c>
      <c r="T724" s="45"/>
      <c r="U724" s="46">
        <v>45499</v>
      </c>
      <c r="V724" s="38">
        <f t="shared" si="126"/>
        <v>45501</v>
      </c>
      <c r="W724" s="50">
        <f>V724-U724</f>
        <v>2</v>
      </c>
      <c r="X724" s="294">
        <v>314729.01</v>
      </c>
      <c r="Y724" s="260">
        <v>318500</v>
      </c>
      <c r="Z724" s="260">
        <v>284500</v>
      </c>
      <c r="AA724" s="35"/>
      <c r="AB724" s="43">
        <v>0.246</v>
      </c>
      <c r="AC724" s="295">
        <v>0</v>
      </c>
      <c r="AD724" s="62" t="s">
        <v>2215</v>
      </c>
      <c r="AE724" s="291"/>
      <c r="AF724" s="65"/>
      <c r="AG724" s="291">
        <v>3778.52</v>
      </c>
      <c r="AH724" s="65">
        <f t="shared" si="123"/>
        <v>34000</v>
      </c>
      <c r="AI724" s="242"/>
      <c r="AJ724" s="242"/>
      <c r="AK724" s="291"/>
      <c r="AL724" s="40">
        <f t="shared" ref="AL724:AL787" si="128">AH724-AK724</f>
        <v>34000</v>
      </c>
      <c r="AM724" s="242">
        <f t="shared" si="127"/>
        <v>45504</v>
      </c>
      <c r="AN724" s="242" t="str">
        <f>IF(AQ724="x","",IF(AQ724="x",AM724,IF(EOMONTH(I724,0)=31,"",EOMONTH(I724,0))))</f>
        <v/>
      </c>
      <c r="AO724" s="79">
        <f>IFERROR(IF(VLOOKUP(C724,C725:C1325,1,0)=0,1,0),1)</f>
        <v>0</v>
      </c>
      <c r="AP724" s="79"/>
      <c r="AQ724" s="243" t="str">
        <f t="shared" si="124"/>
        <v/>
      </c>
      <c r="AR724" s="242" t="b">
        <f>IF(AQ724="x",EOMONTH(I724,0))</f>
        <v>0</v>
      </c>
      <c r="AS724" s="79">
        <f t="shared" si="120"/>
        <v>1</v>
      </c>
      <c r="AT724" s="79">
        <f t="shared" si="121"/>
        <v>1</v>
      </c>
      <c r="AU724" s="79" t="str">
        <f t="shared" si="122"/>
        <v>B</v>
      </c>
      <c r="AV724" s="79">
        <f t="shared" si="125"/>
        <v>1</v>
      </c>
      <c r="AW724" s="79" t="str">
        <f>J724&amp;AU724</f>
        <v>INTEGRALB</v>
      </c>
      <c r="AX724" s="79">
        <f>IF(COUNTIFS(J:J,"Integral",E:E,E724,H:H,"Ativo")=4,1/4,1/10)</f>
        <v>0.1</v>
      </c>
      <c r="AY724" s="79" t="s">
        <v>2133</v>
      </c>
      <c r="AZ724" s="79" t="b">
        <v>1</v>
      </c>
    </row>
    <row r="725" spans="1:52" ht="15.75" customHeight="1">
      <c r="A725" s="54">
        <v>754</v>
      </c>
      <c r="B725" s="405">
        <v>45501</v>
      </c>
      <c r="C725" s="32" t="s">
        <v>2211</v>
      </c>
      <c r="D725" s="32" t="s">
        <v>2230</v>
      </c>
      <c r="E725" s="32" t="s">
        <v>2213</v>
      </c>
      <c r="F725" s="32" t="s">
        <v>2231</v>
      </c>
      <c r="G725" s="60" t="s">
        <v>220</v>
      </c>
      <c r="H725" s="33" t="s">
        <v>90</v>
      </c>
      <c r="I725" s="34"/>
      <c r="J725" s="33" t="s">
        <v>1701</v>
      </c>
      <c r="K725" s="56" t="s">
        <v>1755</v>
      </c>
      <c r="L725" s="56" t="s">
        <v>1755</v>
      </c>
      <c r="M725" s="386" t="s">
        <v>1755</v>
      </c>
      <c r="N725" s="33" t="s">
        <v>73</v>
      </c>
      <c r="O725" s="33" t="s">
        <v>11</v>
      </c>
      <c r="P725" s="33" t="s">
        <v>85</v>
      </c>
      <c r="Q725" s="47"/>
      <c r="R725" s="47"/>
      <c r="S725" s="45" t="s">
        <v>160</v>
      </c>
      <c r="T725" s="45"/>
      <c r="U725" s="46">
        <v>45499</v>
      </c>
      <c r="V725" s="38">
        <f t="shared" si="126"/>
        <v>45501</v>
      </c>
      <c r="W725" s="50">
        <f>V725-U725</f>
        <v>2</v>
      </c>
      <c r="X725" s="294">
        <v>314729.01</v>
      </c>
      <c r="Y725" s="260">
        <v>318500</v>
      </c>
      <c r="Z725" s="260">
        <v>284500</v>
      </c>
      <c r="AA725" s="35"/>
      <c r="AB725" s="43">
        <v>0.246</v>
      </c>
      <c r="AC725" s="295">
        <v>0</v>
      </c>
      <c r="AD725" s="62" t="s">
        <v>2215</v>
      </c>
      <c r="AE725" s="291"/>
      <c r="AF725" s="65"/>
      <c r="AG725" s="291">
        <v>3778.53</v>
      </c>
      <c r="AH725" s="65">
        <f t="shared" si="123"/>
        <v>34000</v>
      </c>
      <c r="AI725" s="242"/>
      <c r="AJ725" s="242"/>
      <c r="AK725" s="291"/>
      <c r="AL725" s="40">
        <f t="shared" si="128"/>
        <v>34000</v>
      </c>
      <c r="AM725" s="242">
        <f t="shared" si="127"/>
        <v>45504</v>
      </c>
      <c r="AN725" s="242" t="str">
        <f>IF(AQ725="x","",IF(AQ725="x",AM725,IF(EOMONTH(I725,0)=31,"",EOMONTH(I725,0))))</f>
        <v/>
      </c>
      <c r="AO725" s="79">
        <f>IFERROR(IF(VLOOKUP(C725,C726:C1326,1,0)=0,1,0),1)</f>
        <v>0</v>
      </c>
      <c r="AP725" s="79"/>
      <c r="AQ725" s="243" t="str">
        <f t="shared" si="124"/>
        <v/>
      </c>
      <c r="AR725" s="242" t="b">
        <f>IF(AQ725="x",EOMONTH(I725,0))</f>
        <v>0</v>
      </c>
      <c r="AS725" s="79">
        <f t="shared" si="120"/>
        <v>1</v>
      </c>
      <c r="AT725" s="79">
        <f t="shared" si="121"/>
        <v>1</v>
      </c>
      <c r="AU725" s="79" t="str">
        <f t="shared" si="122"/>
        <v>B</v>
      </c>
      <c r="AV725" s="79">
        <f t="shared" si="125"/>
        <v>1</v>
      </c>
      <c r="AW725" s="79" t="str">
        <f>J725&amp;AU725</f>
        <v>INTEGRALB</v>
      </c>
      <c r="AX725" s="79">
        <f>IF(COUNTIFS(J:J,"Integral",E:E,E725,H:H,"Ativo")=4,1/4,1/10)</f>
        <v>0.1</v>
      </c>
      <c r="AY725" s="79" t="s">
        <v>2133</v>
      </c>
      <c r="AZ725" s="79" t="b">
        <v>1</v>
      </c>
    </row>
    <row r="726" spans="1:52" ht="15.75" customHeight="1">
      <c r="A726" s="54">
        <v>755</v>
      </c>
      <c r="B726" s="405">
        <v>45501</v>
      </c>
      <c r="C726" s="32" t="s">
        <v>2211</v>
      </c>
      <c r="D726" s="32" t="s">
        <v>2232</v>
      </c>
      <c r="E726" s="32" t="s">
        <v>2213</v>
      </c>
      <c r="F726" s="32" t="s">
        <v>2233</v>
      </c>
      <c r="G726" s="60" t="s">
        <v>220</v>
      </c>
      <c r="H726" s="33" t="s">
        <v>90</v>
      </c>
      <c r="I726" s="34"/>
      <c r="J726" s="33" t="s">
        <v>1701</v>
      </c>
      <c r="K726" s="56" t="s">
        <v>1755</v>
      </c>
      <c r="L726" s="56" t="s">
        <v>1755</v>
      </c>
      <c r="M726" s="386" t="s">
        <v>1755</v>
      </c>
      <c r="N726" s="33" t="s">
        <v>73</v>
      </c>
      <c r="O726" s="33" t="s">
        <v>11</v>
      </c>
      <c r="P726" s="33" t="s">
        <v>85</v>
      </c>
      <c r="Q726" s="47"/>
      <c r="R726" s="47"/>
      <c r="S726" s="45" t="s">
        <v>160</v>
      </c>
      <c r="T726" s="45"/>
      <c r="U726" s="46">
        <v>45499</v>
      </c>
      <c r="V726" s="38">
        <f t="shared" si="126"/>
        <v>45501</v>
      </c>
      <c r="W726" s="50">
        <f>V726-U726</f>
        <v>2</v>
      </c>
      <c r="X726" s="294">
        <v>314729.01</v>
      </c>
      <c r="Y726" s="260">
        <v>318500</v>
      </c>
      <c r="Z726" s="260">
        <v>284500</v>
      </c>
      <c r="AA726" s="35"/>
      <c r="AB726" s="43">
        <v>0.246</v>
      </c>
      <c r="AC726" s="295">
        <v>0</v>
      </c>
      <c r="AD726" s="62" t="s">
        <v>2215</v>
      </c>
      <c r="AE726" s="291"/>
      <c r="AF726" s="65"/>
      <c r="AG726" s="291">
        <v>3778.53</v>
      </c>
      <c r="AH726" s="65">
        <f t="shared" si="123"/>
        <v>34000</v>
      </c>
      <c r="AI726" s="242"/>
      <c r="AJ726" s="242"/>
      <c r="AK726" s="291"/>
      <c r="AL726" s="40">
        <f t="shared" si="128"/>
        <v>34000</v>
      </c>
      <c r="AM726" s="242">
        <f t="shared" si="127"/>
        <v>45504</v>
      </c>
      <c r="AN726" s="242" t="str">
        <f>IF(AQ726="x","",IF(AQ726="x",AM726,IF(EOMONTH(I726,0)=31,"",EOMONTH(I726,0))))</f>
        <v/>
      </c>
      <c r="AO726" s="350">
        <v>1</v>
      </c>
      <c r="AP726" s="350"/>
      <c r="AQ726" s="243" t="str">
        <f t="shared" si="124"/>
        <v/>
      </c>
      <c r="AR726" s="242" t="b">
        <f>IF(AQ726="x",EOMONTH(I726,0))</f>
        <v>0</v>
      </c>
      <c r="AS726" s="79">
        <f t="shared" si="120"/>
        <v>1</v>
      </c>
      <c r="AT726" s="79">
        <f t="shared" si="121"/>
        <v>1</v>
      </c>
      <c r="AU726" s="79" t="str">
        <f t="shared" si="122"/>
        <v>B</v>
      </c>
      <c r="AV726" s="79">
        <f t="shared" si="125"/>
        <v>1</v>
      </c>
      <c r="AW726" s="79" t="str">
        <f>J726&amp;AU726</f>
        <v>INTEGRALB</v>
      </c>
      <c r="AX726" s="79">
        <f>IF(COUNTIFS(J:J,"Integral",E:E,E726,H:H,"Ativo")=4,1/4,1/10)</f>
        <v>0.1</v>
      </c>
      <c r="AY726" s="79" t="s">
        <v>2133</v>
      </c>
      <c r="AZ726" s="79" t="b">
        <v>1</v>
      </c>
    </row>
    <row r="727" spans="1:52" ht="15.75" customHeight="1">
      <c r="A727" s="54">
        <v>756</v>
      </c>
      <c r="B727" s="405">
        <v>45502</v>
      </c>
      <c r="C727" s="32" t="s">
        <v>978</v>
      </c>
      <c r="D727" s="32" t="s">
        <v>2234</v>
      </c>
      <c r="E727" s="32" t="s">
        <v>1928</v>
      </c>
      <c r="F727" s="32" t="s">
        <v>2235</v>
      </c>
      <c r="G727" s="60" t="s">
        <v>220</v>
      </c>
      <c r="H727" s="33" t="s">
        <v>90</v>
      </c>
      <c r="I727" s="34"/>
      <c r="J727" s="33">
        <v>6</v>
      </c>
      <c r="K727" s="56" t="s">
        <v>981</v>
      </c>
      <c r="L727" s="56" t="s">
        <v>981</v>
      </c>
      <c r="M727" s="386" t="s">
        <v>1026</v>
      </c>
      <c r="N727" s="33" t="s">
        <v>68</v>
      </c>
      <c r="O727" s="33" t="s">
        <v>11</v>
      </c>
      <c r="P727" s="33" t="s">
        <v>86</v>
      </c>
      <c r="Q727" s="47" t="s">
        <v>97</v>
      </c>
      <c r="R727" s="47"/>
      <c r="S727" s="45" t="s">
        <v>147</v>
      </c>
      <c r="T727" s="45"/>
      <c r="U727" s="37">
        <v>45023</v>
      </c>
      <c r="V727" s="38">
        <f t="shared" si="126"/>
        <v>45502</v>
      </c>
      <c r="W727" s="50">
        <f>V727-U727</f>
        <v>479</v>
      </c>
      <c r="X727" s="294">
        <v>385796.85</v>
      </c>
      <c r="Y727" s="260">
        <v>391000</v>
      </c>
      <c r="Z727" s="260">
        <v>334666.09999999998</v>
      </c>
      <c r="AA727" s="35"/>
      <c r="AB727" s="43">
        <v>0.1633</v>
      </c>
      <c r="AC727" s="295">
        <v>0</v>
      </c>
      <c r="AD727" s="62" t="s">
        <v>2236</v>
      </c>
      <c r="AE727" s="291"/>
      <c r="AF727" s="65"/>
      <c r="AG727" s="291"/>
      <c r="AH727" s="65">
        <f t="shared" si="123"/>
        <v>56333.900000000023</v>
      </c>
      <c r="AI727" s="242"/>
      <c r="AJ727" s="242"/>
      <c r="AK727" s="291">
        <v>19576.03</v>
      </c>
      <c r="AL727" s="40">
        <f t="shared" si="128"/>
        <v>36757.870000000024</v>
      </c>
      <c r="AM727" s="242">
        <f t="shared" si="127"/>
        <v>45504</v>
      </c>
      <c r="AN727" s="242" t="str">
        <f>IF(AQ727="x","",IF(AQ727="x",AM727,IF(EOMONTH(I727,0)=31,"",EOMONTH(I727,0))))</f>
        <v/>
      </c>
      <c r="AO727" s="79">
        <f>IFERROR(IF(VLOOKUP(C727,C728:C1328,1,0)=0,1,0),1)</f>
        <v>0</v>
      </c>
      <c r="AP727" s="79"/>
      <c r="AQ727" s="243" t="str">
        <f t="shared" si="124"/>
        <v/>
      </c>
      <c r="AR727" s="242" t="b">
        <f>IF(AQ727="x",EOMONTH(I727,0))</f>
        <v>0</v>
      </c>
      <c r="AS727" s="79">
        <f t="shared" si="120"/>
        <v>1</v>
      </c>
      <c r="AT727" s="79">
        <f t="shared" si="121"/>
        <v>1</v>
      </c>
      <c r="AU727" s="79" t="str">
        <f t="shared" si="122"/>
        <v>B</v>
      </c>
      <c r="AV727" s="79">
        <f t="shared" si="125"/>
        <v>1</v>
      </c>
      <c r="AW727" s="79" t="str">
        <f>J727&amp;AU727</f>
        <v>6B</v>
      </c>
      <c r="AX727" s="79">
        <f>IF(COUNTIFS(J:J,"Integral",E:E,E727,H:H,"Ativo")=4,1/4,1/10)</f>
        <v>0.1</v>
      </c>
      <c r="AY727" s="79" t="s">
        <v>2133</v>
      </c>
      <c r="AZ727" s="79" t="b">
        <v>1</v>
      </c>
    </row>
    <row r="728" spans="1:52" ht="15.75" customHeight="1">
      <c r="A728" s="54">
        <v>757</v>
      </c>
      <c r="B728" s="405">
        <v>45502</v>
      </c>
      <c r="C728" s="32" t="s">
        <v>978</v>
      </c>
      <c r="D728" s="32" t="s">
        <v>2237</v>
      </c>
      <c r="E728" s="32" t="s">
        <v>1928</v>
      </c>
      <c r="F728" s="32" t="s">
        <v>2238</v>
      </c>
      <c r="G728" s="60" t="s">
        <v>220</v>
      </c>
      <c r="H728" s="33" t="s">
        <v>90</v>
      </c>
      <c r="I728" s="34"/>
      <c r="J728" s="33">
        <v>6</v>
      </c>
      <c r="K728" s="56" t="s">
        <v>981</v>
      </c>
      <c r="L728" s="56" t="s">
        <v>981</v>
      </c>
      <c r="M728" s="386" t="s">
        <v>1026</v>
      </c>
      <c r="N728" s="33" t="s">
        <v>68</v>
      </c>
      <c r="O728" s="33" t="s">
        <v>11</v>
      </c>
      <c r="P728" s="33" t="s">
        <v>86</v>
      </c>
      <c r="Q728" s="47" t="s">
        <v>97</v>
      </c>
      <c r="R728" s="47"/>
      <c r="S728" s="45" t="s">
        <v>147</v>
      </c>
      <c r="T728" s="45"/>
      <c r="U728" s="37">
        <v>45023</v>
      </c>
      <c r="V728" s="38">
        <f t="shared" si="126"/>
        <v>45502</v>
      </c>
      <c r="W728" s="50">
        <f>V728-U728</f>
        <v>479</v>
      </c>
      <c r="X728" s="294">
        <v>385796.85</v>
      </c>
      <c r="Y728" s="260">
        <v>391000</v>
      </c>
      <c r="Z728" s="260">
        <v>334666.08</v>
      </c>
      <c r="AA728" s="35"/>
      <c r="AB728" s="43">
        <v>0.1633</v>
      </c>
      <c r="AC728" s="295">
        <v>0</v>
      </c>
      <c r="AD728" s="62" t="s">
        <v>2236</v>
      </c>
      <c r="AE728" s="291"/>
      <c r="AF728" s="65"/>
      <c r="AG728" s="291"/>
      <c r="AH728" s="65">
        <f t="shared" si="123"/>
        <v>56333.919999999984</v>
      </c>
      <c r="AI728" s="242"/>
      <c r="AJ728" s="242"/>
      <c r="AK728" s="291">
        <v>19576.03</v>
      </c>
      <c r="AL728" s="40">
        <f t="shared" si="128"/>
        <v>36757.889999999985</v>
      </c>
      <c r="AM728" s="242">
        <f t="shared" si="127"/>
        <v>45504</v>
      </c>
      <c r="AN728" s="242" t="str">
        <f>IF(AQ728="x","",IF(AQ728="x",AM728,IF(EOMONTH(I728,0)=31,"",EOMONTH(I728,0))))</f>
        <v/>
      </c>
      <c r="AO728" s="79">
        <f>IFERROR(IF(VLOOKUP(C728,C729:C1329,1,0)=0,1,0),1)</f>
        <v>0</v>
      </c>
      <c r="AP728" s="79"/>
      <c r="AQ728" s="243" t="str">
        <f t="shared" si="124"/>
        <v/>
      </c>
      <c r="AR728" s="242" t="b">
        <f>IF(AQ728="x",EOMONTH(I728,0))</f>
        <v>0</v>
      </c>
      <c r="AS728" s="79">
        <f t="shared" si="120"/>
        <v>1</v>
      </c>
      <c r="AT728" s="79">
        <f t="shared" si="121"/>
        <v>1</v>
      </c>
      <c r="AU728" s="79" t="str">
        <f t="shared" si="122"/>
        <v>B</v>
      </c>
      <c r="AV728" s="79">
        <f t="shared" si="125"/>
        <v>1</v>
      </c>
      <c r="AW728" s="79" t="str">
        <f>J728&amp;AU728</f>
        <v>6B</v>
      </c>
      <c r="AX728" s="79">
        <f>IF(COUNTIFS(J:J,"Integral",E:E,E728,H:H,"Ativo")=4,1/4,1/10)</f>
        <v>0.1</v>
      </c>
      <c r="AY728" s="79" t="s">
        <v>2133</v>
      </c>
      <c r="AZ728" s="79" t="b">
        <v>1</v>
      </c>
    </row>
    <row r="729" spans="1:52" ht="15.75" customHeight="1">
      <c r="A729" s="54">
        <v>758</v>
      </c>
      <c r="B729" s="405">
        <v>45502</v>
      </c>
      <c r="C729" s="32" t="s">
        <v>978</v>
      </c>
      <c r="D729" s="32" t="s">
        <v>2239</v>
      </c>
      <c r="E729" s="32" t="s">
        <v>1928</v>
      </c>
      <c r="F729" s="32" t="s">
        <v>2240</v>
      </c>
      <c r="G729" s="60" t="s">
        <v>220</v>
      </c>
      <c r="H729" s="33" t="s">
        <v>90</v>
      </c>
      <c r="I729" s="34"/>
      <c r="J729" s="33">
        <v>6</v>
      </c>
      <c r="K729" s="56" t="s">
        <v>981</v>
      </c>
      <c r="L729" s="56" t="s">
        <v>981</v>
      </c>
      <c r="M729" s="386" t="s">
        <v>1026</v>
      </c>
      <c r="N729" s="33" t="s">
        <v>68</v>
      </c>
      <c r="O729" s="33" t="s">
        <v>11</v>
      </c>
      <c r="P729" s="33" t="s">
        <v>86</v>
      </c>
      <c r="Q729" s="47" t="s">
        <v>97</v>
      </c>
      <c r="R729" s="47"/>
      <c r="S729" s="45" t="s">
        <v>147</v>
      </c>
      <c r="T729" s="45"/>
      <c r="U729" s="37">
        <v>45023</v>
      </c>
      <c r="V729" s="38">
        <f t="shared" si="126"/>
        <v>45502</v>
      </c>
      <c r="W729" s="50">
        <f>V729-U729</f>
        <v>479</v>
      </c>
      <c r="X729" s="294">
        <v>385796.85</v>
      </c>
      <c r="Y729" s="260">
        <v>391000</v>
      </c>
      <c r="Z729" s="260">
        <v>334666.08</v>
      </c>
      <c r="AA729" s="35"/>
      <c r="AB729" s="43">
        <v>0.1633</v>
      </c>
      <c r="AC729" s="295">
        <v>0</v>
      </c>
      <c r="AD729" s="62" t="s">
        <v>2236</v>
      </c>
      <c r="AE729" s="291"/>
      <c r="AF729" s="65"/>
      <c r="AG729" s="291"/>
      <c r="AH729" s="65">
        <f t="shared" si="123"/>
        <v>56333.919999999984</v>
      </c>
      <c r="AI729" s="242"/>
      <c r="AJ729" s="242"/>
      <c r="AK729" s="291">
        <v>19576.03</v>
      </c>
      <c r="AL729" s="40">
        <f t="shared" si="128"/>
        <v>36757.889999999985</v>
      </c>
      <c r="AM729" s="242">
        <f t="shared" si="127"/>
        <v>45504</v>
      </c>
      <c r="AN729" s="242" t="str">
        <f>IF(AQ729="x","",IF(AQ729="x",AM729,IF(EOMONTH(I729,0)=31,"",EOMONTH(I729,0))))</f>
        <v/>
      </c>
      <c r="AO729" s="79">
        <f>IFERROR(IF(VLOOKUP(C729,C730:C1330,1,0)=0,1,0),1)</f>
        <v>1</v>
      </c>
      <c r="AP729" s="79"/>
      <c r="AQ729" s="243" t="str">
        <f t="shared" si="124"/>
        <v/>
      </c>
      <c r="AR729" s="242" t="b">
        <f>IF(AQ729="x",EOMONTH(I729,0))</f>
        <v>0</v>
      </c>
      <c r="AS729" s="79">
        <f t="shared" si="120"/>
        <v>1</v>
      </c>
      <c r="AT729" s="79">
        <f t="shared" si="121"/>
        <v>1</v>
      </c>
      <c r="AU729" s="79" t="str">
        <f t="shared" si="122"/>
        <v>B</v>
      </c>
      <c r="AV729" s="79">
        <f t="shared" si="125"/>
        <v>1</v>
      </c>
      <c r="AW729" s="79" t="str">
        <f>J729&amp;AU729</f>
        <v>6B</v>
      </c>
      <c r="AX729" s="79">
        <f>IF(COUNTIFS(J:J,"Integral",E:E,E729,H:H,"Ativo")=4,1/4,1/10)</f>
        <v>0.1</v>
      </c>
      <c r="AY729" s="79" t="s">
        <v>2133</v>
      </c>
      <c r="AZ729" s="79" t="b">
        <v>1</v>
      </c>
    </row>
    <row r="730" spans="1:52" ht="15.75" customHeight="1">
      <c r="A730" s="54">
        <v>759</v>
      </c>
      <c r="B730" s="405">
        <v>45502</v>
      </c>
      <c r="C730" s="32" t="s">
        <v>2241</v>
      </c>
      <c r="D730" s="32" t="s">
        <v>2242</v>
      </c>
      <c r="E730" s="32" t="s">
        <v>1442</v>
      </c>
      <c r="F730" s="32" t="s">
        <v>2243</v>
      </c>
      <c r="G730" s="60" t="s">
        <v>220</v>
      </c>
      <c r="H730" s="33" t="s">
        <v>90</v>
      </c>
      <c r="I730" s="34"/>
      <c r="J730" s="33">
        <v>4</v>
      </c>
      <c r="K730" s="35" t="s">
        <v>1101</v>
      </c>
      <c r="L730" s="35" t="s">
        <v>1101</v>
      </c>
      <c r="M730" s="386" t="s">
        <v>1026</v>
      </c>
      <c r="N730" s="33" t="s">
        <v>68</v>
      </c>
      <c r="O730" s="33" t="s">
        <v>12</v>
      </c>
      <c r="P730" s="33" t="s">
        <v>2</v>
      </c>
      <c r="Q730" s="47"/>
      <c r="R730" s="47"/>
      <c r="S730" s="45" t="s">
        <v>145</v>
      </c>
      <c r="T730" s="45"/>
      <c r="U730" s="37">
        <v>45481</v>
      </c>
      <c r="V730" s="38">
        <f t="shared" si="126"/>
        <v>45502</v>
      </c>
      <c r="W730" s="50">
        <f>V730-U730</f>
        <v>21</v>
      </c>
      <c r="X730" s="294">
        <v>370568.03</v>
      </c>
      <c r="Y730" s="260">
        <v>383000</v>
      </c>
      <c r="Z730" s="260">
        <v>382600</v>
      </c>
      <c r="AA730" s="35"/>
      <c r="AB730" s="43">
        <v>0.1176</v>
      </c>
      <c r="AC730" s="295">
        <v>0</v>
      </c>
      <c r="AD730" s="62" t="s">
        <v>2244</v>
      </c>
      <c r="AE730" s="291"/>
      <c r="AF730" s="65"/>
      <c r="AG730" s="291">
        <v>8922.9699999999993</v>
      </c>
      <c r="AH730" s="65">
        <f t="shared" si="123"/>
        <v>400</v>
      </c>
      <c r="AI730" s="242"/>
      <c r="AJ730" s="242"/>
      <c r="AK730" s="291"/>
      <c r="AL730" s="40">
        <f t="shared" si="128"/>
        <v>400</v>
      </c>
      <c r="AM730" s="242">
        <f t="shared" si="127"/>
        <v>45504</v>
      </c>
      <c r="AN730" s="242" t="str">
        <f>IF(AQ730="x","",IF(AQ730="x",AM730,IF(EOMONTH(I730,0)=31,"",EOMONTH(I730,0))))</f>
        <v/>
      </c>
      <c r="AO730" s="79">
        <f>IFERROR(IF(VLOOKUP(C730,C731:C1331,1,0)=0,1,0),1)</f>
        <v>1</v>
      </c>
      <c r="AP730" s="79"/>
      <c r="AQ730" s="243" t="str">
        <f t="shared" si="124"/>
        <v/>
      </c>
      <c r="AR730" s="242" t="b">
        <f>IF(AQ730="x",EOMONTH(I730,0))</f>
        <v>0</v>
      </c>
      <c r="AS730" s="79">
        <f t="shared" si="120"/>
        <v>1</v>
      </c>
      <c r="AT730" s="79">
        <f t="shared" si="121"/>
        <v>1</v>
      </c>
      <c r="AU730" s="79" t="str">
        <f t="shared" si="122"/>
        <v>B</v>
      </c>
      <c r="AV730" s="79">
        <f t="shared" si="125"/>
        <v>1</v>
      </c>
      <c r="AW730" s="79" t="str">
        <f>J730&amp;AU730</f>
        <v>4B</v>
      </c>
      <c r="AX730" s="79">
        <f>IF(COUNTIFS(J:J,"Integral",E:E,E730,H:H,"Ativo")=4,1/4,1/10)</f>
        <v>0.1</v>
      </c>
      <c r="AY730" s="79" t="s">
        <v>2133</v>
      </c>
      <c r="AZ730" s="79" t="b">
        <v>1</v>
      </c>
    </row>
    <row r="731" spans="1:52" ht="15.75" customHeight="1">
      <c r="A731" s="54">
        <v>760</v>
      </c>
      <c r="B731" s="405">
        <v>45503</v>
      </c>
      <c r="C731" s="32" t="s">
        <v>2245</v>
      </c>
      <c r="D731" s="32" t="s">
        <v>2246</v>
      </c>
      <c r="E731" s="32" t="s">
        <v>2118</v>
      </c>
      <c r="F731" s="32" t="s">
        <v>2247</v>
      </c>
      <c r="G731" s="60" t="s">
        <v>220</v>
      </c>
      <c r="H731" s="33" t="s">
        <v>90</v>
      </c>
      <c r="I731" s="34"/>
      <c r="J731" s="33">
        <v>6</v>
      </c>
      <c r="K731" s="56" t="s">
        <v>2022</v>
      </c>
      <c r="L731" s="56" t="s">
        <v>2022</v>
      </c>
      <c r="M731" s="386" t="s">
        <v>246</v>
      </c>
      <c r="N731" s="33" t="s">
        <v>68</v>
      </c>
      <c r="O731" s="33" t="s">
        <v>11</v>
      </c>
      <c r="P731" s="33" t="s">
        <v>1</v>
      </c>
      <c r="Q731" s="47"/>
      <c r="R731" s="47"/>
      <c r="S731" s="45" t="s">
        <v>143</v>
      </c>
      <c r="T731" s="45"/>
      <c r="U731" s="37">
        <v>45499</v>
      </c>
      <c r="V731" s="38">
        <f t="shared" si="126"/>
        <v>45503</v>
      </c>
      <c r="W731" s="50">
        <f>V731-U731</f>
        <v>4</v>
      </c>
      <c r="X731" s="294">
        <v>385796.85</v>
      </c>
      <c r="Y731" s="260">
        <v>391000</v>
      </c>
      <c r="Z731" s="260">
        <v>310000</v>
      </c>
      <c r="AA731" s="56" t="s">
        <v>911</v>
      </c>
      <c r="AB731" s="43">
        <v>0.1613</v>
      </c>
      <c r="AC731" s="295">
        <v>0</v>
      </c>
      <c r="AD731" s="62" t="s">
        <v>2248</v>
      </c>
      <c r="AE731" s="291"/>
      <c r="AF731" s="65"/>
      <c r="AG731" s="291"/>
      <c r="AH731" s="65">
        <f t="shared" si="123"/>
        <v>81000</v>
      </c>
      <c r="AI731" s="242"/>
      <c r="AJ731" s="242"/>
      <c r="AK731" s="291">
        <v>17359.37</v>
      </c>
      <c r="AL731" s="40">
        <f t="shared" si="128"/>
        <v>63640.630000000005</v>
      </c>
      <c r="AM731" s="242">
        <f t="shared" si="127"/>
        <v>45504</v>
      </c>
      <c r="AN731" s="242" t="str">
        <f>IF(AQ731="x","",IF(AQ731="x",AM731,IF(EOMONTH(I731,0)=31,"",EOMONTH(I731,0))))</f>
        <v/>
      </c>
      <c r="AO731" s="79">
        <f>IFERROR(IF(VLOOKUP(C731,C732:C1332,1,0)=0,1,0),1)</f>
        <v>0</v>
      </c>
      <c r="AP731" s="79"/>
      <c r="AQ731" s="243" t="str">
        <f t="shared" si="124"/>
        <v/>
      </c>
      <c r="AR731" s="242" t="b">
        <f>IF(AQ731="x",EOMONTH(I731,0))</f>
        <v>0</v>
      </c>
      <c r="AS731" s="79">
        <f t="shared" si="120"/>
        <v>1</v>
      </c>
      <c r="AT731" s="79">
        <f t="shared" si="121"/>
        <v>1</v>
      </c>
      <c r="AU731" s="79" t="str">
        <f t="shared" si="122"/>
        <v>B</v>
      </c>
      <c r="AV731" s="79">
        <f t="shared" si="125"/>
        <v>1</v>
      </c>
      <c r="AW731" s="79" t="str">
        <f>J731&amp;AU731</f>
        <v>6B</v>
      </c>
      <c r="AX731" s="79">
        <f>IF(COUNTIFS(J:J,"Integral",E:E,E731,H:H,"Ativo")=4,1/4,1/10)</f>
        <v>0.1</v>
      </c>
      <c r="AY731" s="79" t="s">
        <v>1535</v>
      </c>
      <c r="AZ731" s="79" t="b">
        <v>1</v>
      </c>
    </row>
    <row r="732" spans="1:52" ht="15.75" customHeight="1">
      <c r="A732" s="54">
        <v>761</v>
      </c>
      <c r="B732" s="405">
        <v>45503</v>
      </c>
      <c r="C732" s="32" t="s">
        <v>2245</v>
      </c>
      <c r="D732" s="32" t="s">
        <v>2249</v>
      </c>
      <c r="E732" s="32" t="s">
        <v>2118</v>
      </c>
      <c r="F732" s="32" t="s">
        <v>2250</v>
      </c>
      <c r="G732" s="60" t="s">
        <v>220</v>
      </c>
      <c r="H732" s="33" t="s">
        <v>90</v>
      </c>
      <c r="I732" s="34"/>
      <c r="J732" s="33">
        <v>6</v>
      </c>
      <c r="K732" s="56" t="s">
        <v>1755</v>
      </c>
      <c r="L732" s="56" t="s">
        <v>1755</v>
      </c>
      <c r="M732" s="386" t="s">
        <v>1755</v>
      </c>
      <c r="N732" s="33" t="s">
        <v>73</v>
      </c>
      <c r="O732" s="33" t="s">
        <v>11</v>
      </c>
      <c r="P732" s="33" t="s">
        <v>1</v>
      </c>
      <c r="Q732" s="47"/>
      <c r="R732" s="47"/>
      <c r="S732" s="45" t="s">
        <v>143</v>
      </c>
      <c r="T732" s="45"/>
      <c r="U732" s="37">
        <v>45499</v>
      </c>
      <c r="V732" s="38">
        <f t="shared" si="126"/>
        <v>45503</v>
      </c>
      <c r="W732" s="50">
        <f>V732-U732</f>
        <v>4</v>
      </c>
      <c r="X732" s="294">
        <v>385796.85</v>
      </c>
      <c r="Y732" s="260">
        <v>391000</v>
      </c>
      <c r="Z732" s="260">
        <v>310000</v>
      </c>
      <c r="AA732" s="56" t="s">
        <v>911</v>
      </c>
      <c r="AB732" s="43">
        <v>0.1613</v>
      </c>
      <c r="AC732" s="295">
        <v>0</v>
      </c>
      <c r="AD732" s="62" t="s">
        <v>2248</v>
      </c>
      <c r="AE732" s="291"/>
      <c r="AF732" s="65"/>
      <c r="AG732" s="291"/>
      <c r="AH732" s="65">
        <f t="shared" si="123"/>
        <v>81000</v>
      </c>
      <c r="AI732" s="242"/>
      <c r="AJ732" s="242"/>
      <c r="AK732" s="291">
        <v>17359.37</v>
      </c>
      <c r="AL732" s="40">
        <f t="shared" si="128"/>
        <v>63640.630000000005</v>
      </c>
      <c r="AM732" s="242">
        <f t="shared" si="127"/>
        <v>45504</v>
      </c>
      <c r="AN732" s="242" t="str">
        <f>IF(AQ732="x","",IF(AQ732="x",AM732,IF(EOMONTH(I732,0)=31,"",EOMONTH(I732,0))))</f>
        <v/>
      </c>
      <c r="AO732" s="79">
        <f>IFERROR(IF(VLOOKUP(C732,C733:C1333,1,0)=0,1,0),1)</f>
        <v>1</v>
      </c>
      <c r="AP732" s="79"/>
      <c r="AQ732" s="243" t="str">
        <f t="shared" si="124"/>
        <v/>
      </c>
      <c r="AR732" s="242" t="b">
        <f>IF(AQ732="x",EOMONTH(I732,0))</f>
        <v>0</v>
      </c>
      <c r="AS732" s="79">
        <f t="shared" si="120"/>
        <v>1</v>
      </c>
      <c r="AT732" s="79">
        <f t="shared" si="121"/>
        <v>1</v>
      </c>
      <c r="AU732" s="79" t="str">
        <f t="shared" si="122"/>
        <v>B</v>
      </c>
      <c r="AV732" s="79">
        <f t="shared" si="125"/>
        <v>1</v>
      </c>
      <c r="AW732" s="79" t="str">
        <f>J732&amp;AU732</f>
        <v>6B</v>
      </c>
      <c r="AX732" s="79">
        <f>IF(COUNTIFS(J:J,"Integral",E:E,E732,H:H,"Ativo")=4,1/4,1/10)</f>
        <v>0.1</v>
      </c>
      <c r="AY732" s="79" t="s">
        <v>1535</v>
      </c>
      <c r="AZ732" s="79" t="b">
        <v>1</v>
      </c>
    </row>
    <row r="733" spans="1:52" ht="15.75" customHeight="1">
      <c r="A733" s="54">
        <v>762</v>
      </c>
      <c r="B733" s="405">
        <v>45504</v>
      </c>
      <c r="C733" s="32" t="s">
        <v>2251</v>
      </c>
      <c r="D733" s="32" t="s">
        <v>2252</v>
      </c>
      <c r="E733" s="32" t="s">
        <v>2183</v>
      </c>
      <c r="F733" s="32" t="s">
        <v>2253</v>
      </c>
      <c r="G733" s="60" t="s">
        <v>220</v>
      </c>
      <c r="H733" s="33" t="s">
        <v>90</v>
      </c>
      <c r="I733" s="34"/>
      <c r="J733" s="33">
        <v>6</v>
      </c>
      <c r="K733" s="56" t="s">
        <v>1149</v>
      </c>
      <c r="L733" s="56" t="s">
        <v>1149</v>
      </c>
      <c r="M733" s="386" t="s">
        <v>1026</v>
      </c>
      <c r="N733" s="33" t="s">
        <v>68</v>
      </c>
      <c r="O733" s="33" t="s">
        <v>12</v>
      </c>
      <c r="P733" s="33" t="s">
        <v>2</v>
      </c>
      <c r="Q733" s="47"/>
      <c r="R733" s="47"/>
      <c r="S733" s="45" t="s">
        <v>143</v>
      </c>
      <c r="T733" s="45"/>
      <c r="U733" s="37">
        <v>45487</v>
      </c>
      <c r="V733" s="38">
        <f t="shared" si="126"/>
        <v>45504</v>
      </c>
      <c r="W733" s="50">
        <f>V733-U733</f>
        <v>17</v>
      </c>
      <c r="X733" s="294">
        <v>385796.85</v>
      </c>
      <c r="Y733" s="260">
        <v>391000</v>
      </c>
      <c r="Z733" s="260">
        <v>391000</v>
      </c>
      <c r="AA733" s="56"/>
      <c r="AB733" s="43">
        <v>0.20200000000000001</v>
      </c>
      <c r="AC733" s="295">
        <v>0</v>
      </c>
      <c r="AD733" s="62" t="s">
        <v>2254</v>
      </c>
      <c r="AE733" s="291"/>
      <c r="AF733" s="65"/>
      <c r="AG733" s="291"/>
      <c r="AH733" s="65">
        <f t="shared" si="123"/>
        <v>0</v>
      </c>
      <c r="AI733" s="242"/>
      <c r="AJ733" s="242"/>
      <c r="AK733" s="291">
        <v>1937.6</v>
      </c>
      <c r="AL733" s="40">
        <f t="shared" si="128"/>
        <v>-1937.6</v>
      </c>
      <c r="AM733" s="242">
        <f t="shared" si="127"/>
        <v>45504</v>
      </c>
      <c r="AN733" s="242" t="str">
        <f>IF(AQ733="x","",IF(AQ733="x",AM733,IF(EOMONTH(I733,0)=31,"",EOMONTH(I733,0))))</f>
        <v/>
      </c>
      <c r="AO733" s="79">
        <f>IFERROR(IF(VLOOKUP(C733,C734:C1334,1,0)=0,1,0),1)</f>
        <v>0</v>
      </c>
      <c r="AP733" s="79"/>
      <c r="AQ733" s="243" t="str">
        <f t="shared" si="124"/>
        <v/>
      </c>
      <c r="AR733" s="242" t="b">
        <f>IF(AQ733="x",EOMONTH(I733,0))</f>
        <v>0</v>
      </c>
      <c r="AS733" s="79">
        <f t="shared" si="120"/>
        <v>1</v>
      </c>
      <c r="AT733" s="79">
        <f t="shared" si="121"/>
        <v>0</v>
      </c>
      <c r="AU733" s="79" t="str">
        <f t="shared" si="122"/>
        <v>B</v>
      </c>
      <c r="AV733" s="79">
        <f t="shared" si="125"/>
        <v>1</v>
      </c>
      <c r="AW733" s="79" t="str">
        <f>J733&amp;AU733</f>
        <v>6B</v>
      </c>
      <c r="AX733" s="79">
        <f>IF(COUNTIFS(J:J,"Integral",E:E,E733,H:H,"Ativo")=4,1/4,1/10)</f>
        <v>0.1</v>
      </c>
      <c r="AY733" s="79" t="s">
        <v>1535</v>
      </c>
      <c r="AZ733" s="79" t="b">
        <v>1</v>
      </c>
    </row>
    <row r="734" spans="1:52" ht="15.75" customHeight="1">
      <c r="A734" s="54">
        <v>763</v>
      </c>
      <c r="B734" s="405">
        <v>45504</v>
      </c>
      <c r="C734" s="32" t="s">
        <v>2251</v>
      </c>
      <c r="D734" s="32" t="s">
        <v>2255</v>
      </c>
      <c r="E734" s="32" t="s">
        <v>2183</v>
      </c>
      <c r="F734" s="32" t="s">
        <v>2256</v>
      </c>
      <c r="G734" s="60" t="s">
        <v>220</v>
      </c>
      <c r="H734" s="33" t="s">
        <v>90</v>
      </c>
      <c r="I734" s="34"/>
      <c r="J734" s="33">
        <v>6</v>
      </c>
      <c r="K734" s="56" t="s">
        <v>1149</v>
      </c>
      <c r="L734" s="56" t="s">
        <v>1149</v>
      </c>
      <c r="M734" s="386" t="s">
        <v>1026</v>
      </c>
      <c r="N734" s="33" t="s">
        <v>68</v>
      </c>
      <c r="O734" s="33" t="s">
        <v>12</v>
      </c>
      <c r="P734" s="33" t="s">
        <v>2</v>
      </c>
      <c r="Q734" s="47"/>
      <c r="R734" s="47"/>
      <c r="S734" s="45" t="s">
        <v>143</v>
      </c>
      <c r="T734" s="45"/>
      <c r="U734" s="37">
        <v>45487</v>
      </c>
      <c r="V734" s="38">
        <f t="shared" si="126"/>
        <v>45504</v>
      </c>
      <c r="W734" s="50">
        <f>V734-U734</f>
        <v>17</v>
      </c>
      <c r="X734" s="294">
        <v>385796.85</v>
      </c>
      <c r="Y734" s="260">
        <v>391000</v>
      </c>
      <c r="Z734" s="260">
        <v>391000</v>
      </c>
      <c r="AA734" s="56"/>
      <c r="AB734" s="43">
        <v>0.20200000000000001</v>
      </c>
      <c r="AC734" s="295">
        <v>0</v>
      </c>
      <c r="AD734" s="62" t="s">
        <v>2254</v>
      </c>
      <c r="AE734" s="291"/>
      <c r="AF734" s="65"/>
      <c r="AG734" s="291"/>
      <c r="AH734" s="65">
        <f t="shared" si="123"/>
        <v>0</v>
      </c>
      <c r="AI734" s="242"/>
      <c r="AJ734" s="242"/>
      <c r="AK734" s="291">
        <v>1937.6</v>
      </c>
      <c r="AL734" s="40">
        <f t="shared" si="128"/>
        <v>-1937.6</v>
      </c>
      <c r="AM734" s="242">
        <f t="shared" si="127"/>
        <v>45504</v>
      </c>
      <c r="AN734" s="242" t="str">
        <f>IF(AQ734="x","",IF(AQ734="x",AM734,IF(EOMONTH(I734,0)=31,"",EOMONTH(I734,0))))</f>
        <v/>
      </c>
      <c r="AO734" s="79">
        <f>IFERROR(IF(VLOOKUP(C734,C735:C1335,1,0)=0,1,0),1)</f>
        <v>1</v>
      </c>
      <c r="AP734" s="79"/>
      <c r="AQ734" s="243" t="str">
        <f t="shared" si="124"/>
        <v/>
      </c>
      <c r="AR734" s="242" t="b">
        <f>IF(AQ734="x",EOMONTH(I734,0))</f>
        <v>0</v>
      </c>
      <c r="AS734" s="79">
        <f t="shared" si="120"/>
        <v>1</v>
      </c>
      <c r="AT734" s="79">
        <f t="shared" si="121"/>
        <v>0</v>
      </c>
      <c r="AU734" s="79" t="str">
        <f t="shared" si="122"/>
        <v>B</v>
      </c>
      <c r="AV734" s="79">
        <f t="shared" si="125"/>
        <v>1</v>
      </c>
      <c r="AW734" s="79" t="str">
        <f>J734&amp;AU734</f>
        <v>6B</v>
      </c>
      <c r="AX734" s="79">
        <f>IF(COUNTIFS(J:J,"Integral",E:E,E734,H:H,"Ativo")=4,1/4,1/10)</f>
        <v>0.1</v>
      </c>
      <c r="AY734" s="79" t="s">
        <v>1535</v>
      </c>
      <c r="AZ734" s="79" t="b">
        <v>1</v>
      </c>
    </row>
    <row r="735" spans="1:52" ht="15.75" customHeight="1">
      <c r="A735" s="54">
        <v>764</v>
      </c>
      <c r="B735" s="405">
        <v>45506</v>
      </c>
      <c r="C735" s="32" t="s">
        <v>2257</v>
      </c>
      <c r="D735" s="32" t="s">
        <v>1894</v>
      </c>
      <c r="E735" s="32" t="s">
        <v>1873</v>
      </c>
      <c r="F735" s="32" t="s">
        <v>2258</v>
      </c>
      <c r="G735" s="60" t="s">
        <v>220</v>
      </c>
      <c r="H735" s="33" t="s">
        <v>337</v>
      </c>
      <c r="I735" s="34">
        <v>45530</v>
      </c>
      <c r="J735" s="33">
        <v>6</v>
      </c>
      <c r="K735" s="56" t="s">
        <v>1154</v>
      </c>
      <c r="L735" s="56" t="s">
        <v>1154</v>
      </c>
      <c r="M735" s="386" t="s">
        <v>246</v>
      </c>
      <c r="N735" s="33" t="s">
        <v>68</v>
      </c>
      <c r="O735" s="33" t="s">
        <v>11</v>
      </c>
      <c r="P735" s="33" t="s">
        <v>1</v>
      </c>
      <c r="Q735" s="47"/>
      <c r="R735" s="47"/>
      <c r="S735" s="45" t="s">
        <v>145</v>
      </c>
      <c r="T735" s="45"/>
      <c r="U735" s="37">
        <v>45489</v>
      </c>
      <c r="V735" s="38">
        <f t="shared" si="126"/>
        <v>45506</v>
      </c>
      <c r="W735" s="50">
        <f>V735-U735</f>
        <v>17</v>
      </c>
      <c r="X735" s="294">
        <v>388458.85</v>
      </c>
      <c r="Y735" s="260">
        <v>396000</v>
      </c>
      <c r="Z735" s="260">
        <v>350000</v>
      </c>
      <c r="AA735" s="56"/>
      <c r="AB735" s="43">
        <v>0.2286</v>
      </c>
      <c r="AC735" s="295">
        <v>0</v>
      </c>
      <c r="AD735" s="62" t="s">
        <v>2259</v>
      </c>
      <c r="AE735" s="291"/>
      <c r="AF735" s="65"/>
      <c r="AG735" s="291">
        <v>3505.72</v>
      </c>
      <c r="AH735" s="65">
        <f t="shared" si="123"/>
        <v>46000</v>
      </c>
      <c r="AI735" s="242"/>
      <c r="AJ735" s="242"/>
      <c r="AK735" s="291"/>
      <c r="AL735" s="40">
        <f t="shared" si="128"/>
        <v>46000</v>
      </c>
      <c r="AM735" s="242">
        <f t="shared" si="127"/>
        <v>45535</v>
      </c>
      <c r="AN735" s="242">
        <f>IF(AQ735="x","",IF(AQ735="x",AM735,IF(EOMONTH(I735,0)=31,"",EOMONTH(I735,0))))</f>
        <v>45535</v>
      </c>
      <c r="AO735" s="79">
        <f>IFERROR(IF(VLOOKUP(C735,C736:C1336,1,0)=0,1,0),1)</f>
        <v>0</v>
      </c>
      <c r="AP735" s="79"/>
      <c r="AQ735" s="243" t="str">
        <f t="shared" si="124"/>
        <v/>
      </c>
      <c r="AR735" s="242" t="b">
        <f>IF(AQ735="x",EOMONTH(I735,0))</f>
        <v>0</v>
      </c>
      <c r="AS735" s="79">
        <f t="shared" si="120"/>
        <v>1</v>
      </c>
      <c r="AT735" s="79">
        <f t="shared" si="121"/>
        <v>1</v>
      </c>
      <c r="AU735" s="79" t="str">
        <f t="shared" si="122"/>
        <v>B</v>
      </c>
      <c r="AV735" s="79">
        <f t="shared" si="125"/>
        <v>1</v>
      </c>
      <c r="AW735" s="79" t="str">
        <f>J735&amp;AU735</f>
        <v>6B</v>
      </c>
      <c r="AX735" s="79">
        <f>IF(COUNTIFS(J:J,"Integral",E:E,E735,H:H,"Ativo")=4,1/4,1/10)</f>
        <v>0.1</v>
      </c>
      <c r="AY735" s="79" t="s">
        <v>2133</v>
      </c>
      <c r="AZ735" s="79" t="b">
        <v>1</v>
      </c>
    </row>
    <row r="736" spans="1:52" ht="15.75" customHeight="1">
      <c r="A736" s="54">
        <v>765</v>
      </c>
      <c r="B736" s="405">
        <v>45506</v>
      </c>
      <c r="C736" s="32" t="s">
        <v>2257</v>
      </c>
      <c r="D736" s="32" t="s">
        <v>2260</v>
      </c>
      <c r="E736" s="32" t="s">
        <v>949</v>
      </c>
      <c r="F736" s="32" t="s">
        <v>2261</v>
      </c>
      <c r="G736" s="60" t="s">
        <v>220</v>
      </c>
      <c r="H736" s="33" t="s">
        <v>337</v>
      </c>
      <c r="I736" s="34">
        <v>45530</v>
      </c>
      <c r="J736" s="33">
        <v>6</v>
      </c>
      <c r="K736" s="56" t="s">
        <v>1154</v>
      </c>
      <c r="L736" s="56" t="s">
        <v>1154</v>
      </c>
      <c r="M736" s="386" t="s">
        <v>246</v>
      </c>
      <c r="N736" s="33" t="s">
        <v>68</v>
      </c>
      <c r="O736" s="33" t="s">
        <v>11</v>
      </c>
      <c r="P736" s="33" t="s">
        <v>1</v>
      </c>
      <c r="Q736" s="47"/>
      <c r="R736" s="47"/>
      <c r="S736" s="45" t="s">
        <v>145</v>
      </c>
      <c r="T736" s="45"/>
      <c r="U736" s="37">
        <v>45489</v>
      </c>
      <c r="V736" s="38">
        <f t="shared" si="126"/>
        <v>45506</v>
      </c>
      <c r="W736" s="50">
        <f>V736-U736</f>
        <v>17</v>
      </c>
      <c r="X736" s="294">
        <v>388458.85</v>
      </c>
      <c r="Y736" s="260">
        <v>396000</v>
      </c>
      <c r="Z736" s="260">
        <v>350000</v>
      </c>
      <c r="AA736" s="56"/>
      <c r="AB736" s="43">
        <v>0.2286</v>
      </c>
      <c r="AC736" s="295">
        <v>0</v>
      </c>
      <c r="AD736" s="62" t="s">
        <v>2259</v>
      </c>
      <c r="AE736" s="291"/>
      <c r="AF736" s="65"/>
      <c r="AG736" s="291">
        <v>3505.72</v>
      </c>
      <c r="AH736" s="65">
        <f t="shared" si="123"/>
        <v>46000</v>
      </c>
      <c r="AI736" s="242"/>
      <c r="AJ736" s="242"/>
      <c r="AK736" s="291"/>
      <c r="AL736" s="40">
        <f t="shared" si="128"/>
        <v>46000</v>
      </c>
      <c r="AM736" s="242">
        <f t="shared" si="127"/>
        <v>45535</v>
      </c>
      <c r="AN736" s="242">
        <f>IF(AQ736="x","",IF(AQ736="x",AM736,IF(EOMONTH(I736,0)=31,"",EOMONTH(I736,0))))</f>
        <v>45535</v>
      </c>
      <c r="AO736" s="79">
        <f>IFERROR(IF(VLOOKUP(C736,C737:C1337,1,0)=0,1,0),1)</f>
        <v>1</v>
      </c>
      <c r="AP736" s="79"/>
      <c r="AQ736" s="243" t="str">
        <f t="shared" si="124"/>
        <v/>
      </c>
      <c r="AR736" s="242" t="b">
        <f>IF(AQ736="x",EOMONTH(I736,0))</f>
        <v>0</v>
      </c>
      <c r="AS736" s="79">
        <f t="shared" si="120"/>
        <v>1</v>
      </c>
      <c r="AT736" s="79">
        <f t="shared" si="121"/>
        <v>1</v>
      </c>
      <c r="AU736" s="79" t="str">
        <f t="shared" si="122"/>
        <v>B</v>
      </c>
      <c r="AV736" s="79">
        <f t="shared" si="125"/>
        <v>1</v>
      </c>
      <c r="AW736" s="79" t="str">
        <f>J736&amp;AU736</f>
        <v>6B</v>
      </c>
      <c r="AX736" s="79">
        <f>IF(COUNTIFS(J:J,"Integral",E:E,E736,H:H,"Ativo")=4,1/4,1/10)</f>
        <v>0.1</v>
      </c>
      <c r="AY736" s="79" t="s">
        <v>2133</v>
      </c>
      <c r="AZ736" s="79" t="b">
        <v>1</v>
      </c>
    </row>
    <row r="737" spans="1:52" ht="15.75" customHeight="1">
      <c r="A737" s="54">
        <v>766</v>
      </c>
      <c r="B737" s="405">
        <v>45513</v>
      </c>
      <c r="C737" s="32" t="s">
        <v>2262</v>
      </c>
      <c r="D737" s="32" t="s">
        <v>2263</v>
      </c>
      <c r="E737" s="32" t="s">
        <v>419</v>
      </c>
      <c r="F737" s="32" t="s">
        <v>2264</v>
      </c>
      <c r="G737" s="60" t="s">
        <v>220</v>
      </c>
      <c r="H737" s="33" t="s">
        <v>90</v>
      </c>
      <c r="I737" s="34"/>
      <c r="J737" s="33">
        <v>6</v>
      </c>
      <c r="K737" s="56" t="s">
        <v>2022</v>
      </c>
      <c r="L737" s="56" t="s">
        <v>2022</v>
      </c>
      <c r="M737" s="386" t="s">
        <v>246</v>
      </c>
      <c r="N737" s="33" t="s">
        <v>68</v>
      </c>
      <c r="O737" s="33" t="s">
        <v>12</v>
      </c>
      <c r="P737" s="33" t="s">
        <v>1</v>
      </c>
      <c r="Q737" s="47"/>
      <c r="R737" s="47"/>
      <c r="S737" s="45" t="s">
        <v>145</v>
      </c>
      <c r="T737" s="45"/>
      <c r="U737" s="37">
        <v>45502</v>
      </c>
      <c r="V737" s="38">
        <f t="shared" si="126"/>
        <v>45513</v>
      </c>
      <c r="W737" s="50">
        <f>V737-U737</f>
        <v>11</v>
      </c>
      <c r="X737" s="294">
        <v>388458.85</v>
      </c>
      <c r="Y737" s="260">
        <v>399000</v>
      </c>
      <c r="Z737" s="260">
        <v>399000</v>
      </c>
      <c r="AA737" s="35"/>
      <c r="AB737" s="43">
        <v>0.2</v>
      </c>
      <c r="AC737" s="295">
        <v>0</v>
      </c>
      <c r="AD737" s="62">
        <v>0</v>
      </c>
      <c r="AE737" s="291"/>
      <c r="AF737" s="65"/>
      <c r="AG737" s="291">
        <v>8512.3799999999992</v>
      </c>
      <c r="AH737" s="65">
        <f t="shared" si="123"/>
        <v>0</v>
      </c>
      <c r="AI737" s="242"/>
      <c r="AJ737" s="242"/>
      <c r="AK737" s="291"/>
      <c r="AL737" s="40">
        <f t="shared" si="128"/>
        <v>0</v>
      </c>
      <c r="AM737" s="242">
        <f t="shared" si="127"/>
        <v>45535</v>
      </c>
      <c r="AN737" s="242" t="str">
        <f>IF(AQ737="x","",IF(AQ737="x",AM737,IF(EOMONTH(I737,0)=31,"",EOMONTH(I737,0))))</f>
        <v/>
      </c>
      <c r="AO737" s="79">
        <f>IFERROR(IF(VLOOKUP(C737,C738:C1338,1,0)=0,1,0),1)</f>
        <v>0</v>
      </c>
      <c r="AP737" s="79"/>
      <c r="AQ737" s="243" t="str">
        <f t="shared" si="124"/>
        <v/>
      </c>
      <c r="AR737" s="242" t="b">
        <f>IF(AQ737="x",EOMONTH(I737,0))</f>
        <v>0</v>
      </c>
      <c r="AS737" s="79">
        <f t="shared" si="120"/>
        <v>1</v>
      </c>
      <c r="AT737" s="79">
        <f t="shared" si="121"/>
        <v>1</v>
      </c>
      <c r="AU737" s="79" t="str">
        <f t="shared" si="122"/>
        <v>B</v>
      </c>
      <c r="AV737" s="79">
        <f t="shared" si="125"/>
        <v>1</v>
      </c>
      <c r="AW737" s="79" t="str">
        <f>J737&amp;AU737</f>
        <v>6B</v>
      </c>
      <c r="AX737" s="79">
        <f>IF(COUNTIFS(J:J,"Integral",E:E,E737,H:H,"Ativo")=4,1/4,1/10)</f>
        <v>0.1</v>
      </c>
      <c r="AY737" s="79" t="s">
        <v>1535</v>
      </c>
      <c r="AZ737" s="79" t="b">
        <v>1</v>
      </c>
    </row>
    <row r="738" spans="1:52" ht="15.75" customHeight="1">
      <c r="A738" s="54">
        <v>767</v>
      </c>
      <c r="B738" s="405">
        <v>45513</v>
      </c>
      <c r="C738" s="32" t="s">
        <v>2262</v>
      </c>
      <c r="D738" s="32" t="s">
        <v>2265</v>
      </c>
      <c r="E738" s="32" t="s">
        <v>419</v>
      </c>
      <c r="F738" s="32" t="s">
        <v>2266</v>
      </c>
      <c r="G738" s="60" t="s">
        <v>220</v>
      </c>
      <c r="H738" s="33" t="s">
        <v>90</v>
      </c>
      <c r="I738" s="34"/>
      <c r="J738" s="33">
        <v>6</v>
      </c>
      <c r="K738" s="56" t="s">
        <v>2022</v>
      </c>
      <c r="L738" s="56" t="s">
        <v>2022</v>
      </c>
      <c r="M738" s="386" t="s">
        <v>246</v>
      </c>
      <c r="N738" s="33" t="s">
        <v>68</v>
      </c>
      <c r="O738" s="33" t="s">
        <v>12</v>
      </c>
      <c r="P738" s="33" t="s">
        <v>1</v>
      </c>
      <c r="Q738" s="47"/>
      <c r="R738" s="47"/>
      <c r="S738" s="45" t="s">
        <v>145</v>
      </c>
      <c r="T738" s="45"/>
      <c r="U738" s="37">
        <v>45502</v>
      </c>
      <c r="V738" s="38">
        <f t="shared" si="126"/>
        <v>45513</v>
      </c>
      <c r="W738" s="50">
        <f>V738-U738</f>
        <v>11</v>
      </c>
      <c r="X738" s="294">
        <v>388458.85</v>
      </c>
      <c r="Y738" s="260">
        <v>399000</v>
      </c>
      <c r="Z738" s="260">
        <v>399000</v>
      </c>
      <c r="AA738" s="35"/>
      <c r="AB738" s="43">
        <v>0.2</v>
      </c>
      <c r="AC738" s="295">
        <v>0</v>
      </c>
      <c r="AD738" s="62">
        <v>0</v>
      </c>
      <c r="AE738" s="291"/>
      <c r="AF738" s="65"/>
      <c r="AG738" s="291">
        <v>8512.39</v>
      </c>
      <c r="AH738" s="65">
        <f t="shared" si="123"/>
        <v>0</v>
      </c>
      <c r="AI738" s="242"/>
      <c r="AJ738" s="242"/>
      <c r="AK738" s="291"/>
      <c r="AL738" s="40">
        <f t="shared" si="128"/>
        <v>0</v>
      </c>
      <c r="AM738" s="242">
        <f t="shared" si="127"/>
        <v>45535</v>
      </c>
      <c r="AN738" s="242" t="str">
        <f>IF(AQ738="x","",IF(AQ738="x",AM738,IF(EOMONTH(I738,0)=31,"",EOMONTH(I738,0))))</f>
        <v/>
      </c>
      <c r="AO738" s="79">
        <f>IFERROR(IF(VLOOKUP(C738,C739:C1339,1,0)=0,1,0),1)</f>
        <v>1</v>
      </c>
      <c r="AP738" s="79"/>
      <c r="AQ738" s="243" t="str">
        <f t="shared" si="124"/>
        <v/>
      </c>
      <c r="AR738" s="242" t="b">
        <f>IF(AQ738="x",EOMONTH(I738,0))</f>
        <v>0</v>
      </c>
      <c r="AS738" s="79">
        <f t="shared" si="120"/>
        <v>1</v>
      </c>
      <c r="AT738" s="79">
        <f t="shared" si="121"/>
        <v>1</v>
      </c>
      <c r="AU738" s="79" t="str">
        <f t="shared" si="122"/>
        <v>B</v>
      </c>
      <c r="AV738" s="79">
        <f t="shared" si="125"/>
        <v>1</v>
      </c>
      <c r="AW738" s="79" t="str">
        <f>J738&amp;AU738</f>
        <v>6B</v>
      </c>
      <c r="AX738" s="79">
        <f>IF(COUNTIFS(J:J,"Integral",E:E,E738,H:H,"Ativo")=4,1/4,1/10)</f>
        <v>0.1</v>
      </c>
      <c r="AY738" s="79" t="s">
        <v>1535</v>
      </c>
      <c r="AZ738" s="79" t="b">
        <v>1</v>
      </c>
    </row>
    <row r="739" spans="1:52" ht="15.75" customHeight="1">
      <c r="A739" s="54">
        <v>768</v>
      </c>
      <c r="B739" s="405">
        <v>45513</v>
      </c>
      <c r="C739" s="32" t="s">
        <v>1419</v>
      </c>
      <c r="D739" s="32" t="s">
        <v>1944</v>
      </c>
      <c r="E739" s="32" t="s">
        <v>1921</v>
      </c>
      <c r="F739" s="32" t="s">
        <v>2267</v>
      </c>
      <c r="G739" s="60" t="s">
        <v>220</v>
      </c>
      <c r="H739" s="33" t="s">
        <v>90</v>
      </c>
      <c r="I739" s="34"/>
      <c r="J739" s="33">
        <v>6</v>
      </c>
      <c r="K739" s="56" t="s">
        <v>1165</v>
      </c>
      <c r="L739" s="56" t="s">
        <v>1165</v>
      </c>
      <c r="M739" s="386" t="s">
        <v>1026</v>
      </c>
      <c r="N739" s="33" t="s">
        <v>68</v>
      </c>
      <c r="O739" s="33" t="s">
        <v>12</v>
      </c>
      <c r="P739" s="33" t="s">
        <v>2</v>
      </c>
      <c r="Q739" s="47" t="s">
        <v>84</v>
      </c>
      <c r="R739" s="47"/>
      <c r="S739" s="45" t="s">
        <v>143</v>
      </c>
      <c r="T739" s="45"/>
      <c r="U739" s="37">
        <v>45182</v>
      </c>
      <c r="V739" s="38">
        <f t="shared" si="126"/>
        <v>45513</v>
      </c>
      <c r="W739" s="50">
        <f>V739-U739</f>
        <v>331</v>
      </c>
      <c r="X739" s="294">
        <v>388458.85</v>
      </c>
      <c r="Y739" s="260">
        <v>396000</v>
      </c>
      <c r="Z739" s="260">
        <v>391287.72</v>
      </c>
      <c r="AA739" s="35"/>
      <c r="AB739" s="43">
        <v>8.2799999999999999E-2</v>
      </c>
      <c r="AC739" s="295">
        <v>0</v>
      </c>
      <c r="AD739" s="62" t="s">
        <v>2268</v>
      </c>
      <c r="AE739" s="291"/>
      <c r="AF739" s="65"/>
      <c r="AG739" s="291"/>
      <c r="AH739" s="65">
        <f t="shared" si="123"/>
        <v>4712.2800000000279</v>
      </c>
      <c r="AI739" s="242"/>
      <c r="AJ739" s="242"/>
      <c r="AK739" s="291">
        <v>10053.76</v>
      </c>
      <c r="AL739" s="40">
        <f t="shared" si="128"/>
        <v>-5341.4799999999723</v>
      </c>
      <c r="AM739" s="242">
        <f t="shared" si="127"/>
        <v>45535</v>
      </c>
      <c r="AN739" s="242" t="str">
        <f>IF(AQ739="x","",IF(AQ739="x",AM739,IF(EOMONTH(I739,0)=31,"",EOMONTH(I739,0))))</f>
        <v/>
      </c>
      <c r="AO739" s="79">
        <f>IFERROR(IF(VLOOKUP(C739,C740:C1340,1,0)=0,1,0),1)</f>
        <v>0</v>
      </c>
      <c r="AP739" s="79"/>
      <c r="AQ739" s="243" t="str">
        <f t="shared" si="124"/>
        <v/>
      </c>
      <c r="AR739" s="242" t="b">
        <f>IF(AQ739="x",EOMONTH(I739,0))</f>
        <v>0</v>
      </c>
      <c r="AS739" s="79">
        <f t="shared" si="120"/>
        <v>1</v>
      </c>
      <c r="AT739" s="79">
        <f t="shared" si="121"/>
        <v>0</v>
      </c>
      <c r="AU739" s="79" t="str">
        <f t="shared" si="122"/>
        <v>B</v>
      </c>
      <c r="AV739" s="79">
        <f t="shared" si="125"/>
        <v>1</v>
      </c>
      <c r="AW739" s="79" t="str">
        <f>J739&amp;AU739</f>
        <v>6B</v>
      </c>
      <c r="AX739" s="79">
        <f>IF(COUNTIFS(J:J,"Integral",E:E,E739,H:H,"Ativo")=4,1/4,1/10)</f>
        <v>0.1</v>
      </c>
      <c r="AY739" s="79" t="s">
        <v>2133</v>
      </c>
      <c r="AZ739" s="79" t="b">
        <v>0</v>
      </c>
    </row>
    <row r="740" spans="1:52" ht="15.75" customHeight="1">
      <c r="A740" s="54">
        <v>769</v>
      </c>
      <c r="B740" s="405">
        <v>45513</v>
      </c>
      <c r="C740" s="32" t="s">
        <v>1419</v>
      </c>
      <c r="D740" s="32" t="s">
        <v>2269</v>
      </c>
      <c r="E740" s="32" t="s">
        <v>1921</v>
      </c>
      <c r="F740" s="32" t="s">
        <v>2270</v>
      </c>
      <c r="G740" s="60" t="s">
        <v>220</v>
      </c>
      <c r="H740" s="33" t="s">
        <v>90</v>
      </c>
      <c r="I740" s="34"/>
      <c r="J740" s="33">
        <v>6</v>
      </c>
      <c r="K740" s="56" t="s">
        <v>1165</v>
      </c>
      <c r="L740" s="56" t="s">
        <v>1165</v>
      </c>
      <c r="M740" s="386" t="s">
        <v>1026</v>
      </c>
      <c r="N740" s="33" t="s">
        <v>68</v>
      </c>
      <c r="O740" s="33" t="s">
        <v>12</v>
      </c>
      <c r="P740" s="33" t="s">
        <v>2</v>
      </c>
      <c r="Q740" s="47" t="s">
        <v>84</v>
      </c>
      <c r="R740" s="47"/>
      <c r="S740" s="45" t="s">
        <v>143</v>
      </c>
      <c r="T740" s="45"/>
      <c r="U740" s="37">
        <v>45182</v>
      </c>
      <c r="V740" s="38">
        <f t="shared" si="126"/>
        <v>45513</v>
      </c>
      <c r="W740" s="50">
        <f>V740-U740</f>
        <v>331</v>
      </c>
      <c r="X740" s="294">
        <v>388458.85</v>
      </c>
      <c r="Y740" s="260">
        <v>396000</v>
      </c>
      <c r="Z740" s="260">
        <v>391287.73</v>
      </c>
      <c r="AA740" s="35"/>
      <c r="AB740" s="43">
        <v>8.2799999999999999E-2</v>
      </c>
      <c r="AC740" s="295">
        <v>0</v>
      </c>
      <c r="AD740" s="62" t="s">
        <v>2268</v>
      </c>
      <c r="AE740" s="291"/>
      <c r="AF740" s="65"/>
      <c r="AG740" s="291"/>
      <c r="AH740" s="65">
        <f t="shared" si="123"/>
        <v>4712.2700000000186</v>
      </c>
      <c r="AI740" s="242"/>
      <c r="AJ740" s="242"/>
      <c r="AK740" s="291">
        <v>10053.77</v>
      </c>
      <c r="AL740" s="40">
        <f t="shared" si="128"/>
        <v>-5341.4999999999818</v>
      </c>
      <c r="AM740" s="242">
        <f t="shared" si="127"/>
        <v>45535</v>
      </c>
      <c r="AN740" s="242" t="str">
        <f>IF(AQ740="x","",IF(AQ740="x",AM740,IF(EOMONTH(I740,0)=31,"",EOMONTH(I740,0))))</f>
        <v/>
      </c>
      <c r="AO740" s="79">
        <f>IFERROR(IF(VLOOKUP(C740,C741:C1341,1,0)=0,1,0),1)</f>
        <v>1</v>
      </c>
      <c r="AP740" s="79"/>
      <c r="AQ740" s="243" t="str">
        <f t="shared" si="124"/>
        <v/>
      </c>
      <c r="AR740" s="242" t="b">
        <f>IF(AQ740="x",EOMONTH(I740,0))</f>
        <v>0</v>
      </c>
      <c r="AS740" s="79">
        <f t="shared" ref="AS740:AS803" si="129">IF(AH740&lt;0,0,1)</f>
        <v>1</v>
      </c>
      <c r="AT740" s="79">
        <f t="shared" ref="AT740:AT803" si="130">IF(AL740&lt;0,0,1)</f>
        <v>0</v>
      </c>
      <c r="AU740" s="79" t="str">
        <f t="shared" ref="AU740:AU803" si="131">MID(E740,1,1)</f>
        <v>B</v>
      </c>
      <c r="AV740" s="79">
        <f t="shared" si="125"/>
        <v>1</v>
      </c>
      <c r="AW740" s="79" t="str">
        <f>J740&amp;AU740</f>
        <v>6B</v>
      </c>
      <c r="AX740" s="79">
        <f>IF(COUNTIFS(J:J,"Integral",E:E,E740,H:H,"Ativo")=4,1/4,1/10)</f>
        <v>0.1</v>
      </c>
      <c r="AY740" s="79" t="s">
        <v>2133</v>
      </c>
      <c r="AZ740" s="79" t="b">
        <v>0</v>
      </c>
    </row>
    <row r="741" spans="1:52" ht="15.75" customHeight="1">
      <c r="A741" s="54">
        <v>770</v>
      </c>
      <c r="B741" s="405">
        <v>45514</v>
      </c>
      <c r="C741" s="32" t="s">
        <v>2271</v>
      </c>
      <c r="D741" s="32" t="s">
        <v>2171</v>
      </c>
      <c r="E741" s="32" t="s">
        <v>2118</v>
      </c>
      <c r="F741" s="32" t="s">
        <v>2272</v>
      </c>
      <c r="G741" s="60" t="s">
        <v>220</v>
      </c>
      <c r="H741" s="33" t="s">
        <v>90</v>
      </c>
      <c r="I741" s="34"/>
      <c r="J741" s="33">
        <v>6</v>
      </c>
      <c r="K741" s="56" t="s">
        <v>1755</v>
      </c>
      <c r="L741" s="56" t="s">
        <v>1755</v>
      </c>
      <c r="M741" s="386" t="s">
        <v>1755</v>
      </c>
      <c r="N741" s="33" t="s">
        <v>73</v>
      </c>
      <c r="O741" s="33" t="s">
        <v>12</v>
      </c>
      <c r="P741" s="33" t="s">
        <v>85</v>
      </c>
      <c r="Q741" s="47"/>
      <c r="R741" s="47"/>
      <c r="S741" s="45" t="s">
        <v>149</v>
      </c>
      <c r="T741" s="45"/>
      <c r="U741" s="37">
        <v>45512</v>
      </c>
      <c r="V741" s="38">
        <f t="shared" si="126"/>
        <v>45514</v>
      </c>
      <c r="W741" s="50">
        <f>V741-U741</f>
        <v>2</v>
      </c>
      <c r="X741" s="294">
        <v>388458.85</v>
      </c>
      <c r="Y741" s="260">
        <v>399000</v>
      </c>
      <c r="Z741" s="260">
        <v>391200</v>
      </c>
      <c r="AA741" s="35"/>
      <c r="AB741" s="43">
        <v>0.20399999999999999</v>
      </c>
      <c r="AC741" s="295">
        <v>0</v>
      </c>
      <c r="AD741" s="62" t="s">
        <v>2273</v>
      </c>
      <c r="AE741" s="291"/>
      <c r="AF741" s="65"/>
      <c r="AG741" s="291"/>
      <c r="AH741" s="65">
        <f t="shared" si="123"/>
        <v>7800</v>
      </c>
      <c r="AI741" s="242"/>
      <c r="AJ741" s="242"/>
      <c r="AK741" s="291">
        <v>868.32</v>
      </c>
      <c r="AL741" s="40">
        <f t="shared" si="128"/>
        <v>6931.68</v>
      </c>
      <c r="AM741" s="242">
        <f t="shared" si="127"/>
        <v>45535</v>
      </c>
      <c r="AN741" s="242" t="str">
        <f>IF(AQ741="x","",IF(AQ741="x",AM741,IF(EOMONTH(I741,0)=31,"",EOMONTH(I741,0))))</f>
        <v/>
      </c>
      <c r="AO741" s="79">
        <f>IFERROR(IF(VLOOKUP(C741,C742:C1342,1,0)=0,1,0),1)</f>
        <v>0</v>
      </c>
      <c r="AP741" s="79"/>
      <c r="AQ741" s="243" t="str">
        <f t="shared" si="124"/>
        <v/>
      </c>
      <c r="AR741" s="242" t="b">
        <f>IF(AQ741="x",EOMONTH(I741,0))</f>
        <v>0</v>
      </c>
      <c r="AS741" s="79">
        <f t="shared" si="129"/>
        <v>1</v>
      </c>
      <c r="AT741" s="79">
        <f t="shared" si="130"/>
        <v>1</v>
      </c>
      <c r="AU741" s="79" t="str">
        <f t="shared" si="131"/>
        <v>B</v>
      </c>
      <c r="AV741" s="79">
        <f t="shared" si="125"/>
        <v>1</v>
      </c>
      <c r="AW741" s="79" t="str">
        <f>J741&amp;AU741</f>
        <v>6B</v>
      </c>
      <c r="AX741" s="79">
        <f>IF(COUNTIFS(J:J,"Integral",E:E,E741,H:H,"Ativo")=4,1/4,1/10)</f>
        <v>0.1</v>
      </c>
      <c r="AY741" s="79" t="s">
        <v>1535</v>
      </c>
      <c r="AZ741" s="79" t="b">
        <v>0</v>
      </c>
    </row>
    <row r="742" spans="1:52" s="301" customFormat="1" ht="15.75" customHeight="1">
      <c r="A742" s="54">
        <v>771</v>
      </c>
      <c r="B742" s="405">
        <v>45514</v>
      </c>
      <c r="C742" s="32" t="s">
        <v>2271</v>
      </c>
      <c r="D742" s="32" t="s">
        <v>2174</v>
      </c>
      <c r="E742" s="32" t="s">
        <v>2118</v>
      </c>
      <c r="F742" s="32" t="s">
        <v>2274</v>
      </c>
      <c r="G742" s="60" t="s">
        <v>220</v>
      </c>
      <c r="H742" s="33" t="s">
        <v>90</v>
      </c>
      <c r="I742" s="34"/>
      <c r="J742" s="33">
        <v>6</v>
      </c>
      <c r="K742" s="56" t="s">
        <v>1755</v>
      </c>
      <c r="L742" s="56" t="s">
        <v>1755</v>
      </c>
      <c r="M742" s="386" t="s">
        <v>1755</v>
      </c>
      <c r="N742" s="33" t="s">
        <v>73</v>
      </c>
      <c r="O742" s="33" t="s">
        <v>12</v>
      </c>
      <c r="P742" s="33" t="s">
        <v>85</v>
      </c>
      <c r="Q742" s="47"/>
      <c r="R742" s="47"/>
      <c r="S742" s="45" t="s">
        <v>149</v>
      </c>
      <c r="T742" s="45"/>
      <c r="U742" s="37">
        <v>45512</v>
      </c>
      <c r="V742" s="38">
        <f t="shared" si="126"/>
        <v>45514</v>
      </c>
      <c r="W742" s="50">
        <f>V742-U742</f>
        <v>2</v>
      </c>
      <c r="X742" s="294">
        <v>388458.85</v>
      </c>
      <c r="Y742" s="260">
        <v>399000</v>
      </c>
      <c r="Z742" s="260">
        <v>391200</v>
      </c>
      <c r="AA742" s="35"/>
      <c r="AB742" s="43">
        <v>0.20399999999999999</v>
      </c>
      <c r="AC742" s="295">
        <v>0</v>
      </c>
      <c r="AD742" s="62" t="s">
        <v>2273</v>
      </c>
      <c r="AE742" s="291"/>
      <c r="AF742" s="65"/>
      <c r="AG742" s="291"/>
      <c r="AH742" s="65">
        <f t="shared" ref="AH742:AH805" si="132">Y742-Z742</f>
        <v>7800</v>
      </c>
      <c r="AI742" s="242"/>
      <c r="AJ742" s="242"/>
      <c r="AK742" s="291">
        <v>868.32</v>
      </c>
      <c r="AL742" s="40">
        <f t="shared" si="128"/>
        <v>6931.68</v>
      </c>
      <c r="AM742" s="242">
        <f t="shared" si="127"/>
        <v>45535</v>
      </c>
      <c r="AN742" s="242" t="str">
        <f>IF(AQ742="x","",IF(AQ742="x",AM742,IF(EOMONTH(I742,0)=31,"",EOMONTH(I742,0))))</f>
        <v/>
      </c>
      <c r="AO742" s="79">
        <f>IFERROR(IF(VLOOKUP(C742,C743:C1343,1,0)=0,1,0),1)</f>
        <v>1</v>
      </c>
      <c r="AP742" s="79"/>
      <c r="AQ742" s="243" t="str">
        <f t="shared" si="124"/>
        <v/>
      </c>
      <c r="AR742" s="242" t="b">
        <f>IF(AQ742="x",EOMONTH(I742,0))</f>
        <v>0</v>
      </c>
      <c r="AS742" s="79">
        <f t="shared" si="129"/>
        <v>1</v>
      </c>
      <c r="AT742" s="79">
        <f t="shared" si="130"/>
        <v>1</v>
      </c>
      <c r="AU742" s="79" t="str">
        <f t="shared" si="131"/>
        <v>B</v>
      </c>
      <c r="AV742" s="79">
        <f t="shared" si="125"/>
        <v>1</v>
      </c>
      <c r="AW742" s="79" t="str">
        <f>J742&amp;AU742</f>
        <v>6B</v>
      </c>
      <c r="AX742" s="79">
        <f>IF(COUNTIFS(J:J,"Integral",E:E,E742,H:H,"Ativo")=4,1/4,1/10)</f>
        <v>0.1</v>
      </c>
      <c r="AY742" s="79" t="s">
        <v>1535</v>
      </c>
      <c r="AZ742" s="79" t="b">
        <v>0</v>
      </c>
    </row>
    <row r="743" spans="1:52" ht="15.75" customHeight="1">
      <c r="A743" s="54">
        <v>772</v>
      </c>
      <c r="B743" s="405">
        <v>45515</v>
      </c>
      <c r="C743" s="32" t="s">
        <v>2275</v>
      </c>
      <c r="D743" s="32" t="s">
        <v>2276</v>
      </c>
      <c r="E743" s="32" t="s">
        <v>1442</v>
      </c>
      <c r="F743" s="32" t="s">
        <v>2277</v>
      </c>
      <c r="G743" s="60" t="s">
        <v>243</v>
      </c>
      <c r="H743" s="33" t="s">
        <v>244</v>
      </c>
      <c r="I743" s="34">
        <v>45519</v>
      </c>
      <c r="J743" s="33">
        <v>4</v>
      </c>
      <c r="K743" s="56" t="s">
        <v>289</v>
      </c>
      <c r="L743" s="56" t="s">
        <v>289</v>
      </c>
      <c r="M743" s="386" t="s">
        <v>246</v>
      </c>
      <c r="N743" s="33" t="s">
        <v>68</v>
      </c>
      <c r="O743" s="33" t="s">
        <v>12</v>
      </c>
      <c r="P743" s="33" t="s">
        <v>1</v>
      </c>
      <c r="Q743" s="47"/>
      <c r="R743" s="47"/>
      <c r="S743" s="45" t="s">
        <v>143</v>
      </c>
      <c r="T743" s="45"/>
      <c r="U743" s="37">
        <v>45508</v>
      </c>
      <c r="V743" s="38">
        <f t="shared" si="126"/>
        <v>45515</v>
      </c>
      <c r="W743" s="50">
        <f>V743-U743</f>
        <v>7</v>
      </c>
      <c r="X743" s="294">
        <v>373124.95</v>
      </c>
      <c r="Y743" s="260">
        <v>393000</v>
      </c>
      <c r="Z743" s="260">
        <v>392998</v>
      </c>
      <c r="AA743" s="56" t="s">
        <v>1671</v>
      </c>
      <c r="AB743" s="43">
        <v>0.2</v>
      </c>
      <c r="AC743" s="295">
        <v>0</v>
      </c>
      <c r="AD743" s="62" t="s">
        <v>2278</v>
      </c>
      <c r="AE743" s="291"/>
      <c r="AF743" s="65"/>
      <c r="AG743" s="291">
        <v>13434.69</v>
      </c>
      <c r="AH743" s="65">
        <f t="shared" si="132"/>
        <v>2</v>
      </c>
      <c r="AI743" s="242"/>
      <c r="AJ743" s="242"/>
      <c r="AK743" s="291"/>
      <c r="AL743" s="40">
        <f t="shared" si="128"/>
        <v>2</v>
      </c>
      <c r="AM743" s="242">
        <f t="shared" si="127"/>
        <v>45535</v>
      </c>
      <c r="AN743" s="242" t="str">
        <f>IF(AQ743="x","",IF(AQ743="x",AM743,IF(EOMONTH(I743,0)=31,"",EOMONTH(I743,0))))</f>
        <v/>
      </c>
      <c r="AO743" s="79">
        <f>IFERROR(IF(VLOOKUP(C743,C744:C1344,1,0)=0,1,0),1)</f>
        <v>1</v>
      </c>
      <c r="AP743" s="79"/>
      <c r="AQ743" s="243" t="str">
        <f t="shared" si="124"/>
        <v>x</v>
      </c>
      <c r="AR743" s="242">
        <f>IF(AQ743="x",EOMONTH(I743,0))</f>
        <v>45535</v>
      </c>
      <c r="AS743" s="79">
        <f t="shared" si="129"/>
        <v>1</v>
      </c>
      <c r="AT743" s="79">
        <f t="shared" si="130"/>
        <v>1</v>
      </c>
      <c r="AU743" s="79" t="str">
        <f t="shared" si="131"/>
        <v>B</v>
      </c>
      <c r="AV743" s="79">
        <f t="shared" si="125"/>
        <v>1</v>
      </c>
      <c r="AW743" s="79" t="str">
        <f>J743&amp;AU743</f>
        <v>4B</v>
      </c>
      <c r="AX743" s="79">
        <f>IF(COUNTIFS(J:J,"Integral",E:E,E743,H:H,"Ativo")=4,1/4,1/10)</f>
        <v>0.1</v>
      </c>
      <c r="AY743" s="79" t="s">
        <v>1535</v>
      </c>
      <c r="AZ743" s="79" t="b">
        <v>0</v>
      </c>
    </row>
    <row r="744" spans="1:52" ht="15.75" customHeight="1">
      <c r="A744" s="54">
        <v>773</v>
      </c>
      <c r="B744" s="405">
        <v>45522</v>
      </c>
      <c r="C744" s="32" t="s">
        <v>2279</v>
      </c>
      <c r="D744" s="32" t="s">
        <v>2280</v>
      </c>
      <c r="E744" s="32" t="s">
        <v>572</v>
      </c>
      <c r="F744" s="32" t="s">
        <v>2281</v>
      </c>
      <c r="G744" s="60" t="s">
        <v>220</v>
      </c>
      <c r="H744" s="33" t="s">
        <v>90</v>
      </c>
      <c r="I744" s="34"/>
      <c r="J744" s="33">
        <v>4</v>
      </c>
      <c r="K744" s="56" t="s">
        <v>1165</v>
      </c>
      <c r="L744" s="56" t="s">
        <v>1165</v>
      </c>
      <c r="M744" s="386" t="s">
        <v>1026</v>
      </c>
      <c r="N744" s="33" t="s">
        <v>68</v>
      </c>
      <c r="O744" s="33" t="s">
        <v>12</v>
      </c>
      <c r="P744" s="33" t="s">
        <v>2</v>
      </c>
      <c r="Q744" s="47"/>
      <c r="R744" s="47"/>
      <c r="S744" s="45" t="s">
        <v>145</v>
      </c>
      <c r="T744" s="45"/>
      <c r="U744" s="37">
        <v>45474</v>
      </c>
      <c r="V744" s="38">
        <f t="shared" si="126"/>
        <v>45522</v>
      </c>
      <c r="W744" s="50">
        <f>V744-U744</f>
        <v>48</v>
      </c>
      <c r="X744" s="294">
        <v>373124.95</v>
      </c>
      <c r="Y744" s="260">
        <v>398000</v>
      </c>
      <c r="Z744" s="260">
        <v>386000</v>
      </c>
      <c r="AA744" s="56"/>
      <c r="AB744" s="43">
        <v>0.2228</v>
      </c>
      <c r="AC744" s="295">
        <v>0</v>
      </c>
      <c r="AD744" s="62" t="s">
        <v>2282</v>
      </c>
      <c r="AE744" s="291"/>
      <c r="AF744" s="65"/>
      <c r="AG744" s="291">
        <v>317.64</v>
      </c>
      <c r="AH744" s="40">
        <f t="shared" si="132"/>
        <v>12000</v>
      </c>
      <c r="AI744" s="242"/>
      <c r="AJ744" s="242"/>
      <c r="AK744" s="291"/>
      <c r="AL744" s="40">
        <f t="shared" si="128"/>
        <v>12000</v>
      </c>
      <c r="AM744" s="242">
        <f t="shared" si="127"/>
        <v>45535</v>
      </c>
      <c r="AN744" s="242" t="str">
        <f>IF(AQ744="x","",IF(AQ744="x",AM744,IF(EOMONTH(I744,0)=31,"",EOMONTH(I744,0))))</f>
        <v/>
      </c>
      <c r="AO744" s="79">
        <f>IFERROR(IF(VLOOKUP(C744,C745:C1345,1,0)=0,1,0),1)</f>
        <v>1</v>
      </c>
      <c r="AP744" s="79"/>
      <c r="AQ744" s="243" t="str">
        <f t="shared" si="124"/>
        <v/>
      </c>
      <c r="AR744" s="242" t="b">
        <f>IF(AQ744="x",EOMONTH(I744,0))</f>
        <v>0</v>
      </c>
      <c r="AS744" s="79">
        <f t="shared" si="129"/>
        <v>1</v>
      </c>
      <c r="AT744" s="79">
        <f t="shared" si="130"/>
        <v>1</v>
      </c>
      <c r="AU744" s="79" t="str">
        <f t="shared" si="131"/>
        <v>B</v>
      </c>
      <c r="AV744" s="79">
        <f t="shared" si="125"/>
        <v>1</v>
      </c>
      <c r="AW744" s="79" t="str">
        <f>J744&amp;AU744</f>
        <v>4B</v>
      </c>
      <c r="AX744" s="79">
        <f>IF(COUNTIFS(J:J,"Integral",E:E,E744,H:H,"Ativo")=4,1/4,1/10)</f>
        <v>0.1</v>
      </c>
      <c r="AY744" s="79" t="s">
        <v>1535</v>
      </c>
      <c r="AZ744" s="79" t="b">
        <v>0</v>
      </c>
    </row>
    <row r="745" spans="1:52" ht="15.75" customHeight="1">
      <c r="A745" s="54">
        <v>774</v>
      </c>
      <c r="B745" s="406">
        <v>45523</v>
      </c>
      <c r="C745" s="32" t="s">
        <v>2283</v>
      </c>
      <c r="D745" s="32" t="s">
        <v>2284</v>
      </c>
      <c r="E745" s="32" t="s">
        <v>572</v>
      </c>
      <c r="F745" s="32" t="s">
        <v>2285</v>
      </c>
      <c r="G745" s="60" t="s">
        <v>243</v>
      </c>
      <c r="H745" s="33" t="s">
        <v>244</v>
      </c>
      <c r="I745" s="34">
        <v>45535</v>
      </c>
      <c r="J745" s="33">
        <v>4</v>
      </c>
      <c r="K745" s="56" t="s">
        <v>1891</v>
      </c>
      <c r="L745" s="56" t="s">
        <v>1755</v>
      </c>
      <c r="M745" s="386" t="s">
        <v>1755</v>
      </c>
      <c r="N745" s="33" t="s">
        <v>68</v>
      </c>
      <c r="O745" s="33" t="s">
        <v>12</v>
      </c>
      <c r="P745" s="33" t="s">
        <v>2</v>
      </c>
      <c r="Q745" s="47"/>
      <c r="R745" s="47"/>
      <c r="S745" s="45" t="s">
        <v>149</v>
      </c>
      <c r="T745" s="45"/>
      <c r="U745" s="37">
        <v>45501</v>
      </c>
      <c r="V745" s="38">
        <f t="shared" si="126"/>
        <v>45523</v>
      </c>
      <c r="W745" s="50">
        <f>V745-U745</f>
        <v>22</v>
      </c>
      <c r="X745" s="294">
        <v>373124.95</v>
      </c>
      <c r="Y745" s="260">
        <v>398000</v>
      </c>
      <c r="Z745" s="260">
        <v>392000</v>
      </c>
      <c r="AA745" s="56"/>
      <c r="AB745" s="43">
        <v>0.2041</v>
      </c>
      <c r="AC745" s="295">
        <v>0</v>
      </c>
      <c r="AD745" s="62" t="s">
        <v>2286</v>
      </c>
      <c r="AE745" s="291"/>
      <c r="AF745" s="65"/>
      <c r="AG745" s="291">
        <v>25368.73</v>
      </c>
      <c r="AH745" s="40">
        <f t="shared" si="132"/>
        <v>6000</v>
      </c>
      <c r="AI745" s="242"/>
      <c r="AJ745" s="242"/>
      <c r="AK745" s="291"/>
      <c r="AL745" s="40">
        <f t="shared" si="128"/>
        <v>6000</v>
      </c>
      <c r="AM745" s="242">
        <f t="shared" si="127"/>
        <v>45535</v>
      </c>
      <c r="AN745" s="242" t="str">
        <f>IF(AQ745="x","",IF(AQ745="x",AM745,IF(EOMONTH(I745,0)=31,"",EOMONTH(I745,0))))</f>
        <v/>
      </c>
      <c r="AO745" s="79">
        <f>IFERROR(IF(VLOOKUP(C745,C746:C1346,1,0)=0,1,0),1)</f>
        <v>1</v>
      </c>
      <c r="AP745" s="79"/>
      <c r="AQ745" s="243" t="str">
        <f t="shared" ref="AQ745:AQ808" si="133">IF(MID(G745,1,15)="NAO ASSINADO","x","")</f>
        <v>x</v>
      </c>
      <c r="AR745" s="242">
        <f>IF(AQ745="x",EOMONTH(I745,0))</f>
        <v>45535</v>
      </c>
      <c r="AS745" s="79">
        <f t="shared" si="129"/>
        <v>1</v>
      </c>
      <c r="AT745" s="79">
        <f t="shared" si="130"/>
        <v>1</v>
      </c>
      <c r="AU745" s="79" t="str">
        <f t="shared" si="131"/>
        <v>B</v>
      </c>
      <c r="AV745" s="79">
        <f t="shared" si="125"/>
        <v>1</v>
      </c>
      <c r="AW745" s="79" t="str">
        <f>J745&amp;AU745</f>
        <v>4B</v>
      </c>
      <c r="AX745" s="79">
        <f>IF(COUNTIFS(J:J,"Integral",E:E,E745,H:H,"Ativo")=4,1/4,1/10)</f>
        <v>0.1</v>
      </c>
      <c r="AY745" s="79" t="s">
        <v>1535</v>
      </c>
      <c r="AZ745" s="79" t="b">
        <v>0</v>
      </c>
    </row>
    <row r="746" spans="1:52" ht="15.75" customHeight="1">
      <c r="A746" s="54">
        <v>775</v>
      </c>
      <c r="B746" s="406">
        <v>45525</v>
      </c>
      <c r="C746" s="32" t="s">
        <v>2287</v>
      </c>
      <c r="D746" s="32" t="s">
        <v>987</v>
      </c>
      <c r="E746" s="32" t="s">
        <v>988</v>
      </c>
      <c r="F746" s="32" t="s">
        <v>2288</v>
      </c>
      <c r="G746" s="60" t="s">
        <v>220</v>
      </c>
      <c r="H746" s="33" t="s">
        <v>90</v>
      </c>
      <c r="I746" s="34"/>
      <c r="J746" s="33" t="s">
        <v>1701</v>
      </c>
      <c r="K746" s="35" t="s">
        <v>1101</v>
      </c>
      <c r="L746" s="35" t="s">
        <v>1101</v>
      </c>
      <c r="M746" s="386" t="s">
        <v>1026</v>
      </c>
      <c r="N746" s="33" t="s">
        <v>68</v>
      </c>
      <c r="O746" s="33" t="s">
        <v>12</v>
      </c>
      <c r="P746" s="33" t="s">
        <v>2</v>
      </c>
      <c r="Q746" s="47"/>
      <c r="R746" s="47"/>
      <c r="S746" s="45" t="s">
        <v>147</v>
      </c>
      <c r="T746" s="45"/>
      <c r="U746" s="37">
        <v>45521</v>
      </c>
      <c r="V746" s="38">
        <f t="shared" si="126"/>
        <v>45525</v>
      </c>
      <c r="W746" s="50">
        <f>V746-U746</f>
        <v>4</v>
      </c>
      <c r="X746" s="294">
        <v>792251.6</v>
      </c>
      <c r="Y746" s="260">
        <v>962500</v>
      </c>
      <c r="Z746" s="260">
        <v>948495</v>
      </c>
      <c r="AA746" s="56"/>
      <c r="AB746" s="43">
        <v>0.2109</v>
      </c>
      <c r="AC746" s="295">
        <v>0</v>
      </c>
      <c r="AD746" s="62" t="s">
        <v>2289</v>
      </c>
      <c r="AE746" s="291"/>
      <c r="AF746" s="65"/>
      <c r="AG746" s="291">
        <v>72441.98</v>
      </c>
      <c r="AH746" s="40">
        <f t="shared" si="132"/>
        <v>14005</v>
      </c>
      <c r="AI746" s="242"/>
      <c r="AJ746" s="242"/>
      <c r="AK746" s="291"/>
      <c r="AL746" s="40">
        <f t="shared" si="128"/>
        <v>14005</v>
      </c>
      <c r="AM746" s="242">
        <f t="shared" si="127"/>
        <v>45535</v>
      </c>
      <c r="AN746" s="242" t="str">
        <f>IF(AQ746="x","",IF(AQ746="x",AM746,IF(EOMONTH(I746,0)=31,"",EOMONTH(I746,0))))</f>
        <v/>
      </c>
      <c r="AO746" s="79">
        <f>IFERROR(IF(VLOOKUP(C746,C747:C1347,1,0)=0,1,0),1)</f>
        <v>0</v>
      </c>
      <c r="AP746" s="79"/>
      <c r="AQ746" s="243" t="str">
        <f t="shared" si="133"/>
        <v/>
      </c>
      <c r="AR746" s="242" t="b">
        <f>IF(AQ746="x",EOMONTH(I746,0))</f>
        <v>0</v>
      </c>
      <c r="AS746" s="79">
        <f t="shared" si="129"/>
        <v>1</v>
      </c>
      <c r="AT746" s="79">
        <f t="shared" si="130"/>
        <v>1</v>
      </c>
      <c r="AU746" s="79" t="str">
        <f t="shared" si="131"/>
        <v>B</v>
      </c>
      <c r="AV746" s="79">
        <f t="shared" si="125"/>
        <v>1</v>
      </c>
      <c r="AW746" s="79" t="str">
        <f>J746&amp;AU746</f>
        <v>INTEGRALB</v>
      </c>
      <c r="AX746" s="79">
        <f>IF(COUNTIFS(J:J,"Integral",E:E,E746,H:H,"Ativo")=4,1/4,1/10)</f>
        <v>0.25</v>
      </c>
      <c r="AY746" s="79" t="s">
        <v>2133</v>
      </c>
      <c r="AZ746" s="79" t="b">
        <v>0</v>
      </c>
    </row>
    <row r="747" spans="1:52" s="301" customFormat="1" ht="15.75" customHeight="1">
      <c r="A747" s="54">
        <v>776</v>
      </c>
      <c r="B747" s="406">
        <v>45525</v>
      </c>
      <c r="C747" s="32" t="s">
        <v>2287</v>
      </c>
      <c r="D747" s="32" t="s">
        <v>990</v>
      </c>
      <c r="E747" s="32" t="s">
        <v>988</v>
      </c>
      <c r="F747" s="32" t="s">
        <v>2290</v>
      </c>
      <c r="G747" s="60" t="s">
        <v>220</v>
      </c>
      <c r="H747" s="33" t="s">
        <v>90</v>
      </c>
      <c r="I747" s="34"/>
      <c r="J747" s="33" t="s">
        <v>1701</v>
      </c>
      <c r="K747" s="35" t="s">
        <v>1101</v>
      </c>
      <c r="L747" s="35" t="s">
        <v>1101</v>
      </c>
      <c r="M747" s="386" t="s">
        <v>1026</v>
      </c>
      <c r="N747" s="33" t="s">
        <v>68</v>
      </c>
      <c r="O747" s="33" t="s">
        <v>12</v>
      </c>
      <c r="P747" s="33" t="s">
        <v>2</v>
      </c>
      <c r="Q747" s="47"/>
      <c r="R747" s="47"/>
      <c r="S747" s="45" t="s">
        <v>147</v>
      </c>
      <c r="T747" s="45"/>
      <c r="U747" s="37">
        <v>45521</v>
      </c>
      <c r="V747" s="38">
        <f t="shared" si="126"/>
        <v>45525</v>
      </c>
      <c r="W747" s="50">
        <f>V747-U747</f>
        <v>4</v>
      </c>
      <c r="X747" s="294">
        <v>792251.6</v>
      </c>
      <c r="Y747" s="260">
        <v>962500</v>
      </c>
      <c r="Z747" s="260">
        <v>948495</v>
      </c>
      <c r="AA747" s="56"/>
      <c r="AB747" s="43">
        <v>0.2109</v>
      </c>
      <c r="AC747" s="295">
        <v>0</v>
      </c>
      <c r="AD747" s="62" t="s">
        <v>2289</v>
      </c>
      <c r="AE747" s="291"/>
      <c r="AF747" s="65"/>
      <c r="AG747" s="291">
        <v>72441.98</v>
      </c>
      <c r="AH747" s="40">
        <f t="shared" si="132"/>
        <v>14005</v>
      </c>
      <c r="AI747" s="242"/>
      <c r="AJ747" s="242"/>
      <c r="AK747" s="291"/>
      <c r="AL747" s="40">
        <f t="shared" si="128"/>
        <v>14005</v>
      </c>
      <c r="AM747" s="242">
        <f t="shared" si="127"/>
        <v>45535</v>
      </c>
      <c r="AN747" s="242" t="str">
        <f>IF(AQ747="x","",IF(AQ747="x",AM747,IF(EOMONTH(I747,0)=31,"",EOMONTH(I747,0))))</f>
        <v/>
      </c>
      <c r="AO747" s="79">
        <f>IFERROR(IF(VLOOKUP(C747,C748:C1348,1,0)=0,1,0),1)</f>
        <v>0</v>
      </c>
      <c r="AP747" s="79"/>
      <c r="AQ747" s="243" t="str">
        <f t="shared" si="133"/>
        <v/>
      </c>
      <c r="AR747" s="242" t="b">
        <f>IF(AQ747="x",EOMONTH(I747,0))</f>
        <v>0</v>
      </c>
      <c r="AS747" s="79">
        <f t="shared" si="129"/>
        <v>1</v>
      </c>
      <c r="AT747" s="79">
        <f t="shared" si="130"/>
        <v>1</v>
      </c>
      <c r="AU747" s="79" t="str">
        <f t="shared" si="131"/>
        <v>B</v>
      </c>
      <c r="AV747" s="79">
        <f t="shared" si="125"/>
        <v>1</v>
      </c>
      <c r="AW747" s="79" t="str">
        <f>J747&amp;AU747</f>
        <v>INTEGRALB</v>
      </c>
      <c r="AX747" s="79">
        <f>IF(COUNTIFS(J:J,"Integral",E:E,E747,H:H,"Ativo")=4,1/4,1/10)</f>
        <v>0.25</v>
      </c>
      <c r="AY747" s="79" t="s">
        <v>2133</v>
      </c>
      <c r="AZ747" s="79" t="b">
        <v>0</v>
      </c>
    </row>
    <row r="748" spans="1:52" ht="15.75" customHeight="1">
      <c r="A748" s="54">
        <v>777</v>
      </c>
      <c r="B748" s="406">
        <v>45525</v>
      </c>
      <c r="C748" s="32" t="s">
        <v>2287</v>
      </c>
      <c r="D748" s="32" t="s">
        <v>992</v>
      </c>
      <c r="E748" s="32" t="s">
        <v>988</v>
      </c>
      <c r="F748" s="32" t="s">
        <v>2291</v>
      </c>
      <c r="G748" s="60" t="s">
        <v>220</v>
      </c>
      <c r="H748" s="33" t="s">
        <v>90</v>
      </c>
      <c r="I748" s="34"/>
      <c r="J748" s="33" t="s">
        <v>1701</v>
      </c>
      <c r="K748" s="35" t="s">
        <v>1101</v>
      </c>
      <c r="L748" s="35" t="s">
        <v>1101</v>
      </c>
      <c r="M748" s="386" t="s">
        <v>1026</v>
      </c>
      <c r="N748" s="33" t="s">
        <v>68</v>
      </c>
      <c r="O748" s="33" t="s">
        <v>12</v>
      </c>
      <c r="P748" s="33" t="s">
        <v>2</v>
      </c>
      <c r="Q748" s="47"/>
      <c r="R748" s="47"/>
      <c r="S748" s="45" t="s">
        <v>147</v>
      </c>
      <c r="T748" s="45"/>
      <c r="U748" s="37">
        <v>45521</v>
      </c>
      <c r="V748" s="38">
        <f t="shared" si="126"/>
        <v>45525</v>
      </c>
      <c r="W748" s="50">
        <f>V748-U748</f>
        <v>4</v>
      </c>
      <c r="X748" s="294">
        <v>792251.6</v>
      </c>
      <c r="Y748" s="260">
        <v>962500</v>
      </c>
      <c r="Z748" s="260">
        <v>948495</v>
      </c>
      <c r="AA748" s="56"/>
      <c r="AB748" s="43">
        <v>0.2109</v>
      </c>
      <c r="AC748" s="295">
        <v>0</v>
      </c>
      <c r="AD748" s="62" t="s">
        <v>2289</v>
      </c>
      <c r="AE748" s="291"/>
      <c r="AF748" s="65"/>
      <c r="AG748" s="291">
        <v>72441.98</v>
      </c>
      <c r="AH748" s="40">
        <f t="shared" si="132"/>
        <v>14005</v>
      </c>
      <c r="AI748" s="242"/>
      <c r="AJ748" s="242"/>
      <c r="AK748" s="291"/>
      <c r="AL748" s="40">
        <f t="shared" si="128"/>
        <v>14005</v>
      </c>
      <c r="AM748" s="242">
        <f t="shared" si="127"/>
        <v>45535</v>
      </c>
      <c r="AN748" s="242" t="str">
        <f>IF(AQ748="x","",IF(AQ748="x",AM748,IF(EOMONTH(I748,0)=31,"",EOMONTH(I748,0))))</f>
        <v/>
      </c>
      <c r="AO748" s="79">
        <f>IFERROR(IF(VLOOKUP(C748,C749:C1349,1,0)=0,1,0),1)</f>
        <v>0</v>
      </c>
      <c r="AP748" s="79"/>
      <c r="AQ748" s="243" t="str">
        <f t="shared" si="133"/>
        <v/>
      </c>
      <c r="AR748" s="242" t="b">
        <f>IF(AQ748="x",EOMONTH(I748,0))</f>
        <v>0</v>
      </c>
      <c r="AS748" s="79">
        <f t="shared" si="129"/>
        <v>1</v>
      </c>
      <c r="AT748" s="79">
        <f t="shared" si="130"/>
        <v>1</v>
      </c>
      <c r="AU748" s="79" t="str">
        <f t="shared" si="131"/>
        <v>B</v>
      </c>
      <c r="AV748" s="79">
        <f t="shared" si="125"/>
        <v>1</v>
      </c>
      <c r="AW748" s="79" t="str">
        <f>J748&amp;AU748</f>
        <v>INTEGRALB</v>
      </c>
      <c r="AX748" s="79">
        <f>IF(COUNTIFS(J:J,"Integral",E:E,E748,H:H,"Ativo")=4,1/4,1/10)</f>
        <v>0.25</v>
      </c>
      <c r="AY748" s="79" t="s">
        <v>2133</v>
      </c>
      <c r="AZ748" s="79" t="b">
        <v>0</v>
      </c>
    </row>
    <row r="749" spans="1:52" ht="15.75" customHeight="1">
      <c r="A749" s="54">
        <v>778</v>
      </c>
      <c r="B749" s="406">
        <v>45525</v>
      </c>
      <c r="C749" s="32" t="s">
        <v>2287</v>
      </c>
      <c r="D749" s="32" t="s">
        <v>994</v>
      </c>
      <c r="E749" s="32" t="s">
        <v>988</v>
      </c>
      <c r="F749" s="32" t="s">
        <v>2292</v>
      </c>
      <c r="G749" s="60" t="s">
        <v>220</v>
      </c>
      <c r="H749" s="33" t="s">
        <v>90</v>
      </c>
      <c r="I749" s="34"/>
      <c r="J749" s="33" t="s">
        <v>1701</v>
      </c>
      <c r="K749" s="35" t="s">
        <v>1101</v>
      </c>
      <c r="L749" s="35" t="s">
        <v>1101</v>
      </c>
      <c r="M749" s="386" t="s">
        <v>1026</v>
      </c>
      <c r="N749" s="33" t="s">
        <v>68</v>
      </c>
      <c r="O749" s="33" t="s">
        <v>12</v>
      </c>
      <c r="P749" s="33" t="s">
        <v>2</v>
      </c>
      <c r="Q749" s="47"/>
      <c r="R749" s="47"/>
      <c r="S749" s="45" t="s">
        <v>147</v>
      </c>
      <c r="T749" s="45"/>
      <c r="U749" s="37">
        <v>45521</v>
      </c>
      <c r="V749" s="38">
        <f t="shared" si="126"/>
        <v>45525</v>
      </c>
      <c r="W749" s="50">
        <f>V749-U749</f>
        <v>4</v>
      </c>
      <c r="X749" s="294">
        <v>792251.6</v>
      </c>
      <c r="Y749" s="260">
        <v>962500</v>
      </c>
      <c r="Z749" s="260">
        <v>948495</v>
      </c>
      <c r="AA749" s="56"/>
      <c r="AB749" s="43">
        <v>0.2109</v>
      </c>
      <c r="AC749" s="295">
        <v>0</v>
      </c>
      <c r="AD749" s="62" t="s">
        <v>2289</v>
      </c>
      <c r="AE749" s="291"/>
      <c r="AF749" s="65"/>
      <c r="AG749" s="291">
        <v>72441.990000000005</v>
      </c>
      <c r="AH749" s="40">
        <f t="shared" si="132"/>
        <v>14005</v>
      </c>
      <c r="AI749" s="242"/>
      <c r="AJ749" s="242"/>
      <c r="AK749" s="291"/>
      <c r="AL749" s="40">
        <f t="shared" si="128"/>
        <v>14005</v>
      </c>
      <c r="AM749" s="242">
        <f t="shared" si="127"/>
        <v>45535</v>
      </c>
      <c r="AN749" s="242" t="str">
        <f>IF(AQ749="x","",IF(AQ749="x",AM749,IF(EOMONTH(I749,0)=31,"",EOMONTH(I749,0))))</f>
        <v/>
      </c>
      <c r="AO749" s="79">
        <f>IFERROR(IF(VLOOKUP(C749,C750:C1350,1,0)=0,1,0),1)</f>
        <v>1</v>
      </c>
      <c r="AP749" s="79"/>
      <c r="AQ749" s="243" t="str">
        <f t="shared" si="133"/>
        <v/>
      </c>
      <c r="AR749" s="242" t="b">
        <f>IF(AQ749="x",EOMONTH(I749,0))</f>
        <v>0</v>
      </c>
      <c r="AS749" s="79">
        <f t="shared" si="129"/>
        <v>1</v>
      </c>
      <c r="AT749" s="79">
        <f t="shared" si="130"/>
        <v>1</v>
      </c>
      <c r="AU749" s="79" t="str">
        <f t="shared" si="131"/>
        <v>B</v>
      </c>
      <c r="AV749" s="79">
        <f t="shared" si="125"/>
        <v>1</v>
      </c>
      <c r="AW749" s="79" t="str">
        <f>J749&amp;AU749</f>
        <v>INTEGRALB</v>
      </c>
      <c r="AX749" s="79">
        <f>IF(COUNTIFS(J:J,"Integral",E:E,E749,H:H,"Ativo")=4,1/4,1/10)</f>
        <v>0.25</v>
      </c>
      <c r="AY749" s="79" t="s">
        <v>2133</v>
      </c>
      <c r="AZ749" s="79" t="b">
        <v>0</v>
      </c>
    </row>
    <row r="750" spans="1:52" ht="15.75" customHeight="1">
      <c r="A750" s="54">
        <v>779</v>
      </c>
      <c r="B750" s="406">
        <v>45526</v>
      </c>
      <c r="C750" s="32" t="s">
        <v>1667</v>
      </c>
      <c r="D750" s="32" t="s">
        <v>2293</v>
      </c>
      <c r="E750" s="32" t="s">
        <v>431</v>
      </c>
      <c r="F750" s="32" t="s">
        <v>2294</v>
      </c>
      <c r="G750" s="60" t="s">
        <v>220</v>
      </c>
      <c r="H750" s="33" t="s">
        <v>90</v>
      </c>
      <c r="I750" s="34"/>
      <c r="J750" s="33">
        <v>6</v>
      </c>
      <c r="K750" s="56" t="s">
        <v>289</v>
      </c>
      <c r="L750" s="56" t="s">
        <v>289</v>
      </c>
      <c r="M750" s="386" t="s">
        <v>246</v>
      </c>
      <c r="N750" s="33" t="s">
        <v>68</v>
      </c>
      <c r="O750" s="33" t="s">
        <v>10</v>
      </c>
      <c r="P750" s="33" t="s">
        <v>1</v>
      </c>
      <c r="Q750" s="47" t="s">
        <v>99</v>
      </c>
      <c r="R750" s="47"/>
      <c r="S750" s="45" t="s">
        <v>144</v>
      </c>
      <c r="T750" s="45"/>
      <c r="U750" s="37">
        <v>45245</v>
      </c>
      <c r="V750" s="38">
        <f t="shared" si="126"/>
        <v>45526</v>
      </c>
      <c r="W750" s="50">
        <f>V750-U750</f>
        <v>281</v>
      </c>
      <c r="X750" s="294">
        <v>388458.85</v>
      </c>
      <c r="Y750" s="260">
        <v>396000</v>
      </c>
      <c r="Z750" s="260">
        <v>299214.8</v>
      </c>
      <c r="AA750" s="56" t="s">
        <v>1671</v>
      </c>
      <c r="AB750" s="43">
        <v>1</v>
      </c>
      <c r="AC750" s="295">
        <v>0</v>
      </c>
      <c r="AD750" s="62" t="s">
        <v>2295</v>
      </c>
      <c r="AE750" s="291"/>
      <c r="AF750" s="65"/>
      <c r="AG750" s="291"/>
      <c r="AH750" s="40">
        <f t="shared" si="132"/>
        <v>96785.200000000012</v>
      </c>
      <c r="AI750" s="242"/>
      <c r="AJ750" s="242"/>
      <c r="AK750" s="291">
        <v>14480.78</v>
      </c>
      <c r="AL750" s="40">
        <f t="shared" si="128"/>
        <v>82304.420000000013</v>
      </c>
      <c r="AM750" s="242">
        <f t="shared" si="127"/>
        <v>45535</v>
      </c>
      <c r="AN750" s="242" t="str">
        <f>IF(AQ750="x","",IF(AQ750="x",AM750,IF(EOMONTH(I750,0)=31,"",EOMONTH(I750,0))))</f>
        <v/>
      </c>
      <c r="AO750" s="79">
        <f>IFERROR(IF(VLOOKUP(C750,C751:C1351,1,0)=0,1,0),1)</f>
        <v>0</v>
      </c>
      <c r="AP750" s="79"/>
      <c r="AQ750" s="243" t="str">
        <f t="shared" si="133"/>
        <v/>
      </c>
      <c r="AR750" s="242" t="b">
        <f>IF(AQ750="x",EOMONTH(I750,0))</f>
        <v>0</v>
      </c>
      <c r="AS750" s="79">
        <f t="shared" si="129"/>
        <v>1</v>
      </c>
      <c r="AT750" s="79">
        <f t="shared" si="130"/>
        <v>1</v>
      </c>
      <c r="AU750" s="79" t="str">
        <f t="shared" si="131"/>
        <v>B</v>
      </c>
      <c r="AV750" s="79">
        <f t="shared" si="125"/>
        <v>1</v>
      </c>
      <c r="AW750" s="79" t="str">
        <f>J750&amp;AU750</f>
        <v>6B</v>
      </c>
      <c r="AX750" s="79">
        <f>IF(COUNTIFS(J:J,"Integral",E:E,E750,H:H,"Ativo")=4,1/4,1/10)</f>
        <v>0.1</v>
      </c>
      <c r="AY750" s="79" t="s">
        <v>1535</v>
      </c>
      <c r="AZ750" s="79" t="b">
        <v>0</v>
      </c>
    </row>
    <row r="751" spans="1:52" ht="15.75" customHeight="1">
      <c r="A751" s="54">
        <v>780</v>
      </c>
      <c r="B751" s="406">
        <v>45526</v>
      </c>
      <c r="C751" s="32" t="s">
        <v>1667</v>
      </c>
      <c r="D751" s="32" t="s">
        <v>2296</v>
      </c>
      <c r="E751" s="32" t="s">
        <v>431</v>
      </c>
      <c r="F751" s="32" t="s">
        <v>2297</v>
      </c>
      <c r="G751" s="60" t="s">
        <v>220</v>
      </c>
      <c r="H751" s="33" t="s">
        <v>90</v>
      </c>
      <c r="I751" s="34"/>
      <c r="J751" s="33">
        <v>6</v>
      </c>
      <c r="K751" s="56" t="s">
        <v>289</v>
      </c>
      <c r="L751" s="56" t="s">
        <v>289</v>
      </c>
      <c r="M751" s="386" t="s">
        <v>246</v>
      </c>
      <c r="N751" s="33" t="s">
        <v>68</v>
      </c>
      <c r="O751" s="33" t="s">
        <v>10</v>
      </c>
      <c r="P751" s="33" t="s">
        <v>1</v>
      </c>
      <c r="Q751" s="47" t="s">
        <v>99</v>
      </c>
      <c r="R751" s="47"/>
      <c r="S751" s="45" t="s">
        <v>144</v>
      </c>
      <c r="T751" s="45"/>
      <c r="U751" s="37">
        <v>45245</v>
      </c>
      <c r="V751" s="38">
        <f t="shared" si="126"/>
        <v>45526</v>
      </c>
      <c r="W751" s="50">
        <f>V751-U751</f>
        <v>281</v>
      </c>
      <c r="X751" s="294">
        <v>388458.85</v>
      </c>
      <c r="Y751" s="260">
        <v>396000</v>
      </c>
      <c r="Z751" s="260">
        <v>299214.78999999998</v>
      </c>
      <c r="AA751" s="56" t="s">
        <v>1671</v>
      </c>
      <c r="AB751" s="43">
        <v>1</v>
      </c>
      <c r="AC751" s="295">
        <v>0</v>
      </c>
      <c r="AD751" s="62" t="s">
        <v>2295</v>
      </c>
      <c r="AE751" s="291"/>
      <c r="AF751" s="65"/>
      <c r="AG751" s="291"/>
      <c r="AH751" s="40">
        <f t="shared" si="132"/>
        <v>96785.210000000021</v>
      </c>
      <c r="AI751" s="242"/>
      <c r="AJ751" s="242"/>
      <c r="AK751" s="291">
        <v>14480.78</v>
      </c>
      <c r="AL751" s="40">
        <f t="shared" si="128"/>
        <v>82304.430000000022</v>
      </c>
      <c r="AM751" s="242">
        <f t="shared" si="127"/>
        <v>45535</v>
      </c>
      <c r="AN751" s="242" t="str">
        <f>IF(AQ751="x","",IF(AQ751="x",AM751,IF(EOMONTH(I751,0)=31,"",EOMONTH(I751,0))))</f>
        <v/>
      </c>
      <c r="AO751" s="350">
        <v>1</v>
      </c>
      <c r="AP751" s="350"/>
      <c r="AQ751" s="243" t="str">
        <f t="shared" si="133"/>
        <v/>
      </c>
      <c r="AR751" s="242" t="b">
        <f>IF(AQ751="x",EOMONTH(I751,0))</f>
        <v>0</v>
      </c>
      <c r="AS751" s="79">
        <f t="shared" si="129"/>
        <v>1</v>
      </c>
      <c r="AT751" s="79">
        <f t="shared" si="130"/>
        <v>1</v>
      </c>
      <c r="AU751" s="79" t="str">
        <f t="shared" si="131"/>
        <v>B</v>
      </c>
      <c r="AV751" s="79">
        <f t="shared" si="125"/>
        <v>1</v>
      </c>
      <c r="AW751" s="79" t="str">
        <f>J751&amp;AU751</f>
        <v>6B</v>
      </c>
      <c r="AX751" s="79">
        <f>IF(COUNTIFS(J:J,"Integral",E:E,E751,H:H,"Ativo")=4,1/4,1/10)</f>
        <v>0.1</v>
      </c>
      <c r="AY751" s="79" t="s">
        <v>1535</v>
      </c>
      <c r="AZ751" s="79" t="b">
        <v>0</v>
      </c>
    </row>
    <row r="752" spans="1:52" ht="15.75" customHeight="1">
      <c r="A752" s="54">
        <v>781</v>
      </c>
      <c r="B752" s="405">
        <v>45526</v>
      </c>
      <c r="C752" s="32" t="s">
        <v>2298</v>
      </c>
      <c r="D752" s="32" t="s">
        <v>2299</v>
      </c>
      <c r="E752" s="32" t="s">
        <v>431</v>
      </c>
      <c r="F752" s="32" t="s">
        <v>2300</v>
      </c>
      <c r="G752" s="60" t="s">
        <v>220</v>
      </c>
      <c r="H752" s="33" t="s">
        <v>90</v>
      </c>
      <c r="I752" s="34"/>
      <c r="J752" s="33">
        <v>4</v>
      </c>
      <c r="K752" s="56" t="s">
        <v>1165</v>
      </c>
      <c r="L752" s="56" t="s">
        <v>1165</v>
      </c>
      <c r="M752" s="386" t="s">
        <v>1026</v>
      </c>
      <c r="N752" s="33" t="s">
        <v>68</v>
      </c>
      <c r="O752" s="33" t="s">
        <v>12</v>
      </c>
      <c r="P752" s="33" t="s">
        <v>2</v>
      </c>
      <c r="Q752" s="47"/>
      <c r="R752" s="47"/>
      <c r="S752" s="45" t="s">
        <v>157</v>
      </c>
      <c r="T752" s="45"/>
      <c r="U752" s="37">
        <v>45514</v>
      </c>
      <c r="V752" s="38">
        <f t="shared" si="126"/>
        <v>45526</v>
      </c>
      <c r="W752" s="50">
        <f>V752-U752</f>
        <v>12</v>
      </c>
      <c r="X752" s="294">
        <v>373124.95</v>
      </c>
      <c r="Y752" s="260">
        <v>398000</v>
      </c>
      <c r="Z752" s="260">
        <v>398000</v>
      </c>
      <c r="AA752" s="56"/>
      <c r="AB752" s="43">
        <v>0.2</v>
      </c>
      <c r="AC752" s="295">
        <v>0</v>
      </c>
      <c r="AD752" s="62" t="s">
        <v>2301</v>
      </c>
      <c r="AE752" s="291"/>
      <c r="AF752" s="65"/>
      <c r="AG752" s="291">
        <v>19100.990000000002</v>
      </c>
      <c r="AH752" s="40">
        <f t="shared" si="132"/>
        <v>0</v>
      </c>
      <c r="AI752" s="242"/>
      <c r="AJ752" s="242"/>
      <c r="AK752" s="291"/>
      <c r="AL752" s="40">
        <f t="shared" si="128"/>
        <v>0</v>
      </c>
      <c r="AM752" s="242">
        <f t="shared" si="127"/>
        <v>45535</v>
      </c>
      <c r="AN752" s="242" t="str">
        <f>IF(AQ752="x","",IF(AQ752="x",AM752,IF(EOMONTH(I752,0)=31,"",EOMONTH(I752,0))))</f>
        <v/>
      </c>
      <c r="AO752" s="79">
        <f>IFERROR(IF(VLOOKUP(C752,C753:C1353,1,0)=0,1,0),1)</f>
        <v>1</v>
      </c>
      <c r="AP752" s="79"/>
      <c r="AQ752" s="243" t="str">
        <f t="shared" si="133"/>
        <v/>
      </c>
      <c r="AR752" s="242" t="b">
        <f>IF(AQ752="x",EOMONTH(I752,0))</f>
        <v>0</v>
      </c>
      <c r="AS752" s="79">
        <f t="shared" si="129"/>
        <v>1</v>
      </c>
      <c r="AT752" s="79">
        <f t="shared" si="130"/>
        <v>1</v>
      </c>
      <c r="AU752" s="79" t="str">
        <f t="shared" si="131"/>
        <v>B</v>
      </c>
      <c r="AV752" s="79">
        <f t="shared" si="125"/>
        <v>1</v>
      </c>
      <c r="AW752" s="79" t="str">
        <f>J752&amp;AU752</f>
        <v>4B</v>
      </c>
      <c r="AX752" s="79">
        <f>IF(COUNTIFS(J:J,"Integral",E:E,E752,H:H,"Ativo")=4,1/4,1/10)</f>
        <v>0.1</v>
      </c>
      <c r="AY752" s="79" t="s">
        <v>1535</v>
      </c>
      <c r="AZ752" s="79" t="b">
        <v>0</v>
      </c>
    </row>
    <row r="753" spans="1:52" ht="15.75" customHeight="1">
      <c r="A753" s="54">
        <v>782</v>
      </c>
      <c r="B753" s="406">
        <v>45526</v>
      </c>
      <c r="C753" s="32" t="s">
        <v>2302</v>
      </c>
      <c r="D753" s="32" t="s">
        <v>1588</v>
      </c>
      <c r="E753" s="32" t="s">
        <v>431</v>
      </c>
      <c r="F753" s="32" t="s">
        <v>2303</v>
      </c>
      <c r="G753" s="60" t="s">
        <v>220</v>
      </c>
      <c r="H753" s="33" t="s">
        <v>90</v>
      </c>
      <c r="I753" s="34"/>
      <c r="J753" s="33">
        <v>6</v>
      </c>
      <c r="K753" s="56" t="s">
        <v>981</v>
      </c>
      <c r="L753" s="56" t="s">
        <v>981</v>
      </c>
      <c r="M753" s="386" t="s">
        <v>1026</v>
      </c>
      <c r="N753" s="33" t="s">
        <v>68</v>
      </c>
      <c r="O753" s="33" t="s">
        <v>10</v>
      </c>
      <c r="P753" s="33" t="s">
        <v>2</v>
      </c>
      <c r="Q753" s="47"/>
      <c r="R753" s="47"/>
      <c r="S753" s="45" t="s">
        <v>143</v>
      </c>
      <c r="T753" s="45"/>
      <c r="U753" s="37">
        <v>45495</v>
      </c>
      <c r="V753" s="38">
        <f t="shared" si="126"/>
        <v>45526</v>
      </c>
      <c r="W753" s="50">
        <f>V753-U753</f>
        <v>31</v>
      </c>
      <c r="X753" s="294">
        <v>388458.85</v>
      </c>
      <c r="Y753" s="260">
        <v>396000</v>
      </c>
      <c r="Z753" s="260">
        <v>320000</v>
      </c>
      <c r="AA753" s="56"/>
      <c r="AB753" s="43">
        <v>1</v>
      </c>
      <c r="AC753" s="295">
        <v>0</v>
      </c>
      <c r="AD753" s="62" t="s">
        <v>2304</v>
      </c>
      <c r="AE753" s="291"/>
      <c r="AF753" s="65"/>
      <c r="AG753" s="291">
        <v>3296.55</v>
      </c>
      <c r="AH753" s="40">
        <f t="shared" si="132"/>
        <v>76000</v>
      </c>
      <c r="AI753" s="242"/>
      <c r="AJ753" s="242"/>
      <c r="AK753" s="291"/>
      <c r="AL753" s="40">
        <f t="shared" si="128"/>
        <v>76000</v>
      </c>
      <c r="AM753" s="242">
        <f t="shared" si="127"/>
        <v>45535</v>
      </c>
      <c r="AN753" s="242" t="str">
        <f>IF(AQ753="x","",IF(AQ753="x",AM753,IF(EOMONTH(I753,0)=31,"",EOMONTH(I753,0))))</f>
        <v/>
      </c>
      <c r="AO753" s="79">
        <f>IFERROR(IF(VLOOKUP(C753,C754:C1354,1,0)=0,1,0),1)</f>
        <v>0</v>
      </c>
      <c r="AP753" s="79"/>
      <c r="AQ753" s="243" t="str">
        <f t="shared" si="133"/>
        <v/>
      </c>
      <c r="AR753" s="242" t="b">
        <f>IF(AQ753="x",EOMONTH(I753,0))</f>
        <v>0</v>
      </c>
      <c r="AS753" s="79">
        <f t="shared" si="129"/>
        <v>1</v>
      </c>
      <c r="AT753" s="79">
        <f t="shared" si="130"/>
        <v>1</v>
      </c>
      <c r="AU753" s="79" t="str">
        <f t="shared" si="131"/>
        <v>B</v>
      </c>
      <c r="AV753" s="79">
        <f t="shared" ref="AV753:AV816" si="134">IF(AG753&lt;0,0,1)</f>
        <v>1</v>
      </c>
      <c r="AW753" s="79" t="str">
        <f>J753&amp;AU753</f>
        <v>6B</v>
      </c>
      <c r="AX753" s="79">
        <f>IF(COUNTIFS(J:J,"Integral",E:E,E753,H:H,"Ativo")=4,1/4,1/10)</f>
        <v>0.1</v>
      </c>
      <c r="AY753" s="79" t="s">
        <v>2133</v>
      </c>
      <c r="AZ753" s="79" t="b">
        <v>0</v>
      </c>
    </row>
    <row r="754" spans="1:52" ht="15.75" customHeight="1">
      <c r="A754" s="54">
        <v>783</v>
      </c>
      <c r="B754" s="406">
        <v>45526</v>
      </c>
      <c r="C754" s="32" t="s">
        <v>2302</v>
      </c>
      <c r="D754" s="32" t="s">
        <v>2305</v>
      </c>
      <c r="E754" s="32" t="s">
        <v>431</v>
      </c>
      <c r="F754" s="32" t="s">
        <v>2306</v>
      </c>
      <c r="G754" s="60" t="s">
        <v>220</v>
      </c>
      <c r="H754" s="33" t="s">
        <v>90</v>
      </c>
      <c r="I754" s="34"/>
      <c r="J754" s="33">
        <v>6</v>
      </c>
      <c r="K754" s="56" t="s">
        <v>981</v>
      </c>
      <c r="L754" s="56" t="s">
        <v>981</v>
      </c>
      <c r="M754" s="386" t="s">
        <v>1026</v>
      </c>
      <c r="N754" s="33" t="s">
        <v>68</v>
      </c>
      <c r="O754" s="33" t="s">
        <v>10</v>
      </c>
      <c r="P754" s="33" t="s">
        <v>2</v>
      </c>
      <c r="Q754" s="47"/>
      <c r="R754" s="47"/>
      <c r="S754" s="45" t="s">
        <v>143</v>
      </c>
      <c r="T754" s="45"/>
      <c r="U754" s="37">
        <v>45495</v>
      </c>
      <c r="V754" s="38">
        <f t="shared" si="126"/>
        <v>45526</v>
      </c>
      <c r="W754" s="50">
        <f>V754-U754</f>
        <v>31</v>
      </c>
      <c r="X754" s="294">
        <v>388458.85</v>
      </c>
      <c r="Y754" s="260">
        <v>396000</v>
      </c>
      <c r="Z754" s="260">
        <v>320000</v>
      </c>
      <c r="AA754" s="56"/>
      <c r="AB754" s="43">
        <v>1</v>
      </c>
      <c r="AC754" s="295">
        <v>0</v>
      </c>
      <c r="AD754" s="62" t="s">
        <v>2304</v>
      </c>
      <c r="AE754" s="291"/>
      <c r="AF754" s="65"/>
      <c r="AG754" s="291">
        <v>3296.55</v>
      </c>
      <c r="AH754" s="40">
        <f t="shared" si="132"/>
        <v>76000</v>
      </c>
      <c r="AI754" s="242"/>
      <c r="AJ754" s="242"/>
      <c r="AK754" s="291"/>
      <c r="AL754" s="40">
        <f t="shared" si="128"/>
        <v>76000</v>
      </c>
      <c r="AM754" s="242">
        <f t="shared" si="127"/>
        <v>45535</v>
      </c>
      <c r="AN754" s="242" t="str">
        <f>IF(AQ754="x","",IF(AQ754="x",AM754,IF(EOMONTH(I754,0)=31,"",EOMONTH(I754,0))))</f>
        <v/>
      </c>
      <c r="AO754" s="79">
        <f>IFERROR(IF(VLOOKUP(C754,C755:C1355,1,0)=0,1,0),1)</f>
        <v>1</v>
      </c>
      <c r="AP754" s="79"/>
      <c r="AQ754" s="243" t="str">
        <f t="shared" si="133"/>
        <v/>
      </c>
      <c r="AR754" s="242" t="b">
        <f>IF(AQ754="x",EOMONTH(I754,0))</f>
        <v>0</v>
      </c>
      <c r="AS754" s="79">
        <f t="shared" si="129"/>
        <v>1</v>
      </c>
      <c r="AT754" s="79">
        <f t="shared" si="130"/>
        <v>1</v>
      </c>
      <c r="AU754" s="79" t="str">
        <f t="shared" si="131"/>
        <v>B</v>
      </c>
      <c r="AV754" s="79">
        <f t="shared" si="134"/>
        <v>1</v>
      </c>
      <c r="AW754" s="79" t="str">
        <f>J754&amp;AU754</f>
        <v>6B</v>
      </c>
      <c r="AX754" s="79">
        <f>IF(COUNTIFS(J:J,"Integral",E:E,E754,H:H,"Ativo")=4,1/4,1/10)</f>
        <v>0.1</v>
      </c>
      <c r="AY754" s="79" t="s">
        <v>2133</v>
      </c>
      <c r="AZ754" s="79" t="b">
        <v>0</v>
      </c>
    </row>
    <row r="755" spans="1:52" ht="15.75" customHeight="1">
      <c r="A755" s="54">
        <v>843</v>
      </c>
      <c r="B755" s="405">
        <v>45550</v>
      </c>
      <c r="C755" s="351" t="s">
        <v>2307</v>
      </c>
      <c r="D755" s="32" t="s">
        <v>2308</v>
      </c>
      <c r="E755" s="32" t="s">
        <v>1928</v>
      </c>
      <c r="F755" s="32" t="s">
        <v>2309</v>
      </c>
      <c r="G755" s="60" t="s">
        <v>220</v>
      </c>
      <c r="H755" s="33" t="s">
        <v>90</v>
      </c>
      <c r="I755" s="34"/>
      <c r="J755" s="33">
        <v>4</v>
      </c>
      <c r="K755" s="56" t="s">
        <v>1165</v>
      </c>
      <c r="L755" s="56" t="s">
        <v>1165</v>
      </c>
      <c r="M755" s="386" t="s">
        <v>1026</v>
      </c>
      <c r="N755" s="33" t="s">
        <v>68</v>
      </c>
      <c r="O755" s="33" t="s">
        <v>11</v>
      </c>
      <c r="P755" s="33" t="s">
        <v>2</v>
      </c>
      <c r="Q755" s="47" t="s">
        <v>104</v>
      </c>
      <c r="R755" s="47"/>
      <c r="S755" s="45" t="s">
        <v>147</v>
      </c>
      <c r="T755" s="45"/>
      <c r="U755" s="37">
        <v>45538</v>
      </c>
      <c r="V755" s="38">
        <f>B755</f>
        <v>45550</v>
      </c>
      <c r="W755" s="50">
        <f>V755-U755</f>
        <v>12</v>
      </c>
      <c r="X755" s="294">
        <v>375512.95</v>
      </c>
      <c r="Y755" s="260">
        <v>413000</v>
      </c>
      <c r="Z755" s="260">
        <v>316850</v>
      </c>
      <c r="AA755" s="56"/>
      <c r="AB755" s="43">
        <v>0.36880000000000002</v>
      </c>
      <c r="AC755" s="295">
        <v>0</v>
      </c>
      <c r="AD755" s="62" t="s">
        <v>2195</v>
      </c>
      <c r="AE755" s="291"/>
      <c r="AF755" s="65"/>
      <c r="AG755" s="291">
        <v>11728.82</v>
      </c>
      <c r="AH755" s="40">
        <f>Y755-Z755</f>
        <v>96150</v>
      </c>
      <c r="AI755" s="242"/>
      <c r="AJ755" s="242"/>
      <c r="AK755" s="291"/>
      <c r="AL755" s="40">
        <f>AH755-AK755</f>
        <v>96150</v>
      </c>
      <c r="AM755" s="242">
        <f>IFERROR(EOMONTH(B755,0),"Pendente")</f>
        <v>45565</v>
      </c>
      <c r="AN755" s="242" t="str">
        <f>IF(AQ755="x","",IF(AQ755="x",AM755,IF(EOMONTH(I755,0)=31,"",EOMONTH(I755,0))))</f>
        <v/>
      </c>
      <c r="AO755" s="79">
        <f>IFERROR(IF(VLOOKUP(C755,C756:C1356,1,0)=0,1,0),1)</f>
        <v>1</v>
      </c>
      <c r="AP755" s="79"/>
      <c r="AQ755" s="243" t="str">
        <f>IF(MID(G755,1,15)="NAO ASSINADO","x","")</f>
        <v/>
      </c>
      <c r="AR755" s="242" t="b">
        <f>IF(AQ755="x",EOMONTH(I755,0))</f>
        <v>0</v>
      </c>
      <c r="AS755" s="79">
        <f>IF(AH755&lt;0,0,1)</f>
        <v>1</v>
      </c>
      <c r="AT755" s="79">
        <f>IF(AL755&lt;0,0,1)</f>
        <v>1</v>
      </c>
      <c r="AU755" s="79" t="str">
        <f>MID(E755,1,1)</f>
        <v>B</v>
      </c>
      <c r="AV755" s="79">
        <f>IF(AG755&lt;0,0,1)</f>
        <v>1</v>
      </c>
      <c r="AW755" s="79" t="str">
        <f>J755&amp;AU755</f>
        <v>4B</v>
      </c>
      <c r="AX755" s="79">
        <f>IF(COUNTIFS(J:J,"Integral",E:E,E755,H:H,"Ativo")=4,1/4,1/10)</f>
        <v>0.1</v>
      </c>
      <c r="AY755" s="79" t="s">
        <v>2133</v>
      </c>
      <c r="AZ755" s="79" t="b">
        <v>1</v>
      </c>
    </row>
    <row r="756" spans="1:52" ht="15.75" customHeight="1">
      <c r="A756" s="54">
        <v>785</v>
      </c>
      <c r="B756" s="406">
        <v>45536</v>
      </c>
      <c r="C756" s="351" t="s">
        <v>2310</v>
      </c>
      <c r="D756" s="32" t="s">
        <v>2311</v>
      </c>
      <c r="E756" s="32" t="s">
        <v>2312</v>
      </c>
      <c r="F756" s="32" t="s">
        <v>2313</v>
      </c>
      <c r="G756" s="60" t="s">
        <v>220</v>
      </c>
      <c r="H756" s="33" t="s">
        <v>90</v>
      </c>
      <c r="I756" s="34"/>
      <c r="J756" s="33" t="s">
        <v>1701</v>
      </c>
      <c r="K756" s="56" t="s">
        <v>221</v>
      </c>
      <c r="L756" s="56" t="s">
        <v>221</v>
      </c>
      <c r="M756" s="67" t="s">
        <v>222</v>
      </c>
      <c r="N756" s="33" t="s">
        <v>72</v>
      </c>
      <c r="O756" s="33" t="s">
        <v>11</v>
      </c>
      <c r="P756" s="33" t="s">
        <v>72</v>
      </c>
      <c r="Q756" s="47" t="s">
        <v>96</v>
      </c>
      <c r="R756" s="47"/>
      <c r="S756" s="45" t="s">
        <v>147</v>
      </c>
      <c r="T756" s="45"/>
      <c r="U756" s="37">
        <v>45530</v>
      </c>
      <c r="V756" s="38">
        <f>B756</f>
        <v>45536</v>
      </c>
      <c r="W756" s="50">
        <f>V756-U756</f>
        <v>6</v>
      </c>
      <c r="X756" s="294">
        <v>797322.01</v>
      </c>
      <c r="Y756" s="260">
        <v>962500</v>
      </c>
      <c r="Z756" s="260">
        <v>1197000</v>
      </c>
      <c r="AA756" s="56"/>
      <c r="AB756" s="43">
        <v>1</v>
      </c>
      <c r="AC756" s="295">
        <v>0</v>
      </c>
      <c r="AD756" s="62" t="s">
        <v>2314</v>
      </c>
      <c r="AE756" s="291"/>
      <c r="AF756" s="65"/>
      <c r="AG756" s="291">
        <v>543449.72</v>
      </c>
      <c r="AH756" s="40">
        <f>Y756-Z756</f>
        <v>-234500</v>
      </c>
      <c r="AI756" s="242"/>
      <c r="AJ756" s="242"/>
      <c r="AK756" s="291"/>
      <c r="AL756" s="40">
        <f>AH756-AK756</f>
        <v>-234500</v>
      </c>
      <c r="AM756" s="242">
        <f>IFERROR(EOMONTH(B756,0),"Pendente")</f>
        <v>45565</v>
      </c>
      <c r="AN756" s="242" t="str">
        <f>IF(AQ756="x","",IF(AQ756="x",AM756,IF(EOMONTH(I756,0)=31,"",EOMONTH(I756,0))))</f>
        <v/>
      </c>
      <c r="AO756" s="79">
        <f>IFERROR(IF(VLOOKUP(C756,C757:C1357,1,0)=0,1,0),1)</f>
        <v>0</v>
      </c>
      <c r="AP756" s="79"/>
      <c r="AQ756" s="243" t="str">
        <f>IF(MID(G756,1,15)="NAO ASSINADO","x","")</f>
        <v/>
      </c>
      <c r="AR756" s="242" t="b">
        <f>IF(AQ756="x",EOMONTH(I756,0))</f>
        <v>0</v>
      </c>
      <c r="AS756" s="79">
        <f>IF(AH756&lt;0,0,1)</f>
        <v>0</v>
      </c>
      <c r="AT756" s="79">
        <f>IF(AL756&lt;0,0,1)</f>
        <v>0</v>
      </c>
      <c r="AU756" s="79" t="str">
        <f>MID(E756,1,1)</f>
        <v>B</v>
      </c>
      <c r="AV756" s="79">
        <f>IF(AG756&lt;0,0,1)</f>
        <v>1</v>
      </c>
      <c r="AW756" s="79" t="str">
        <f>J756&amp;AU756</f>
        <v>INTEGRALB</v>
      </c>
      <c r="AX756" s="79">
        <f>IF(COUNTIFS(J:J,"Integral",E:E,E756,H:H,"Ativo")=4,1/4,1/10)</f>
        <v>0.25</v>
      </c>
      <c r="AY756" s="79" t="s">
        <v>1332</v>
      </c>
      <c r="AZ756" s="79" t="b">
        <v>1</v>
      </c>
    </row>
    <row r="757" spans="1:52" ht="15.75" customHeight="1">
      <c r="A757" s="54">
        <v>786</v>
      </c>
      <c r="B757" s="406">
        <v>45536</v>
      </c>
      <c r="C757" s="351" t="s">
        <v>2310</v>
      </c>
      <c r="D757" s="32" t="s">
        <v>2315</v>
      </c>
      <c r="E757" s="32" t="s">
        <v>2312</v>
      </c>
      <c r="F757" s="32" t="s">
        <v>2316</v>
      </c>
      <c r="G757" s="60" t="s">
        <v>220</v>
      </c>
      <c r="H757" s="33" t="s">
        <v>90</v>
      </c>
      <c r="I757" s="34"/>
      <c r="J757" s="33" t="s">
        <v>1701</v>
      </c>
      <c r="K757" s="56" t="s">
        <v>221</v>
      </c>
      <c r="L757" s="56" t="s">
        <v>221</v>
      </c>
      <c r="M757" s="67" t="s">
        <v>222</v>
      </c>
      <c r="N757" s="33" t="s">
        <v>72</v>
      </c>
      <c r="O757" s="33" t="s">
        <v>11</v>
      </c>
      <c r="P757" s="33" t="s">
        <v>72</v>
      </c>
      <c r="Q757" s="47" t="s">
        <v>96</v>
      </c>
      <c r="R757" s="47"/>
      <c r="S757" s="45" t="s">
        <v>147</v>
      </c>
      <c r="T757" s="45"/>
      <c r="U757" s="37">
        <v>45530</v>
      </c>
      <c r="V757" s="38">
        <f>B757</f>
        <v>45536</v>
      </c>
      <c r="W757" s="50">
        <f>V757-U757</f>
        <v>6</v>
      </c>
      <c r="X757" s="294">
        <v>797322.01</v>
      </c>
      <c r="Y757" s="260">
        <v>962500</v>
      </c>
      <c r="Z757" s="260">
        <v>1197000</v>
      </c>
      <c r="AA757" s="56"/>
      <c r="AB757" s="43">
        <v>1</v>
      </c>
      <c r="AC757" s="295">
        <v>0</v>
      </c>
      <c r="AD757" s="62" t="s">
        <v>2314</v>
      </c>
      <c r="AE757" s="291"/>
      <c r="AF757" s="65"/>
      <c r="AG757" s="291">
        <v>543449.69999999995</v>
      </c>
      <c r="AH757" s="40">
        <f>Y757-Z757</f>
        <v>-234500</v>
      </c>
      <c r="AI757" s="242"/>
      <c r="AJ757" s="242"/>
      <c r="AK757" s="291"/>
      <c r="AL757" s="40">
        <f>AH757-AK757</f>
        <v>-234500</v>
      </c>
      <c r="AM757" s="242">
        <f>IFERROR(EOMONTH(B757,0),"Pendente")</f>
        <v>45565</v>
      </c>
      <c r="AN757" s="242" t="str">
        <f>IF(AQ757="x","",IF(AQ757="x",AM757,IF(EOMONTH(I757,0)=31,"",EOMONTH(I757,0))))</f>
        <v/>
      </c>
      <c r="AO757" s="79">
        <f>IFERROR(IF(VLOOKUP(C757,C758:C1358,1,0)=0,1,0),1)</f>
        <v>0</v>
      </c>
      <c r="AP757" s="79"/>
      <c r="AQ757" s="243" t="str">
        <f>IF(MID(G757,1,15)="NAO ASSINADO","x","")</f>
        <v/>
      </c>
      <c r="AR757" s="242" t="b">
        <f>IF(AQ757="x",EOMONTH(I757,0))</f>
        <v>0</v>
      </c>
      <c r="AS757" s="79">
        <f>IF(AH757&lt;0,0,1)</f>
        <v>0</v>
      </c>
      <c r="AT757" s="79">
        <f>IF(AL757&lt;0,0,1)</f>
        <v>0</v>
      </c>
      <c r="AU757" s="79" t="str">
        <f>MID(E757,1,1)</f>
        <v>B</v>
      </c>
      <c r="AV757" s="79">
        <f>IF(AG757&lt;0,0,1)</f>
        <v>1</v>
      </c>
      <c r="AW757" s="79" t="str">
        <f>J757&amp;AU757</f>
        <v>INTEGRALB</v>
      </c>
      <c r="AX757" s="79">
        <f>IF(COUNTIFS(J:J,"Integral",E:E,E757,H:H,"Ativo")=4,1/4,1/10)</f>
        <v>0.25</v>
      </c>
      <c r="AY757" s="79" t="s">
        <v>1332</v>
      </c>
      <c r="AZ757" s="79" t="b">
        <v>1</v>
      </c>
    </row>
    <row r="758" spans="1:52" ht="15.75" customHeight="1">
      <c r="A758" s="54">
        <v>787</v>
      </c>
      <c r="B758" s="406">
        <v>45536</v>
      </c>
      <c r="C758" s="351" t="s">
        <v>2310</v>
      </c>
      <c r="D758" s="32" t="s">
        <v>2317</v>
      </c>
      <c r="E758" s="32" t="s">
        <v>2312</v>
      </c>
      <c r="F758" s="32" t="s">
        <v>2318</v>
      </c>
      <c r="G758" s="60" t="s">
        <v>220</v>
      </c>
      <c r="H758" s="33" t="s">
        <v>90</v>
      </c>
      <c r="I758" s="34"/>
      <c r="J758" s="33" t="s">
        <v>1701</v>
      </c>
      <c r="K758" s="56" t="s">
        <v>221</v>
      </c>
      <c r="L758" s="56" t="s">
        <v>221</v>
      </c>
      <c r="M758" s="67" t="s">
        <v>222</v>
      </c>
      <c r="N758" s="33" t="s">
        <v>72</v>
      </c>
      <c r="O758" s="33" t="s">
        <v>11</v>
      </c>
      <c r="P758" s="33" t="s">
        <v>72</v>
      </c>
      <c r="Q758" s="47" t="s">
        <v>96</v>
      </c>
      <c r="R758" s="47"/>
      <c r="S758" s="45" t="s">
        <v>147</v>
      </c>
      <c r="T758" s="45"/>
      <c r="U758" s="37">
        <v>45530</v>
      </c>
      <c r="V758" s="38">
        <f>B758</f>
        <v>45536</v>
      </c>
      <c r="W758" s="50">
        <f>V758-U758</f>
        <v>6</v>
      </c>
      <c r="X758" s="294">
        <v>797322.01</v>
      </c>
      <c r="Y758" s="260">
        <v>962500</v>
      </c>
      <c r="Z758" s="260">
        <v>1197000</v>
      </c>
      <c r="AA758" s="56"/>
      <c r="AB758" s="43">
        <v>1</v>
      </c>
      <c r="AC758" s="295">
        <v>0</v>
      </c>
      <c r="AD758" s="62" t="s">
        <v>2314</v>
      </c>
      <c r="AE758" s="291"/>
      <c r="AF758" s="65"/>
      <c r="AG758" s="291">
        <v>543449.69999999995</v>
      </c>
      <c r="AH758" s="40">
        <f>Y758-Z758</f>
        <v>-234500</v>
      </c>
      <c r="AI758" s="242"/>
      <c r="AJ758" s="242"/>
      <c r="AK758" s="291"/>
      <c r="AL758" s="40">
        <f>AH758-AK758</f>
        <v>-234500</v>
      </c>
      <c r="AM758" s="242">
        <f>IFERROR(EOMONTH(B758,0),"Pendente")</f>
        <v>45565</v>
      </c>
      <c r="AN758" s="242" t="str">
        <f>IF(AQ758="x","",IF(AQ758="x",AM758,IF(EOMONTH(I758,0)=31,"",EOMONTH(I758,0))))</f>
        <v/>
      </c>
      <c r="AO758" s="79">
        <f>IFERROR(IF(VLOOKUP(C758,C759:C1359,1,0)=0,1,0),1)</f>
        <v>0</v>
      </c>
      <c r="AP758" s="79"/>
      <c r="AQ758" s="243" t="str">
        <f>IF(MID(G758,1,15)="NAO ASSINADO","x","")</f>
        <v/>
      </c>
      <c r="AR758" s="242" t="b">
        <f>IF(AQ758="x",EOMONTH(I758,0))</f>
        <v>0</v>
      </c>
      <c r="AS758" s="79">
        <f>IF(AH758&lt;0,0,1)</f>
        <v>0</v>
      </c>
      <c r="AT758" s="79">
        <f>IF(AL758&lt;0,0,1)</f>
        <v>0</v>
      </c>
      <c r="AU758" s="79" t="str">
        <f>MID(E758,1,1)</f>
        <v>B</v>
      </c>
      <c r="AV758" s="79">
        <f>IF(AG758&lt;0,0,1)</f>
        <v>1</v>
      </c>
      <c r="AW758" s="79" t="str">
        <f>J758&amp;AU758</f>
        <v>INTEGRALB</v>
      </c>
      <c r="AX758" s="79">
        <f>IF(COUNTIFS(J:J,"Integral",E:E,E758,H:H,"Ativo")=4,1/4,1/10)</f>
        <v>0.25</v>
      </c>
      <c r="AY758" s="79" t="s">
        <v>1332</v>
      </c>
      <c r="AZ758" s="79" t="b">
        <v>1</v>
      </c>
    </row>
    <row r="759" spans="1:52" ht="15.75" customHeight="1">
      <c r="A759" s="54">
        <v>788</v>
      </c>
      <c r="B759" s="406">
        <v>45536</v>
      </c>
      <c r="C759" s="351" t="s">
        <v>2310</v>
      </c>
      <c r="D759" s="32" t="s">
        <v>2319</v>
      </c>
      <c r="E759" s="32" t="s">
        <v>2312</v>
      </c>
      <c r="F759" s="32" t="s">
        <v>2320</v>
      </c>
      <c r="G759" s="60" t="s">
        <v>220</v>
      </c>
      <c r="H759" s="33" t="s">
        <v>90</v>
      </c>
      <c r="I759" s="34"/>
      <c r="J759" s="33" t="s">
        <v>1701</v>
      </c>
      <c r="K759" s="56" t="s">
        <v>221</v>
      </c>
      <c r="L759" s="56" t="s">
        <v>221</v>
      </c>
      <c r="M759" s="67" t="s">
        <v>222</v>
      </c>
      <c r="N759" s="33" t="s">
        <v>72</v>
      </c>
      <c r="O759" s="33" t="s">
        <v>11</v>
      </c>
      <c r="P759" s="33" t="s">
        <v>72</v>
      </c>
      <c r="Q759" s="47" t="s">
        <v>96</v>
      </c>
      <c r="R759" s="47"/>
      <c r="S759" s="45" t="s">
        <v>147</v>
      </c>
      <c r="T759" s="45"/>
      <c r="U759" s="37">
        <v>45530</v>
      </c>
      <c r="V759" s="38">
        <f>B759</f>
        <v>45536</v>
      </c>
      <c r="W759" s="50">
        <f>V759-U759</f>
        <v>6</v>
      </c>
      <c r="X759" s="294">
        <v>797322.01</v>
      </c>
      <c r="Y759" s="260">
        <v>962500</v>
      </c>
      <c r="Z759" s="260">
        <v>1197000</v>
      </c>
      <c r="AA759" s="56"/>
      <c r="AB759" s="43">
        <v>1</v>
      </c>
      <c r="AC759" s="295">
        <v>0</v>
      </c>
      <c r="AD759" s="62" t="s">
        <v>2314</v>
      </c>
      <c r="AE759" s="291"/>
      <c r="AF759" s="65"/>
      <c r="AG759" s="291">
        <v>543449.69999999995</v>
      </c>
      <c r="AH759" s="40">
        <f>Y759-Z759</f>
        <v>-234500</v>
      </c>
      <c r="AI759" s="242"/>
      <c r="AJ759" s="242"/>
      <c r="AK759" s="291"/>
      <c r="AL759" s="40">
        <f>AH759-AK759</f>
        <v>-234500</v>
      </c>
      <c r="AM759" s="242">
        <f>IFERROR(EOMONTH(B759,0),"Pendente")</f>
        <v>45565</v>
      </c>
      <c r="AN759" s="242" t="str">
        <f>IF(AQ759="x","",IF(AQ759="x",AM759,IF(EOMONTH(I759,0)=31,"",EOMONTH(I759,0))))</f>
        <v/>
      </c>
      <c r="AO759" s="79">
        <f>IFERROR(IF(VLOOKUP(C759,C760:C1360,1,0)=0,1,0),1)</f>
        <v>1</v>
      </c>
      <c r="AP759" s="79"/>
      <c r="AQ759" s="243" t="str">
        <f>IF(MID(G759,1,15)="NAO ASSINADO","x","")</f>
        <v/>
      </c>
      <c r="AR759" s="242" t="b">
        <f>IF(AQ759="x",EOMONTH(I759,0))</f>
        <v>0</v>
      </c>
      <c r="AS759" s="79">
        <f>IF(AH759&lt;0,0,1)</f>
        <v>0</v>
      </c>
      <c r="AT759" s="79">
        <f>IF(AL759&lt;0,0,1)</f>
        <v>0</v>
      </c>
      <c r="AU759" s="79" t="str">
        <f>MID(E759,1,1)</f>
        <v>B</v>
      </c>
      <c r="AV759" s="79">
        <f>IF(AG759&lt;0,0,1)</f>
        <v>1</v>
      </c>
      <c r="AW759" s="79" t="str">
        <f>J759&amp;AU759</f>
        <v>INTEGRALB</v>
      </c>
      <c r="AX759" s="79">
        <f>IF(COUNTIFS(J:J,"Integral",E:E,E759,H:H,"Ativo")=4,1/4,1/10)</f>
        <v>0.25</v>
      </c>
      <c r="AY759" s="79" t="s">
        <v>1332</v>
      </c>
      <c r="AZ759" s="79" t="b">
        <v>1</v>
      </c>
    </row>
    <row r="760" spans="1:52" ht="15.75" customHeight="1">
      <c r="A760" s="54">
        <v>897</v>
      </c>
      <c r="B760" s="405">
        <v>45614</v>
      </c>
      <c r="C760" s="351" t="s">
        <v>2321</v>
      </c>
      <c r="D760" s="32" t="s">
        <v>2322</v>
      </c>
      <c r="E760" s="32" t="s">
        <v>2323</v>
      </c>
      <c r="F760" s="32" t="s">
        <v>2324</v>
      </c>
      <c r="G760" s="60" t="s">
        <v>220</v>
      </c>
      <c r="H760" s="33" t="s">
        <v>90</v>
      </c>
      <c r="I760" s="34"/>
      <c r="J760" s="33">
        <v>6</v>
      </c>
      <c r="K760" s="56" t="s">
        <v>1165</v>
      </c>
      <c r="L760" s="56" t="s">
        <v>1165</v>
      </c>
      <c r="M760" s="386" t="s">
        <v>1026</v>
      </c>
      <c r="N760" s="33" t="s">
        <v>68</v>
      </c>
      <c r="O760" s="33" t="s">
        <v>11</v>
      </c>
      <c r="P760" s="33" t="s">
        <v>2</v>
      </c>
      <c r="Q760" s="47" t="s">
        <v>103</v>
      </c>
      <c r="R760" s="47"/>
      <c r="S760" s="45" t="s">
        <v>147</v>
      </c>
      <c r="T760" s="45"/>
      <c r="U760" s="37">
        <v>45613</v>
      </c>
      <c r="V760" s="38">
        <f>B760</f>
        <v>45614</v>
      </c>
      <c r="W760" s="50">
        <f>V760-U760</f>
        <v>1</v>
      </c>
      <c r="X760" s="260">
        <v>476406.13</v>
      </c>
      <c r="Y760" s="260">
        <v>501655.65</v>
      </c>
      <c r="Z760" s="260">
        <v>468000</v>
      </c>
      <c r="AA760" s="56"/>
      <c r="AB760" s="43">
        <v>2.7799999999999998E-2</v>
      </c>
      <c r="AC760" s="295">
        <v>0</v>
      </c>
      <c r="AD760" s="62" t="s">
        <v>2325</v>
      </c>
      <c r="AE760" s="291"/>
      <c r="AF760" s="40"/>
      <c r="AG760" s="291">
        <v>13891.31</v>
      </c>
      <c r="AH760" s="40">
        <f>Y760-Z760</f>
        <v>33655.650000000023</v>
      </c>
      <c r="AI760" s="242"/>
      <c r="AJ760" s="242"/>
      <c r="AK760" s="291"/>
      <c r="AL760" s="40">
        <f>AH760-AK760</f>
        <v>33655.650000000023</v>
      </c>
      <c r="AM760" s="242">
        <f>IFERROR(EOMONTH(B760,0),"Pendente")</f>
        <v>45626</v>
      </c>
      <c r="AN760" s="242" t="str">
        <f>IF(AQ760="x","",IF(AQ760="x",AM760,IF(EOMONTH(I760,0)=31,"",EOMONTH(I760,0))))</f>
        <v/>
      </c>
      <c r="AO760" s="364">
        <f>IFERROR(IF(VLOOKUP(C760,C761:C1361,1,0)=0,1,0),1)</f>
        <v>0</v>
      </c>
      <c r="AP760" s="364"/>
      <c r="AQ760" s="243" t="str">
        <f>IF(MID(G760,1,15)="NAO ASSINADO","x","")</f>
        <v/>
      </c>
      <c r="AR760" s="242" t="b">
        <f>IF(AQ760="x",EOMONTH(I760,0))</f>
        <v>0</v>
      </c>
      <c r="AS760" s="79">
        <f>IF(AH760&lt;0,0,1)</f>
        <v>1</v>
      </c>
      <c r="AT760" s="79">
        <f>IF(AL760&lt;0,0,1)</f>
        <v>1</v>
      </c>
      <c r="AU760" s="79" t="str">
        <f>MID(E760,1,1)</f>
        <v>C</v>
      </c>
      <c r="AV760" s="79">
        <f>IF(AG760&lt;0,0,1)</f>
        <v>1</v>
      </c>
      <c r="AW760" s="79" t="str">
        <f>J760&amp;AU760</f>
        <v>6C</v>
      </c>
      <c r="AX760" s="79">
        <f>IF(COUNTIFS(J:J,"Integral",E:E,E760,H:H,"Ativo")=4,1/4,1/10)</f>
        <v>0.1</v>
      </c>
      <c r="AY760" s="79" t="s">
        <v>2133</v>
      </c>
      <c r="AZ760" s="79" t="b">
        <v>1</v>
      </c>
    </row>
    <row r="761" spans="1:52" ht="15.75" customHeight="1">
      <c r="A761" s="54">
        <v>790</v>
      </c>
      <c r="B761" s="406">
        <v>45530</v>
      </c>
      <c r="C761" s="32" t="s">
        <v>2326</v>
      </c>
      <c r="D761" s="32" t="s">
        <v>2327</v>
      </c>
      <c r="E761" s="32" t="s">
        <v>2328</v>
      </c>
      <c r="F761" s="32" t="s">
        <v>2329</v>
      </c>
      <c r="G761" s="60" t="s">
        <v>220</v>
      </c>
      <c r="H761" s="33" t="s">
        <v>90</v>
      </c>
      <c r="I761" s="34"/>
      <c r="J761" s="33" t="s">
        <v>1701</v>
      </c>
      <c r="K761" s="56" t="s">
        <v>1154</v>
      </c>
      <c r="L761" s="56" t="s">
        <v>1154</v>
      </c>
      <c r="M761" s="386" t="s">
        <v>246</v>
      </c>
      <c r="N761" s="33" t="s">
        <v>68</v>
      </c>
      <c r="O761" s="33" t="s">
        <v>11</v>
      </c>
      <c r="P761" s="33" t="s">
        <v>1</v>
      </c>
      <c r="Q761" s="47"/>
      <c r="R761" s="47"/>
      <c r="S761" s="45" t="s">
        <v>145</v>
      </c>
      <c r="T761" s="45"/>
      <c r="U761" s="37">
        <v>45489</v>
      </c>
      <c r="V761" s="38">
        <f>B761</f>
        <v>45530</v>
      </c>
      <c r="W761" s="50">
        <f>V761-U761</f>
        <v>41</v>
      </c>
      <c r="X761" s="294">
        <v>316900.64</v>
      </c>
      <c r="Y761" s="260">
        <v>330000</v>
      </c>
      <c r="Z761" s="260">
        <v>300000</v>
      </c>
      <c r="AA761" s="56"/>
      <c r="AB761" s="43">
        <v>2.5000000000000001E-2</v>
      </c>
      <c r="AC761" s="295">
        <v>0</v>
      </c>
      <c r="AD761" s="62" t="s">
        <v>2330</v>
      </c>
      <c r="AE761" s="291"/>
      <c r="AF761" s="65"/>
      <c r="AG761" s="291"/>
      <c r="AH761" s="40">
        <f>Y761-Z761</f>
        <v>30000</v>
      </c>
      <c r="AI761" s="242"/>
      <c r="AJ761" s="242"/>
      <c r="AK761" s="291">
        <v>48.43</v>
      </c>
      <c r="AL761" s="40">
        <f>AH761-AK761</f>
        <v>29951.57</v>
      </c>
      <c r="AM761" s="242">
        <f>IFERROR(EOMONTH(B761,0),"Pendente")</f>
        <v>45535</v>
      </c>
      <c r="AN761" s="242" t="str">
        <f>IF(AQ761="x","",IF(AQ761="x",AM761,IF(EOMONTH(I761,0)=31,"",EOMONTH(I761,0))))</f>
        <v/>
      </c>
      <c r="AO761" s="384">
        <v>0</v>
      </c>
      <c r="AP761" s="384"/>
      <c r="AQ761" s="243" t="str">
        <f>IF(MID(G761,1,15)="NAO ASSINADO","x","")</f>
        <v/>
      </c>
      <c r="AR761" s="242" t="b">
        <f>IF(AQ761="x",EOMONTH(I761,0))</f>
        <v>0</v>
      </c>
      <c r="AS761" s="79">
        <f>IF(AH761&lt;0,0,1)</f>
        <v>1</v>
      </c>
      <c r="AT761" s="79">
        <f>IF(AL761&lt;0,0,1)</f>
        <v>1</v>
      </c>
      <c r="AU761" s="79" t="str">
        <f>MID(E761,1,1)</f>
        <v>B</v>
      </c>
      <c r="AV761" s="79">
        <f>IF(AG761&lt;0,0,1)</f>
        <v>1</v>
      </c>
      <c r="AW761" s="79" t="str">
        <f>J761&amp;AU761</f>
        <v>INTEGRALB</v>
      </c>
      <c r="AX761" s="79">
        <f>IF(COUNTIFS(J:J,"Integral",E:E,E761,H:H,"Ativo")=4,1/4,1/10)</f>
        <v>0.1</v>
      </c>
      <c r="AY761" s="79" t="s">
        <v>2133</v>
      </c>
      <c r="AZ761" s="79" t="b">
        <v>0</v>
      </c>
    </row>
    <row r="762" spans="1:52" ht="15.75" customHeight="1">
      <c r="A762" s="54">
        <v>791</v>
      </c>
      <c r="B762" s="406">
        <v>45530</v>
      </c>
      <c r="C762" s="32" t="s">
        <v>2326</v>
      </c>
      <c r="D762" s="32" t="s">
        <v>2331</v>
      </c>
      <c r="E762" s="32" t="s">
        <v>2328</v>
      </c>
      <c r="F762" s="32" t="s">
        <v>2332</v>
      </c>
      <c r="G762" s="60" t="s">
        <v>220</v>
      </c>
      <c r="H762" s="33" t="s">
        <v>90</v>
      </c>
      <c r="I762" s="34"/>
      <c r="J762" s="33" t="s">
        <v>1701</v>
      </c>
      <c r="K762" s="56" t="s">
        <v>1154</v>
      </c>
      <c r="L762" s="56" t="s">
        <v>1154</v>
      </c>
      <c r="M762" s="386" t="s">
        <v>246</v>
      </c>
      <c r="N762" s="33" t="s">
        <v>68</v>
      </c>
      <c r="O762" s="33" t="s">
        <v>11</v>
      </c>
      <c r="P762" s="33" t="s">
        <v>1</v>
      </c>
      <c r="Q762" s="47"/>
      <c r="R762" s="47"/>
      <c r="S762" s="45" t="s">
        <v>145</v>
      </c>
      <c r="T762" s="45"/>
      <c r="U762" s="37">
        <v>45489</v>
      </c>
      <c r="V762" s="38">
        <f>B762</f>
        <v>45530</v>
      </c>
      <c r="W762" s="50">
        <f>V762-U762</f>
        <v>41</v>
      </c>
      <c r="X762" s="294">
        <v>316900.64</v>
      </c>
      <c r="Y762" s="260">
        <v>330000</v>
      </c>
      <c r="Z762" s="260">
        <v>300000</v>
      </c>
      <c r="AA762" s="56"/>
      <c r="AB762" s="43">
        <v>2.5000000000000001E-2</v>
      </c>
      <c r="AC762" s="295">
        <v>0</v>
      </c>
      <c r="AD762" s="62" t="s">
        <v>2330</v>
      </c>
      <c r="AE762" s="291"/>
      <c r="AF762" s="65"/>
      <c r="AG762" s="291"/>
      <c r="AH762" s="40">
        <f>Y762-Z762</f>
        <v>30000</v>
      </c>
      <c r="AI762" s="242"/>
      <c r="AJ762" s="242"/>
      <c r="AK762" s="291">
        <v>48.43</v>
      </c>
      <c r="AL762" s="40">
        <f>AH762-AK762</f>
        <v>29951.57</v>
      </c>
      <c r="AM762" s="242">
        <f>IFERROR(EOMONTH(B762,0),"Pendente")</f>
        <v>45535</v>
      </c>
      <c r="AN762" s="242" t="str">
        <f>IF(AQ762="x","",IF(AQ762="x",AM762,IF(EOMONTH(I762,0)=31,"",EOMONTH(I762,0))))</f>
        <v/>
      </c>
      <c r="AO762" s="79">
        <f>IFERROR(IF(VLOOKUP(C762,C763:C1363,1,0)=0,1,0),1)</f>
        <v>0</v>
      </c>
      <c r="AP762" s="79"/>
      <c r="AQ762" s="243" t="str">
        <f>IF(MID(G762,1,15)="NAO ASSINADO","x","")</f>
        <v/>
      </c>
      <c r="AR762" s="242" t="b">
        <f>IF(AQ762="x",EOMONTH(I762,0))</f>
        <v>0</v>
      </c>
      <c r="AS762" s="79">
        <f>IF(AH762&lt;0,0,1)</f>
        <v>1</v>
      </c>
      <c r="AT762" s="79">
        <f>IF(AL762&lt;0,0,1)</f>
        <v>1</v>
      </c>
      <c r="AU762" s="79" t="str">
        <f>MID(E762,1,1)</f>
        <v>B</v>
      </c>
      <c r="AV762" s="79">
        <f>IF(AG762&lt;0,0,1)</f>
        <v>1</v>
      </c>
      <c r="AW762" s="79" t="str">
        <f>J762&amp;AU762</f>
        <v>INTEGRALB</v>
      </c>
      <c r="AX762" s="79">
        <f>IF(COUNTIFS(J:J,"Integral",E:E,E762,H:H,"Ativo")=4,1/4,1/10)</f>
        <v>0.1</v>
      </c>
      <c r="AY762" s="79" t="s">
        <v>2133</v>
      </c>
      <c r="AZ762" s="79" t="b">
        <v>0</v>
      </c>
    </row>
    <row r="763" spans="1:52" ht="15.75" customHeight="1">
      <c r="A763" s="54">
        <v>792</v>
      </c>
      <c r="B763" s="406">
        <v>45530</v>
      </c>
      <c r="C763" s="32" t="s">
        <v>2326</v>
      </c>
      <c r="D763" s="32" t="s">
        <v>2333</v>
      </c>
      <c r="E763" s="32" t="s">
        <v>2328</v>
      </c>
      <c r="F763" s="32" t="s">
        <v>2334</v>
      </c>
      <c r="G763" s="60" t="s">
        <v>220</v>
      </c>
      <c r="H763" s="33" t="s">
        <v>90</v>
      </c>
      <c r="I763" s="34"/>
      <c r="J763" s="33" t="s">
        <v>1701</v>
      </c>
      <c r="K763" s="56" t="s">
        <v>1154</v>
      </c>
      <c r="L763" s="56" t="s">
        <v>1154</v>
      </c>
      <c r="M763" s="386" t="s">
        <v>246</v>
      </c>
      <c r="N763" s="33" t="s">
        <v>68</v>
      </c>
      <c r="O763" s="33" t="s">
        <v>11</v>
      </c>
      <c r="P763" s="33" t="s">
        <v>1</v>
      </c>
      <c r="Q763" s="47"/>
      <c r="R763" s="47"/>
      <c r="S763" s="45" t="s">
        <v>145</v>
      </c>
      <c r="T763" s="45"/>
      <c r="U763" s="37">
        <v>45489</v>
      </c>
      <c r="V763" s="38">
        <f>B763</f>
        <v>45530</v>
      </c>
      <c r="W763" s="50">
        <f>V763-U763</f>
        <v>41</v>
      </c>
      <c r="X763" s="294">
        <v>316900.64</v>
      </c>
      <c r="Y763" s="260">
        <v>330000</v>
      </c>
      <c r="Z763" s="260">
        <v>300000</v>
      </c>
      <c r="AA763" s="56"/>
      <c r="AB763" s="43">
        <v>2.5000000000000001E-2</v>
      </c>
      <c r="AC763" s="295">
        <v>0</v>
      </c>
      <c r="AD763" s="62" t="s">
        <v>2330</v>
      </c>
      <c r="AE763" s="291"/>
      <c r="AF763" s="65"/>
      <c r="AG763" s="291"/>
      <c r="AH763" s="40">
        <f>Y763-Z763</f>
        <v>30000</v>
      </c>
      <c r="AI763" s="242"/>
      <c r="AJ763" s="242"/>
      <c r="AK763" s="291">
        <v>48.43</v>
      </c>
      <c r="AL763" s="40">
        <f>AH763-AK763</f>
        <v>29951.57</v>
      </c>
      <c r="AM763" s="242">
        <f>IFERROR(EOMONTH(B763,0),"Pendente")</f>
        <v>45535</v>
      </c>
      <c r="AN763" s="242" t="str">
        <f>IF(AQ763="x","",IF(AQ763="x",AM763,IF(EOMONTH(I763,0)=31,"",EOMONTH(I763,0))))</f>
        <v/>
      </c>
      <c r="AO763" s="79">
        <f>IFERROR(IF(VLOOKUP(C763,C764:C1364,1,0)=0,1,0),1)</f>
        <v>0</v>
      </c>
      <c r="AP763" s="79"/>
      <c r="AQ763" s="243" t="str">
        <f>IF(MID(G763,1,15)="NAO ASSINADO","x","")</f>
        <v/>
      </c>
      <c r="AR763" s="242" t="b">
        <f>IF(AQ763="x",EOMONTH(I763,0))</f>
        <v>0</v>
      </c>
      <c r="AS763" s="79">
        <f>IF(AH763&lt;0,0,1)</f>
        <v>1</v>
      </c>
      <c r="AT763" s="79">
        <f>IF(AL763&lt;0,0,1)</f>
        <v>1</v>
      </c>
      <c r="AU763" s="79" t="str">
        <f>MID(E763,1,1)</f>
        <v>B</v>
      </c>
      <c r="AV763" s="79">
        <f>IF(AG763&lt;0,0,1)</f>
        <v>1</v>
      </c>
      <c r="AW763" s="79" t="str">
        <f>J763&amp;AU763</f>
        <v>INTEGRALB</v>
      </c>
      <c r="AX763" s="79">
        <f>IF(COUNTIFS(J:J,"Integral",E:E,E763,H:H,"Ativo")=4,1/4,1/10)</f>
        <v>0.1</v>
      </c>
      <c r="AY763" s="79" t="s">
        <v>2133</v>
      </c>
      <c r="AZ763" s="79" t="b">
        <v>0</v>
      </c>
    </row>
    <row r="764" spans="1:52" ht="15.75" customHeight="1">
      <c r="A764" s="54">
        <v>793</v>
      </c>
      <c r="B764" s="406">
        <v>45530</v>
      </c>
      <c r="C764" s="32" t="s">
        <v>2326</v>
      </c>
      <c r="D764" s="32" t="s">
        <v>2335</v>
      </c>
      <c r="E764" s="32" t="s">
        <v>2328</v>
      </c>
      <c r="F764" s="32" t="s">
        <v>2336</v>
      </c>
      <c r="G764" s="60" t="s">
        <v>220</v>
      </c>
      <c r="H764" s="33" t="s">
        <v>90</v>
      </c>
      <c r="I764" s="34"/>
      <c r="J764" s="33" t="s">
        <v>1701</v>
      </c>
      <c r="K764" s="56" t="s">
        <v>1154</v>
      </c>
      <c r="L764" s="56" t="s">
        <v>1154</v>
      </c>
      <c r="M764" s="386" t="s">
        <v>246</v>
      </c>
      <c r="N764" s="33" t="s">
        <v>68</v>
      </c>
      <c r="O764" s="33" t="s">
        <v>11</v>
      </c>
      <c r="P764" s="33" t="s">
        <v>1</v>
      </c>
      <c r="Q764" s="47"/>
      <c r="R764" s="47"/>
      <c r="S764" s="45" t="s">
        <v>145</v>
      </c>
      <c r="T764" s="45"/>
      <c r="U764" s="37">
        <v>45489</v>
      </c>
      <c r="V764" s="38">
        <f>B764</f>
        <v>45530</v>
      </c>
      <c r="W764" s="50">
        <f>V764-U764</f>
        <v>41</v>
      </c>
      <c r="X764" s="294">
        <v>316900.64</v>
      </c>
      <c r="Y764" s="260">
        <v>330000</v>
      </c>
      <c r="Z764" s="260">
        <v>300000</v>
      </c>
      <c r="AA764" s="56"/>
      <c r="AB764" s="43">
        <v>2.5000000000000001E-2</v>
      </c>
      <c r="AC764" s="295">
        <v>0</v>
      </c>
      <c r="AD764" s="62" t="s">
        <v>2330</v>
      </c>
      <c r="AE764" s="291"/>
      <c r="AF764" s="65"/>
      <c r="AG764" s="291"/>
      <c r="AH764" s="40">
        <f>Y764-Z764</f>
        <v>30000</v>
      </c>
      <c r="AI764" s="242"/>
      <c r="AJ764" s="242"/>
      <c r="AK764" s="291">
        <v>48.43</v>
      </c>
      <c r="AL764" s="40">
        <f>AH764-AK764</f>
        <v>29951.57</v>
      </c>
      <c r="AM764" s="242">
        <f>IFERROR(EOMONTH(B764,0),"Pendente")</f>
        <v>45535</v>
      </c>
      <c r="AN764" s="242" t="str">
        <f>IF(AQ764="x","",IF(AQ764="x",AM764,IF(EOMONTH(I764,0)=31,"",EOMONTH(I764,0))))</f>
        <v/>
      </c>
      <c r="AO764" s="79">
        <f>IFERROR(IF(VLOOKUP(C764,C765:C1365,1,0)=0,1,0),1)</f>
        <v>0</v>
      </c>
      <c r="AP764" s="79"/>
      <c r="AQ764" s="243" t="str">
        <f>IF(MID(G764,1,15)="NAO ASSINADO","x","")</f>
        <v/>
      </c>
      <c r="AR764" s="242" t="b">
        <f>IF(AQ764="x",EOMONTH(I764,0))</f>
        <v>0</v>
      </c>
      <c r="AS764" s="79">
        <f>IF(AH764&lt;0,0,1)</f>
        <v>1</v>
      </c>
      <c r="AT764" s="79">
        <f>IF(AL764&lt;0,0,1)</f>
        <v>1</v>
      </c>
      <c r="AU764" s="79" t="str">
        <f>MID(E764,1,1)</f>
        <v>B</v>
      </c>
      <c r="AV764" s="79">
        <f>IF(AG764&lt;0,0,1)</f>
        <v>1</v>
      </c>
      <c r="AW764" s="79" t="str">
        <f>J764&amp;AU764</f>
        <v>INTEGRALB</v>
      </c>
      <c r="AX764" s="79">
        <f>IF(COUNTIFS(J:J,"Integral",E:E,E764,H:H,"Ativo")=4,1/4,1/10)</f>
        <v>0.1</v>
      </c>
      <c r="AY764" s="79" t="s">
        <v>2133</v>
      </c>
      <c r="AZ764" s="79" t="b">
        <v>0</v>
      </c>
    </row>
    <row r="765" spans="1:52" ht="15.75" customHeight="1">
      <c r="A765" s="54">
        <v>794</v>
      </c>
      <c r="B765" s="406">
        <v>45530</v>
      </c>
      <c r="C765" s="32" t="s">
        <v>2326</v>
      </c>
      <c r="D765" s="32" t="s">
        <v>2337</v>
      </c>
      <c r="E765" s="32" t="s">
        <v>2328</v>
      </c>
      <c r="F765" s="32" t="s">
        <v>2338</v>
      </c>
      <c r="G765" s="60" t="s">
        <v>220</v>
      </c>
      <c r="H765" s="33" t="s">
        <v>90</v>
      </c>
      <c r="I765" s="34"/>
      <c r="J765" s="33" t="s">
        <v>1701</v>
      </c>
      <c r="K765" s="56" t="s">
        <v>1154</v>
      </c>
      <c r="L765" s="56" t="s">
        <v>1154</v>
      </c>
      <c r="M765" s="386" t="s">
        <v>246</v>
      </c>
      <c r="N765" s="33" t="s">
        <v>68</v>
      </c>
      <c r="O765" s="33" t="s">
        <v>11</v>
      </c>
      <c r="P765" s="33" t="s">
        <v>1</v>
      </c>
      <c r="Q765" s="47"/>
      <c r="R765" s="47"/>
      <c r="S765" s="45" t="s">
        <v>145</v>
      </c>
      <c r="T765" s="45"/>
      <c r="U765" s="37">
        <v>45489</v>
      </c>
      <c r="V765" s="38">
        <f>B765</f>
        <v>45530</v>
      </c>
      <c r="W765" s="50">
        <f>V765-U765</f>
        <v>41</v>
      </c>
      <c r="X765" s="294">
        <v>316900.64</v>
      </c>
      <c r="Y765" s="260">
        <v>330000</v>
      </c>
      <c r="Z765" s="260">
        <v>300000</v>
      </c>
      <c r="AA765" s="56"/>
      <c r="AB765" s="43">
        <v>2.5000000000000001E-2</v>
      </c>
      <c r="AC765" s="295">
        <v>0</v>
      </c>
      <c r="AD765" s="62" t="s">
        <v>2330</v>
      </c>
      <c r="AE765" s="291"/>
      <c r="AF765" s="65"/>
      <c r="AG765" s="291"/>
      <c r="AH765" s="40">
        <f>Y765-Z765</f>
        <v>30000</v>
      </c>
      <c r="AI765" s="242"/>
      <c r="AJ765" s="242"/>
      <c r="AK765" s="291">
        <v>48.43</v>
      </c>
      <c r="AL765" s="40">
        <f>AH765-AK765</f>
        <v>29951.57</v>
      </c>
      <c r="AM765" s="242">
        <f>IFERROR(EOMONTH(B765,0),"Pendente")</f>
        <v>45535</v>
      </c>
      <c r="AN765" s="242" t="str">
        <f>IF(AQ765="x","",IF(AQ765="x",AM765,IF(EOMONTH(I765,0)=31,"",EOMONTH(I765,0))))</f>
        <v/>
      </c>
      <c r="AO765" s="79">
        <f>IFERROR(IF(VLOOKUP(C765,C766:C1366,1,0)=0,1,0),1)</f>
        <v>0</v>
      </c>
      <c r="AP765" s="79"/>
      <c r="AQ765" s="243" t="str">
        <f>IF(MID(G765,1,15)="NAO ASSINADO","x","")</f>
        <v/>
      </c>
      <c r="AR765" s="242" t="b">
        <f>IF(AQ765="x",EOMONTH(I765,0))</f>
        <v>0</v>
      </c>
      <c r="AS765" s="79">
        <f>IF(AH765&lt;0,0,1)</f>
        <v>1</v>
      </c>
      <c r="AT765" s="79">
        <f>IF(AL765&lt;0,0,1)</f>
        <v>1</v>
      </c>
      <c r="AU765" s="79" t="str">
        <f>MID(E765,1,1)</f>
        <v>B</v>
      </c>
      <c r="AV765" s="79">
        <f>IF(AG765&lt;0,0,1)</f>
        <v>1</v>
      </c>
      <c r="AW765" s="79" t="str">
        <f>J765&amp;AU765</f>
        <v>INTEGRALB</v>
      </c>
      <c r="AX765" s="79">
        <f>IF(COUNTIFS(J:J,"Integral",E:E,E765,H:H,"Ativo")=4,1/4,1/10)</f>
        <v>0.1</v>
      </c>
      <c r="AY765" s="79" t="s">
        <v>2133</v>
      </c>
      <c r="AZ765" s="79" t="b">
        <v>0</v>
      </c>
    </row>
    <row r="766" spans="1:52" ht="15.75" customHeight="1">
      <c r="A766" s="54">
        <v>795</v>
      </c>
      <c r="B766" s="406">
        <v>45530</v>
      </c>
      <c r="C766" s="32" t="s">
        <v>2326</v>
      </c>
      <c r="D766" s="32" t="s">
        <v>2339</v>
      </c>
      <c r="E766" s="32" t="s">
        <v>2328</v>
      </c>
      <c r="F766" s="32" t="s">
        <v>2340</v>
      </c>
      <c r="G766" s="60" t="s">
        <v>220</v>
      </c>
      <c r="H766" s="33" t="s">
        <v>90</v>
      </c>
      <c r="I766" s="34"/>
      <c r="J766" s="33" t="s">
        <v>1701</v>
      </c>
      <c r="K766" s="56" t="s">
        <v>1154</v>
      </c>
      <c r="L766" s="56" t="s">
        <v>1154</v>
      </c>
      <c r="M766" s="386" t="s">
        <v>246</v>
      </c>
      <c r="N766" s="33" t="s">
        <v>68</v>
      </c>
      <c r="O766" s="33" t="s">
        <v>11</v>
      </c>
      <c r="P766" s="33" t="s">
        <v>1</v>
      </c>
      <c r="Q766" s="47"/>
      <c r="R766" s="47"/>
      <c r="S766" s="45" t="s">
        <v>145</v>
      </c>
      <c r="T766" s="45"/>
      <c r="U766" s="37">
        <v>45489</v>
      </c>
      <c r="V766" s="38">
        <f>B766</f>
        <v>45530</v>
      </c>
      <c r="W766" s="50">
        <f>V766-U766</f>
        <v>41</v>
      </c>
      <c r="X766" s="294">
        <v>316900.64</v>
      </c>
      <c r="Y766" s="260">
        <v>330000</v>
      </c>
      <c r="Z766" s="260">
        <v>300000</v>
      </c>
      <c r="AA766" s="56"/>
      <c r="AB766" s="43">
        <v>2.5000000000000001E-2</v>
      </c>
      <c r="AC766" s="295">
        <v>0</v>
      </c>
      <c r="AD766" s="62" t="s">
        <v>2330</v>
      </c>
      <c r="AE766" s="291"/>
      <c r="AF766" s="65"/>
      <c r="AG766" s="291"/>
      <c r="AH766" s="40">
        <f>Y766-Z766</f>
        <v>30000</v>
      </c>
      <c r="AI766" s="242"/>
      <c r="AJ766" s="242"/>
      <c r="AK766" s="291">
        <v>48.43</v>
      </c>
      <c r="AL766" s="40">
        <f>AH766-AK766</f>
        <v>29951.57</v>
      </c>
      <c r="AM766" s="242">
        <f>IFERROR(EOMONTH(B766,0),"Pendente")</f>
        <v>45535</v>
      </c>
      <c r="AN766" s="242" t="str">
        <f>IF(AQ766="x","",IF(AQ766="x",AM766,IF(EOMONTH(I766,0)=31,"",EOMONTH(I766,0))))</f>
        <v/>
      </c>
      <c r="AO766" s="79">
        <f>IFERROR(IF(VLOOKUP(C766,C767:C1367,1,0)=0,1,0),1)</f>
        <v>0</v>
      </c>
      <c r="AP766" s="79"/>
      <c r="AQ766" s="243" t="str">
        <f>IF(MID(G766,1,15)="NAO ASSINADO","x","")</f>
        <v/>
      </c>
      <c r="AR766" s="242" t="b">
        <f>IF(AQ766="x",EOMONTH(I766,0))</f>
        <v>0</v>
      </c>
      <c r="AS766" s="79">
        <f>IF(AH766&lt;0,0,1)</f>
        <v>1</v>
      </c>
      <c r="AT766" s="79">
        <f>IF(AL766&lt;0,0,1)</f>
        <v>1</v>
      </c>
      <c r="AU766" s="79" t="str">
        <f>MID(E766,1,1)</f>
        <v>B</v>
      </c>
      <c r="AV766" s="79">
        <f>IF(AG766&lt;0,0,1)</f>
        <v>1</v>
      </c>
      <c r="AW766" s="79" t="str">
        <f>J766&amp;AU766</f>
        <v>INTEGRALB</v>
      </c>
      <c r="AX766" s="79">
        <f>IF(COUNTIFS(J:J,"Integral",E:E,E766,H:H,"Ativo")=4,1/4,1/10)</f>
        <v>0.1</v>
      </c>
      <c r="AY766" s="79" t="s">
        <v>2133</v>
      </c>
      <c r="AZ766" s="79" t="b">
        <v>0</v>
      </c>
    </row>
    <row r="767" spans="1:52" ht="15.75" customHeight="1">
      <c r="A767" s="54">
        <v>796</v>
      </c>
      <c r="B767" s="406">
        <v>45530</v>
      </c>
      <c r="C767" s="32" t="s">
        <v>2326</v>
      </c>
      <c r="D767" s="32" t="s">
        <v>2341</v>
      </c>
      <c r="E767" s="32" t="s">
        <v>2328</v>
      </c>
      <c r="F767" s="32" t="s">
        <v>2342</v>
      </c>
      <c r="G767" s="60" t="s">
        <v>220</v>
      </c>
      <c r="H767" s="33" t="s">
        <v>90</v>
      </c>
      <c r="I767" s="34"/>
      <c r="J767" s="33" t="s">
        <v>1701</v>
      </c>
      <c r="K767" s="56" t="s">
        <v>1154</v>
      </c>
      <c r="L767" s="56" t="s">
        <v>1154</v>
      </c>
      <c r="M767" s="386" t="s">
        <v>246</v>
      </c>
      <c r="N767" s="33" t="s">
        <v>68</v>
      </c>
      <c r="O767" s="33" t="s">
        <v>11</v>
      </c>
      <c r="P767" s="33" t="s">
        <v>1</v>
      </c>
      <c r="Q767" s="47"/>
      <c r="R767" s="47"/>
      <c r="S767" s="45" t="s">
        <v>145</v>
      </c>
      <c r="T767" s="45"/>
      <c r="U767" s="37">
        <v>45489</v>
      </c>
      <c r="V767" s="38">
        <f>B767</f>
        <v>45530</v>
      </c>
      <c r="W767" s="50">
        <f>V767-U767</f>
        <v>41</v>
      </c>
      <c r="X767" s="294">
        <v>316900.64</v>
      </c>
      <c r="Y767" s="260">
        <v>330000</v>
      </c>
      <c r="Z767" s="260">
        <v>300000</v>
      </c>
      <c r="AA767" s="56"/>
      <c r="AB767" s="43">
        <v>2.5000000000000001E-2</v>
      </c>
      <c r="AC767" s="295">
        <v>0</v>
      </c>
      <c r="AD767" s="62" t="s">
        <v>2330</v>
      </c>
      <c r="AE767" s="291"/>
      <c r="AF767" s="65"/>
      <c r="AG767" s="291"/>
      <c r="AH767" s="40">
        <f>Y767-Z767</f>
        <v>30000</v>
      </c>
      <c r="AI767" s="242"/>
      <c r="AJ767" s="242"/>
      <c r="AK767" s="291">
        <v>48.43</v>
      </c>
      <c r="AL767" s="40">
        <f>AH767-AK767</f>
        <v>29951.57</v>
      </c>
      <c r="AM767" s="242">
        <f>IFERROR(EOMONTH(B767,0),"Pendente")</f>
        <v>45535</v>
      </c>
      <c r="AN767" s="242" t="str">
        <f>IF(AQ767="x","",IF(AQ767="x",AM767,IF(EOMONTH(I767,0)=31,"",EOMONTH(I767,0))))</f>
        <v/>
      </c>
      <c r="AO767" s="79">
        <f>IFERROR(IF(VLOOKUP(C767,C768:C1368,1,0)=0,1,0),1)</f>
        <v>0</v>
      </c>
      <c r="AP767" s="79"/>
      <c r="AQ767" s="243" t="str">
        <f>IF(MID(G767,1,15)="NAO ASSINADO","x","")</f>
        <v/>
      </c>
      <c r="AR767" s="242" t="b">
        <f>IF(AQ767="x",EOMONTH(I767,0))</f>
        <v>0</v>
      </c>
      <c r="AS767" s="79">
        <f>IF(AH767&lt;0,0,1)</f>
        <v>1</v>
      </c>
      <c r="AT767" s="79">
        <f>IF(AL767&lt;0,0,1)</f>
        <v>1</v>
      </c>
      <c r="AU767" s="79" t="str">
        <f>MID(E767,1,1)</f>
        <v>B</v>
      </c>
      <c r="AV767" s="79">
        <f>IF(AG767&lt;0,0,1)</f>
        <v>1</v>
      </c>
      <c r="AW767" s="79" t="str">
        <f>J767&amp;AU767</f>
        <v>INTEGRALB</v>
      </c>
      <c r="AX767" s="79">
        <f>IF(COUNTIFS(J:J,"Integral",E:E,E767,H:H,"Ativo")=4,1/4,1/10)</f>
        <v>0.1</v>
      </c>
      <c r="AY767" s="79" t="s">
        <v>2133</v>
      </c>
      <c r="AZ767" s="79" t="b">
        <v>0</v>
      </c>
    </row>
    <row r="768" spans="1:52" ht="15.75" customHeight="1">
      <c r="A768" s="54">
        <v>797</v>
      </c>
      <c r="B768" s="406">
        <v>45530</v>
      </c>
      <c r="C768" s="32" t="s">
        <v>2326</v>
      </c>
      <c r="D768" s="32" t="s">
        <v>2343</v>
      </c>
      <c r="E768" s="32" t="s">
        <v>2328</v>
      </c>
      <c r="F768" s="32" t="s">
        <v>2344</v>
      </c>
      <c r="G768" s="60" t="s">
        <v>220</v>
      </c>
      <c r="H768" s="33" t="s">
        <v>90</v>
      </c>
      <c r="I768" s="34"/>
      <c r="J768" s="33" t="s">
        <v>1701</v>
      </c>
      <c r="K768" s="56" t="s">
        <v>1154</v>
      </c>
      <c r="L768" s="56" t="s">
        <v>1154</v>
      </c>
      <c r="M768" s="386" t="s">
        <v>246</v>
      </c>
      <c r="N768" s="33" t="s">
        <v>68</v>
      </c>
      <c r="O768" s="33" t="s">
        <v>11</v>
      </c>
      <c r="P768" s="33" t="s">
        <v>1</v>
      </c>
      <c r="Q768" s="47"/>
      <c r="R768" s="47"/>
      <c r="S768" s="45" t="s">
        <v>145</v>
      </c>
      <c r="T768" s="45"/>
      <c r="U768" s="37">
        <v>45489</v>
      </c>
      <c r="V768" s="38">
        <f>B768</f>
        <v>45530</v>
      </c>
      <c r="W768" s="50">
        <f>V768-U768</f>
        <v>41</v>
      </c>
      <c r="X768" s="294">
        <v>316900.64</v>
      </c>
      <c r="Y768" s="260">
        <v>330000</v>
      </c>
      <c r="Z768" s="260">
        <v>300000</v>
      </c>
      <c r="AA768" s="56"/>
      <c r="AB768" s="43">
        <v>2.5000000000000001E-2</v>
      </c>
      <c r="AC768" s="295">
        <v>0</v>
      </c>
      <c r="AD768" s="62" t="s">
        <v>2330</v>
      </c>
      <c r="AE768" s="291"/>
      <c r="AF768" s="65"/>
      <c r="AG768" s="291"/>
      <c r="AH768" s="40">
        <f>Y768-Z768</f>
        <v>30000</v>
      </c>
      <c r="AI768" s="242"/>
      <c r="AJ768" s="242"/>
      <c r="AK768" s="291">
        <v>48.43</v>
      </c>
      <c r="AL768" s="40">
        <f>AH768-AK768</f>
        <v>29951.57</v>
      </c>
      <c r="AM768" s="242">
        <f>IFERROR(EOMONTH(B768,0),"Pendente")</f>
        <v>45535</v>
      </c>
      <c r="AN768" s="242" t="str">
        <f>IF(AQ768="x","",IF(AQ768="x",AM768,IF(EOMONTH(I768,0)=31,"",EOMONTH(I768,0))))</f>
        <v/>
      </c>
      <c r="AO768" s="79">
        <f>IFERROR(IF(VLOOKUP(C768,C769:C1369,1,0)=0,1,0),1)</f>
        <v>0</v>
      </c>
      <c r="AP768" s="79"/>
      <c r="AQ768" s="243" t="str">
        <f>IF(MID(G768,1,15)="NAO ASSINADO","x","")</f>
        <v/>
      </c>
      <c r="AR768" s="242" t="b">
        <f>IF(AQ768="x",EOMONTH(I768,0))</f>
        <v>0</v>
      </c>
      <c r="AS768" s="79">
        <f>IF(AH768&lt;0,0,1)</f>
        <v>1</v>
      </c>
      <c r="AT768" s="79">
        <f>IF(AL768&lt;0,0,1)</f>
        <v>1</v>
      </c>
      <c r="AU768" s="79" t="str">
        <f>MID(E768,1,1)</f>
        <v>B</v>
      </c>
      <c r="AV768" s="79">
        <f>IF(AG768&lt;0,0,1)</f>
        <v>1</v>
      </c>
      <c r="AW768" s="79" t="str">
        <f>J768&amp;AU768</f>
        <v>INTEGRALB</v>
      </c>
      <c r="AX768" s="79">
        <f>IF(COUNTIFS(J:J,"Integral",E:E,E768,H:H,"Ativo")=4,1/4,1/10)</f>
        <v>0.1</v>
      </c>
      <c r="AY768" s="79" t="s">
        <v>2133</v>
      </c>
      <c r="AZ768" s="79" t="b">
        <v>0</v>
      </c>
    </row>
    <row r="769" spans="1:52" ht="15.75" customHeight="1">
      <c r="A769" s="54">
        <v>798</v>
      </c>
      <c r="B769" s="406">
        <v>45530</v>
      </c>
      <c r="C769" s="32" t="s">
        <v>2326</v>
      </c>
      <c r="D769" s="32" t="s">
        <v>2345</v>
      </c>
      <c r="E769" s="32" t="s">
        <v>2328</v>
      </c>
      <c r="F769" s="32" t="s">
        <v>2346</v>
      </c>
      <c r="G769" s="60" t="s">
        <v>220</v>
      </c>
      <c r="H769" s="33" t="s">
        <v>90</v>
      </c>
      <c r="I769" s="34"/>
      <c r="J769" s="33" t="s">
        <v>1701</v>
      </c>
      <c r="K769" s="56" t="s">
        <v>1154</v>
      </c>
      <c r="L769" s="56" t="s">
        <v>1154</v>
      </c>
      <c r="M769" s="386" t="s">
        <v>246</v>
      </c>
      <c r="N769" s="33" t="s">
        <v>68</v>
      </c>
      <c r="O769" s="33" t="s">
        <v>11</v>
      </c>
      <c r="P769" s="33" t="s">
        <v>1</v>
      </c>
      <c r="Q769" s="47"/>
      <c r="R769" s="47"/>
      <c r="S769" s="45" t="s">
        <v>145</v>
      </c>
      <c r="T769" s="45"/>
      <c r="U769" s="37">
        <v>45489</v>
      </c>
      <c r="V769" s="38">
        <f>B769</f>
        <v>45530</v>
      </c>
      <c r="W769" s="50">
        <f>V769-U769</f>
        <v>41</v>
      </c>
      <c r="X769" s="294">
        <v>316900.64</v>
      </c>
      <c r="Y769" s="260">
        <v>330000</v>
      </c>
      <c r="Z769" s="260">
        <v>300000</v>
      </c>
      <c r="AA769" s="56"/>
      <c r="AB769" s="43">
        <v>2.5000000000000001E-2</v>
      </c>
      <c r="AC769" s="295">
        <v>0</v>
      </c>
      <c r="AD769" s="62" t="s">
        <v>2330</v>
      </c>
      <c r="AE769" s="291"/>
      <c r="AF769" s="65"/>
      <c r="AG769" s="291"/>
      <c r="AH769" s="40">
        <f>Y769-Z769</f>
        <v>30000</v>
      </c>
      <c r="AI769" s="242"/>
      <c r="AJ769" s="242"/>
      <c r="AK769" s="291">
        <v>48.43</v>
      </c>
      <c r="AL769" s="40">
        <f>AH769-AK769</f>
        <v>29951.57</v>
      </c>
      <c r="AM769" s="242">
        <f>IFERROR(EOMONTH(B769,0),"Pendente")</f>
        <v>45535</v>
      </c>
      <c r="AN769" s="242" t="str">
        <f>IF(AQ769="x","",IF(AQ769="x",AM769,IF(EOMONTH(I769,0)=31,"",EOMONTH(I769,0))))</f>
        <v/>
      </c>
      <c r="AO769" s="79">
        <f>IFERROR(IF(VLOOKUP(C769,C770:C1370,1,0)=0,1,0),1)</f>
        <v>0</v>
      </c>
      <c r="AP769" s="79"/>
      <c r="AQ769" s="243" t="str">
        <f>IF(MID(G769,1,15)="NAO ASSINADO","x","")</f>
        <v/>
      </c>
      <c r="AR769" s="242" t="b">
        <f>IF(AQ769="x",EOMONTH(I769,0))</f>
        <v>0</v>
      </c>
      <c r="AS769" s="79">
        <f>IF(AH769&lt;0,0,1)</f>
        <v>1</v>
      </c>
      <c r="AT769" s="79">
        <f>IF(AL769&lt;0,0,1)</f>
        <v>1</v>
      </c>
      <c r="AU769" s="79" t="str">
        <f>MID(E769,1,1)</f>
        <v>B</v>
      </c>
      <c r="AV769" s="79">
        <f>IF(AG769&lt;0,0,1)</f>
        <v>1</v>
      </c>
      <c r="AW769" s="79" t="str">
        <f>J769&amp;AU769</f>
        <v>INTEGRALB</v>
      </c>
      <c r="AX769" s="79">
        <f>IF(COUNTIFS(J:J,"Integral",E:E,E769,H:H,"Ativo")=4,1/4,1/10)</f>
        <v>0.1</v>
      </c>
      <c r="AY769" s="79" t="s">
        <v>2133</v>
      </c>
      <c r="AZ769" s="79" t="b">
        <v>0</v>
      </c>
    </row>
    <row r="770" spans="1:52" ht="15.75" customHeight="1">
      <c r="A770" s="54">
        <v>799</v>
      </c>
      <c r="B770" s="406">
        <v>45530</v>
      </c>
      <c r="C770" s="32" t="s">
        <v>2326</v>
      </c>
      <c r="D770" s="32" t="s">
        <v>2347</v>
      </c>
      <c r="E770" s="32" t="s">
        <v>2328</v>
      </c>
      <c r="F770" s="32" t="s">
        <v>2348</v>
      </c>
      <c r="G770" s="60" t="s">
        <v>220</v>
      </c>
      <c r="H770" s="33" t="s">
        <v>90</v>
      </c>
      <c r="I770" s="34"/>
      <c r="J770" s="33" t="s">
        <v>1701</v>
      </c>
      <c r="K770" s="56" t="s">
        <v>1154</v>
      </c>
      <c r="L770" s="56" t="s">
        <v>1154</v>
      </c>
      <c r="M770" s="386" t="s">
        <v>246</v>
      </c>
      <c r="N770" s="33" t="s">
        <v>68</v>
      </c>
      <c r="O770" s="33" t="s">
        <v>11</v>
      </c>
      <c r="P770" s="33" t="s">
        <v>1</v>
      </c>
      <c r="Q770" s="47"/>
      <c r="R770" s="47"/>
      <c r="S770" s="45" t="s">
        <v>145</v>
      </c>
      <c r="T770" s="45"/>
      <c r="U770" s="37">
        <v>45489</v>
      </c>
      <c r="V770" s="38">
        <f>B770</f>
        <v>45530</v>
      </c>
      <c r="W770" s="50">
        <f>V770-U770</f>
        <v>41</v>
      </c>
      <c r="X770" s="294">
        <v>316900.64</v>
      </c>
      <c r="Y770" s="260">
        <v>330000</v>
      </c>
      <c r="Z770" s="260">
        <v>300000</v>
      </c>
      <c r="AA770" s="56"/>
      <c r="AB770" s="43">
        <v>2.5000000000000001E-2</v>
      </c>
      <c r="AC770" s="295">
        <v>0</v>
      </c>
      <c r="AD770" s="62" t="s">
        <v>2330</v>
      </c>
      <c r="AE770" s="291"/>
      <c r="AF770" s="65"/>
      <c r="AG770" s="291"/>
      <c r="AH770" s="40">
        <f>Y770-Z770</f>
        <v>30000</v>
      </c>
      <c r="AI770" s="242"/>
      <c r="AJ770" s="242"/>
      <c r="AK770" s="291">
        <v>48.48</v>
      </c>
      <c r="AL770" s="40">
        <f>AH770-AK770</f>
        <v>29951.52</v>
      </c>
      <c r="AM770" s="242">
        <f>IFERROR(EOMONTH(B770,0),"Pendente")</f>
        <v>45535</v>
      </c>
      <c r="AN770" s="242" t="str">
        <f>IF(AQ770="x","",IF(AQ770="x",AM770,IF(EOMONTH(I770,0)=31,"",EOMONTH(I770,0))))</f>
        <v/>
      </c>
      <c r="AO770" s="79">
        <f>IFERROR(IF(VLOOKUP(C770,C771:C1371,1,0)=0,1,0),1)</f>
        <v>0</v>
      </c>
      <c r="AP770" s="79"/>
      <c r="AQ770" s="243" t="str">
        <f>IF(MID(G770,1,15)="NAO ASSINADO","x","")</f>
        <v/>
      </c>
      <c r="AR770" s="242" t="b">
        <f>IF(AQ770="x",EOMONTH(I770,0))</f>
        <v>0</v>
      </c>
      <c r="AS770" s="79">
        <f>IF(AH770&lt;0,0,1)</f>
        <v>1</v>
      </c>
      <c r="AT770" s="79">
        <f>IF(AL770&lt;0,0,1)</f>
        <v>1</v>
      </c>
      <c r="AU770" s="79" t="str">
        <f>MID(E770,1,1)</f>
        <v>B</v>
      </c>
      <c r="AV770" s="79">
        <f>IF(AG770&lt;0,0,1)</f>
        <v>1</v>
      </c>
      <c r="AW770" s="79" t="str">
        <f>J770&amp;AU770</f>
        <v>INTEGRALB</v>
      </c>
      <c r="AX770" s="79">
        <f>IF(COUNTIFS(J:J,"Integral",E:E,E770,H:H,"Ativo")=4,1/4,1/10)</f>
        <v>0.1</v>
      </c>
      <c r="AY770" s="79" t="s">
        <v>2133</v>
      </c>
      <c r="AZ770" s="79" t="b">
        <v>0</v>
      </c>
    </row>
    <row r="771" spans="1:52" ht="15.75" customHeight="1">
      <c r="A771" s="54">
        <v>800</v>
      </c>
      <c r="B771" s="406">
        <v>45530</v>
      </c>
      <c r="C771" s="32" t="s">
        <v>2326</v>
      </c>
      <c r="D771" s="32" t="s">
        <v>2349</v>
      </c>
      <c r="E771" s="32" t="s">
        <v>2350</v>
      </c>
      <c r="F771" s="32" t="s">
        <v>2351</v>
      </c>
      <c r="G771" s="60" t="s">
        <v>220</v>
      </c>
      <c r="H771" s="33" t="s">
        <v>90</v>
      </c>
      <c r="I771" s="34"/>
      <c r="J771" s="33" t="s">
        <v>1701</v>
      </c>
      <c r="K771" s="56" t="s">
        <v>1154</v>
      </c>
      <c r="L771" s="56" t="s">
        <v>1154</v>
      </c>
      <c r="M771" s="386" t="s">
        <v>246</v>
      </c>
      <c r="N771" s="33" t="s">
        <v>68</v>
      </c>
      <c r="O771" s="33" t="s">
        <v>11</v>
      </c>
      <c r="P771" s="33" t="s">
        <v>1</v>
      </c>
      <c r="Q771" s="47"/>
      <c r="R771" s="47"/>
      <c r="S771" s="45" t="s">
        <v>145</v>
      </c>
      <c r="T771" s="45"/>
      <c r="U771" s="37">
        <v>45489</v>
      </c>
      <c r="V771" s="38">
        <f>B771</f>
        <v>45530</v>
      </c>
      <c r="W771" s="50">
        <f>V771-U771</f>
        <v>41</v>
      </c>
      <c r="X771" s="294">
        <v>316900.64</v>
      </c>
      <c r="Y771" s="260">
        <v>330000</v>
      </c>
      <c r="Z771" s="260">
        <v>300000</v>
      </c>
      <c r="AA771" s="56"/>
      <c r="AB771" s="43">
        <v>2.5000000000000001E-2</v>
      </c>
      <c r="AC771" s="295">
        <v>0</v>
      </c>
      <c r="AD771" s="62" t="s">
        <v>2330</v>
      </c>
      <c r="AE771" s="291"/>
      <c r="AF771" s="65"/>
      <c r="AG771" s="291"/>
      <c r="AH771" s="40">
        <f>Y771-Z771</f>
        <v>30000</v>
      </c>
      <c r="AI771" s="242"/>
      <c r="AJ771" s="242"/>
      <c r="AK771" s="291">
        <v>48.43</v>
      </c>
      <c r="AL771" s="40">
        <f>AH771-AK771</f>
        <v>29951.57</v>
      </c>
      <c r="AM771" s="242">
        <f>IFERROR(EOMONTH(B771,0),"Pendente")</f>
        <v>45535</v>
      </c>
      <c r="AN771" s="242" t="str">
        <f>IF(AQ771="x","",IF(AQ771="x",AM771,IF(EOMONTH(I771,0)=31,"",EOMONTH(I771,0))))</f>
        <v/>
      </c>
      <c r="AO771" s="79">
        <f>IFERROR(IF(VLOOKUP(C771,C772:C1372,1,0)=0,1,0),1)</f>
        <v>0</v>
      </c>
      <c r="AP771" s="79"/>
      <c r="AQ771" s="243" t="str">
        <f>IF(MID(G771,1,15)="NAO ASSINADO","x","")</f>
        <v/>
      </c>
      <c r="AR771" s="242" t="b">
        <f>IF(AQ771="x",EOMONTH(I771,0))</f>
        <v>0</v>
      </c>
      <c r="AS771" s="79">
        <f>IF(AH771&lt;0,0,1)</f>
        <v>1</v>
      </c>
      <c r="AT771" s="79">
        <f>IF(AL771&lt;0,0,1)</f>
        <v>1</v>
      </c>
      <c r="AU771" s="79" t="str">
        <f>MID(E771,1,1)</f>
        <v>B</v>
      </c>
      <c r="AV771" s="79">
        <f>IF(AG771&lt;0,0,1)</f>
        <v>1</v>
      </c>
      <c r="AW771" s="79" t="str">
        <f>J771&amp;AU771</f>
        <v>INTEGRALB</v>
      </c>
      <c r="AX771" s="79">
        <f>IF(COUNTIFS(J:J,"Integral",E:E,E771,H:H,"Ativo")=4,1/4,1/10)</f>
        <v>0.1</v>
      </c>
      <c r="AY771" s="79" t="s">
        <v>2133</v>
      </c>
      <c r="AZ771" s="79" t="b">
        <v>0</v>
      </c>
    </row>
    <row r="772" spans="1:52" ht="15.75" customHeight="1">
      <c r="A772" s="54">
        <v>801</v>
      </c>
      <c r="B772" s="406">
        <v>45530</v>
      </c>
      <c r="C772" s="32" t="s">
        <v>2326</v>
      </c>
      <c r="D772" s="32" t="s">
        <v>2352</v>
      </c>
      <c r="E772" s="32" t="s">
        <v>2350</v>
      </c>
      <c r="F772" s="32" t="s">
        <v>2353</v>
      </c>
      <c r="G772" s="60" t="s">
        <v>220</v>
      </c>
      <c r="H772" s="33" t="s">
        <v>90</v>
      </c>
      <c r="I772" s="34"/>
      <c r="J772" s="33" t="s">
        <v>1701</v>
      </c>
      <c r="K772" s="56" t="s">
        <v>1154</v>
      </c>
      <c r="L772" s="56" t="s">
        <v>1154</v>
      </c>
      <c r="M772" s="386" t="s">
        <v>246</v>
      </c>
      <c r="N772" s="33" t="s">
        <v>68</v>
      </c>
      <c r="O772" s="33" t="s">
        <v>11</v>
      </c>
      <c r="P772" s="33" t="s">
        <v>1</v>
      </c>
      <c r="Q772" s="47"/>
      <c r="R772" s="47"/>
      <c r="S772" s="45" t="s">
        <v>145</v>
      </c>
      <c r="T772" s="45"/>
      <c r="U772" s="37">
        <v>45489</v>
      </c>
      <c r="V772" s="38">
        <f>B772</f>
        <v>45530</v>
      </c>
      <c r="W772" s="50">
        <f>V772-U772</f>
        <v>41</v>
      </c>
      <c r="X772" s="294">
        <v>316900.64</v>
      </c>
      <c r="Y772" s="260">
        <v>330000</v>
      </c>
      <c r="Z772" s="260">
        <v>300000</v>
      </c>
      <c r="AA772" s="56"/>
      <c r="AB772" s="43">
        <v>2.5000000000000001E-2</v>
      </c>
      <c r="AC772" s="295">
        <v>0</v>
      </c>
      <c r="AD772" s="62" t="s">
        <v>2330</v>
      </c>
      <c r="AE772" s="291"/>
      <c r="AF772" s="65"/>
      <c r="AG772" s="291"/>
      <c r="AH772" s="40">
        <f>Y772-Z772</f>
        <v>30000</v>
      </c>
      <c r="AI772" s="242"/>
      <c r="AJ772" s="242"/>
      <c r="AK772" s="291">
        <v>48.43</v>
      </c>
      <c r="AL772" s="40">
        <f>AH772-AK772</f>
        <v>29951.57</v>
      </c>
      <c r="AM772" s="242">
        <f>IFERROR(EOMONTH(B772,0),"Pendente")</f>
        <v>45535</v>
      </c>
      <c r="AN772" s="242" t="str">
        <f>IF(AQ772="x","",IF(AQ772="x",AM772,IF(EOMONTH(I772,0)=31,"",EOMONTH(I772,0))))</f>
        <v/>
      </c>
      <c r="AO772" s="79">
        <f>IFERROR(IF(VLOOKUP(C772,C773:C1373,1,0)=0,1,0),1)</f>
        <v>0</v>
      </c>
      <c r="AP772" s="79"/>
      <c r="AQ772" s="243" t="str">
        <f>IF(MID(G772,1,15)="NAO ASSINADO","x","")</f>
        <v/>
      </c>
      <c r="AR772" s="242" t="b">
        <f>IF(AQ772="x",EOMONTH(I772,0))</f>
        <v>0</v>
      </c>
      <c r="AS772" s="79">
        <f>IF(AH772&lt;0,0,1)</f>
        <v>1</v>
      </c>
      <c r="AT772" s="79">
        <f>IF(AL772&lt;0,0,1)</f>
        <v>1</v>
      </c>
      <c r="AU772" s="79" t="str">
        <f>MID(E772,1,1)</f>
        <v>B</v>
      </c>
      <c r="AV772" s="79">
        <f>IF(AG772&lt;0,0,1)</f>
        <v>1</v>
      </c>
      <c r="AW772" s="79" t="str">
        <f>J772&amp;AU772</f>
        <v>INTEGRALB</v>
      </c>
      <c r="AX772" s="79">
        <f>IF(COUNTIFS(J:J,"Integral",E:E,E772,H:H,"Ativo")=4,1/4,1/10)</f>
        <v>0.1</v>
      </c>
      <c r="AY772" s="79" t="s">
        <v>2133</v>
      </c>
      <c r="AZ772" s="79" t="b">
        <v>0</v>
      </c>
    </row>
    <row r="773" spans="1:52" ht="15.75" customHeight="1">
      <c r="A773" s="54">
        <v>802</v>
      </c>
      <c r="B773" s="406">
        <v>45530</v>
      </c>
      <c r="C773" s="32" t="s">
        <v>2326</v>
      </c>
      <c r="D773" s="32" t="s">
        <v>2354</v>
      </c>
      <c r="E773" s="32" t="s">
        <v>2350</v>
      </c>
      <c r="F773" s="32" t="s">
        <v>2355</v>
      </c>
      <c r="G773" s="60" t="s">
        <v>220</v>
      </c>
      <c r="H773" s="33" t="s">
        <v>90</v>
      </c>
      <c r="I773" s="34"/>
      <c r="J773" s="33" t="s">
        <v>1701</v>
      </c>
      <c r="K773" s="56" t="s">
        <v>1154</v>
      </c>
      <c r="L773" s="56" t="s">
        <v>1154</v>
      </c>
      <c r="M773" s="386" t="s">
        <v>246</v>
      </c>
      <c r="N773" s="33" t="s">
        <v>68</v>
      </c>
      <c r="O773" s="33" t="s">
        <v>11</v>
      </c>
      <c r="P773" s="33" t="s">
        <v>1</v>
      </c>
      <c r="Q773" s="47"/>
      <c r="R773" s="47"/>
      <c r="S773" s="45" t="s">
        <v>145</v>
      </c>
      <c r="T773" s="45"/>
      <c r="U773" s="37">
        <v>45489</v>
      </c>
      <c r="V773" s="38">
        <f>B773</f>
        <v>45530</v>
      </c>
      <c r="W773" s="50">
        <f>V773-U773</f>
        <v>41</v>
      </c>
      <c r="X773" s="294">
        <v>316900.64</v>
      </c>
      <c r="Y773" s="260">
        <v>330000</v>
      </c>
      <c r="Z773" s="260">
        <v>300000</v>
      </c>
      <c r="AA773" s="56"/>
      <c r="AB773" s="43">
        <v>2.5000000000000001E-2</v>
      </c>
      <c r="AC773" s="295">
        <v>0</v>
      </c>
      <c r="AD773" s="62" t="s">
        <v>2330</v>
      </c>
      <c r="AE773" s="291"/>
      <c r="AF773" s="65"/>
      <c r="AG773" s="291"/>
      <c r="AH773" s="40">
        <f>Y773-Z773</f>
        <v>30000</v>
      </c>
      <c r="AI773" s="242"/>
      <c r="AJ773" s="242"/>
      <c r="AK773" s="291">
        <v>48.43</v>
      </c>
      <c r="AL773" s="40">
        <f>AH773-AK773</f>
        <v>29951.57</v>
      </c>
      <c r="AM773" s="242">
        <f>IFERROR(EOMONTH(B773,0),"Pendente")</f>
        <v>45535</v>
      </c>
      <c r="AN773" s="242" t="str">
        <f>IF(AQ773="x","",IF(AQ773="x",AM773,IF(EOMONTH(I773,0)=31,"",EOMONTH(I773,0))))</f>
        <v/>
      </c>
      <c r="AO773" s="79">
        <f>IFERROR(IF(VLOOKUP(C773,C774:C1374,1,0)=0,1,0),1)</f>
        <v>0</v>
      </c>
      <c r="AP773" s="79"/>
      <c r="AQ773" s="243" t="str">
        <f>IF(MID(G773,1,15)="NAO ASSINADO","x","")</f>
        <v/>
      </c>
      <c r="AR773" s="242" t="b">
        <f>IF(AQ773="x",EOMONTH(I773,0))</f>
        <v>0</v>
      </c>
      <c r="AS773" s="79">
        <f>IF(AH773&lt;0,0,1)</f>
        <v>1</v>
      </c>
      <c r="AT773" s="79">
        <f>IF(AL773&lt;0,0,1)</f>
        <v>1</v>
      </c>
      <c r="AU773" s="79" t="str">
        <f>MID(E773,1,1)</f>
        <v>B</v>
      </c>
      <c r="AV773" s="79">
        <f>IF(AG773&lt;0,0,1)</f>
        <v>1</v>
      </c>
      <c r="AW773" s="79" t="str">
        <f>J773&amp;AU773</f>
        <v>INTEGRALB</v>
      </c>
      <c r="AX773" s="79">
        <f>IF(COUNTIFS(J:J,"Integral",E:E,E773,H:H,"Ativo")=4,1/4,1/10)</f>
        <v>0.1</v>
      </c>
      <c r="AY773" s="79" t="s">
        <v>2133</v>
      </c>
      <c r="AZ773" s="79" t="b">
        <v>0</v>
      </c>
    </row>
    <row r="774" spans="1:52" ht="15.75" customHeight="1">
      <c r="A774" s="54">
        <v>803</v>
      </c>
      <c r="B774" s="406">
        <v>45530</v>
      </c>
      <c r="C774" s="32" t="s">
        <v>2326</v>
      </c>
      <c r="D774" s="32" t="s">
        <v>2356</v>
      </c>
      <c r="E774" s="32" t="s">
        <v>2350</v>
      </c>
      <c r="F774" s="32" t="s">
        <v>2357</v>
      </c>
      <c r="G774" s="60" t="s">
        <v>220</v>
      </c>
      <c r="H774" s="33" t="s">
        <v>90</v>
      </c>
      <c r="I774" s="34"/>
      <c r="J774" s="33" t="s">
        <v>1701</v>
      </c>
      <c r="K774" s="56" t="s">
        <v>1154</v>
      </c>
      <c r="L774" s="56" t="s">
        <v>1154</v>
      </c>
      <c r="M774" s="386" t="s">
        <v>246</v>
      </c>
      <c r="N774" s="33" t="s">
        <v>68</v>
      </c>
      <c r="O774" s="33" t="s">
        <v>11</v>
      </c>
      <c r="P774" s="33" t="s">
        <v>1</v>
      </c>
      <c r="Q774" s="47"/>
      <c r="R774" s="47"/>
      <c r="S774" s="45" t="s">
        <v>145</v>
      </c>
      <c r="T774" s="45"/>
      <c r="U774" s="37">
        <v>45489</v>
      </c>
      <c r="V774" s="38">
        <f>B774</f>
        <v>45530</v>
      </c>
      <c r="W774" s="50">
        <f>V774-U774</f>
        <v>41</v>
      </c>
      <c r="X774" s="294">
        <v>316900.64</v>
      </c>
      <c r="Y774" s="260">
        <v>330000</v>
      </c>
      <c r="Z774" s="260">
        <v>300000</v>
      </c>
      <c r="AA774" s="56"/>
      <c r="AB774" s="43">
        <v>2.5000000000000001E-2</v>
      </c>
      <c r="AC774" s="295">
        <v>0</v>
      </c>
      <c r="AD774" s="62" t="s">
        <v>2330</v>
      </c>
      <c r="AE774" s="291"/>
      <c r="AF774" s="65"/>
      <c r="AG774" s="291"/>
      <c r="AH774" s="40">
        <f>Y774-Z774</f>
        <v>30000</v>
      </c>
      <c r="AI774" s="242"/>
      <c r="AJ774" s="242"/>
      <c r="AK774" s="291">
        <v>48.43</v>
      </c>
      <c r="AL774" s="40">
        <f>AH774-AK774</f>
        <v>29951.57</v>
      </c>
      <c r="AM774" s="242">
        <f>IFERROR(EOMONTH(B774,0),"Pendente")</f>
        <v>45535</v>
      </c>
      <c r="AN774" s="242" t="str">
        <f>IF(AQ774="x","",IF(AQ774="x",AM774,IF(EOMONTH(I774,0)=31,"",EOMONTH(I774,0))))</f>
        <v/>
      </c>
      <c r="AO774" s="79">
        <f>IFERROR(IF(VLOOKUP(C774,C775:C1375,1,0)=0,1,0),1)</f>
        <v>0</v>
      </c>
      <c r="AP774" s="79"/>
      <c r="AQ774" s="243" t="str">
        <f>IF(MID(G774,1,15)="NAO ASSINADO","x","")</f>
        <v/>
      </c>
      <c r="AR774" s="242" t="b">
        <f>IF(AQ774="x",EOMONTH(I774,0))</f>
        <v>0</v>
      </c>
      <c r="AS774" s="79">
        <f>IF(AH774&lt;0,0,1)</f>
        <v>1</v>
      </c>
      <c r="AT774" s="79">
        <f>IF(AL774&lt;0,0,1)</f>
        <v>1</v>
      </c>
      <c r="AU774" s="79" t="str">
        <f>MID(E774,1,1)</f>
        <v>B</v>
      </c>
      <c r="AV774" s="79">
        <f>IF(AG774&lt;0,0,1)</f>
        <v>1</v>
      </c>
      <c r="AW774" s="79" t="str">
        <f>J774&amp;AU774</f>
        <v>INTEGRALB</v>
      </c>
      <c r="AX774" s="79">
        <f>IF(COUNTIFS(J:J,"Integral",E:E,E774,H:H,"Ativo")=4,1/4,1/10)</f>
        <v>0.1</v>
      </c>
      <c r="AY774" s="79" t="s">
        <v>2133</v>
      </c>
      <c r="AZ774" s="79" t="b">
        <v>0</v>
      </c>
    </row>
    <row r="775" spans="1:52" ht="15.75" customHeight="1">
      <c r="A775" s="54">
        <v>804</v>
      </c>
      <c r="B775" s="406">
        <v>45530</v>
      </c>
      <c r="C775" s="32" t="s">
        <v>2326</v>
      </c>
      <c r="D775" s="32" t="s">
        <v>2358</v>
      </c>
      <c r="E775" s="32" t="s">
        <v>2350</v>
      </c>
      <c r="F775" s="32" t="s">
        <v>2359</v>
      </c>
      <c r="G775" s="60" t="s">
        <v>220</v>
      </c>
      <c r="H775" s="33" t="s">
        <v>90</v>
      </c>
      <c r="I775" s="34"/>
      <c r="J775" s="33" t="s">
        <v>1701</v>
      </c>
      <c r="K775" s="56" t="s">
        <v>1154</v>
      </c>
      <c r="L775" s="56" t="s">
        <v>1154</v>
      </c>
      <c r="M775" s="386" t="s">
        <v>246</v>
      </c>
      <c r="N775" s="33" t="s">
        <v>68</v>
      </c>
      <c r="O775" s="33" t="s">
        <v>11</v>
      </c>
      <c r="P775" s="33" t="s">
        <v>1</v>
      </c>
      <c r="Q775" s="47"/>
      <c r="R775" s="47"/>
      <c r="S775" s="45" t="s">
        <v>145</v>
      </c>
      <c r="T775" s="45"/>
      <c r="U775" s="37">
        <v>45489</v>
      </c>
      <c r="V775" s="38">
        <f>B775</f>
        <v>45530</v>
      </c>
      <c r="W775" s="50">
        <f>V775-U775</f>
        <v>41</v>
      </c>
      <c r="X775" s="294">
        <v>316900.64</v>
      </c>
      <c r="Y775" s="260">
        <v>330000</v>
      </c>
      <c r="Z775" s="260">
        <v>300000</v>
      </c>
      <c r="AA775" s="56"/>
      <c r="AB775" s="43">
        <v>2.5000000000000001E-2</v>
      </c>
      <c r="AC775" s="295">
        <v>0</v>
      </c>
      <c r="AD775" s="62" t="s">
        <v>2330</v>
      </c>
      <c r="AE775" s="291"/>
      <c r="AF775" s="65"/>
      <c r="AG775" s="291"/>
      <c r="AH775" s="40">
        <f>Y775-Z775</f>
        <v>30000</v>
      </c>
      <c r="AI775" s="242"/>
      <c r="AJ775" s="242"/>
      <c r="AK775" s="291">
        <v>48.43</v>
      </c>
      <c r="AL775" s="40">
        <f>AH775-AK775</f>
        <v>29951.57</v>
      </c>
      <c r="AM775" s="242">
        <f>IFERROR(EOMONTH(B775,0),"Pendente")</f>
        <v>45535</v>
      </c>
      <c r="AN775" s="242" t="str">
        <f>IF(AQ775="x","",IF(AQ775="x",AM775,IF(EOMONTH(I775,0)=31,"",EOMONTH(I775,0))))</f>
        <v/>
      </c>
      <c r="AO775" s="79">
        <f>IFERROR(IF(VLOOKUP(C775,C776:C1376,1,0)=0,1,0),1)</f>
        <v>0</v>
      </c>
      <c r="AP775" s="79"/>
      <c r="AQ775" s="243" t="str">
        <f>IF(MID(G775,1,15)="NAO ASSINADO","x","")</f>
        <v/>
      </c>
      <c r="AR775" s="242" t="b">
        <f>IF(AQ775="x",EOMONTH(I775,0))</f>
        <v>0</v>
      </c>
      <c r="AS775" s="79">
        <f>IF(AH775&lt;0,0,1)</f>
        <v>1</v>
      </c>
      <c r="AT775" s="79">
        <f>IF(AL775&lt;0,0,1)</f>
        <v>1</v>
      </c>
      <c r="AU775" s="79" t="str">
        <f>MID(E775,1,1)</f>
        <v>B</v>
      </c>
      <c r="AV775" s="79">
        <f>IF(AG775&lt;0,0,1)</f>
        <v>1</v>
      </c>
      <c r="AW775" s="79" t="str">
        <f>J775&amp;AU775</f>
        <v>INTEGRALB</v>
      </c>
      <c r="AX775" s="79">
        <f>IF(COUNTIFS(J:J,"Integral",E:E,E775,H:H,"Ativo")=4,1/4,1/10)</f>
        <v>0.1</v>
      </c>
      <c r="AY775" s="79" t="s">
        <v>2133</v>
      </c>
      <c r="AZ775" s="79" t="b">
        <v>0</v>
      </c>
    </row>
    <row r="776" spans="1:52" ht="15.75" customHeight="1">
      <c r="A776" s="54">
        <v>805</v>
      </c>
      <c r="B776" s="406">
        <v>45530</v>
      </c>
      <c r="C776" s="32" t="s">
        <v>2326</v>
      </c>
      <c r="D776" s="32" t="s">
        <v>2360</v>
      </c>
      <c r="E776" s="32" t="s">
        <v>2350</v>
      </c>
      <c r="F776" s="32" t="s">
        <v>2361</v>
      </c>
      <c r="G776" s="60" t="s">
        <v>220</v>
      </c>
      <c r="H776" s="33" t="s">
        <v>90</v>
      </c>
      <c r="I776" s="34"/>
      <c r="J776" s="33" t="s">
        <v>1701</v>
      </c>
      <c r="K776" s="56" t="s">
        <v>1154</v>
      </c>
      <c r="L776" s="56" t="s">
        <v>1154</v>
      </c>
      <c r="M776" s="386" t="s">
        <v>246</v>
      </c>
      <c r="N776" s="33" t="s">
        <v>68</v>
      </c>
      <c r="O776" s="33" t="s">
        <v>11</v>
      </c>
      <c r="P776" s="33" t="s">
        <v>1</v>
      </c>
      <c r="Q776" s="47"/>
      <c r="R776" s="47"/>
      <c r="S776" s="45" t="s">
        <v>145</v>
      </c>
      <c r="T776" s="45"/>
      <c r="U776" s="37">
        <v>45489</v>
      </c>
      <c r="V776" s="38">
        <f>B776</f>
        <v>45530</v>
      </c>
      <c r="W776" s="50">
        <f>V776-U776</f>
        <v>41</v>
      </c>
      <c r="X776" s="294">
        <v>316900.64</v>
      </c>
      <c r="Y776" s="260">
        <v>330000</v>
      </c>
      <c r="Z776" s="260">
        <v>300000</v>
      </c>
      <c r="AA776" s="56"/>
      <c r="AB776" s="43">
        <v>2.5000000000000001E-2</v>
      </c>
      <c r="AC776" s="295">
        <v>0</v>
      </c>
      <c r="AD776" s="62" t="s">
        <v>2330</v>
      </c>
      <c r="AE776" s="291"/>
      <c r="AF776" s="65"/>
      <c r="AG776" s="291"/>
      <c r="AH776" s="40">
        <f>Y776-Z776</f>
        <v>30000</v>
      </c>
      <c r="AI776" s="242"/>
      <c r="AJ776" s="242"/>
      <c r="AK776" s="291">
        <v>48.43</v>
      </c>
      <c r="AL776" s="40">
        <f>AH776-AK776</f>
        <v>29951.57</v>
      </c>
      <c r="AM776" s="242">
        <f>IFERROR(EOMONTH(B776,0),"Pendente")</f>
        <v>45535</v>
      </c>
      <c r="AN776" s="242" t="str">
        <f>IF(AQ776="x","",IF(AQ776="x",AM776,IF(EOMONTH(I776,0)=31,"",EOMONTH(I776,0))))</f>
        <v/>
      </c>
      <c r="AO776" s="79">
        <f>IFERROR(IF(VLOOKUP(C776,C777:C1377,1,0)=0,1,0),1)</f>
        <v>0</v>
      </c>
      <c r="AP776" s="79"/>
      <c r="AQ776" s="243" t="str">
        <f>IF(MID(G776,1,15)="NAO ASSINADO","x","")</f>
        <v/>
      </c>
      <c r="AR776" s="242" t="b">
        <f>IF(AQ776="x",EOMONTH(I776,0))</f>
        <v>0</v>
      </c>
      <c r="AS776" s="79">
        <f>IF(AH776&lt;0,0,1)</f>
        <v>1</v>
      </c>
      <c r="AT776" s="79">
        <f>IF(AL776&lt;0,0,1)</f>
        <v>1</v>
      </c>
      <c r="AU776" s="79" t="str">
        <f>MID(E776,1,1)</f>
        <v>B</v>
      </c>
      <c r="AV776" s="79">
        <f>IF(AG776&lt;0,0,1)</f>
        <v>1</v>
      </c>
      <c r="AW776" s="79" t="str">
        <f>J776&amp;AU776</f>
        <v>INTEGRALB</v>
      </c>
      <c r="AX776" s="79">
        <f>IF(COUNTIFS(J:J,"Integral",E:E,E776,H:H,"Ativo")=4,1/4,1/10)</f>
        <v>0.1</v>
      </c>
      <c r="AY776" s="79" t="s">
        <v>2133</v>
      </c>
      <c r="AZ776" s="79" t="b">
        <v>0</v>
      </c>
    </row>
    <row r="777" spans="1:52" ht="15.75" customHeight="1">
      <c r="A777" s="54">
        <v>806</v>
      </c>
      <c r="B777" s="406">
        <v>45530</v>
      </c>
      <c r="C777" s="32" t="s">
        <v>2326</v>
      </c>
      <c r="D777" s="32" t="s">
        <v>2362</v>
      </c>
      <c r="E777" s="32" t="s">
        <v>2350</v>
      </c>
      <c r="F777" s="32" t="s">
        <v>2363</v>
      </c>
      <c r="G777" s="60" t="s">
        <v>220</v>
      </c>
      <c r="H777" s="33" t="s">
        <v>90</v>
      </c>
      <c r="I777" s="34"/>
      <c r="J777" s="33" t="s">
        <v>1701</v>
      </c>
      <c r="K777" s="56" t="s">
        <v>1154</v>
      </c>
      <c r="L777" s="56" t="s">
        <v>1154</v>
      </c>
      <c r="M777" s="386" t="s">
        <v>246</v>
      </c>
      <c r="N777" s="33" t="s">
        <v>68</v>
      </c>
      <c r="O777" s="33" t="s">
        <v>11</v>
      </c>
      <c r="P777" s="33" t="s">
        <v>1</v>
      </c>
      <c r="Q777" s="47"/>
      <c r="R777" s="47"/>
      <c r="S777" s="45" t="s">
        <v>145</v>
      </c>
      <c r="T777" s="45"/>
      <c r="U777" s="37">
        <v>45489</v>
      </c>
      <c r="V777" s="38">
        <f>B777</f>
        <v>45530</v>
      </c>
      <c r="W777" s="50">
        <f>V777-U777</f>
        <v>41</v>
      </c>
      <c r="X777" s="294">
        <v>316900.64</v>
      </c>
      <c r="Y777" s="260">
        <v>330000</v>
      </c>
      <c r="Z777" s="260">
        <v>300000</v>
      </c>
      <c r="AA777" s="56"/>
      <c r="AB777" s="43">
        <v>2.5000000000000001E-2</v>
      </c>
      <c r="AC777" s="295">
        <v>0</v>
      </c>
      <c r="AD777" s="62" t="s">
        <v>2330</v>
      </c>
      <c r="AE777" s="291"/>
      <c r="AF777" s="65"/>
      <c r="AG777" s="291"/>
      <c r="AH777" s="40">
        <f>Y777-Z777</f>
        <v>30000</v>
      </c>
      <c r="AI777" s="242"/>
      <c r="AJ777" s="242"/>
      <c r="AK777" s="291">
        <v>48.43</v>
      </c>
      <c r="AL777" s="40">
        <f>AH777-AK777</f>
        <v>29951.57</v>
      </c>
      <c r="AM777" s="242">
        <f>IFERROR(EOMONTH(B777,0),"Pendente")</f>
        <v>45535</v>
      </c>
      <c r="AN777" s="242" t="str">
        <f>IF(AQ777="x","",IF(AQ777="x",AM777,IF(EOMONTH(I777,0)=31,"",EOMONTH(I777,0))))</f>
        <v/>
      </c>
      <c r="AO777" s="79">
        <f>IFERROR(IF(VLOOKUP(C777,C778:C1378,1,0)=0,1,0),1)</f>
        <v>0</v>
      </c>
      <c r="AP777" s="79"/>
      <c r="AQ777" s="243" t="str">
        <f>IF(MID(G777,1,15)="NAO ASSINADO","x","")</f>
        <v/>
      </c>
      <c r="AR777" s="242" t="b">
        <f>IF(AQ777="x",EOMONTH(I777,0))</f>
        <v>0</v>
      </c>
      <c r="AS777" s="79">
        <f>IF(AH777&lt;0,0,1)</f>
        <v>1</v>
      </c>
      <c r="AT777" s="79">
        <f>IF(AL777&lt;0,0,1)</f>
        <v>1</v>
      </c>
      <c r="AU777" s="79" t="str">
        <f>MID(E777,1,1)</f>
        <v>B</v>
      </c>
      <c r="AV777" s="79">
        <f>IF(AG777&lt;0,0,1)</f>
        <v>1</v>
      </c>
      <c r="AW777" s="79" t="str">
        <f>J777&amp;AU777</f>
        <v>INTEGRALB</v>
      </c>
      <c r="AX777" s="79">
        <f>IF(COUNTIFS(J:J,"Integral",E:E,E777,H:H,"Ativo")=4,1/4,1/10)</f>
        <v>0.1</v>
      </c>
      <c r="AY777" s="79" t="s">
        <v>2133</v>
      </c>
      <c r="AZ777" s="79" t="b">
        <v>0</v>
      </c>
    </row>
    <row r="778" spans="1:52" ht="15.75" customHeight="1">
      <c r="A778" s="54">
        <v>807</v>
      </c>
      <c r="B778" s="406">
        <v>45530</v>
      </c>
      <c r="C778" s="32" t="s">
        <v>2326</v>
      </c>
      <c r="D778" s="32" t="s">
        <v>2364</v>
      </c>
      <c r="E778" s="32" t="s">
        <v>2350</v>
      </c>
      <c r="F778" s="32" t="s">
        <v>2365</v>
      </c>
      <c r="G778" s="60" t="s">
        <v>220</v>
      </c>
      <c r="H778" s="33" t="s">
        <v>90</v>
      </c>
      <c r="I778" s="34"/>
      <c r="J778" s="33" t="s">
        <v>1701</v>
      </c>
      <c r="K778" s="56" t="s">
        <v>1154</v>
      </c>
      <c r="L778" s="56" t="s">
        <v>1154</v>
      </c>
      <c r="M778" s="386" t="s">
        <v>246</v>
      </c>
      <c r="N778" s="33" t="s">
        <v>68</v>
      </c>
      <c r="O778" s="33" t="s">
        <v>11</v>
      </c>
      <c r="P778" s="33" t="s">
        <v>1</v>
      </c>
      <c r="Q778" s="47"/>
      <c r="R778" s="47"/>
      <c r="S778" s="45" t="s">
        <v>145</v>
      </c>
      <c r="T778" s="45"/>
      <c r="U778" s="37">
        <v>45489</v>
      </c>
      <c r="V778" s="38">
        <f>B778</f>
        <v>45530</v>
      </c>
      <c r="W778" s="50">
        <f>V778-U778</f>
        <v>41</v>
      </c>
      <c r="X778" s="294">
        <v>316900.64</v>
      </c>
      <c r="Y778" s="260">
        <v>330000</v>
      </c>
      <c r="Z778" s="260">
        <v>300000</v>
      </c>
      <c r="AA778" s="56"/>
      <c r="AB778" s="43">
        <v>2.5000000000000001E-2</v>
      </c>
      <c r="AC778" s="295">
        <v>0</v>
      </c>
      <c r="AD778" s="62" t="s">
        <v>2330</v>
      </c>
      <c r="AE778" s="291"/>
      <c r="AF778" s="65"/>
      <c r="AG778" s="291"/>
      <c r="AH778" s="40">
        <f>Y778-Z778</f>
        <v>30000</v>
      </c>
      <c r="AI778" s="242"/>
      <c r="AJ778" s="242"/>
      <c r="AK778" s="291">
        <v>48.43</v>
      </c>
      <c r="AL778" s="40">
        <f>AH778-AK778</f>
        <v>29951.57</v>
      </c>
      <c r="AM778" s="242">
        <f>IFERROR(EOMONTH(B778,0),"Pendente")</f>
        <v>45535</v>
      </c>
      <c r="AN778" s="242" t="str">
        <f>IF(AQ778="x","",IF(AQ778="x",AM778,IF(EOMONTH(I778,0)=31,"",EOMONTH(I778,0))))</f>
        <v/>
      </c>
      <c r="AO778" s="79">
        <f>IFERROR(IF(VLOOKUP(C778,C779:C1379,1,0)=0,1,0),1)</f>
        <v>0</v>
      </c>
      <c r="AP778" s="79"/>
      <c r="AQ778" s="243" t="str">
        <f>IF(MID(G778,1,15)="NAO ASSINADO","x","")</f>
        <v/>
      </c>
      <c r="AR778" s="242" t="b">
        <f>IF(AQ778="x",EOMONTH(I778,0))</f>
        <v>0</v>
      </c>
      <c r="AS778" s="79">
        <f>IF(AH778&lt;0,0,1)</f>
        <v>1</v>
      </c>
      <c r="AT778" s="79">
        <f>IF(AL778&lt;0,0,1)</f>
        <v>1</v>
      </c>
      <c r="AU778" s="79" t="str">
        <f>MID(E778,1,1)</f>
        <v>B</v>
      </c>
      <c r="AV778" s="79">
        <f>IF(AG778&lt;0,0,1)</f>
        <v>1</v>
      </c>
      <c r="AW778" s="79" t="str">
        <f>J778&amp;AU778</f>
        <v>INTEGRALB</v>
      </c>
      <c r="AX778" s="79">
        <f>IF(COUNTIFS(J:J,"Integral",E:E,E778,H:H,"Ativo")=4,1/4,1/10)</f>
        <v>0.1</v>
      </c>
      <c r="AY778" s="79" t="s">
        <v>2133</v>
      </c>
      <c r="AZ778" s="79" t="b">
        <v>0</v>
      </c>
    </row>
    <row r="779" spans="1:52" ht="15.75" customHeight="1">
      <c r="A779" s="54">
        <v>808</v>
      </c>
      <c r="B779" s="406">
        <v>45530</v>
      </c>
      <c r="C779" s="32" t="s">
        <v>2326</v>
      </c>
      <c r="D779" s="32" t="s">
        <v>2366</v>
      </c>
      <c r="E779" s="32" t="s">
        <v>2350</v>
      </c>
      <c r="F779" s="32" t="s">
        <v>2367</v>
      </c>
      <c r="G779" s="60" t="s">
        <v>220</v>
      </c>
      <c r="H779" s="33" t="s">
        <v>90</v>
      </c>
      <c r="I779" s="34"/>
      <c r="J779" s="33" t="s">
        <v>1701</v>
      </c>
      <c r="K779" s="56" t="s">
        <v>1154</v>
      </c>
      <c r="L779" s="56" t="s">
        <v>1154</v>
      </c>
      <c r="M779" s="386" t="s">
        <v>246</v>
      </c>
      <c r="N779" s="33" t="s">
        <v>68</v>
      </c>
      <c r="O779" s="33" t="s">
        <v>11</v>
      </c>
      <c r="P779" s="33" t="s">
        <v>1</v>
      </c>
      <c r="Q779" s="47"/>
      <c r="R779" s="47"/>
      <c r="S779" s="45" t="s">
        <v>145</v>
      </c>
      <c r="T779" s="45"/>
      <c r="U779" s="37">
        <v>45489</v>
      </c>
      <c r="V779" s="38">
        <f>B779</f>
        <v>45530</v>
      </c>
      <c r="W779" s="50">
        <f>V779-U779</f>
        <v>41</v>
      </c>
      <c r="X779" s="294">
        <v>316900.64</v>
      </c>
      <c r="Y779" s="260">
        <v>330000</v>
      </c>
      <c r="Z779" s="260">
        <v>300000</v>
      </c>
      <c r="AA779" s="56"/>
      <c r="AB779" s="43">
        <v>2.5000000000000001E-2</v>
      </c>
      <c r="AC779" s="295">
        <v>0</v>
      </c>
      <c r="AD779" s="62" t="s">
        <v>2330</v>
      </c>
      <c r="AE779" s="291"/>
      <c r="AF779" s="65"/>
      <c r="AG779" s="291"/>
      <c r="AH779" s="40">
        <f>Y779-Z779</f>
        <v>30000</v>
      </c>
      <c r="AI779" s="242"/>
      <c r="AJ779" s="242"/>
      <c r="AK779" s="291">
        <v>48.43</v>
      </c>
      <c r="AL779" s="40">
        <f>AH779-AK779</f>
        <v>29951.57</v>
      </c>
      <c r="AM779" s="242">
        <f>IFERROR(EOMONTH(B779,0),"Pendente")</f>
        <v>45535</v>
      </c>
      <c r="AN779" s="242" t="str">
        <f>IF(AQ779="x","",IF(AQ779="x",AM779,IF(EOMONTH(I779,0)=31,"",EOMONTH(I779,0))))</f>
        <v/>
      </c>
      <c r="AO779" s="79">
        <f>IFERROR(IF(VLOOKUP(C779,C780:C1380,1,0)=0,1,0),1)</f>
        <v>0</v>
      </c>
      <c r="AP779" s="79"/>
      <c r="AQ779" s="243" t="str">
        <f>IF(MID(G779,1,15)="NAO ASSINADO","x","")</f>
        <v/>
      </c>
      <c r="AR779" s="242" t="b">
        <f>IF(AQ779="x",EOMONTH(I779,0))</f>
        <v>0</v>
      </c>
      <c r="AS779" s="79">
        <f>IF(AH779&lt;0,0,1)</f>
        <v>1</v>
      </c>
      <c r="AT779" s="79">
        <f>IF(AL779&lt;0,0,1)</f>
        <v>1</v>
      </c>
      <c r="AU779" s="79" t="str">
        <f>MID(E779,1,1)</f>
        <v>B</v>
      </c>
      <c r="AV779" s="79">
        <f>IF(AG779&lt;0,0,1)</f>
        <v>1</v>
      </c>
      <c r="AW779" s="79" t="str">
        <f>J779&amp;AU779</f>
        <v>INTEGRALB</v>
      </c>
      <c r="AX779" s="79">
        <f>IF(COUNTIFS(J:J,"Integral",E:E,E779,H:H,"Ativo")=4,1/4,1/10)</f>
        <v>0.1</v>
      </c>
      <c r="AY779" s="79" t="s">
        <v>2133</v>
      </c>
      <c r="AZ779" s="79" t="b">
        <v>0</v>
      </c>
    </row>
    <row r="780" spans="1:52" ht="15.75" customHeight="1">
      <c r="A780" s="54">
        <v>809</v>
      </c>
      <c r="B780" s="406">
        <v>45530</v>
      </c>
      <c r="C780" s="32" t="s">
        <v>2326</v>
      </c>
      <c r="D780" s="32" t="s">
        <v>2368</v>
      </c>
      <c r="E780" s="32" t="s">
        <v>2350</v>
      </c>
      <c r="F780" s="32" t="s">
        <v>2369</v>
      </c>
      <c r="G780" s="60" t="s">
        <v>220</v>
      </c>
      <c r="H780" s="33" t="s">
        <v>90</v>
      </c>
      <c r="I780" s="34"/>
      <c r="J780" s="33" t="s">
        <v>1701</v>
      </c>
      <c r="K780" s="56" t="s">
        <v>1154</v>
      </c>
      <c r="L780" s="56" t="s">
        <v>1154</v>
      </c>
      <c r="M780" s="386" t="s">
        <v>246</v>
      </c>
      <c r="N780" s="33" t="s">
        <v>68</v>
      </c>
      <c r="O780" s="33" t="s">
        <v>11</v>
      </c>
      <c r="P780" s="33" t="s">
        <v>1</v>
      </c>
      <c r="Q780" s="47"/>
      <c r="R780" s="47"/>
      <c r="S780" s="45" t="s">
        <v>145</v>
      </c>
      <c r="T780" s="45"/>
      <c r="U780" s="37">
        <v>45489</v>
      </c>
      <c r="V780" s="38">
        <f>B780</f>
        <v>45530</v>
      </c>
      <c r="W780" s="50">
        <f>V780-U780</f>
        <v>41</v>
      </c>
      <c r="X780" s="294">
        <v>316900.64</v>
      </c>
      <c r="Y780" s="260">
        <v>330000</v>
      </c>
      <c r="Z780" s="260">
        <v>300000</v>
      </c>
      <c r="AA780" s="56"/>
      <c r="AB780" s="43">
        <v>2.5000000000000001E-2</v>
      </c>
      <c r="AC780" s="295">
        <v>0</v>
      </c>
      <c r="AD780" s="62" t="s">
        <v>2330</v>
      </c>
      <c r="AE780" s="291"/>
      <c r="AF780" s="65"/>
      <c r="AG780" s="291"/>
      <c r="AH780" s="40">
        <f>Y780-Z780</f>
        <v>30000</v>
      </c>
      <c r="AI780" s="242"/>
      <c r="AJ780" s="242"/>
      <c r="AK780" s="291">
        <v>48.48</v>
      </c>
      <c r="AL780" s="40">
        <f>AH780-AK780</f>
        <v>29951.52</v>
      </c>
      <c r="AM780" s="242">
        <f>IFERROR(EOMONTH(B780,0),"Pendente")</f>
        <v>45535</v>
      </c>
      <c r="AN780" s="242" t="str">
        <f>IF(AQ780="x","",IF(AQ780="x",AM780,IF(EOMONTH(I780,0)=31,"",EOMONTH(I780,0))))</f>
        <v/>
      </c>
      <c r="AO780" s="79">
        <f>IFERROR(IF(VLOOKUP(C780,C782:C1381,1,0)=0,1,0),1)</f>
        <v>1</v>
      </c>
      <c r="AP780" s="79"/>
      <c r="AQ780" s="243" t="str">
        <f>IF(MID(G780,1,15)="NAO ASSINADO","x","")</f>
        <v/>
      </c>
      <c r="AR780" s="242" t="b">
        <f>IF(AQ780="x",EOMONTH(I780,0))</f>
        <v>0</v>
      </c>
      <c r="AS780" s="79">
        <f>IF(AH780&lt;0,0,1)</f>
        <v>1</v>
      </c>
      <c r="AT780" s="79">
        <f>IF(AL780&lt;0,0,1)</f>
        <v>1</v>
      </c>
      <c r="AU780" s="79" t="str">
        <f>MID(E780,1,1)</f>
        <v>B</v>
      </c>
      <c r="AV780" s="79">
        <f>IF(AG780&lt;0,0,1)</f>
        <v>1</v>
      </c>
      <c r="AW780" s="79" t="str">
        <f>J780&amp;AU780</f>
        <v>INTEGRALB</v>
      </c>
      <c r="AX780" s="79">
        <f>IF(COUNTIFS(J:J,"Integral",E:E,E780,H:H,"Ativo")=4,1/4,1/10)</f>
        <v>0.1</v>
      </c>
      <c r="AY780" s="79" t="s">
        <v>2133</v>
      </c>
      <c r="AZ780" s="79" t="b">
        <v>0</v>
      </c>
    </row>
    <row r="781" spans="1:52" ht="15.75" customHeight="1">
      <c r="A781" s="54">
        <v>810</v>
      </c>
      <c r="B781" s="406">
        <v>45536</v>
      </c>
      <c r="C781" s="32" t="s">
        <v>2370</v>
      </c>
      <c r="D781" s="32" t="s">
        <v>2276</v>
      </c>
      <c r="E781" s="32" t="s">
        <v>1442</v>
      </c>
      <c r="F781" s="32" t="s">
        <v>2371</v>
      </c>
      <c r="G781" s="60" t="s">
        <v>243</v>
      </c>
      <c r="H781" s="33" t="s">
        <v>244</v>
      </c>
      <c r="I781" s="34">
        <v>45545</v>
      </c>
      <c r="J781" s="33">
        <v>4</v>
      </c>
      <c r="K781" s="56" t="s">
        <v>2372</v>
      </c>
      <c r="L781" s="56" t="s">
        <v>2372</v>
      </c>
      <c r="M781" s="386" t="s">
        <v>246</v>
      </c>
      <c r="N781" s="33" t="s">
        <v>68</v>
      </c>
      <c r="O781" s="33" t="s">
        <v>12</v>
      </c>
      <c r="P781" s="33" t="s">
        <v>1</v>
      </c>
      <c r="Q781" s="47"/>
      <c r="R781" s="47"/>
      <c r="S781" s="45" t="s">
        <v>143</v>
      </c>
      <c r="T781" s="45"/>
      <c r="U781" s="37">
        <v>45528</v>
      </c>
      <c r="V781" s="38">
        <f>B781</f>
        <v>45536</v>
      </c>
      <c r="W781" s="50">
        <f>V781-U781</f>
        <v>8</v>
      </c>
      <c r="X781" s="294">
        <v>373124.95</v>
      </c>
      <c r="Y781" s="260">
        <v>393000</v>
      </c>
      <c r="Z781" s="260">
        <v>393002</v>
      </c>
      <c r="AA781" s="35" t="s">
        <v>2034</v>
      </c>
      <c r="AB781" s="43">
        <v>0.2</v>
      </c>
      <c r="AC781" s="295">
        <v>0</v>
      </c>
      <c r="AD781" s="62">
        <v>0</v>
      </c>
      <c r="AE781" s="291"/>
      <c r="AF781" s="65"/>
      <c r="AG781" s="291">
        <v>16051.39</v>
      </c>
      <c r="AH781" s="40">
        <f>Y781-Z781</f>
        <v>-2</v>
      </c>
      <c r="AI781" s="242"/>
      <c r="AJ781" s="242"/>
      <c r="AK781" s="291"/>
      <c r="AL781" s="40">
        <f>AH781-AK781</f>
        <v>-2</v>
      </c>
      <c r="AM781" s="242">
        <f>IFERROR(EOMONTH(B781,0),"Pendente")</f>
        <v>45565</v>
      </c>
      <c r="AN781" s="242" t="str">
        <f>IF(AQ781="x","",IF(AQ781="x",AM781,IF(EOMONTH(I781,0)=31,"",EOMONTH(I781,0))))</f>
        <v/>
      </c>
      <c r="AO781" s="79">
        <f>IFERROR(IF(VLOOKUP(C781,C782:C1382,1,0)=0,1,0),1)</f>
        <v>1</v>
      </c>
      <c r="AP781" s="79"/>
      <c r="AQ781" s="243" t="str">
        <f>IF(MID(G781,1,15)="NAO ASSINADO","x","")</f>
        <v>x</v>
      </c>
      <c r="AR781" s="242">
        <f>IF(AQ781="x",EOMONTH(I781,0))</f>
        <v>45565</v>
      </c>
      <c r="AS781" s="79">
        <f>IF(AH781&lt;0,0,1)</f>
        <v>0</v>
      </c>
      <c r="AT781" s="79">
        <f>IF(AL781&lt;0,0,1)</f>
        <v>0</v>
      </c>
      <c r="AU781" s="79" t="str">
        <f>MID(E781,1,1)</f>
        <v>B</v>
      </c>
      <c r="AV781" s="79">
        <f>IF(AG781&lt;0,0,1)</f>
        <v>1</v>
      </c>
      <c r="AW781" s="79" t="str">
        <f>J781&amp;AU781</f>
        <v>4B</v>
      </c>
      <c r="AX781" s="79">
        <f>IF(COUNTIFS(J:J,"Integral",E:E,E781,H:H,"Ativo")=4,1/4,1/10)</f>
        <v>0.1</v>
      </c>
      <c r="AY781" s="79" t="s">
        <v>2133</v>
      </c>
      <c r="AZ781" s="79" t="b">
        <v>0</v>
      </c>
    </row>
    <row r="782" spans="1:52" ht="15.75" customHeight="1">
      <c r="A782" s="54">
        <v>898</v>
      </c>
      <c r="B782" s="405">
        <v>45614</v>
      </c>
      <c r="C782" s="351" t="s">
        <v>2321</v>
      </c>
      <c r="D782" s="32" t="s">
        <v>2373</v>
      </c>
      <c r="E782" s="32" t="s">
        <v>2323</v>
      </c>
      <c r="F782" s="32" t="s">
        <v>2374</v>
      </c>
      <c r="G782" s="60" t="s">
        <v>220</v>
      </c>
      <c r="H782" s="33" t="s">
        <v>90</v>
      </c>
      <c r="I782" s="34"/>
      <c r="J782" s="33">
        <v>6</v>
      </c>
      <c r="K782" s="56" t="s">
        <v>1165</v>
      </c>
      <c r="L782" s="56" t="s">
        <v>1165</v>
      </c>
      <c r="M782" s="386" t="s">
        <v>1026</v>
      </c>
      <c r="N782" s="33" t="s">
        <v>68</v>
      </c>
      <c r="O782" s="33" t="s">
        <v>11</v>
      </c>
      <c r="P782" s="33" t="s">
        <v>2</v>
      </c>
      <c r="Q782" s="47" t="s">
        <v>103</v>
      </c>
      <c r="R782" s="47"/>
      <c r="S782" s="45" t="s">
        <v>147</v>
      </c>
      <c r="T782" s="45"/>
      <c r="U782" s="37">
        <v>45613</v>
      </c>
      <c r="V782" s="38">
        <f>B782</f>
        <v>45614</v>
      </c>
      <c r="W782" s="50">
        <f>V782-U782</f>
        <v>1</v>
      </c>
      <c r="X782" s="260">
        <v>476406.13</v>
      </c>
      <c r="Y782" s="260">
        <v>501655.65</v>
      </c>
      <c r="Z782" s="260">
        <v>468000</v>
      </c>
      <c r="AA782" s="56"/>
      <c r="AB782" s="43">
        <v>2.7799999999999998E-2</v>
      </c>
      <c r="AC782" s="295">
        <v>0</v>
      </c>
      <c r="AD782" s="62" t="s">
        <v>2325</v>
      </c>
      <c r="AE782" s="291"/>
      <c r="AF782" s="40"/>
      <c r="AG782" s="291">
        <v>13891.31</v>
      </c>
      <c r="AH782" s="40">
        <f>Y782-Z782</f>
        <v>33655.650000000023</v>
      </c>
      <c r="AI782" s="242"/>
      <c r="AJ782" s="242"/>
      <c r="AK782" s="291"/>
      <c r="AL782" s="40">
        <f>AH782-AK782</f>
        <v>33655.650000000023</v>
      </c>
      <c r="AM782" s="242">
        <f>IFERROR(EOMONTH(B782,0),"Pendente")</f>
        <v>45626</v>
      </c>
      <c r="AN782" s="242" t="str">
        <f>IF(AQ782="x","",IF(AQ782="x",AM782,IF(EOMONTH(I782,0)=31,"",EOMONTH(I782,0))))</f>
        <v/>
      </c>
      <c r="AO782" s="364">
        <f>IFERROR(IF(VLOOKUP(C782,C783:C1383,1,0)=0,1,0),1)</f>
        <v>1</v>
      </c>
      <c r="AP782" s="364"/>
      <c r="AQ782" s="243" t="str">
        <f>IF(MID(G782,1,15)="NAO ASSINADO","x","")</f>
        <v/>
      </c>
      <c r="AR782" s="242" t="b">
        <f>IF(AQ782="x",EOMONTH(I782,0))</f>
        <v>0</v>
      </c>
      <c r="AS782" s="79">
        <f>IF(AH782&lt;0,0,1)</f>
        <v>1</v>
      </c>
      <c r="AT782" s="79">
        <f>IF(AL782&lt;0,0,1)</f>
        <v>1</v>
      </c>
      <c r="AU782" s="79" t="str">
        <f>MID(E782,1,1)</f>
        <v>C</v>
      </c>
      <c r="AV782" s="79">
        <f>IF(AG782&lt;0,0,1)</f>
        <v>1</v>
      </c>
      <c r="AW782" s="79" t="str">
        <f>J782&amp;AU782</f>
        <v>6C</v>
      </c>
      <c r="AX782" s="79">
        <f>IF(COUNTIFS(J:J,"Integral",E:E,E782,H:H,"Ativo")=4,1/4,1/10)</f>
        <v>0.1</v>
      </c>
      <c r="AY782" s="79" t="s">
        <v>2133</v>
      </c>
      <c r="AZ782" s="79" t="b">
        <v>1</v>
      </c>
    </row>
    <row r="783" spans="1:52" ht="15.75" customHeight="1">
      <c r="A783" s="54">
        <v>889</v>
      </c>
      <c r="B783" s="405">
        <v>45602</v>
      </c>
      <c r="C783" s="351" t="s">
        <v>2375</v>
      </c>
      <c r="D783" s="32" t="s">
        <v>2376</v>
      </c>
      <c r="E783" s="32" t="s">
        <v>2377</v>
      </c>
      <c r="F783" s="32" t="s">
        <v>2378</v>
      </c>
      <c r="G783" s="60" t="s">
        <v>220</v>
      </c>
      <c r="H783" s="33" t="s">
        <v>90</v>
      </c>
      <c r="I783" s="34"/>
      <c r="J783" s="33">
        <v>6</v>
      </c>
      <c r="K783" s="35" t="s">
        <v>2379</v>
      </c>
      <c r="L783" s="35" t="s">
        <v>2379</v>
      </c>
      <c r="M783" s="386" t="s">
        <v>1026</v>
      </c>
      <c r="N783" s="33" t="s">
        <v>68</v>
      </c>
      <c r="O783" s="33" t="s">
        <v>12</v>
      </c>
      <c r="P783" s="33" t="s">
        <v>2</v>
      </c>
      <c r="Q783" s="47" t="s">
        <v>101</v>
      </c>
      <c r="R783" s="47"/>
      <c r="S783" s="45" t="s">
        <v>143</v>
      </c>
      <c r="T783" s="45"/>
      <c r="U783" s="37">
        <v>45593</v>
      </c>
      <c r="V783" s="38">
        <f>B783</f>
        <v>45602</v>
      </c>
      <c r="W783" s="50">
        <f>V783-U783</f>
        <v>9</v>
      </c>
      <c r="X783" s="260">
        <v>476406.13</v>
      </c>
      <c r="Y783" s="260">
        <v>501655.65</v>
      </c>
      <c r="Z783" s="260">
        <v>501600</v>
      </c>
      <c r="AA783" s="56"/>
      <c r="AB783" s="43" t="s">
        <v>2380</v>
      </c>
      <c r="AC783" s="295">
        <v>0</v>
      </c>
      <c r="AD783" s="62" t="s">
        <v>2325</v>
      </c>
      <c r="AE783" s="291"/>
      <c r="AF783" s="40"/>
      <c r="AG783" s="291">
        <v>13916.16</v>
      </c>
      <c r="AH783" s="40">
        <f>Y783-Z783</f>
        <v>55.650000000023283</v>
      </c>
      <c r="AI783" s="242"/>
      <c r="AJ783" s="242"/>
      <c r="AK783" s="291"/>
      <c r="AL783" s="40">
        <f>AH783-AK783</f>
        <v>55.650000000023283</v>
      </c>
      <c r="AM783" s="242">
        <f>IFERROR(EOMONTH(B783,0),"Pendente")</f>
        <v>45626</v>
      </c>
      <c r="AN783" s="242" t="str">
        <f>IF(AQ783="x","",IF(AQ783="x",AM783,IF(EOMONTH(I783,0)=31,"",EOMONTH(I783,0))))</f>
        <v/>
      </c>
      <c r="AO783" s="364">
        <f>IFERROR(IF(VLOOKUP(C783,C784:C1384,1,0)=0,1,0),1)</f>
        <v>0</v>
      </c>
      <c r="AP783" s="364"/>
      <c r="AQ783" s="243" t="str">
        <f>IF(MID(G783,1,15)="NAO ASSINADO","x","")</f>
        <v/>
      </c>
      <c r="AR783" s="242" t="b">
        <f>IF(AQ783="x",EOMONTH(I783,0))</f>
        <v>0</v>
      </c>
      <c r="AS783" s="79">
        <f>IF(AH783&lt;0,0,1)</f>
        <v>1</v>
      </c>
      <c r="AT783" s="79">
        <f>IF(AL783&lt;0,0,1)</f>
        <v>1</v>
      </c>
      <c r="AU783" s="79" t="str">
        <f>MID(E783,1,1)</f>
        <v>C</v>
      </c>
      <c r="AV783" s="79">
        <f>IF(AG783&lt;0,0,1)</f>
        <v>1</v>
      </c>
      <c r="AW783" s="79" t="str">
        <f>J783&amp;AU783</f>
        <v>6C</v>
      </c>
      <c r="AX783" s="79">
        <f>IF(COUNTIFS(J:J,"Integral",E:E,E783,H:H,"Ativo")=4,1/4,1/10)</f>
        <v>0.1</v>
      </c>
      <c r="AY783" s="79" t="s">
        <v>2133</v>
      </c>
      <c r="AZ783" s="79" t="b">
        <v>1</v>
      </c>
    </row>
    <row r="784" spans="1:52" ht="15.75" customHeight="1">
      <c r="A784" s="54">
        <v>813</v>
      </c>
      <c r="B784" s="405">
        <v>45532</v>
      </c>
      <c r="C784" s="32" t="s">
        <v>2381</v>
      </c>
      <c r="D784" s="32" t="s">
        <v>2382</v>
      </c>
      <c r="E784" s="32" t="s">
        <v>1928</v>
      </c>
      <c r="F784" s="32" t="s">
        <v>2383</v>
      </c>
      <c r="G784" s="60" t="s">
        <v>220</v>
      </c>
      <c r="H784" s="33" t="s">
        <v>90</v>
      </c>
      <c r="I784" s="34"/>
      <c r="J784" s="33">
        <v>4</v>
      </c>
      <c r="K784" s="35" t="s">
        <v>1101</v>
      </c>
      <c r="L784" s="35" t="s">
        <v>1101</v>
      </c>
      <c r="M784" s="386" t="s">
        <v>1026</v>
      </c>
      <c r="N784" s="33" t="s">
        <v>68</v>
      </c>
      <c r="O784" s="33" t="s">
        <v>10</v>
      </c>
      <c r="P784" s="33" t="s">
        <v>2</v>
      </c>
      <c r="Q784" s="47"/>
      <c r="R784" s="47"/>
      <c r="S784" s="45" t="s">
        <v>147</v>
      </c>
      <c r="T784" s="45"/>
      <c r="U784" s="37">
        <v>45527</v>
      </c>
      <c r="V784" s="38">
        <f>B784</f>
        <v>45532</v>
      </c>
      <c r="W784" s="50">
        <f>V784-U784</f>
        <v>5</v>
      </c>
      <c r="X784" s="294">
        <v>373124.95</v>
      </c>
      <c r="Y784" s="260">
        <v>398000</v>
      </c>
      <c r="Z784" s="260">
        <v>321400</v>
      </c>
      <c r="AA784" s="56"/>
      <c r="AB784" s="43">
        <v>1</v>
      </c>
      <c r="AC784" s="295">
        <v>0</v>
      </c>
      <c r="AD784" s="62" t="s">
        <v>2384</v>
      </c>
      <c r="AE784" s="291"/>
      <c r="AF784" s="65"/>
      <c r="AG784" s="291">
        <v>17536.09</v>
      </c>
      <c r="AH784" s="40">
        <f>Y784-Z784</f>
        <v>76600</v>
      </c>
      <c r="AI784" s="242"/>
      <c r="AJ784" s="242"/>
      <c r="AK784" s="291"/>
      <c r="AL784" s="40">
        <f>AH784-AK784</f>
        <v>76600</v>
      </c>
      <c r="AM784" s="242">
        <f>IFERROR(EOMONTH(B784,0),"Pendente")</f>
        <v>45535</v>
      </c>
      <c r="AN784" s="242" t="str">
        <f>IF(AQ784="x","",IF(AQ784="x",AM784,IF(EOMONTH(I784,0)=31,"",EOMONTH(I784,0))))</f>
        <v/>
      </c>
      <c r="AO784" s="79">
        <f>IFERROR(IF(VLOOKUP(C784,C785:C1385,1,0)=0,1,0),1)</f>
        <v>1</v>
      </c>
      <c r="AP784" s="79"/>
      <c r="AQ784" s="243" t="str">
        <f>IF(MID(G784,1,15)="NAO ASSINADO","x","")</f>
        <v/>
      </c>
      <c r="AR784" s="242" t="b">
        <f>IF(AQ784="x",EOMONTH(I784,0))</f>
        <v>0</v>
      </c>
      <c r="AS784" s="79">
        <f>IF(AH784&lt;0,0,1)</f>
        <v>1</v>
      </c>
      <c r="AT784" s="79">
        <f>IF(AL784&lt;0,0,1)</f>
        <v>1</v>
      </c>
      <c r="AU784" s="79" t="str">
        <f>MID(E784,1,1)</f>
        <v>B</v>
      </c>
      <c r="AV784" s="79">
        <f>IF(AG784&lt;0,0,1)</f>
        <v>1</v>
      </c>
      <c r="AW784" s="79" t="str">
        <f>J784&amp;AU784</f>
        <v>4B</v>
      </c>
      <c r="AX784" s="79">
        <f>IF(COUNTIFS(J:J,"Integral",E:E,E784,H:H,"Ativo")=4,1/4,1/10)</f>
        <v>0.1</v>
      </c>
      <c r="AY784" s="79" t="s">
        <v>1535</v>
      </c>
      <c r="AZ784" s="79" t="b">
        <v>0</v>
      </c>
    </row>
    <row r="785" spans="1:52" ht="15.75" customHeight="1">
      <c r="A785" s="54">
        <v>814</v>
      </c>
      <c r="B785" s="405">
        <v>45532</v>
      </c>
      <c r="C785" s="32" t="s">
        <v>2385</v>
      </c>
      <c r="D785" s="32" t="s">
        <v>2386</v>
      </c>
      <c r="E785" s="32" t="s">
        <v>2069</v>
      </c>
      <c r="F785" s="32" t="s">
        <v>2387</v>
      </c>
      <c r="G785" s="60" t="s">
        <v>220</v>
      </c>
      <c r="H785" s="33" t="s">
        <v>90</v>
      </c>
      <c r="I785" s="34"/>
      <c r="J785" s="33">
        <v>6</v>
      </c>
      <c r="K785" s="35" t="s">
        <v>274</v>
      </c>
      <c r="L785" s="35" t="s">
        <v>274</v>
      </c>
      <c r="M785" s="386" t="s">
        <v>246</v>
      </c>
      <c r="N785" s="33" t="s">
        <v>68</v>
      </c>
      <c r="O785" s="33" t="s">
        <v>12</v>
      </c>
      <c r="P785" s="33" t="s">
        <v>1</v>
      </c>
      <c r="Q785" s="47"/>
      <c r="R785" s="47"/>
      <c r="S785" s="45" t="s">
        <v>147</v>
      </c>
      <c r="T785" s="45"/>
      <c r="U785" s="37">
        <v>45528</v>
      </c>
      <c r="V785" s="38">
        <f>B785</f>
        <v>45532</v>
      </c>
      <c r="W785" s="50">
        <f>V785-U785</f>
        <v>4</v>
      </c>
      <c r="X785" s="294">
        <v>388458.85</v>
      </c>
      <c r="Y785" s="260">
        <v>399000</v>
      </c>
      <c r="Z785" s="260">
        <v>399000</v>
      </c>
      <c r="AA785" s="35" t="s">
        <v>2034</v>
      </c>
      <c r="AB785" s="43">
        <v>0.12529999999999999</v>
      </c>
      <c r="AC785" s="295">
        <v>0</v>
      </c>
      <c r="AD785" s="62" t="s">
        <v>2388</v>
      </c>
      <c r="AE785" s="291"/>
      <c r="AF785" s="65"/>
      <c r="AG785" s="291"/>
      <c r="AH785" s="40">
        <f>Y785-Z785</f>
        <v>0</v>
      </c>
      <c r="AI785" s="242"/>
      <c r="AJ785" s="242"/>
      <c r="AK785" s="291">
        <v>1073.3499999999999</v>
      </c>
      <c r="AL785" s="40">
        <f>AH785-AK785</f>
        <v>-1073.3499999999999</v>
      </c>
      <c r="AM785" s="242">
        <f>IFERROR(EOMONTH(B785,0),"Pendente")</f>
        <v>45535</v>
      </c>
      <c r="AN785" s="242" t="str">
        <f>IF(AQ785="x","",IF(AQ785="x",AM785,IF(EOMONTH(I785,0)=31,"",EOMONTH(I785,0))))</f>
        <v/>
      </c>
      <c r="AO785" s="79">
        <f>IFERROR(IF(VLOOKUP(C785,C786:C1386,1,0)=0,1,0),1)</f>
        <v>0</v>
      </c>
      <c r="AP785" s="79"/>
      <c r="AQ785" s="243" t="str">
        <f>IF(MID(G785,1,15)="NAO ASSINADO","x","")</f>
        <v/>
      </c>
      <c r="AR785" s="242" t="b">
        <f>IF(AQ785="x",EOMONTH(I785,0))</f>
        <v>0</v>
      </c>
      <c r="AS785" s="79">
        <f>IF(AH785&lt;0,0,1)</f>
        <v>1</v>
      </c>
      <c r="AT785" s="79">
        <f>IF(AL785&lt;0,0,1)</f>
        <v>0</v>
      </c>
      <c r="AU785" s="79" t="str">
        <f>MID(E785,1,1)</f>
        <v>B</v>
      </c>
      <c r="AV785" s="79">
        <f>IF(AG785&lt;0,0,1)</f>
        <v>1</v>
      </c>
      <c r="AW785" s="79" t="str">
        <f>J785&amp;AU785</f>
        <v>6B</v>
      </c>
      <c r="AX785" s="79">
        <f>IF(COUNTIFS(J:J,"Integral",E:E,E785,H:H,"Ativo")=4,1/4,1/10)</f>
        <v>0.1</v>
      </c>
      <c r="AY785" s="79" t="s">
        <v>2133</v>
      </c>
      <c r="AZ785" s="79" t="b">
        <v>0</v>
      </c>
    </row>
    <row r="786" spans="1:52" ht="15.75" customHeight="1">
      <c r="A786" s="54">
        <v>815</v>
      </c>
      <c r="B786" s="405">
        <v>45532</v>
      </c>
      <c r="C786" s="32" t="s">
        <v>2385</v>
      </c>
      <c r="D786" s="32" t="s">
        <v>2110</v>
      </c>
      <c r="E786" s="32" t="s">
        <v>2069</v>
      </c>
      <c r="F786" s="32" t="s">
        <v>2389</v>
      </c>
      <c r="G786" s="60" t="s">
        <v>220</v>
      </c>
      <c r="H786" s="33" t="s">
        <v>90</v>
      </c>
      <c r="I786" s="34"/>
      <c r="J786" s="33">
        <v>6</v>
      </c>
      <c r="K786" s="35" t="s">
        <v>274</v>
      </c>
      <c r="L786" s="35" t="s">
        <v>274</v>
      </c>
      <c r="M786" s="386" t="s">
        <v>246</v>
      </c>
      <c r="N786" s="33" t="s">
        <v>68</v>
      </c>
      <c r="O786" s="33" t="s">
        <v>12</v>
      </c>
      <c r="P786" s="33" t="s">
        <v>1</v>
      </c>
      <c r="Q786" s="47"/>
      <c r="R786" s="47"/>
      <c r="S786" s="45" t="s">
        <v>147</v>
      </c>
      <c r="T786" s="45"/>
      <c r="U786" s="37">
        <v>45528</v>
      </c>
      <c r="V786" s="38">
        <f>B786</f>
        <v>45532</v>
      </c>
      <c r="W786" s="50">
        <f>V786-U786</f>
        <v>4</v>
      </c>
      <c r="X786" s="294">
        <v>388458.85</v>
      </c>
      <c r="Y786" s="260">
        <v>399000</v>
      </c>
      <c r="Z786" s="260">
        <v>399000</v>
      </c>
      <c r="AA786" s="35" t="s">
        <v>2034</v>
      </c>
      <c r="AB786" s="43">
        <v>0.12529999999999999</v>
      </c>
      <c r="AC786" s="295">
        <v>0</v>
      </c>
      <c r="AD786" s="62" t="s">
        <v>2388</v>
      </c>
      <c r="AE786" s="291"/>
      <c r="AF786" s="65"/>
      <c r="AG786" s="291"/>
      <c r="AH786" s="40">
        <f>Y786-Z786</f>
        <v>0</v>
      </c>
      <c r="AI786" s="242"/>
      <c r="AJ786" s="242"/>
      <c r="AK786" s="291">
        <v>1073.3499999999999</v>
      </c>
      <c r="AL786" s="40">
        <f>AH786-AK786</f>
        <v>-1073.3499999999999</v>
      </c>
      <c r="AM786" s="242">
        <f>IFERROR(EOMONTH(B786,0),"Pendente")</f>
        <v>45535</v>
      </c>
      <c r="AN786" s="242" t="str">
        <f>IF(AQ786="x","",IF(AQ786="x",AM786,IF(EOMONTH(I786,0)=31,"",EOMONTH(I786,0))))</f>
        <v/>
      </c>
      <c r="AO786" s="79">
        <f>IFERROR(IF(VLOOKUP(C786,C787:C1387,1,0)=0,1,0),1)</f>
        <v>1</v>
      </c>
      <c r="AP786" s="79"/>
      <c r="AQ786" s="243" t="str">
        <f>IF(MID(G786,1,15)="NAO ASSINADO","x","")</f>
        <v/>
      </c>
      <c r="AR786" s="242" t="b">
        <f>IF(AQ786="x",EOMONTH(I786,0))</f>
        <v>0</v>
      </c>
      <c r="AS786" s="79">
        <f>IF(AH786&lt;0,0,1)</f>
        <v>1</v>
      </c>
      <c r="AT786" s="79">
        <f>IF(AL786&lt;0,0,1)</f>
        <v>0</v>
      </c>
      <c r="AU786" s="79" t="str">
        <f>MID(E786,1,1)</f>
        <v>B</v>
      </c>
      <c r="AV786" s="79">
        <f>IF(AG786&lt;0,0,1)</f>
        <v>1</v>
      </c>
      <c r="AW786" s="79" t="str">
        <f>J786&amp;AU786</f>
        <v>6B</v>
      </c>
      <c r="AX786" s="79">
        <f>IF(COUNTIFS(J:J,"Integral",E:E,E786,H:H,"Ativo")=4,1/4,1/10)</f>
        <v>0.1</v>
      </c>
      <c r="AY786" s="79" t="s">
        <v>2133</v>
      </c>
      <c r="AZ786" s="79" t="b">
        <v>0</v>
      </c>
    </row>
    <row r="787" spans="1:52" ht="15.75" customHeight="1">
      <c r="A787" s="54">
        <v>816</v>
      </c>
      <c r="B787" s="406">
        <v>45536</v>
      </c>
      <c r="C787" s="32" t="s">
        <v>2390</v>
      </c>
      <c r="D787" s="32" t="s">
        <v>979</v>
      </c>
      <c r="E787" s="32" t="s">
        <v>283</v>
      </c>
      <c r="F787" s="32" t="s">
        <v>2391</v>
      </c>
      <c r="G787" s="60" t="s">
        <v>243</v>
      </c>
      <c r="H787" s="33" t="s">
        <v>244</v>
      </c>
      <c r="I787" s="34">
        <v>45549</v>
      </c>
      <c r="J787" s="33">
        <v>6</v>
      </c>
      <c r="K787" s="56" t="s">
        <v>1724</v>
      </c>
      <c r="L787" s="56" t="s">
        <v>1724</v>
      </c>
      <c r="M787" s="386" t="s">
        <v>1026</v>
      </c>
      <c r="N787" s="33" t="s">
        <v>68</v>
      </c>
      <c r="O787" s="33" t="s">
        <v>11</v>
      </c>
      <c r="P787" s="33" t="s">
        <v>1</v>
      </c>
      <c r="Q787" s="47"/>
      <c r="R787" s="47"/>
      <c r="S787" s="45" t="s">
        <v>145</v>
      </c>
      <c r="T787" s="45"/>
      <c r="U787" s="37">
        <v>45533</v>
      </c>
      <c r="V787" s="38">
        <f>B787</f>
        <v>45536</v>
      </c>
      <c r="W787" s="50">
        <f>V787-U787</f>
        <v>3</v>
      </c>
      <c r="X787" s="294">
        <v>388458.85</v>
      </c>
      <c r="Y787" s="260">
        <v>396000</v>
      </c>
      <c r="Z787" s="260">
        <v>354490</v>
      </c>
      <c r="AA787" s="35"/>
      <c r="AB787" s="43">
        <v>0.22509999999999999</v>
      </c>
      <c r="AC787" s="295">
        <v>0</v>
      </c>
      <c r="AD787" s="62" t="s">
        <v>2392</v>
      </c>
      <c r="AE787" s="291"/>
      <c r="AF787" s="65"/>
      <c r="AG787" s="291">
        <v>5538.81</v>
      </c>
      <c r="AH787" s="40">
        <f>Y787-Z787</f>
        <v>41510</v>
      </c>
      <c r="AI787" s="242"/>
      <c r="AJ787" s="242"/>
      <c r="AK787" s="291"/>
      <c r="AL787" s="40">
        <f>AH787-AK787</f>
        <v>41510</v>
      </c>
      <c r="AM787" s="242">
        <f>IFERROR(EOMONTH(B787,0),"Pendente")</f>
        <v>45565</v>
      </c>
      <c r="AN787" s="242" t="str">
        <f>IF(AQ787="x","",IF(AQ787="x",AM787,IF(EOMONTH(I787,0)=31,"",EOMONTH(I787,0))))</f>
        <v/>
      </c>
      <c r="AO787" s="79">
        <f>IFERROR(IF(VLOOKUP(C787,C788:C1388,1,0)=0,1,0),1)</f>
        <v>0</v>
      </c>
      <c r="AP787" s="79"/>
      <c r="AQ787" s="243" t="str">
        <f>IF(MID(G787,1,15)="NAO ASSINADO","x","")</f>
        <v>x</v>
      </c>
      <c r="AR787" s="242">
        <f>IF(AQ787="x",EOMONTH(I787,0))</f>
        <v>45565</v>
      </c>
      <c r="AS787" s="79">
        <f>IF(AH787&lt;0,0,1)</f>
        <v>1</v>
      </c>
      <c r="AT787" s="79">
        <f>IF(AL787&lt;0,0,1)</f>
        <v>1</v>
      </c>
      <c r="AU787" s="79" t="str">
        <f>MID(E787,1,1)</f>
        <v>B</v>
      </c>
      <c r="AV787" s="79">
        <f>IF(AG787&lt;0,0,1)</f>
        <v>1</v>
      </c>
      <c r="AW787" s="79" t="str">
        <f>J787&amp;AU787</f>
        <v>6B</v>
      </c>
      <c r="AX787" s="79">
        <f>IF(COUNTIFS(J:J,"Integral",E:E,E787,H:H,"Ativo")=4,1/4,1/10)</f>
        <v>0.1</v>
      </c>
      <c r="AY787" s="79" t="s">
        <v>1332</v>
      </c>
      <c r="AZ787" s="79" t="b">
        <v>0</v>
      </c>
    </row>
    <row r="788" spans="1:52" ht="15.75" customHeight="1">
      <c r="A788" s="54">
        <v>817</v>
      </c>
      <c r="B788" s="406">
        <v>45536</v>
      </c>
      <c r="C788" s="32" t="s">
        <v>2390</v>
      </c>
      <c r="D788" s="32" t="s">
        <v>975</v>
      </c>
      <c r="E788" s="32" t="s">
        <v>283</v>
      </c>
      <c r="F788" s="32" t="s">
        <v>2393</v>
      </c>
      <c r="G788" s="60" t="s">
        <v>243</v>
      </c>
      <c r="H788" s="33" t="s">
        <v>244</v>
      </c>
      <c r="I788" s="34">
        <v>45549</v>
      </c>
      <c r="J788" s="33">
        <v>6</v>
      </c>
      <c r="K788" s="56" t="s">
        <v>1724</v>
      </c>
      <c r="L788" s="56" t="s">
        <v>1724</v>
      </c>
      <c r="M788" s="386" t="s">
        <v>1026</v>
      </c>
      <c r="N788" s="33" t="s">
        <v>68</v>
      </c>
      <c r="O788" s="33" t="s">
        <v>11</v>
      </c>
      <c r="P788" s="33" t="s">
        <v>1</v>
      </c>
      <c r="Q788" s="47"/>
      <c r="R788" s="47"/>
      <c r="S788" s="45" t="s">
        <v>145</v>
      </c>
      <c r="T788" s="45"/>
      <c r="U788" s="37">
        <v>45533</v>
      </c>
      <c r="V788" s="38">
        <f>B788</f>
        <v>45536</v>
      </c>
      <c r="W788" s="50">
        <f>V788-U788</f>
        <v>3</v>
      </c>
      <c r="X788" s="294">
        <v>388458.85</v>
      </c>
      <c r="Y788" s="260">
        <v>396000</v>
      </c>
      <c r="Z788" s="260">
        <v>354490</v>
      </c>
      <c r="AA788" s="35"/>
      <c r="AB788" s="43">
        <v>0.22509999999999999</v>
      </c>
      <c r="AC788" s="295">
        <v>0</v>
      </c>
      <c r="AD788" s="62" t="s">
        <v>2392</v>
      </c>
      <c r="AE788" s="291"/>
      <c r="AF788" s="65"/>
      <c r="AG788" s="291">
        <v>5538.81</v>
      </c>
      <c r="AH788" s="40">
        <f>Y788-Z788</f>
        <v>41510</v>
      </c>
      <c r="AI788" s="242"/>
      <c r="AJ788" s="242"/>
      <c r="AK788" s="291"/>
      <c r="AL788" s="40">
        <f>AH788-AK788</f>
        <v>41510</v>
      </c>
      <c r="AM788" s="242">
        <f>IFERROR(EOMONTH(B788,0),"Pendente")</f>
        <v>45565</v>
      </c>
      <c r="AN788" s="242" t="str">
        <f>IF(AQ788="x","",IF(AQ788="x",AM788,IF(EOMONTH(I788,0)=31,"",EOMONTH(I788,0))))</f>
        <v/>
      </c>
      <c r="AO788" s="79">
        <f>IFERROR(IF(VLOOKUP(C788,C789:C1389,1,0)=0,1,0),1)</f>
        <v>1</v>
      </c>
      <c r="AP788" s="79"/>
      <c r="AQ788" s="243" t="str">
        <f>IF(MID(G788,1,15)="NAO ASSINADO","x","")</f>
        <v>x</v>
      </c>
      <c r="AR788" s="242">
        <f>IF(AQ788="x",EOMONTH(I788,0))</f>
        <v>45565</v>
      </c>
      <c r="AS788" s="79">
        <f>IF(AH788&lt;0,0,1)</f>
        <v>1</v>
      </c>
      <c r="AT788" s="79">
        <f>IF(AL788&lt;0,0,1)</f>
        <v>1</v>
      </c>
      <c r="AU788" s="79" t="str">
        <f>MID(E788,1,1)</f>
        <v>B</v>
      </c>
      <c r="AV788" s="79">
        <f>IF(AG788&lt;0,0,1)</f>
        <v>1</v>
      </c>
      <c r="AW788" s="79" t="str">
        <f>J788&amp;AU788</f>
        <v>6B</v>
      </c>
      <c r="AX788" s="79">
        <f>IF(COUNTIFS(J:J,"Integral",E:E,E788,H:H,"Ativo")=4,1/4,1/10)</f>
        <v>0.1</v>
      </c>
      <c r="AY788" s="79" t="s">
        <v>1332</v>
      </c>
      <c r="AZ788" s="79" t="b">
        <v>0</v>
      </c>
    </row>
    <row r="789" spans="1:52" ht="15.75" customHeight="1">
      <c r="A789" s="54">
        <v>890</v>
      </c>
      <c r="B789" s="405">
        <v>45602</v>
      </c>
      <c r="C789" s="351" t="s">
        <v>2375</v>
      </c>
      <c r="D789" s="32" t="s">
        <v>2394</v>
      </c>
      <c r="E789" s="32" t="s">
        <v>2377</v>
      </c>
      <c r="F789" s="32" t="s">
        <v>2395</v>
      </c>
      <c r="G789" s="60" t="s">
        <v>220</v>
      </c>
      <c r="H789" s="33" t="s">
        <v>90</v>
      </c>
      <c r="I789" s="34"/>
      <c r="J789" s="33">
        <v>6</v>
      </c>
      <c r="K789" s="35" t="s">
        <v>2379</v>
      </c>
      <c r="L789" s="35" t="s">
        <v>2379</v>
      </c>
      <c r="M789" s="386" t="s">
        <v>1026</v>
      </c>
      <c r="N789" s="33" t="s">
        <v>68</v>
      </c>
      <c r="O789" s="33" t="s">
        <v>12</v>
      </c>
      <c r="P789" s="33" t="s">
        <v>2</v>
      </c>
      <c r="Q789" s="47" t="s">
        <v>101</v>
      </c>
      <c r="R789" s="47"/>
      <c r="S789" s="45" t="s">
        <v>143</v>
      </c>
      <c r="T789" s="45"/>
      <c r="U789" s="37">
        <v>45593</v>
      </c>
      <c r="V789" s="38">
        <f>B789</f>
        <v>45602</v>
      </c>
      <c r="W789" s="50">
        <f>V789-U789</f>
        <v>9</v>
      </c>
      <c r="X789" s="260">
        <v>476406.13</v>
      </c>
      <c r="Y789" s="260">
        <v>501655.65</v>
      </c>
      <c r="Z789" s="260">
        <v>501600</v>
      </c>
      <c r="AA789" s="56"/>
      <c r="AB789" s="43" t="s">
        <v>2380</v>
      </c>
      <c r="AC789" s="295">
        <v>0</v>
      </c>
      <c r="AD789" s="62" t="s">
        <v>2325</v>
      </c>
      <c r="AE789" s="291"/>
      <c r="AF789" s="40"/>
      <c r="AG789" s="291">
        <v>13916.15</v>
      </c>
      <c r="AH789" s="40">
        <f>Y789-Z789</f>
        <v>55.650000000023283</v>
      </c>
      <c r="AI789" s="242"/>
      <c r="AJ789" s="242"/>
      <c r="AK789" s="291"/>
      <c r="AL789" s="40">
        <f>AH789-AK789</f>
        <v>55.650000000023283</v>
      </c>
      <c r="AM789" s="242">
        <f>IFERROR(EOMONTH(B789,0),"Pendente")</f>
        <v>45626</v>
      </c>
      <c r="AN789" s="242" t="str">
        <f>IF(AQ789="x","",IF(AQ789="x",AM789,IF(EOMONTH(I789,0)=31,"",EOMONTH(I789,0))))</f>
        <v/>
      </c>
      <c r="AO789" s="364">
        <f>IFERROR(IF(VLOOKUP(C789,C790:C1390,1,0)=0,1,0),1)</f>
        <v>1</v>
      </c>
      <c r="AP789" s="364"/>
      <c r="AQ789" s="243" t="str">
        <f>IF(MID(G789,1,15)="NAO ASSINADO","x","")</f>
        <v/>
      </c>
      <c r="AR789" s="242" t="b">
        <f>IF(AQ789="x",EOMONTH(I789,0))</f>
        <v>0</v>
      </c>
      <c r="AS789" s="79">
        <f>IF(AH789&lt;0,0,1)</f>
        <v>1</v>
      </c>
      <c r="AT789" s="79">
        <f>IF(AL789&lt;0,0,1)</f>
        <v>1</v>
      </c>
      <c r="AU789" s="79" t="str">
        <f>MID(E789,1,1)</f>
        <v>C</v>
      </c>
      <c r="AV789" s="79">
        <f>IF(AG789&lt;0,0,1)</f>
        <v>1</v>
      </c>
      <c r="AW789" s="79" t="str">
        <f>J789&amp;AU789</f>
        <v>6C</v>
      </c>
      <c r="AX789" s="79">
        <f>IF(COUNTIFS(J:J,"Integral",E:E,E789,H:H,"Ativo")=4,1/4,1/10)</f>
        <v>0.1</v>
      </c>
      <c r="AY789" s="79" t="s">
        <v>2133</v>
      </c>
      <c r="AZ789" s="79" t="b">
        <v>1</v>
      </c>
    </row>
    <row r="790" spans="1:52" ht="15.75" customHeight="1">
      <c r="A790" s="54">
        <v>834</v>
      </c>
      <c r="B790" s="405">
        <v>45544</v>
      </c>
      <c r="C790" s="32" t="s">
        <v>2396</v>
      </c>
      <c r="D790" s="32" t="s">
        <v>2397</v>
      </c>
      <c r="E790" s="32" t="s">
        <v>1043</v>
      </c>
      <c r="F790" s="32" t="s">
        <v>2398</v>
      </c>
      <c r="G790" s="60" t="s">
        <v>220</v>
      </c>
      <c r="H790" s="33" t="s">
        <v>90</v>
      </c>
      <c r="I790" s="34"/>
      <c r="J790" s="33">
        <v>4</v>
      </c>
      <c r="K790" s="56" t="s">
        <v>1512</v>
      </c>
      <c r="L790" s="56" t="s">
        <v>1512</v>
      </c>
      <c r="M790" s="386" t="s">
        <v>1026</v>
      </c>
      <c r="N790" s="33" t="s">
        <v>68</v>
      </c>
      <c r="O790" s="33" t="s">
        <v>12</v>
      </c>
      <c r="P790" s="33" t="s">
        <v>2</v>
      </c>
      <c r="Q790" s="47" t="s">
        <v>104</v>
      </c>
      <c r="R790" s="47"/>
      <c r="S790" s="45" t="s">
        <v>147</v>
      </c>
      <c r="T790" s="45"/>
      <c r="U790" s="37">
        <v>45540</v>
      </c>
      <c r="V790" s="38">
        <f>B790</f>
        <v>45544</v>
      </c>
      <c r="W790" s="50">
        <f>V790-U790</f>
        <v>4</v>
      </c>
      <c r="X790" s="294">
        <v>375512.95</v>
      </c>
      <c r="Y790" s="260">
        <v>398000</v>
      </c>
      <c r="Z790" s="260">
        <v>398000</v>
      </c>
      <c r="AA790" s="56"/>
      <c r="AB790" s="43">
        <v>0.20100000000000001</v>
      </c>
      <c r="AC790" s="295">
        <v>0</v>
      </c>
      <c r="AD790" s="62" t="s">
        <v>2399</v>
      </c>
      <c r="AE790" s="291"/>
      <c r="AF790" s="65"/>
      <c r="AG790" s="291">
        <v>14471.99</v>
      </c>
      <c r="AH790" s="40">
        <f>Y790-Z790</f>
        <v>0</v>
      </c>
      <c r="AI790" s="242"/>
      <c r="AJ790" s="242"/>
      <c r="AK790" s="291"/>
      <c r="AL790" s="40">
        <f>AH790-AK790</f>
        <v>0</v>
      </c>
      <c r="AM790" s="242">
        <f>IFERROR(EOMONTH(B790,0),"Pendente")</f>
        <v>45565</v>
      </c>
      <c r="AN790" s="242" t="str">
        <f>IF(AQ790="x","",IF(AQ790="x",AM790,IF(EOMONTH(I790,0)=31,"",EOMONTH(I790,0))))</f>
        <v/>
      </c>
      <c r="AO790" s="79">
        <f>IFERROR(IF(VLOOKUP(C790,C791:C1391,1,0)=0,1,0),1)</f>
        <v>1</v>
      </c>
      <c r="AP790" s="79"/>
      <c r="AQ790" s="243" t="str">
        <f>IF(MID(G790,1,15)="NAO ASSINADO","x","")</f>
        <v/>
      </c>
      <c r="AR790" s="242" t="b">
        <f>IF(AQ790="x",EOMONTH(I790,0))</f>
        <v>0</v>
      </c>
      <c r="AS790" s="79">
        <f>IF(AH790&lt;0,0,1)</f>
        <v>1</v>
      </c>
      <c r="AT790" s="79">
        <f>IF(AL790&lt;0,0,1)</f>
        <v>1</v>
      </c>
      <c r="AU790" s="79" t="str">
        <f>MID(E790,1,1)</f>
        <v>B</v>
      </c>
      <c r="AV790" s="79">
        <f>IF(AG790&lt;0,0,1)</f>
        <v>1</v>
      </c>
      <c r="AW790" s="79" t="str">
        <f>J790&amp;AU790</f>
        <v>4B</v>
      </c>
      <c r="AX790" s="79">
        <f>IF(COUNTIFS(J:J,"Integral",E:E,E790,H:H,"Ativo")=4,1/4,1/10)</f>
        <v>0.1</v>
      </c>
      <c r="AY790" s="79" t="s">
        <v>1332</v>
      </c>
      <c r="AZ790" s="79" t="b">
        <v>1</v>
      </c>
    </row>
    <row r="791" spans="1:52" ht="15.75" customHeight="1">
      <c r="A791" s="54">
        <v>820</v>
      </c>
      <c r="B791" s="405">
        <v>45535</v>
      </c>
      <c r="C791" s="32" t="s">
        <v>1763</v>
      </c>
      <c r="D791" s="32" t="s">
        <v>2400</v>
      </c>
      <c r="E791" s="32" t="s">
        <v>283</v>
      </c>
      <c r="F791" s="32" t="s">
        <v>2401</v>
      </c>
      <c r="G791" s="60" t="s">
        <v>220</v>
      </c>
      <c r="H791" s="33" t="s">
        <v>90</v>
      </c>
      <c r="I791" s="34"/>
      <c r="J791" s="33">
        <v>4</v>
      </c>
      <c r="K791" s="56" t="s">
        <v>1149</v>
      </c>
      <c r="L791" s="56" t="s">
        <v>1149</v>
      </c>
      <c r="M791" s="386" t="s">
        <v>1026</v>
      </c>
      <c r="N791" s="33" t="s">
        <v>68</v>
      </c>
      <c r="O791" s="33" t="s">
        <v>12</v>
      </c>
      <c r="P791" s="33" t="s">
        <v>86</v>
      </c>
      <c r="Q791" s="47" t="s">
        <v>84</v>
      </c>
      <c r="R791" s="47"/>
      <c r="S791" s="45" t="s">
        <v>143</v>
      </c>
      <c r="T791" s="45"/>
      <c r="U791" s="37">
        <v>44980</v>
      </c>
      <c r="V791" s="38">
        <f>B791</f>
        <v>45535</v>
      </c>
      <c r="W791" s="50">
        <f>V791-U791</f>
        <v>555</v>
      </c>
      <c r="X791" s="294">
        <v>258972.56</v>
      </c>
      <c r="Y791" s="260">
        <v>264000</v>
      </c>
      <c r="Z791" s="260">
        <v>245933.33</v>
      </c>
      <c r="AA791" s="35"/>
      <c r="AB791" s="43">
        <v>0.1123</v>
      </c>
      <c r="AC791" s="295">
        <v>0</v>
      </c>
      <c r="AD791" s="62" t="s">
        <v>2402</v>
      </c>
      <c r="AE791" s="291"/>
      <c r="AF791" s="65"/>
      <c r="AG791" s="291"/>
      <c r="AH791" s="40">
        <f>Y791-Z791</f>
        <v>18066.670000000013</v>
      </c>
      <c r="AI791" s="242"/>
      <c r="AJ791" s="242"/>
      <c r="AK791" s="291">
        <v>18817.36</v>
      </c>
      <c r="AL791" s="40">
        <f>AH791-AK791</f>
        <v>-750.68999999998778</v>
      </c>
      <c r="AM791" s="242">
        <f>IFERROR(EOMONTH(B791,0),"Pendente")</f>
        <v>45535</v>
      </c>
      <c r="AN791" s="242" t="str">
        <f>IF(AQ791="x","",IF(AQ791="x",AM791,IF(EOMONTH(I791,0)=31,"",EOMONTH(I791,0))))</f>
        <v/>
      </c>
      <c r="AO791" s="79">
        <f>IFERROR(IF(VLOOKUP(C791,C792:C1392,1,0)=0,1,0),1)</f>
        <v>0</v>
      </c>
      <c r="AP791" s="79"/>
      <c r="AQ791" s="243" t="str">
        <f>IF(MID(G791,1,15)="NAO ASSINADO","x","")</f>
        <v/>
      </c>
      <c r="AR791" s="242" t="b">
        <f>IF(AQ791="x",EOMONTH(I791,0))</f>
        <v>0</v>
      </c>
      <c r="AS791" s="79">
        <f>IF(AH791&lt;0,0,1)</f>
        <v>1</v>
      </c>
      <c r="AT791" s="79">
        <f>IF(AL791&lt;0,0,1)</f>
        <v>0</v>
      </c>
      <c r="AU791" s="79" t="str">
        <f>MID(E791,1,1)</f>
        <v>B</v>
      </c>
      <c r="AV791" s="79">
        <f>IF(AG791&lt;0,0,1)</f>
        <v>1</v>
      </c>
      <c r="AW791" s="79" t="str">
        <f>J791&amp;AU791</f>
        <v>4B</v>
      </c>
      <c r="AX791" s="79">
        <f>IF(COUNTIFS(J:J,"Integral",E:E,E791,H:H,"Ativo")=4,1/4,1/10)</f>
        <v>0.1</v>
      </c>
      <c r="AY791" s="79" t="s">
        <v>2133</v>
      </c>
      <c r="AZ791" s="79" t="b">
        <v>0</v>
      </c>
    </row>
    <row r="792" spans="1:52" ht="15.75" customHeight="1">
      <c r="A792" s="54">
        <v>821</v>
      </c>
      <c r="B792" s="405">
        <v>45535</v>
      </c>
      <c r="C792" s="32" t="s">
        <v>1763</v>
      </c>
      <c r="D792" s="32" t="s">
        <v>2403</v>
      </c>
      <c r="E792" s="32" t="s">
        <v>283</v>
      </c>
      <c r="F792" s="32" t="s">
        <v>2404</v>
      </c>
      <c r="G792" s="60" t="s">
        <v>220</v>
      </c>
      <c r="H792" s="33" t="s">
        <v>90</v>
      </c>
      <c r="I792" s="34"/>
      <c r="J792" s="33">
        <v>4</v>
      </c>
      <c r="K792" s="56" t="s">
        <v>1149</v>
      </c>
      <c r="L792" s="56" t="s">
        <v>1149</v>
      </c>
      <c r="M792" s="386" t="s">
        <v>1026</v>
      </c>
      <c r="N792" s="33" t="s">
        <v>68</v>
      </c>
      <c r="O792" s="33" t="s">
        <v>12</v>
      </c>
      <c r="P792" s="33" t="s">
        <v>86</v>
      </c>
      <c r="Q792" s="47" t="s">
        <v>84</v>
      </c>
      <c r="R792" s="47"/>
      <c r="S792" s="45" t="s">
        <v>143</v>
      </c>
      <c r="T792" s="45"/>
      <c r="U792" s="37">
        <v>44980</v>
      </c>
      <c r="V792" s="38">
        <f>B792</f>
        <v>45535</v>
      </c>
      <c r="W792" s="50">
        <f>V792-U792</f>
        <v>555</v>
      </c>
      <c r="X792" s="294">
        <v>258972.56</v>
      </c>
      <c r="Y792" s="260">
        <v>264000</v>
      </c>
      <c r="Z792" s="260">
        <v>245933.33</v>
      </c>
      <c r="AA792" s="35"/>
      <c r="AB792" s="43">
        <v>0.1123</v>
      </c>
      <c r="AC792" s="295">
        <v>0</v>
      </c>
      <c r="AD792" s="62" t="s">
        <v>2402</v>
      </c>
      <c r="AE792" s="291"/>
      <c r="AF792" s="65"/>
      <c r="AG792" s="291"/>
      <c r="AH792" s="40">
        <f>Y792-Z792</f>
        <v>18066.670000000013</v>
      </c>
      <c r="AI792" s="242"/>
      <c r="AJ792" s="242"/>
      <c r="AK792" s="291">
        <v>18817.36</v>
      </c>
      <c r="AL792" s="40">
        <f>AH792-AK792</f>
        <v>-750.68999999998778</v>
      </c>
      <c r="AM792" s="242">
        <f>IFERROR(EOMONTH(B792,0),"Pendente")</f>
        <v>45535</v>
      </c>
      <c r="AN792" s="242" t="str">
        <f>IF(AQ792="x","",IF(AQ792="x",AM792,IF(EOMONTH(I792,0)=31,"",EOMONTH(I792,0))))</f>
        <v/>
      </c>
      <c r="AO792" s="79">
        <f>IFERROR(IF(VLOOKUP(C792,C793:C1393,1,0)=0,1,0),1)</f>
        <v>0</v>
      </c>
      <c r="AP792" s="79"/>
      <c r="AQ792" s="243" t="str">
        <f>IF(MID(G792,1,15)="NAO ASSINADO","x","")</f>
        <v/>
      </c>
      <c r="AR792" s="242" t="b">
        <f>IF(AQ792="x",EOMONTH(I792,0))</f>
        <v>0</v>
      </c>
      <c r="AS792" s="79">
        <f>IF(AH792&lt;0,0,1)</f>
        <v>1</v>
      </c>
      <c r="AT792" s="79">
        <f>IF(AL792&lt;0,0,1)</f>
        <v>0</v>
      </c>
      <c r="AU792" s="79" t="str">
        <f>MID(E792,1,1)</f>
        <v>B</v>
      </c>
      <c r="AV792" s="79">
        <f>IF(AG792&lt;0,0,1)</f>
        <v>1</v>
      </c>
      <c r="AW792" s="79" t="str">
        <f>J792&amp;AU792</f>
        <v>4B</v>
      </c>
      <c r="AX792" s="79">
        <f>IF(COUNTIFS(J:J,"Integral",E:E,E792,H:H,"Ativo")=4,1/4,1/10)</f>
        <v>0.1</v>
      </c>
      <c r="AY792" s="79" t="s">
        <v>2133</v>
      </c>
      <c r="AZ792" s="79" t="b">
        <v>0</v>
      </c>
    </row>
    <row r="793" spans="1:52" ht="12" customHeight="1">
      <c r="A793" s="54">
        <v>822</v>
      </c>
      <c r="B793" s="405">
        <v>45535</v>
      </c>
      <c r="C793" s="32" t="s">
        <v>1763</v>
      </c>
      <c r="D793" s="32" t="s">
        <v>2405</v>
      </c>
      <c r="E793" s="32" t="s">
        <v>283</v>
      </c>
      <c r="F793" s="32" t="s">
        <v>2406</v>
      </c>
      <c r="G793" s="60" t="s">
        <v>220</v>
      </c>
      <c r="H793" s="33" t="s">
        <v>90</v>
      </c>
      <c r="I793" s="34"/>
      <c r="J793" s="33">
        <v>4</v>
      </c>
      <c r="K793" s="56" t="s">
        <v>1149</v>
      </c>
      <c r="L793" s="56" t="s">
        <v>1149</v>
      </c>
      <c r="M793" s="386" t="s">
        <v>1026</v>
      </c>
      <c r="N793" s="33" t="s">
        <v>68</v>
      </c>
      <c r="O793" s="33" t="s">
        <v>12</v>
      </c>
      <c r="P793" s="33" t="s">
        <v>86</v>
      </c>
      <c r="Q793" s="47" t="s">
        <v>84</v>
      </c>
      <c r="R793" s="47"/>
      <c r="S793" s="45" t="s">
        <v>143</v>
      </c>
      <c r="T793" s="45"/>
      <c r="U793" s="37">
        <v>44980</v>
      </c>
      <c r="V793" s="38">
        <f>B793</f>
        <v>45535</v>
      </c>
      <c r="W793" s="50">
        <f>V793-U793</f>
        <v>555</v>
      </c>
      <c r="X793" s="294">
        <v>258972.58</v>
      </c>
      <c r="Y793" s="260">
        <v>264000</v>
      </c>
      <c r="Z793" s="260">
        <v>245933.34</v>
      </c>
      <c r="AA793" s="35"/>
      <c r="AB793" s="43">
        <v>0.1123</v>
      </c>
      <c r="AC793" s="295">
        <v>0</v>
      </c>
      <c r="AD793" s="62" t="s">
        <v>2402</v>
      </c>
      <c r="AE793" s="291"/>
      <c r="AF793" s="65"/>
      <c r="AG793" s="291"/>
      <c r="AH793" s="40">
        <f>Y793-Z793</f>
        <v>18066.660000000003</v>
      </c>
      <c r="AI793" s="242"/>
      <c r="AJ793" s="242"/>
      <c r="AK793" s="291">
        <v>18817.37</v>
      </c>
      <c r="AL793" s="40">
        <f>AH793-AK793</f>
        <v>-750.70999999999549</v>
      </c>
      <c r="AM793" s="242">
        <f>IFERROR(EOMONTH(B793,0),"Pendente")</f>
        <v>45535</v>
      </c>
      <c r="AN793" s="242" t="str">
        <f>IF(AQ793="x","",IF(AQ793="x",AM793,IF(EOMONTH(I793,0)=31,"",EOMONTH(I793,0))))</f>
        <v/>
      </c>
      <c r="AO793" s="79">
        <f>IFERROR(IF(VLOOKUP(C793,C794:C1394,1,0)=0,1,0),1)</f>
        <v>1</v>
      </c>
      <c r="AP793" s="79"/>
      <c r="AQ793" s="243" t="str">
        <f>IF(MID(G793,1,15)="NAO ASSINADO","x","")</f>
        <v/>
      </c>
      <c r="AR793" s="242" t="b">
        <f>IF(AQ793="x",EOMONTH(I793,0))</f>
        <v>0</v>
      </c>
      <c r="AS793" s="79">
        <f>IF(AH793&lt;0,0,1)</f>
        <v>1</v>
      </c>
      <c r="AT793" s="79">
        <f>IF(AL793&lt;0,0,1)</f>
        <v>0</v>
      </c>
      <c r="AU793" s="79" t="str">
        <f>MID(E793,1,1)</f>
        <v>B</v>
      </c>
      <c r="AV793" s="79">
        <f>IF(AG793&lt;0,0,1)</f>
        <v>1</v>
      </c>
      <c r="AW793" s="79" t="str">
        <f>J793&amp;AU793</f>
        <v>4B</v>
      </c>
      <c r="AX793" s="79">
        <f>IF(COUNTIFS(J:J,"Integral",E:E,E793,H:H,"Ativo")=4,1/4,1/10)</f>
        <v>0.1</v>
      </c>
      <c r="AY793" s="79" t="s">
        <v>2133</v>
      </c>
      <c r="AZ793" s="79" t="b">
        <v>0</v>
      </c>
    </row>
    <row r="794" spans="1:52" ht="15" customHeight="1">
      <c r="A794" s="54">
        <v>823</v>
      </c>
      <c r="B794" s="406">
        <v>45537</v>
      </c>
      <c r="C794" s="351" t="s">
        <v>2407</v>
      </c>
      <c r="D794" s="32" t="s">
        <v>2408</v>
      </c>
      <c r="E794" s="32" t="s">
        <v>1928</v>
      </c>
      <c r="F794" s="32" t="s">
        <v>2409</v>
      </c>
      <c r="G794" s="60" t="s">
        <v>243</v>
      </c>
      <c r="H794" s="33" t="s">
        <v>244</v>
      </c>
      <c r="I794" s="34">
        <v>45567</v>
      </c>
      <c r="J794" s="33">
        <v>4</v>
      </c>
      <c r="K794" s="35" t="s">
        <v>237</v>
      </c>
      <c r="L794" s="35" t="s">
        <v>237</v>
      </c>
      <c r="M794" s="386" t="s">
        <v>246</v>
      </c>
      <c r="N794" s="33" t="s">
        <v>68</v>
      </c>
      <c r="O794" s="33" t="s">
        <v>12</v>
      </c>
      <c r="P794" s="33" t="s">
        <v>1</v>
      </c>
      <c r="Q794" s="47"/>
      <c r="R794" s="47"/>
      <c r="S794" s="45" t="s">
        <v>145</v>
      </c>
      <c r="T794" s="45"/>
      <c r="U794" s="37">
        <v>45536</v>
      </c>
      <c r="V794" s="38">
        <f>B794</f>
        <v>45537</v>
      </c>
      <c r="W794" s="50">
        <f>V794-U794</f>
        <v>1</v>
      </c>
      <c r="X794" s="294">
        <v>375512.95</v>
      </c>
      <c r="Y794" s="260">
        <v>413000</v>
      </c>
      <c r="Z794" s="260">
        <v>390000</v>
      </c>
      <c r="AA794" s="56" t="s">
        <v>1671</v>
      </c>
      <c r="AB794" s="43">
        <v>0.12820000000000001</v>
      </c>
      <c r="AC794" s="295">
        <v>0</v>
      </c>
      <c r="AD794" s="62" t="s">
        <v>2410</v>
      </c>
      <c r="AE794" s="291"/>
      <c r="AF794" s="65"/>
      <c r="AG794" s="291"/>
      <c r="AH794" s="40">
        <f>Y794-Z794</f>
        <v>23000</v>
      </c>
      <c r="AI794" s="242"/>
      <c r="AJ794" s="242"/>
      <c r="AK794" s="291">
        <v>5203.38</v>
      </c>
      <c r="AL794" s="40">
        <f>AH794-AK794</f>
        <v>17796.62</v>
      </c>
      <c r="AM794" s="242">
        <f>IFERROR(EOMONTH(B794,0),"Pendente")</f>
        <v>45565</v>
      </c>
      <c r="AN794" s="242" t="str">
        <f>IF(AQ794="x","",IF(AQ794="x",AM794,IF(EOMONTH(I794,0)=31,"",EOMONTH(I794,0))))</f>
        <v/>
      </c>
      <c r="AO794" s="79">
        <f>IFERROR(IF(VLOOKUP(C794,C795:C1395,1,0)=0,1,0),1)</f>
        <v>1</v>
      </c>
      <c r="AP794" s="79"/>
      <c r="AQ794" s="243" t="str">
        <f>IF(MID(G794,1,15)="NAO ASSINADO","x","")</f>
        <v>x</v>
      </c>
      <c r="AR794" s="242">
        <f>IF(AQ794="x",EOMONTH(I794,0))</f>
        <v>45596</v>
      </c>
      <c r="AS794" s="79">
        <f>IF(AH794&lt;0,0,1)</f>
        <v>1</v>
      </c>
      <c r="AT794" s="79">
        <f>IF(AL794&lt;0,0,1)</f>
        <v>1</v>
      </c>
      <c r="AU794" s="79" t="str">
        <f>MID(E794,1,1)</f>
        <v>B</v>
      </c>
      <c r="AV794" s="79">
        <f>IF(AG794&lt;0,0,1)</f>
        <v>1</v>
      </c>
      <c r="AW794" s="79" t="str">
        <f>J794&amp;AU794</f>
        <v>4B</v>
      </c>
      <c r="AX794" s="79">
        <f>IF(COUNTIFS(J:J,"Integral",E:E,E794,H:H,"Ativo")=4,1/4,1/10)</f>
        <v>0.1</v>
      </c>
      <c r="AY794" s="79" t="s">
        <v>1535</v>
      </c>
      <c r="AZ794" s="79" t="b">
        <v>1</v>
      </c>
    </row>
    <row r="795" spans="1:52" ht="15.75" customHeight="1">
      <c r="A795" s="54">
        <v>824</v>
      </c>
      <c r="B795" s="405">
        <v>45535</v>
      </c>
      <c r="C795" s="32" t="s">
        <v>2135</v>
      </c>
      <c r="D795" s="32" t="s">
        <v>2411</v>
      </c>
      <c r="E795" s="32" t="s">
        <v>1767</v>
      </c>
      <c r="F795" s="32" t="s">
        <v>2412</v>
      </c>
      <c r="G795" s="60" t="s">
        <v>220</v>
      </c>
      <c r="H795" s="33" t="s">
        <v>90</v>
      </c>
      <c r="I795" s="34"/>
      <c r="J795" s="33">
        <v>4</v>
      </c>
      <c r="K795" s="35" t="s">
        <v>237</v>
      </c>
      <c r="L795" s="35" t="s">
        <v>237</v>
      </c>
      <c r="M795" s="386" t="s">
        <v>246</v>
      </c>
      <c r="N795" s="33" t="s">
        <v>68</v>
      </c>
      <c r="O795" s="33" t="s">
        <v>12</v>
      </c>
      <c r="P795" s="33" t="s">
        <v>2</v>
      </c>
      <c r="Q795" s="47" t="s">
        <v>99</v>
      </c>
      <c r="R795" s="47"/>
      <c r="S795" s="45" t="s">
        <v>149</v>
      </c>
      <c r="T795" s="45"/>
      <c r="U795" s="37">
        <v>45451</v>
      </c>
      <c r="V795" s="38">
        <f>B795</f>
        <v>45535</v>
      </c>
      <c r="W795" s="50">
        <f>V795-U795</f>
        <v>84</v>
      </c>
      <c r="X795" s="294">
        <v>258972.56</v>
      </c>
      <c r="Y795" s="260">
        <v>264000</v>
      </c>
      <c r="Z795" s="260">
        <v>266000</v>
      </c>
      <c r="AA795" s="56"/>
      <c r="AB795" s="43">
        <v>0.2</v>
      </c>
      <c r="AC795" s="295">
        <v>0</v>
      </c>
      <c r="AD795" s="62" t="s">
        <v>2413</v>
      </c>
      <c r="AE795" s="291"/>
      <c r="AF795" s="65"/>
      <c r="AG795" s="291"/>
      <c r="AH795" s="40">
        <f>Y795-Z795</f>
        <v>-2000</v>
      </c>
      <c r="AI795" s="242"/>
      <c r="AJ795" s="242"/>
      <c r="AK795" s="291">
        <v>776.66</v>
      </c>
      <c r="AL795" s="40">
        <f>AH795-AK795</f>
        <v>-2776.66</v>
      </c>
      <c r="AM795" s="242">
        <f>IFERROR(EOMONTH(B795,0),"Pendente")</f>
        <v>45535</v>
      </c>
      <c r="AN795" s="242" t="str">
        <f>IF(AQ795="x","",IF(AQ795="x",AM795,IF(EOMONTH(I795,0)=31,"",EOMONTH(I795,0))))</f>
        <v/>
      </c>
      <c r="AO795" s="79">
        <f>IFERROR(IF(VLOOKUP(C795,C796:C1396,1,0)=0,1,0),1)</f>
        <v>0</v>
      </c>
      <c r="AP795" s="79"/>
      <c r="AQ795" s="243" t="str">
        <f>IF(MID(G795,1,15)="NAO ASSINADO","x","")</f>
        <v/>
      </c>
      <c r="AR795" s="242" t="b">
        <f>IF(AQ795="x",EOMONTH(I795,0))</f>
        <v>0</v>
      </c>
      <c r="AS795" s="79">
        <f>IF(AH795&lt;0,0,1)</f>
        <v>0</v>
      </c>
      <c r="AT795" s="79">
        <f>IF(AL795&lt;0,0,1)</f>
        <v>0</v>
      </c>
      <c r="AU795" s="79" t="str">
        <f>MID(E795,1,1)</f>
        <v>B</v>
      </c>
      <c r="AV795" s="79">
        <f>IF(AG795&lt;0,0,1)</f>
        <v>1</v>
      </c>
      <c r="AW795" s="79" t="str">
        <f>J795&amp;AU795</f>
        <v>4B</v>
      </c>
      <c r="AX795" s="79">
        <f>IF(COUNTIFS(J:J,"Integral",E:E,E795,H:H,"Ativo")=4,1/4,1/10)</f>
        <v>0.1</v>
      </c>
      <c r="AY795" s="79" t="s">
        <v>1535</v>
      </c>
      <c r="AZ795" s="79" t="b">
        <v>0</v>
      </c>
    </row>
    <row r="796" spans="1:52" ht="15.75" customHeight="1">
      <c r="A796" s="54">
        <v>825</v>
      </c>
      <c r="B796" s="405">
        <v>45535</v>
      </c>
      <c r="C796" s="32" t="s">
        <v>2135</v>
      </c>
      <c r="D796" s="32" t="s">
        <v>2414</v>
      </c>
      <c r="E796" s="32" t="s">
        <v>1767</v>
      </c>
      <c r="F796" s="32" t="s">
        <v>2415</v>
      </c>
      <c r="G796" s="60" t="s">
        <v>220</v>
      </c>
      <c r="H796" s="33" t="s">
        <v>90</v>
      </c>
      <c r="I796" s="34"/>
      <c r="J796" s="33">
        <v>4</v>
      </c>
      <c r="K796" s="35" t="s">
        <v>237</v>
      </c>
      <c r="L796" s="35" t="s">
        <v>237</v>
      </c>
      <c r="M796" s="386" t="s">
        <v>246</v>
      </c>
      <c r="N796" s="33" t="s">
        <v>68</v>
      </c>
      <c r="O796" s="33" t="s">
        <v>12</v>
      </c>
      <c r="P796" s="33" t="s">
        <v>2</v>
      </c>
      <c r="Q796" s="47" t="s">
        <v>99</v>
      </c>
      <c r="R796" s="47"/>
      <c r="S796" s="45" t="s">
        <v>149</v>
      </c>
      <c r="T796" s="45"/>
      <c r="U796" s="37">
        <v>45451</v>
      </c>
      <c r="V796" s="38">
        <f>B796</f>
        <v>45535</v>
      </c>
      <c r="W796" s="50">
        <f>V796-U796</f>
        <v>84</v>
      </c>
      <c r="X796" s="294">
        <v>258972.56</v>
      </c>
      <c r="Y796" s="260">
        <v>264000</v>
      </c>
      <c r="Z796" s="260">
        <v>266000</v>
      </c>
      <c r="AA796" s="56"/>
      <c r="AB796" s="43">
        <v>0.2</v>
      </c>
      <c r="AC796" s="295">
        <v>0</v>
      </c>
      <c r="AD796" s="62" t="s">
        <v>2413</v>
      </c>
      <c r="AE796" s="291"/>
      <c r="AF796" s="65"/>
      <c r="AG796" s="291"/>
      <c r="AH796" s="40">
        <f>Y796-Z796</f>
        <v>-2000</v>
      </c>
      <c r="AI796" s="242"/>
      <c r="AJ796" s="242"/>
      <c r="AK796" s="291">
        <v>776.66</v>
      </c>
      <c r="AL796" s="40">
        <f>AH796-AK796</f>
        <v>-2776.66</v>
      </c>
      <c r="AM796" s="242">
        <f>IFERROR(EOMONTH(B796,0),"Pendente")</f>
        <v>45535</v>
      </c>
      <c r="AN796" s="242" t="str">
        <f>IF(AQ796="x","",IF(AQ796="x",AM796,IF(EOMONTH(I796,0)=31,"",EOMONTH(I796,0))))</f>
        <v/>
      </c>
      <c r="AO796" s="79">
        <f>IFERROR(IF(VLOOKUP(C796,C797:C1397,1,0)=0,1,0),1)</f>
        <v>0</v>
      </c>
      <c r="AP796" s="79"/>
      <c r="AQ796" s="243" t="str">
        <f>IF(MID(G796,1,15)="NAO ASSINADO","x","")</f>
        <v/>
      </c>
      <c r="AR796" s="242" t="b">
        <f>IF(AQ796="x",EOMONTH(I796,0))</f>
        <v>0</v>
      </c>
      <c r="AS796" s="79">
        <f>IF(AH796&lt;0,0,1)</f>
        <v>0</v>
      </c>
      <c r="AT796" s="79">
        <f>IF(AL796&lt;0,0,1)</f>
        <v>0</v>
      </c>
      <c r="AU796" s="79" t="str">
        <f>MID(E796,1,1)</f>
        <v>B</v>
      </c>
      <c r="AV796" s="79">
        <f>IF(AG796&lt;0,0,1)</f>
        <v>1</v>
      </c>
      <c r="AW796" s="79" t="str">
        <f>J796&amp;AU796</f>
        <v>4B</v>
      </c>
      <c r="AX796" s="79">
        <f>IF(COUNTIFS(J:J,"Integral",E:E,E796,H:H,"Ativo")=4,1/4,1/10)</f>
        <v>0.1</v>
      </c>
      <c r="AY796" s="79" t="s">
        <v>1535</v>
      </c>
      <c r="AZ796" s="79" t="b">
        <v>0</v>
      </c>
    </row>
    <row r="797" spans="1:52" ht="15.75" customHeight="1">
      <c r="A797" s="54">
        <v>826</v>
      </c>
      <c r="B797" s="405">
        <v>45535</v>
      </c>
      <c r="C797" s="32" t="s">
        <v>2135</v>
      </c>
      <c r="D797" s="32" t="s">
        <v>2416</v>
      </c>
      <c r="E797" s="32" t="s">
        <v>1767</v>
      </c>
      <c r="F797" s="32" t="s">
        <v>2417</v>
      </c>
      <c r="G797" s="60" t="s">
        <v>220</v>
      </c>
      <c r="H797" s="33" t="s">
        <v>90</v>
      </c>
      <c r="I797" s="34"/>
      <c r="J797" s="33">
        <v>4</v>
      </c>
      <c r="K797" s="35" t="s">
        <v>237</v>
      </c>
      <c r="L797" s="35" t="s">
        <v>237</v>
      </c>
      <c r="M797" s="386" t="s">
        <v>246</v>
      </c>
      <c r="N797" s="33" t="s">
        <v>68</v>
      </c>
      <c r="O797" s="33" t="s">
        <v>12</v>
      </c>
      <c r="P797" s="33" t="s">
        <v>2</v>
      </c>
      <c r="Q797" s="47" t="s">
        <v>99</v>
      </c>
      <c r="R797" s="47"/>
      <c r="S797" s="45" t="s">
        <v>149</v>
      </c>
      <c r="T797" s="45"/>
      <c r="U797" s="37">
        <v>45451</v>
      </c>
      <c r="V797" s="38">
        <f>B797</f>
        <v>45535</v>
      </c>
      <c r="W797" s="50">
        <f>V797-U797</f>
        <v>84</v>
      </c>
      <c r="X797" s="294">
        <v>258972.58</v>
      </c>
      <c r="Y797" s="260">
        <v>264000</v>
      </c>
      <c r="Z797" s="260">
        <v>266000</v>
      </c>
      <c r="AA797" s="56"/>
      <c r="AB797" s="43">
        <v>0.2</v>
      </c>
      <c r="AC797" s="295">
        <v>0</v>
      </c>
      <c r="AD797" s="62" t="s">
        <v>2413</v>
      </c>
      <c r="AE797" s="291"/>
      <c r="AF797" s="65"/>
      <c r="AG797" s="291"/>
      <c r="AH797" s="40">
        <f>Y797-Z797</f>
        <v>-2000</v>
      </c>
      <c r="AI797" s="242"/>
      <c r="AJ797" s="242"/>
      <c r="AK797" s="291">
        <v>776.68</v>
      </c>
      <c r="AL797" s="40">
        <f>AH797-AK797</f>
        <v>-2776.68</v>
      </c>
      <c r="AM797" s="242">
        <f>IFERROR(EOMONTH(B797,0),"Pendente")</f>
        <v>45535</v>
      </c>
      <c r="AN797" s="242" t="str">
        <f>IF(AQ797="x","",IF(AQ797="x",AM797,IF(EOMONTH(I797,0)=31,"",EOMONTH(I797,0))))</f>
        <v/>
      </c>
      <c r="AO797" s="350">
        <f>IFERROR(IF(VLOOKUP(C797,C798:C1398,1,0)=0,1,0),1)</f>
        <v>1</v>
      </c>
      <c r="AP797" s="350"/>
      <c r="AQ797" s="243" t="str">
        <f>IF(MID(G797,1,15)="NAO ASSINADO","x","")</f>
        <v/>
      </c>
      <c r="AR797" s="242" t="b">
        <f>IF(AQ797="x",EOMONTH(I797,0))</f>
        <v>0</v>
      </c>
      <c r="AS797" s="79">
        <f>IF(AH797&lt;0,0,1)</f>
        <v>0</v>
      </c>
      <c r="AT797" s="79">
        <f>IF(AL797&lt;0,0,1)</f>
        <v>0</v>
      </c>
      <c r="AU797" s="79" t="str">
        <f>MID(E797,1,1)</f>
        <v>B</v>
      </c>
      <c r="AV797" s="79">
        <f>IF(AG797&lt;0,0,1)</f>
        <v>1</v>
      </c>
      <c r="AW797" s="79" t="str">
        <f>J797&amp;AU797</f>
        <v>4B</v>
      </c>
      <c r="AX797" s="79">
        <f>IF(COUNTIFS(J:J,"Integral",E:E,E797,H:H,"Ativo")=4,1/4,1/10)</f>
        <v>0.1</v>
      </c>
      <c r="AY797" s="79" t="s">
        <v>1535</v>
      </c>
      <c r="AZ797" s="79" t="b">
        <v>0</v>
      </c>
    </row>
    <row r="798" spans="1:52" ht="15" customHeight="1">
      <c r="A798" s="54">
        <v>827</v>
      </c>
      <c r="B798" s="405">
        <v>45535</v>
      </c>
      <c r="C798" s="32" t="s">
        <v>2418</v>
      </c>
      <c r="D798" s="32" t="s">
        <v>1709</v>
      </c>
      <c r="E798" s="32" t="s">
        <v>1043</v>
      </c>
      <c r="F798" s="32" t="s">
        <v>2419</v>
      </c>
      <c r="G798" s="60" t="s">
        <v>220</v>
      </c>
      <c r="H798" s="33" t="s">
        <v>90</v>
      </c>
      <c r="I798" s="34"/>
      <c r="J798" s="33">
        <v>4</v>
      </c>
      <c r="K798" s="35" t="s">
        <v>1101</v>
      </c>
      <c r="L798" s="35" t="s">
        <v>1101</v>
      </c>
      <c r="M798" s="386" t="s">
        <v>1026</v>
      </c>
      <c r="N798" s="33" t="s">
        <v>68</v>
      </c>
      <c r="O798" s="33" t="s">
        <v>12</v>
      </c>
      <c r="P798" s="33" t="s">
        <v>2</v>
      </c>
      <c r="Q798" s="47"/>
      <c r="R798" s="47"/>
      <c r="S798" s="45" t="s">
        <v>149</v>
      </c>
      <c r="T798" s="45"/>
      <c r="U798" s="37">
        <v>45519</v>
      </c>
      <c r="V798" s="38">
        <f>B798</f>
        <v>45535</v>
      </c>
      <c r="W798" s="50">
        <f>V798-U798</f>
        <v>16</v>
      </c>
      <c r="X798" s="294">
        <v>373124.95</v>
      </c>
      <c r="Y798" s="260">
        <v>393000</v>
      </c>
      <c r="Z798" s="260">
        <v>393000</v>
      </c>
      <c r="AA798" s="56"/>
      <c r="AB798" s="43">
        <v>0.2</v>
      </c>
      <c r="AC798" s="295">
        <v>0</v>
      </c>
      <c r="AD798" s="62" t="s">
        <v>2420</v>
      </c>
      <c r="AE798" s="291"/>
      <c r="AF798" s="65"/>
      <c r="AG798" s="291">
        <v>13066.79</v>
      </c>
      <c r="AH798" s="40">
        <f>Y798-Z798</f>
        <v>0</v>
      </c>
      <c r="AI798" s="242"/>
      <c r="AJ798" s="242"/>
      <c r="AK798" s="291"/>
      <c r="AL798" s="40">
        <f>AH798-AK798</f>
        <v>0</v>
      </c>
      <c r="AM798" s="242">
        <f>IFERROR(EOMONTH(B798,0),"Pendente")</f>
        <v>45535</v>
      </c>
      <c r="AN798" s="242" t="str">
        <f>IF(AQ798="x","",IF(AQ798="x",AM798,IF(EOMONTH(I798,0)=31,"",EOMONTH(I798,0))))</f>
        <v/>
      </c>
      <c r="AO798" s="79">
        <f>IFERROR(IF(VLOOKUP(C798,C799:C1399,1,0)=0,1,0),1)</f>
        <v>1</v>
      </c>
      <c r="AP798" s="79"/>
      <c r="AQ798" s="243" t="str">
        <f>IF(MID(G798,1,15)="NAO ASSINADO","x","")</f>
        <v/>
      </c>
      <c r="AR798" s="242" t="b">
        <f>IF(AQ798="x",EOMONTH(I798,0))</f>
        <v>0</v>
      </c>
      <c r="AS798" s="79">
        <f>IF(AH798&lt;0,0,1)</f>
        <v>1</v>
      </c>
      <c r="AT798" s="79">
        <f>IF(AL798&lt;0,0,1)</f>
        <v>1</v>
      </c>
      <c r="AU798" s="79" t="str">
        <f>MID(E798,1,1)</f>
        <v>B</v>
      </c>
      <c r="AV798" s="79">
        <f>IF(AG798&lt;0,0,1)</f>
        <v>1</v>
      </c>
      <c r="AW798" s="79" t="str">
        <f>J798&amp;AU798</f>
        <v>4B</v>
      </c>
      <c r="AX798" s="79">
        <f>IF(COUNTIFS(J:J,"Integral",E:E,E798,H:H,"Ativo")=4,1/4,1/10)</f>
        <v>0.1</v>
      </c>
      <c r="AY798" s="79" t="s">
        <v>2133</v>
      </c>
      <c r="AZ798" s="79" t="b">
        <v>0</v>
      </c>
    </row>
    <row r="799" spans="1:52" ht="15" customHeight="1">
      <c r="A799" s="54">
        <v>828</v>
      </c>
      <c r="B799" s="405">
        <v>45535</v>
      </c>
      <c r="C799" s="32" t="s">
        <v>2421</v>
      </c>
      <c r="D799" s="32" t="s">
        <v>2422</v>
      </c>
      <c r="E799" s="32" t="s">
        <v>2069</v>
      </c>
      <c r="F799" s="32" t="s">
        <v>2423</v>
      </c>
      <c r="G799" s="60" t="s">
        <v>220</v>
      </c>
      <c r="H799" s="33" t="s">
        <v>90</v>
      </c>
      <c r="I799" s="34"/>
      <c r="J799" s="33">
        <v>6</v>
      </c>
      <c r="K799" s="56" t="s">
        <v>1512</v>
      </c>
      <c r="L799" s="56" t="s">
        <v>981</v>
      </c>
      <c r="M799" s="386" t="s">
        <v>1026</v>
      </c>
      <c r="N799" s="33" t="s">
        <v>68</v>
      </c>
      <c r="O799" s="33" t="s">
        <v>12</v>
      </c>
      <c r="P799" s="33" t="s">
        <v>2</v>
      </c>
      <c r="Q799" s="47"/>
      <c r="R799" s="47"/>
      <c r="S799" s="45" t="s">
        <v>145</v>
      </c>
      <c r="T799" s="45"/>
      <c r="U799" s="37">
        <v>45531</v>
      </c>
      <c r="V799" s="38">
        <f>B799</f>
        <v>45535</v>
      </c>
      <c r="W799" s="50">
        <f>V799-U799</f>
        <v>4</v>
      </c>
      <c r="X799" s="294">
        <v>388458.85</v>
      </c>
      <c r="Y799" s="260">
        <v>399000</v>
      </c>
      <c r="Z799" s="260">
        <v>399000</v>
      </c>
      <c r="AA799" s="56"/>
      <c r="AB799" s="43">
        <v>0.2</v>
      </c>
      <c r="AC799" s="295">
        <v>0</v>
      </c>
      <c r="AD799" s="62" t="s">
        <v>2420</v>
      </c>
      <c r="AE799" s="291"/>
      <c r="AF799" s="65"/>
      <c r="AG799" s="291">
        <v>5483.76</v>
      </c>
      <c r="AH799" s="40">
        <f>Y799-Z799</f>
        <v>0</v>
      </c>
      <c r="AI799" s="242"/>
      <c r="AJ799" s="242"/>
      <c r="AK799" s="291"/>
      <c r="AL799" s="40">
        <f>AH799-AK799</f>
        <v>0</v>
      </c>
      <c r="AM799" s="242">
        <f>IFERROR(EOMONTH(B799,0),"Pendente")</f>
        <v>45535</v>
      </c>
      <c r="AN799" s="242" t="str">
        <f>IF(AQ799="x","",IF(AQ799="x",AM799,IF(EOMONTH(I799,0)=31,"",EOMONTH(I799,0))))</f>
        <v/>
      </c>
      <c r="AO799" s="79">
        <f>IFERROR(IF(VLOOKUP(C799,C800:C1400,1,0)=0,1,0),1)</f>
        <v>0</v>
      </c>
      <c r="AP799" s="79"/>
      <c r="AQ799" s="243" t="str">
        <f>IF(MID(G799,1,15)="NAO ASSINADO","x","")</f>
        <v/>
      </c>
      <c r="AR799" s="242" t="b">
        <f>IF(AQ799="x",EOMONTH(I799,0))</f>
        <v>0</v>
      </c>
      <c r="AS799" s="79">
        <f>IF(AH799&lt;0,0,1)</f>
        <v>1</v>
      </c>
      <c r="AT799" s="79">
        <f>IF(AL799&lt;0,0,1)</f>
        <v>1</v>
      </c>
      <c r="AU799" s="79" t="str">
        <f>MID(E799,1,1)</f>
        <v>B</v>
      </c>
      <c r="AV799" s="79">
        <f>IF(AG799&lt;0,0,1)</f>
        <v>1</v>
      </c>
      <c r="AW799" s="79" t="str">
        <f>J799&amp;AU799</f>
        <v>6B</v>
      </c>
      <c r="AX799" s="79">
        <f>IF(COUNTIFS(J:J,"Integral",E:E,E799,H:H,"Ativo")=4,1/4,1/10)</f>
        <v>0.1</v>
      </c>
      <c r="AY799" s="79" t="s">
        <v>1535</v>
      </c>
      <c r="AZ799" s="79" t="b">
        <v>0</v>
      </c>
    </row>
    <row r="800" spans="1:52" ht="15" customHeight="1">
      <c r="A800" s="54">
        <v>829</v>
      </c>
      <c r="B800" s="405">
        <v>45535</v>
      </c>
      <c r="C800" s="32" t="s">
        <v>2421</v>
      </c>
      <c r="D800" s="32" t="s">
        <v>2424</v>
      </c>
      <c r="E800" s="32" t="s">
        <v>2069</v>
      </c>
      <c r="F800" s="32" t="s">
        <v>2425</v>
      </c>
      <c r="G800" s="60" t="s">
        <v>220</v>
      </c>
      <c r="H800" s="33" t="s">
        <v>90</v>
      </c>
      <c r="I800" s="34"/>
      <c r="J800" s="33">
        <v>6</v>
      </c>
      <c r="K800" s="56" t="s">
        <v>1512</v>
      </c>
      <c r="L800" s="56" t="s">
        <v>981</v>
      </c>
      <c r="M800" s="386" t="s">
        <v>1026</v>
      </c>
      <c r="N800" s="33" t="s">
        <v>68</v>
      </c>
      <c r="O800" s="33" t="s">
        <v>12</v>
      </c>
      <c r="P800" s="33" t="s">
        <v>2</v>
      </c>
      <c r="Q800" s="47"/>
      <c r="R800" s="47"/>
      <c r="S800" s="45" t="s">
        <v>145</v>
      </c>
      <c r="T800" s="45"/>
      <c r="U800" s="37">
        <v>45531</v>
      </c>
      <c r="V800" s="38">
        <f>B800</f>
        <v>45535</v>
      </c>
      <c r="W800" s="50">
        <f>V800-U800</f>
        <v>4</v>
      </c>
      <c r="X800" s="294">
        <v>388458.85</v>
      </c>
      <c r="Y800" s="260">
        <v>399000</v>
      </c>
      <c r="Z800" s="260">
        <v>399000</v>
      </c>
      <c r="AA800" s="56"/>
      <c r="AB800" s="43">
        <v>0.2</v>
      </c>
      <c r="AC800" s="295">
        <v>0</v>
      </c>
      <c r="AD800" s="62" t="s">
        <v>2420</v>
      </c>
      <c r="AE800" s="291"/>
      <c r="AF800" s="65"/>
      <c r="AG800" s="291">
        <v>5483.76</v>
      </c>
      <c r="AH800" s="40">
        <f>Y800-Z800</f>
        <v>0</v>
      </c>
      <c r="AI800" s="242"/>
      <c r="AJ800" s="242"/>
      <c r="AK800" s="291"/>
      <c r="AL800" s="40">
        <f>AH800-AK800</f>
        <v>0</v>
      </c>
      <c r="AM800" s="242">
        <f>IFERROR(EOMONTH(B800,0),"Pendente")</f>
        <v>45535</v>
      </c>
      <c r="AN800" s="242" t="str">
        <f>IF(AQ800="x","",IF(AQ800="x",AM800,IF(EOMONTH(I800,0)=31,"",EOMONTH(I800,0))))</f>
        <v/>
      </c>
      <c r="AO800" s="79">
        <f>IFERROR(IF(VLOOKUP(C800,C801:C1401,1,0)=0,1,0),1)</f>
        <v>1</v>
      </c>
      <c r="AP800" s="79"/>
      <c r="AQ800" s="243" t="str">
        <f>IF(MID(G800,1,15)="NAO ASSINADO","x","")</f>
        <v/>
      </c>
      <c r="AR800" s="242" t="b">
        <f>IF(AQ800="x",EOMONTH(I800,0))</f>
        <v>0</v>
      </c>
      <c r="AS800" s="79">
        <f>IF(AH800&lt;0,0,1)</f>
        <v>1</v>
      </c>
      <c r="AT800" s="79">
        <f>IF(AL800&lt;0,0,1)</f>
        <v>1</v>
      </c>
      <c r="AU800" s="79" t="str">
        <f>MID(E800,1,1)</f>
        <v>B</v>
      </c>
      <c r="AV800" s="79">
        <f>IF(AG800&lt;0,0,1)</f>
        <v>1</v>
      </c>
      <c r="AW800" s="79" t="str">
        <f>J800&amp;AU800</f>
        <v>6B</v>
      </c>
      <c r="AX800" s="79">
        <f>IF(COUNTIFS(J:J,"Integral",E:E,E800,H:H,"Ativo")=4,1/4,1/10)</f>
        <v>0.1</v>
      </c>
      <c r="AY800" s="79" t="s">
        <v>1535</v>
      </c>
      <c r="AZ800" s="79" t="b">
        <v>0</v>
      </c>
    </row>
    <row r="801" spans="1:52" ht="15" customHeight="1">
      <c r="A801" s="54">
        <v>830</v>
      </c>
      <c r="B801" s="405">
        <v>45535</v>
      </c>
      <c r="C801" s="32" t="s">
        <v>1414</v>
      </c>
      <c r="D801" s="32" t="s">
        <v>2426</v>
      </c>
      <c r="E801" s="32" t="s">
        <v>283</v>
      </c>
      <c r="F801" s="32" t="s">
        <v>2427</v>
      </c>
      <c r="G801" s="60" t="s">
        <v>220</v>
      </c>
      <c r="H801" s="33" t="s">
        <v>90</v>
      </c>
      <c r="I801" s="34"/>
      <c r="J801" s="33">
        <v>6</v>
      </c>
      <c r="K801" s="35" t="s">
        <v>274</v>
      </c>
      <c r="L801" s="35" t="s">
        <v>274</v>
      </c>
      <c r="M801" s="386" t="s">
        <v>246</v>
      </c>
      <c r="N801" s="33" t="s">
        <v>68</v>
      </c>
      <c r="O801" s="33" t="s">
        <v>12</v>
      </c>
      <c r="P801" s="33" t="s">
        <v>1</v>
      </c>
      <c r="Q801" s="47" t="s">
        <v>84</v>
      </c>
      <c r="R801" s="47"/>
      <c r="S801" s="45" t="s">
        <v>143</v>
      </c>
      <c r="T801" s="45"/>
      <c r="U801" s="37">
        <v>45179</v>
      </c>
      <c r="V801" s="38">
        <f>B801</f>
        <v>45535</v>
      </c>
      <c r="W801" s="50">
        <f>V801-U801</f>
        <v>356</v>
      </c>
      <c r="X801" s="294">
        <v>388458.85</v>
      </c>
      <c r="Y801" s="260">
        <v>396000</v>
      </c>
      <c r="Z801" s="260">
        <v>362478</v>
      </c>
      <c r="AA801" s="56"/>
      <c r="AB801" s="43">
        <v>0.2414</v>
      </c>
      <c r="AC801" s="295">
        <v>0</v>
      </c>
      <c r="AD801" s="62" t="s">
        <v>2428</v>
      </c>
      <c r="AE801" s="291"/>
      <c r="AF801" s="65"/>
      <c r="AG801" s="291"/>
      <c r="AH801" s="40">
        <f>Y801-Z801</f>
        <v>33522</v>
      </c>
      <c r="AI801" s="242"/>
      <c r="AJ801" s="242"/>
      <c r="AK801" s="291">
        <v>17268.72</v>
      </c>
      <c r="AL801" s="40">
        <f>AH801-AK801</f>
        <v>16253.279999999999</v>
      </c>
      <c r="AM801" s="242">
        <f>IFERROR(EOMONTH(B801,0),"Pendente")</f>
        <v>45535</v>
      </c>
      <c r="AN801" s="242" t="str">
        <f>IF(AQ801="x","",IF(AQ801="x",AM801,IF(EOMONTH(I801,0)=31,"",EOMONTH(I801,0))))</f>
        <v/>
      </c>
      <c r="AO801" s="79">
        <f>IFERROR(IF(VLOOKUP(C801,C802:C1402,1,0)=0,1,0),1)</f>
        <v>0</v>
      </c>
      <c r="AP801" s="79"/>
      <c r="AQ801" s="243" t="str">
        <f>IF(MID(G801,1,15)="NAO ASSINADO","x","")</f>
        <v/>
      </c>
      <c r="AR801" s="242" t="b">
        <f>IF(AQ801="x",EOMONTH(I801,0))</f>
        <v>0</v>
      </c>
      <c r="AS801" s="79">
        <f>IF(AH801&lt;0,0,1)</f>
        <v>1</v>
      </c>
      <c r="AT801" s="79">
        <f>IF(AL801&lt;0,0,1)</f>
        <v>1</v>
      </c>
      <c r="AU801" s="79" t="str">
        <f>MID(E801,1,1)</f>
        <v>B</v>
      </c>
      <c r="AV801" s="79">
        <f>IF(AG801&lt;0,0,1)</f>
        <v>1</v>
      </c>
      <c r="AW801" s="79" t="str">
        <f>J801&amp;AU801</f>
        <v>6B</v>
      </c>
      <c r="AX801" s="79">
        <f>IF(COUNTIFS(J:J,"Integral",E:E,E801,H:H,"Ativo")=4,1/4,1/10)</f>
        <v>0.1</v>
      </c>
      <c r="AY801" s="79" t="s">
        <v>1535</v>
      </c>
      <c r="AZ801" s="79" t="b">
        <v>0</v>
      </c>
    </row>
    <row r="802" spans="1:52" ht="15" customHeight="1">
      <c r="A802" s="54">
        <v>831</v>
      </c>
      <c r="B802" s="405">
        <v>45535</v>
      </c>
      <c r="C802" s="32" t="s">
        <v>1414</v>
      </c>
      <c r="D802" s="32" t="s">
        <v>2429</v>
      </c>
      <c r="E802" s="32" t="s">
        <v>283</v>
      </c>
      <c r="F802" s="32" t="s">
        <v>2430</v>
      </c>
      <c r="G802" s="60" t="s">
        <v>220</v>
      </c>
      <c r="H802" s="33" t="s">
        <v>90</v>
      </c>
      <c r="I802" s="34"/>
      <c r="J802" s="33">
        <v>6</v>
      </c>
      <c r="K802" s="35" t="s">
        <v>274</v>
      </c>
      <c r="L802" s="35" t="s">
        <v>274</v>
      </c>
      <c r="M802" s="386" t="s">
        <v>246</v>
      </c>
      <c r="N802" s="33" t="s">
        <v>68</v>
      </c>
      <c r="O802" s="33" t="s">
        <v>12</v>
      </c>
      <c r="P802" s="33" t="s">
        <v>1</v>
      </c>
      <c r="Q802" s="47" t="s">
        <v>84</v>
      </c>
      <c r="R802" s="47"/>
      <c r="S802" s="45" t="s">
        <v>143</v>
      </c>
      <c r="T802" s="45"/>
      <c r="U802" s="37">
        <v>45179</v>
      </c>
      <c r="V802" s="38">
        <f>B802</f>
        <v>45535</v>
      </c>
      <c r="W802" s="50">
        <f>V802-U802</f>
        <v>356</v>
      </c>
      <c r="X802" s="294">
        <v>388458.85</v>
      </c>
      <c r="Y802" s="260">
        <v>396000</v>
      </c>
      <c r="Z802" s="260">
        <v>362478</v>
      </c>
      <c r="AA802" s="56"/>
      <c r="AB802" s="43">
        <v>0.2414</v>
      </c>
      <c r="AC802" s="295">
        <v>0</v>
      </c>
      <c r="AD802" s="62" t="s">
        <v>2428</v>
      </c>
      <c r="AE802" s="291"/>
      <c r="AF802" s="65"/>
      <c r="AG802" s="291"/>
      <c r="AH802" s="40">
        <f>Y802-Z802</f>
        <v>33522</v>
      </c>
      <c r="AI802" s="242"/>
      <c r="AJ802" s="242"/>
      <c r="AK802" s="291">
        <v>17268.71</v>
      </c>
      <c r="AL802" s="40">
        <f>AH802-AK802</f>
        <v>16253.29</v>
      </c>
      <c r="AM802" s="242">
        <f>IFERROR(EOMONTH(B802,0),"Pendente")</f>
        <v>45535</v>
      </c>
      <c r="AN802" s="242" t="str">
        <f>IF(AQ802="x","",IF(AQ802="x",AM802,IF(EOMONTH(I802,0)=31,"",EOMONTH(I802,0))))</f>
        <v/>
      </c>
      <c r="AO802" s="79">
        <f>IFERROR(IF(VLOOKUP(C802,C803:C1403,1,0)=0,1,0),1)</f>
        <v>1</v>
      </c>
      <c r="AP802" s="79"/>
      <c r="AQ802" s="243" t="str">
        <f>IF(MID(G802,1,15)="NAO ASSINADO","x","")</f>
        <v/>
      </c>
      <c r="AR802" s="242" t="b">
        <f>IF(AQ802="x",EOMONTH(I802,0))</f>
        <v>0</v>
      </c>
      <c r="AS802" s="79">
        <f>IF(AH802&lt;0,0,1)</f>
        <v>1</v>
      </c>
      <c r="AT802" s="79">
        <f>IF(AL802&lt;0,0,1)</f>
        <v>1</v>
      </c>
      <c r="AU802" s="79" t="str">
        <f>MID(E802,1,1)</f>
        <v>B</v>
      </c>
      <c r="AV802" s="79">
        <f>IF(AG802&lt;0,0,1)</f>
        <v>1</v>
      </c>
      <c r="AW802" s="79" t="str">
        <f>J802&amp;AU802</f>
        <v>6B</v>
      </c>
      <c r="AX802" s="79">
        <f>IF(COUNTIFS(J:J,"Integral",E:E,E802,H:H,"Ativo")=4,1/4,1/10)</f>
        <v>0.1</v>
      </c>
      <c r="AY802" s="79" t="s">
        <v>1535</v>
      </c>
      <c r="AZ802" s="79" t="b">
        <v>0</v>
      </c>
    </row>
    <row r="803" spans="1:52" ht="15" customHeight="1">
      <c r="A803" s="54">
        <v>832</v>
      </c>
      <c r="B803" s="405">
        <v>45535</v>
      </c>
      <c r="C803" s="32" t="s">
        <v>2431</v>
      </c>
      <c r="D803" s="32" t="s">
        <v>2432</v>
      </c>
      <c r="E803" s="32" t="s">
        <v>2118</v>
      </c>
      <c r="F803" s="32" t="s">
        <v>2433</v>
      </c>
      <c r="G803" s="60" t="s">
        <v>220</v>
      </c>
      <c r="H803" s="33" t="s">
        <v>90</v>
      </c>
      <c r="I803" s="34"/>
      <c r="J803" s="33">
        <v>6</v>
      </c>
      <c r="K803" s="56" t="s">
        <v>1149</v>
      </c>
      <c r="L803" s="56" t="s">
        <v>1149</v>
      </c>
      <c r="M803" s="386" t="s">
        <v>1026</v>
      </c>
      <c r="N803" s="33" t="s">
        <v>68</v>
      </c>
      <c r="O803" s="33" t="s">
        <v>12</v>
      </c>
      <c r="P803" s="33" t="s">
        <v>2</v>
      </c>
      <c r="Q803" s="47" t="s">
        <v>102</v>
      </c>
      <c r="R803" s="47"/>
      <c r="S803" s="45" t="s">
        <v>147</v>
      </c>
      <c r="T803" s="45"/>
      <c r="U803" s="37">
        <v>45535</v>
      </c>
      <c r="V803" s="38">
        <f>B803</f>
        <v>45535</v>
      </c>
      <c r="W803" s="50">
        <f>V803-U803</f>
        <v>0</v>
      </c>
      <c r="X803" s="294">
        <v>388458.85</v>
      </c>
      <c r="Y803" s="260">
        <v>399000</v>
      </c>
      <c r="Z803" s="260">
        <v>391000</v>
      </c>
      <c r="AA803" s="56"/>
      <c r="AB803" s="43">
        <v>0.2</v>
      </c>
      <c r="AC803" s="295">
        <v>0</v>
      </c>
      <c r="AD803" s="62">
        <v>3.6200000000000003E-2</v>
      </c>
      <c r="AE803" s="291"/>
      <c r="AF803" s="65"/>
      <c r="AG803" s="291"/>
      <c r="AH803" s="40">
        <f>Y803-Z803</f>
        <v>8000</v>
      </c>
      <c r="AI803" s="242"/>
      <c r="AJ803" s="242"/>
      <c r="AK803" s="291">
        <v>3159.53</v>
      </c>
      <c r="AL803" s="40">
        <f>AH803-AK803</f>
        <v>4840.4699999999993</v>
      </c>
      <c r="AM803" s="242">
        <f>IFERROR(EOMONTH(B803,0),"Pendente")</f>
        <v>45535</v>
      </c>
      <c r="AN803" s="242" t="str">
        <f>IF(AQ803="x","",IF(AQ803="x",AM803,IF(EOMONTH(I803,0)=31,"",EOMONTH(I803,0))))</f>
        <v/>
      </c>
      <c r="AO803" s="79">
        <f>IFERROR(IF(VLOOKUP(C803,C804:C1404,1,0)=0,1,0),1)</f>
        <v>0</v>
      </c>
      <c r="AP803" s="79"/>
      <c r="AQ803" s="243" t="str">
        <f>IF(MID(G803,1,15)="NAO ASSINADO","x","")</f>
        <v/>
      </c>
      <c r="AR803" s="242" t="b">
        <f>IF(AQ803="x",EOMONTH(I803,0))</f>
        <v>0</v>
      </c>
      <c r="AS803" s="79">
        <f>IF(AH803&lt;0,0,1)</f>
        <v>1</v>
      </c>
      <c r="AT803" s="79">
        <f>IF(AL803&lt;0,0,1)</f>
        <v>1</v>
      </c>
      <c r="AU803" s="79" t="str">
        <f>MID(E803,1,1)</f>
        <v>B</v>
      </c>
      <c r="AV803" s="79">
        <f>IF(AG803&lt;0,0,1)</f>
        <v>1</v>
      </c>
      <c r="AW803" s="79" t="str">
        <f>J803&amp;AU803</f>
        <v>6B</v>
      </c>
      <c r="AX803" s="79">
        <f>IF(COUNTIFS(J:J,"Integral",E:E,E803,H:H,"Ativo")=4,1/4,1/10)</f>
        <v>0.1</v>
      </c>
      <c r="AY803" s="79" t="s">
        <v>1535</v>
      </c>
      <c r="AZ803" s="79" t="b">
        <v>0</v>
      </c>
    </row>
    <row r="804" spans="1:52" ht="15" customHeight="1">
      <c r="A804" s="54">
        <v>833</v>
      </c>
      <c r="B804" s="405">
        <v>45535</v>
      </c>
      <c r="C804" s="32" t="s">
        <v>2431</v>
      </c>
      <c r="D804" s="32" t="s">
        <v>2434</v>
      </c>
      <c r="E804" s="32" t="s">
        <v>2118</v>
      </c>
      <c r="F804" s="32" t="s">
        <v>2435</v>
      </c>
      <c r="G804" s="60" t="s">
        <v>220</v>
      </c>
      <c r="H804" s="33" t="s">
        <v>90</v>
      </c>
      <c r="I804" s="34"/>
      <c r="J804" s="33">
        <v>6</v>
      </c>
      <c r="K804" s="56" t="s">
        <v>1149</v>
      </c>
      <c r="L804" s="56" t="s">
        <v>1149</v>
      </c>
      <c r="M804" s="386" t="s">
        <v>1026</v>
      </c>
      <c r="N804" s="33" t="s">
        <v>68</v>
      </c>
      <c r="O804" s="33" t="s">
        <v>12</v>
      </c>
      <c r="P804" s="33" t="s">
        <v>2</v>
      </c>
      <c r="Q804" s="47" t="s">
        <v>102</v>
      </c>
      <c r="R804" s="47"/>
      <c r="S804" s="45" t="s">
        <v>147</v>
      </c>
      <c r="T804" s="45"/>
      <c r="U804" s="37">
        <v>45535</v>
      </c>
      <c r="V804" s="38">
        <f>B804</f>
        <v>45535</v>
      </c>
      <c r="W804" s="50">
        <f>V804-U804</f>
        <v>0</v>
      </c>
      <c r="X804" s="294">
        <v>388458.85</v>
      </c>
      <c r="Y804" s="260">
        <v>399000</v>
      </c>
      <c r="Z804" s="260">
        <v>391000</v>
      </c>
      <c r="AA804" s="56"/>
      <c r="AB804" s="43">
        <v>0.2</v>
      </c>
      <c r="AC804" s="295">
        <v>0</v>
      </c>
      <c r="AD804" s="62" t="s">
        <v>2436</v>
      </c>
      <c r="AE804" s="291"/>
      <c r="AF804" s="65"/>
      <c r="AG804" s="291"/>
      <c r="AH804" s="40">
        <f>Y804-Z804</f>
        <v>8000</v>
      </c>
      <c r="AI804" s="242"/>
      <c r="AJ804" s="242"/>
      <c r="AK804" s="291">
        <v>3159.53</v>
      </c>
      <c r="AL804" s="40">
        <f>AH804-AK804</f>
        <v>4840.4699999999993</v>
      </c>
      <c r="AM804" s="242">
        <f>IFERROR(EOMONTH(B804,0),"Pendente")</f>
        <v>45535</v>
      </c>
      <c r="AN804" s="242" t="str">
        <f>IF(AQ804="x","",IF(AQ804="x",AM804,IF(EOMONTH(I804,0)=31,"",EOMONTH(I804,0))))</f>
        <v/>
      </c>
      <c r="AO804" s="79">
        <f>IFERROR(IF(VLOOKUP(C804,C805:C1405,1,0)=0,1,0),1)</f>
        <v>1</v>
      </c>
      <c r="AP804" s="79"/>
      <c r="AQ804" s="243" t="str">
        <f>IF(MID(G804,1,15)="NAO ASSINADO","x","")</f>
        <v/>
      </c>
      <c r="AR804" s="242" t="b">
        <f>IF(AQ804="x",EOMONTH(I804,0))</f>
        <v>0</v>
      </c>
      <c r="AS804" s="79">
        <f>IF(AH804&lt;0,0,1)</f>
        <v>1</v>
      </c>
      <c r="AT804" s="79">
        <f>IF(AL804&lt;0,0,1)</f>
        <v>1</v>
      </c>
      <c r="AU804" s="79" t="str">
        <f>MID(E804,1,1)</f>
        <v>B</v>
      </c>
      <c r="AV804" s="79">
        <f>IF(AG804&lt;0,0,1)</f>
        <v>1</v>
      </c>
      <c r="AW804" s="79" t="str">
        <f>J804&amp;AU804</f>
        <v>6B</v>
      </c>
      <c r="AX804" s="79">
        <f>IF(COUNTIFS(J:J,"Integral",E:E,E804,H:H,"Ativo")=4,1/4,1/10)</f>
        <v>0.1</v>
      </c>
      <c r="AY804" s="79" t="s">
        <v>1535</v>
      </c>
      <c r="AZ804" s="79" t="b">
        <v>0</v>
      </c>
    </row>
    <row r="805" spans="1:52" ht="15" customHeight="1">
      <c r="A805" s="54">
        <v>900</v>
      </c>
      <c r="B805" s="405">
        <v>45626</v>
      </c>
      <c r="C805" s="351" t="s">
        <v>2437</v>
      </c>
      <c r="D805" s="32" t="s">
        <v>2438</v>
      </c>
      <c r="E805" s="32" t="s">
        <v>2439</v>
      </c>
      <c r="F805" s="32" t="s">
        <v>2440</v>
      </c>
      <c r="G805" s="60" t="s">
        <v>220</v>
      </c>
      <c r="H805" s="33" t="s">
        <v>90</v>
      </c>
      <c r="I805" s="34"/>
      <c r="J805" s="33">
        <v>13</v>
      </c>
      <c r="K805" s="56" t="s">
        <v>1891</v>
      </c>
      <c r="L805" s="56" t="s">
        <v>1891</v>
      </c>
      <c r="M805" s="386" t="s">
        <v>1026</v>
      </c>
      <c r="N805" s="33" t="s">
        <v>68</v>
      </c>
      <c r="O805" s="33" t="s">
        <v>11</v>
      </c>
      <c r="P805" s="33" t="s">
        <v>2</v>
      </c>
      <c r="Q805" s="47" t="s">
        <v>103</v>
      </c>
      <c r="R805" s="47"/>
      <c r="S805" s="45" t="s">
        <v>147</v>
      </c>
      <c r="T805" s="45"/>
      <c r="U805" s="37">
        <v>45618</v>
      </c>
      <c r="V805" s="38">
        <f>B805</f>
        <v>45626</v>
      </c>
      <c r="W805" s="50">
        <f>V805-U805</f>
        <v>8</v>
      </c>
      <c r="X805" s="260">
        <v>1032301.29</v>
      </c>
      <c r="Y805" s="260">
        <v>1087013.26</v>
      </c>
      <c r="Z805" s="260">
        <v>900000.12</v>
      </c>
      <c r="AA805" s="56"/>
      <c r="AB805" s="43">
        <v>0.33329999999999999</v>
      </c>
      <c r="AC805" s="295">
        <v>0</v>
      </c>
      <c r="AD805" s="62" t="s">
        <v>2441</v>
      </c>
      <c r="AE805" s="291"/>
      <c r="AF805" s="40"/>
      <c r="AG805" s="291"/>
      <c r="AH805" s="40">
        <f>Y805-Z805</f>
        <v>187013.14</v>
      </c>
      <c r="AI805" s="242"/>
      <c r="AJ805" s="242"/>
      <c r="AK805" s="291">
        <v>30126.880000000001</v>
      </c>
      <c r="AL805" s="40">
        <f>AH805-AK805</f>
        <v>156886.26</v>
      </c>
      <c r="AM805" s="242">
        <f>IFERROR(EOMONTH(B805,0),"Pendente")</f>
        <v>45626</v>
      </c>
      <c r="AN805" s="242" t="str">
        <f>IF(AQ805="x","",IF(AQ805="x",AM805,IF(EOMONTH(I805,0)=31,"",EOMONTH(I805,0))))</f>
        <v/>
      </c>
      <c r="AO805" s="364">
        <f>IFERROR(IF(VLOOKUP(C805,C806:C1406,1,0)=0,1,0),1)</f>
        <v>1</v>
      </c>
      <c r="AP805" s="364"/>
      <c r="AQ805" s="243" t="str">
        <f>IF(MID(G805,1,15)="NAO ASSINADO","x","")</f>
        <v/>
      </c>
      <c r="AR805" s="242" t="b">
        <f>IF(AQ805="x",EOMONTH(I805,0))</f>
        <v>0</v>
      </c>
      <c r="AS805" s="79">
        <f>IF(AH805&lt;0,0,1)</f>
        <v>1</v>
      </c>
      <c r="AT805" s="79">
        <f>IF(AL805&lt;0,0,1)</f>
        <v>1</v>
      </c>
      <c r="AU805" s="79" t="str">
        <f>MID(E805,1,1)</f>
        <v>C</v>
      </c>
      <c r="AV805" s="79">
        <f>IF(AG805&lt;0,0,1)</f>
        <v>1</v>
      </c>
      <c r="AW805" s="79" t="str">
        <f>J805&amp;AU805</f>
        <v>13C</v>
      </c>
      <c r="AX805" s="79">
        <f>IF(COUNTIFS(J:J,"Integral",E:E,E805,H:H,"Ativo")=4,1/4,1/10)</f>
        <v>0.1</v>
      </c>
      <c r="AY805" s="79" t="s">
        <v>2133</v>
      </c>
      <c r="AZ805" s="79" t="b">
        <v>1</v>
      </c>
    </row>
    <row r="806" spans="1:52" ht="15" customHeight="1">
      <c r="A806" s="54">
        <v>811</v>
      </c>
      <c r="B806" s="405">
        <v>45531</v>
      </c>
      <c r="C806" s="32" t="s">
        <v>2442</v>
      </c>
      <c r="D806" s="32" t="s">
        <v>2443</v>
      </c>
      <c r="E806" s="32" t="s">
        <v>419</v>
      </c>
      <c r="F806" s="32" t="s">
        <v>2444</v>
      </c>
      <c r="G806" s="60" t="s">
        <v>220</v>
      </c>
      <c r="H806" s="33" t="s">
        <v>90</v>
      </c>
      <c r="I806" s="34"/>
      <c r="J806" s="33">
        <v>6</v>
      </c>
      <c r="K806" s="56" t="s">
        <v>981</v>
      </c>
      <c r="L806" s="56" t="s">
        <v>981</v>
      </c>
      <c r="M806" s="386" t="s">
        <v>1026</v>
      </c>
      <c r="N806" s="33" t="s">
        <v>68</v>
      </c>
      <c r="O806" s="33" t="s">
        <v>12</v>
      </c>
      <c r="P806" s="33" t="s">
        <v>2</v>
      </c>
      <c r="Q806" s="47" t="s">
        <v>104</v>
      </c>
      <c r="R806" s="47"/>
      <c r="S806" s="45" t="s">
        <v>156</v>
      </c>
      <c r="T806" s="45"/>
      <c r="U806" s="37">
        <v>45521</v>
      </c>
      <c r="V806" s="38">
        <f>B806</f>
        <v>45531</v>
      </c>
      <c r="W806" s="50">
        <f>V806-U806</f>
        <v>10</v>
      </c>
      <c r="X806" s="294">
        <v>388458.85</v>
      </c>
      <c r="Y806" s="260">
        <v>399000</v>
      </c>
      <c r="Z806" s="260">
        <v>384000</v>
      </c>
      <c r="AA806" s="56"/>
      <c r="AB806" s="43">
        <v>5.21E-2</v>
      </c>
      <c r="AC806" s="295">
        <v>0</v>
      </c>
      <c r="AD806" s="62" t="s">
        <v>2445</v>
      </c>
      <c r="AE806" s="291"/>
      <c r="AF806" s="65"/>
      <c r="AG806" s="291"/>
      <c r="AH806" s="40">
        <f>Y806-Z806</f>
        <v>15000</v>
      </c>
      <c r="AI806" s="242"/>
      <c r="AJ806" s="242"/>
      <c r="AK806" s="291">
        <v>14100.98</v>
      </c>
      <c r="AL806" s="40">
        <f>AH806-AK806</f>
        <v>899.02000000000044</v>
      </c>
      <c r="AM806" s="242">
        <f>IFERROR(EOMONTH(B806,0),"Pendente")</f>
        <v>45535</v>
      </c>
      <c r="AN806" s="242" t="str">
        <f>IF(AQ806="x","",IF(AQ806="x",AM806,IF(EOMONTH(I806,0)=31,"",EOMONTH(I806,0))))</f>
        <v/>
      </c>
      <c r="AO806" s="79">
        <f>IFERROR(IF(VLOOKUP(C806,C807:C1407,1,0)=0,1,0),1)</f>
        <v>0</v>
      </c>
      <c r="AP806" s="79"/>
      <c r="AQ806" s="243" t="str">
        <f>IF(MID(G806,1,15)="NAO ASSINADO","x","")</f>
        <v/>
      </c>
      <c r="AR806" s="242" t="b">
        <f>IF(AQ806="x",EOMONTH(I806,0))</f>
        <v>0</v>
      </c>
      <c r="AS806" s="79">
        <f>IF(AH806&lt;0,0,1)</f>
        <v>1</v>
      </c>
      <c r="AT806" s="79">
        <f>IF(AL806&lt;0,0,1)</f>
        <v>1</v>
      </c>
      <c r="AU806" s="79" t="str">
        <f>MID(E806,1,1)</f>
        <v>B</v>
      </c>
      <c r="AV806" s="79">
        <f>IF(AG806&lt;0,0,1)</f>
        <v>1</v>
      </c>
      <c r="AW806" s="79" t="str">
        <f>J806&amp;AU806</f>
        <v>6B</v>
      </c>
      <c r="AX806" s="79">
        <f>IF(COUNTIFS(J:J,"Integral",E:E,E806,H:H,"Ativo")=4,1/4,1/10)</f>
        <v>0.1</v>
      </c>
      <c r="AY806" s="79" t="s">
        <v>1535</v>
      </c>
      <c r="AZ806" s="79" t="b">
        <v>0</v>
      </c>
    </row>
    <row r="807" spans="1:52" ht="15" customHeight="1">
      <c r="A807" s="54">
        <v>812</v>
      </c>
      <c r="B807" s="405">
        <v>45531</v>
      </c>
      <c r="C807" s="32" t="s">
        <v>2442</v>
      </c>
      <c r="D807" s="32" t="s">
        <v>2446</v>
      </c>
      <c r="E807" s="32" t="s">
        <v>419</v>
      </c>
      <c r="F807" s="32" t="s">
        <v>2447</v>
      </c>
      <c r="G807" s="60" t="s">
        <v>220</v>
      </c>
      <c r="H807" s="33" t="s">
        <v>90</v>
      </c>
      <c r="I807" s="34"/>
      <c r="J807" s="33">
        <v>6</v>
      </c>
      <c r="K807" s="56" t="s">
        <v>981</v>
      </c>
      <c r="L807" s="56" t="s">
        <v>981</v>
      </c>
      <c r="M807" s="386" t="s">
        <v>1026</v>
      </c>
      <c r="N807" s="33" t="s">
        <v>68</v>
      </c>
      <c r="O807" s="33" t="s">
        <v>12</v>
      </c>
      <c r="P807" s="33" t="s">
        <v>2</v>
      </c>
      <c r="Q807" s="47" t="s">
        <v>104</v>
      </c>
      <c r="R807" s="47"/>
      <c r="S807" s="45" t="s">
        <v>156</v>
      </c>
      <c r="T807" s="45"/>
      <c r="U807" s="37">
        <v>45521</v>
      </c>
      <c r="V807" s="38">
        <f>B807</f>
        <v>45531</v>
      </c>
      <c r="W807" s="50">
        <f>V807-U807</f>
        <v>10</v>
      </c>
      <c r="X807" s="294">
        <v>388458.85</v>
      </c>
      <c r="Y807" s="260">
        <v>399000</v>
      </c>
      <c r="Z807" s="260">
        <v>384000</v>
      </c>
      <c r="AA807" s="56"/>
      <c r="AB807" s="43">
        <v>5.21E-2</v>
      </c>
      <c r="AC807" s="295">
        <v>0</v>
      </c>
      <c r="AD807" s="62" t="s">
        <v>2445</v>
      </c>
      <c r="AE807" s="291"/>
      <c r="AF807" s="65"/>
      <c r="AG807" s="291"/>
      <c r="AH807" s="40">
        <f>Y807-Z807</f>
        <v>15000</v>
      </c>
      <c r="AI807" s="242"/>
      <c r="AJ807" s="242"/>
      <c r="AK807" s="291">
        <v>14100.98</v>
      </c>
      <c r="AL807" s="40">
        <f>AH807-AK807</f>
        <v>899.02000000000044</v>
      </c>
      <c r="AM807" s="242">
        <f>IFERROR(EOMONTH(B807,0),"Pendente")</f>
        <v>45535</v>
      </c>
      <c r="AN807" s="242" t="str">
        <f>IF(AQ807="x","",IF(AQ807="x",AM807,IF(EOMONTH(I807,0)=31,"",EOMONTH(I807,0))))</f>
        <v/>
      </c>
      <c r="AO807" s="79">
        <f>IFERROR(IF(VLOOKUP(C807,C808:C1408,1,0)=0,1,0),1)</f>
        <v>1</v>
      </c>
      <c r="AP807" s="79"/>
      <c r="AQ807" s="243" t="str">
        <f>IF(MID(G807,1,15)="NAO ASSINADO","x","")</f>
        <v/>
      </c>
      <c r="AR807" s="242" t="b">
        <f>IF(AQ807="x",EOMONTH(I807,0))</f>
        <v>0</v>
      </c>
      <c r="AS807" s="79">
        <f>IF(AH807&lt;0,0,1)</f>
        <v>1</v>
      </c>
      <c r="AT807" s="79">
        <f>IF(AL807&lt;0,0,1)</f>
        <v>1</v>
      </c>
      <c r="AU807" s="79" t="str">
        <f>MID(E807,1,1)</f>
        <v>B</v>
      </c>
      <c r="AV807" s="79">
        <f>IF(AG807&lt;0,0,1)</f>
        <v>1</v>
      </c>
      <c r="AW807" s="79" t="str">
        <f>J807&amp;AU807</f>
        <v>6B</v>
      </c>
      <c r="AX807" s="79">
        <f>IF(COUNTIFS(J:J,"Integral",E:E,E807,H:H,"Ativo")=4,1/4,1/10)</f>
        <v>0.1</v>
      </c>
      <c r="AY807" s="79" t="s">
        <v>1535</v>
      </c>
      <c r="AZ807" s="79" t="b">
        <v>0</v>
      </c>
    </row>
    <row r="808" spans="1:52" ht="15" customHeight="1">
      <c r="A808" s="54">
        <v>784</v>
      </c>
      <c r="B808" s="405">
        <v>45526</v>
      </c>
      <c r="C808" s="32" t="s">
        <v>2448</v>
      </c>
      <c r="D808" s="32" t="s">
        <v>2449</v>
      </c>
      <c r="E808" s="32" t="s">
        <v>1442</v>
      </c>
      <c r="F808" s="32" t="s">
        <v>2450</v>
      </c>
      <c r="G808" s="60" t="s">
        <v>220</v>
      </c>
      <c r="H808" s="33" t="s">
        <v>90</v>
      </c>
      <c r="I808" s="34"/>
      <c r="J808" s="33">
        <v>4</v>
      </c>
      <c r="K808" s="35" t="s">
        <v>1101</v>
      </c>
      <c r="L808" s="35" t="s">
        <v>1101</v>
      </c>
      <c r="M808" s="386" t="s">
        <v>1026</v>
      </c>
      <c r="N808" s="33" t="s">
        <v>68</v>
      </c>
      <c r="O808" s="33" t="s">
        <v>12</v>
      </c>
      <c r="P808" s="33" t="s">
        <v>2</v>
      </c>
      <c r="Q808" s="47" t="s">
        <v>104</v>
      </c>
      <c r="R808" s="47"/>
      <c r="S808" s="45" t="s">
        <v>147</v>
      </c>
      <c r="T808" s="45"/>
      <c r="U808" s="37">
        <v>45523</v>
      </c>
      <c r="V808" s="38">
        <f>B808</f>
        <v>45526</v>
      </c>
      <c r="W808" s="50">
        <f>V808-U808</f>
        <v>3</v>
      </c>
      <c r="X808" s="294">
        <v>373124.95</v>
      </c>
      <c r="Y808" s="260">
        <v>393000</v>
      </c>
      <c r="Z808" s="260">
        <v>373000</v>
      </c>
      <c r="AA808" s="56"/>
      <c r="AB808" s="43">
        <v>0.2681</v>
      </c>
      <c r="AC808" s="295">
        <v>0</v>
      </c>
      <c r="AD808" s="62" t="s">
        <v>2451</v>
      </c>
      <c r="AE808" s="291"/>
      <c r="AF808" s="65"/>
      <c r="AG808" s="291">
        <v>22983.4</v>
      </c>
      <c r="AH808" s="40">
        <f>Y808-Z808</f>
        <v>20000</v>
      </c>
      <c r="AI808" s="242"/>
      <c r="AJ808" s="242"/>
      <c r="AK808" s="291"/>
      <c r="AL808" s="40">
        <f>AH808-AK808</f>
        <v>20000</v>
      </c>
      <c r="AM808" s="242">
        <f>IFERROR(EOMONTH(B808,0),"Pendente")</f>
        <v>45535</v>
      </c>
      <c r="AN808" s="242" t="str">
        <f>IF(AQ808="x","",IF(AQ808="x",AM808,IF(EOMONTH(I808,0)=31,"",EOMONTH(I808,0))))</f>
        <v/>
      </c>
      <c r="AO808" s="79">
        <f>IFERROR(IF(VLOOKUP(C808,C809:C1409,1,0)=0,1,0),1)</f>
        <v>1</v>
      </c>
      <c r="AP808" s="79"/>
      <c r="AQ808" s="243" t="str">
        <f>IF(MID(G808,1,15)="NAO ASSINADO","x","")</f>
        <v/>
      </c>
      <c r="AR808" s="242" t="b">
        <f>IF(AQ808="x",EOMONTH(I808,0))</f>
        <v>0</v>
      </c>
      <c r="AS808" s="79">
        <f>IF(AH808&lt;0,0,1)</f>
        <v>1</v>
      </c>
      <c r="AT808" s="79">
        <f>IF(AL808&lt;0,0,1)</f>
        <v>1</v>
      </c>
      <c r="AU808" s="79" t="str">
        <f>MID(E808,1,1)</f>
        <v>B</v>
      </c>
      <c r="AV808" s="79">
        <f>IF(AG808&lt;0,0,1)</f>
        <v>1</v>
      </c>
      <c r="AW808" s="79" t="str">
        <f>J808&amp;AU808</f>
        <v>4B</v>
      </c>
      <c r="AX808" s="79">
        <f>IF(COUNTIFS(J:J,"Integral",E:E,E808,H:H,"Ativo")=4,1/4,1/10)</f>
        <v>0.1</v>
      </c>
      <c r="AY808" s="79" t="s">
        <v>2133</v>
      </c>
      <c r="AZ808" s="79" t="b">
        <v>0</v>
      </c>
    </row>
    <row r="809" spans="1:52" ht="17.25" customHeight="1">
      <c r="A809" s="54">
        <v>838</v>
      </c>
      <c r="B809" s="405">
        <v>45548</v>
      </c>
      <c r="C809" s="32" t="s">
        <v>2452</v>
      </c>
      <c r="D809" s="32" t="s">
        <v>2453</v>
      </c>
      <c r="E809" s="32" t="s">
        <v>1928</v>
      </c>
      <c r="F809" s="32" t="s">
        <v>2454</v>
      </c>
      <c r="G809" s="60" t="s">
        <v>220</v>
      </c>
      <c r="H809" s="33" t="s">
        <v>90</v>
      </c>
      <c r="I809" s="34"/>
      <c r="J809" s="33">
        <v>4</v>
      </c>
      <c r="K809" s="56" t="s">
        <v>981</v>
      </c>
      <c r="L809" s="56" t="s">
        <v>981</v>
      </c>
      <c r="M809" s="386" t="s">
        <v>1026</v>
      </c>
      <c r="N809" s="33" t="s">
        <v>68</v>
      </c>
      <c r="O809" s="33" t="s">
        <v>12</v>
      </c>
      <c r="P809" s="33" t="s">
        <v>86</v>
      </c>
      <c r="Q809" s="47" t="s">
        <v>98</v>
      </c>
      <c r="R809" s="47"/>
      <c r="S809" s="45" t="s">
        <v>144</v>
      </c>
      <c r="T809" s="45"/>
      <c r="U809" s="37">
        <v>45538</v>
      </c>
      <c r="V809" s="38">
        <f>B809</f>
        <v>45548</v>
      </c>
      <c r="W809" s="50">
        <f>V809-U809</f>
        <v>10</v>
      </c>
      <c r="X809" s="294">
        <v>375512.95</v>
      </c>
      <c r="Y809" s="260">
        <v>413000</v>
      </c>
      <c r="Z809" s="260">
        <v>423640</v>
      </c>
      <c r="AA809" s="56"/>
      <c r="AB809" s="43">
        <v>0.19500000000000001</v>
      </c>
      <c r="AC809" s="295">
        <v>0</v>
      </c>
      <c r="AD809" s="62">
        <v>0</v>
      </c>
      <c r="AE809" s="291"/>
      <c r="AF809" s="65"/>
      <c r="AG809" s="291">
        <v>30276.45</v>
      </c>
      <c r="AH809" s="40">
        <f>Y809-Z809</f>
        <v>-10640</v>
      </c>
      <c r="AI809" s="242"/>
      <c r="AJ809" s="242"/>
      <c r="AK809" s="291"/>
      <c r="AL809" s="40">
        <f>AH809-AK809</f>
        <v>-10640</v>
      </c>
      <c r="AM809" s="242">
        <f>IFERROR(EOMONTH(B809,0),"Pendente")</f>
        <v>45565</v>
      </c>
      <c r="AN809" s="242" t="str">
        <f>IF(AQ809="x","",IF(AQ809="x",AM809,IF(EOMONTH(I809,0)=31,"",EOMONTH(I809,0))))</f>
        <v/>
      </c>
      <c r="AO809" s="79">
        <f>IFERROR(IF(VLOOKUP(C809,C810:C1410,1,0)=0,1,0),1)</f>
        <v>1</v>
      </c>
      <c r="AP809" s="79"/>
      <c r="AQ809" s="243" t="str">
        <f>IF(MID(G809,1,15)="NAO ASSINADO","x","")</f>
        <v/>
      </c>
      <c r="AR809" s="242" t="b">
        <f>IF(AQ809="x",EOMONTH(I809,0))</f>
        <v>0</v>
      </c>
      <c r="AS809" s="79">
        <f>IF(AH809&lt;0,0,1)</f>
        <v>0</v>
      </c>
      <c r="AT809" s="79">
        <f>IF(AL809&lt;0,0,1)</f>
        <v>0</v>
      </c>
      <c r="AU809" s="79" t="str">
        <f>MID(E809,1,1)</f>
        <v>B</v>
      </c>
      <c r="AV809" s="79">
        <f>IF(AG809&lt;0,0,1)</f>
        <v>1</v>
      </c>
      <c r="AW809" s="79" t="str">
        <f>J809&amp;AU809</f>
        <v>4B</v>
      </c>
      <c r="AX809" s="79">
        <f>IF(COUNTIFS(J:J,"Integral",E:E,E809,H:H,"Ativo")=4,1/4,1/10)</f>
        <v>0.1</v>
      </c>
      <c r="AY809" s="79" t="s">
        <v>1535</v>
      </c>
      <c r="AZ809" s="79" t="b">
        <v>1</v>
      </c>
    </row>
    <row r="810" spans="1:52" ht="15" customHeight="1">
      <c r="A810" s="54">
        <v>839</v>
      </c>
      <c r="B810" s="405">
        <v>45549</v>
      </c>
      <c r="C810" s="32" t="s">
        <v>2455</v>
      </c>
      <c r="D810" s="32" t="s">
        <v>2456</v>
      </c>
      <c r="E810" s="32" t="s">
        <v>316</v>
      </c>
      <c r="F810" s="32" t="s">
        <v>2457</v>
      </c>
      <c r="G810" s="60" t="s">
        <v>220</v>
      </c>
      <c r="H810" s="33" t="s">
        <v>90</v>
      </c>
      <c r="I810" s="34"/>
      <c r="J810" s="33">
        <v>6</v>
      </c>
      <c r="K810" s="56" t="s">
        <v>378</v>
      </c>
      <c r="L810" s="56" t="s">
        <v>378</v>
      </c>
      <c r="M810" s="386" t="s">
        <v>1026</v>
      </c>
      <c r="N810" s="33" t="s">
        <v>68</v>
      </c>
      <c r="O810" s="33" t="s">
        <v>12</v>
      </c>
      <c r="P810" s="33" t="s">
        <v>1</v>
      </c>
      <c r="Q810" s="47" t="s">
        <v>102</v>
      </c>
      <c r="R810" s="47"/>
      <c r="S810" s="45" t="s">
        <v>145</v>
      </c>
      <c r="T810" s="45"/>
      <c r="U810" s="37">
        <v>45540</v>
      </c>
      <c r="V810" s="38">
        <f>B810</f>
        <v>45549</v>
      </c>
      <c r="W810" s="50">
        <f>V810-U810</f>
        <v>9</v>
      </c>
      <c r="X810" s="294">
        <v>390944.98</v>
      </c>
      <c r="Y810" s="260">
        <v>399000</v>
      </c>
      <c r="Z810" s="260">
        <v>350000</v>
      </c>
      <c r="AA810" s="56"/>
      <c r="AB810" s="43">
        <v>0.40710000000000002</v>
      </c>
      <c r="AC810" s="295">
        <v>0</v>
      </c>
      <c r="AD810" s="62" t="s">
        <v>2458</v>
      </c>
      <c r="AE810" s="291"/>
      <c r="AF810" s="65"/>
      <c r="AG810" s="291"/>
      <c r="AH810" s="40">
        <f>Y810-Z810</f>
        <v>49000</v>
      </c>
      <c r="AI810" s="242"/>
      <c r="AJ810" s="242"/>
      <c r="AK810" s="291">
        <v>18186.79</v>
      </c>
      <c r="AL810" s="40">
        <f>AH810-AK810</f>
        <v>30813.21</v>
      </c>
      <c r="AM810" s="242">
        <f>IFERROR(EOMONTH(B810,0),"Pendente")</f>
        <v>45565</v>
      </c>
      <c r="AN810" s="242" t="str">
        <f>IF(AQ810="x","",IF(AQ810="x",AM810,IF(EOMONTH(I810,0)=31,"",EOMONTH(I810,0))))</f>
        <v/>
      </c>
      <c r="AO810" s="79">
        <f>IFERROR(IF(VLOOKUP(C810,C811:C1411,1,0)=0,1,0),1)</f>
        <v>0</v>
      </c>
      <c r="AP810" s="79"/>
      <c r="AQ810" s="243" t="str">
        <f>IF(MID(G810,1,15)="NAO ASSINADO","x","")</f>
        <v/>
      </c>
      <c r="AR810" s="242" t="b">
        <f>IF(AQ810="x",EOMONTH(I810,0))</f>
        <v>0</v>
      </c>
      <c r="AS810" s="79">
        <f>IF(AH810&lt;0,0,1)</f>
        <v>1</v>
      </c>
      <c r="AT810" s="79">
        <f>IF(AL810&lt;0,0,1)</f>
        <v>1</v>
      </c>
      <c r="AU810" s="79" t="str">
        <f>MID(E810,1,1)</f>
        <v>B</v>
      </c>
      <c r="AV810" s="79">
        <f>IF(AG810&lt;0,0,1)</f>
        <v>1</v>
      </c>
      <c r="AW810" s="79" t="str">
        <f>J810&amp;AU810</f>
        <v>6B</v>
      </c>
      <c r="AX810" s="79">
        <f>IF(COUNTIFS(J:J,"Integral",E:E,E810,H:H,"Ativo")=4,1/4,1/10)</f>
        <v>0.1</v>
      </c>
      <c r="AY810" s="79" t="s">
        <v>1535</v>
      </c>
      <c r="AZ810" s="79" t="b">
        <v>1</v>
      </c>
    </row>
    <row r="811" spans="1:52" ht="15" customHeight="1">
      <c r="A811" s="54">
        <v>840</v>
      </c>
      <c r="B811" s="405">
        <v>45549</v>
      </c>
      <c r="C811" s="32" t="s">
        <v>2455</v>
      </c>
      <c r="D811" s="32" t="s">
        <v>335</v>
      </c>
      <c r="E811" s="32" t="s">
        <v>316</v>
      </c>
      <c r="F811" s="32" t="s">
        <v>2459</v>
      </c>
      <c r="G811" s="60" t="s">
        <v>220</v>
      </c>
      <c r="H811" s="33" t="s">
        <v>90</v>
      </c>
      <c r="I811" s="34"/>
      <c r="J811" s="33">
        <v>6</v>
      </c>
      <c r="K811" s="56" t="s">
        <v>378</v>
      </c>
      <c r="L811" s="56" t="s">
        <v>378</v>
      </c>
      <c r="M811" s="386" t="s">
        <v>1026</v>
      </c>
      <c r="N811" s="33" t="s">
        <v>68</v>
      </c>
      <c r="O811" s="33" t="s">
        <v>12</v>
      </c>
      <c r="P811" s="33" t="s">
        <v>1</v>
      </c>
      <c r="Q811" s="47" t="s">
        <v>102</v>
      </c>
      <c r="R811" s="47"/>
      <c r="S811" s="45" t="s">
        <v>145</v>
      </c>
      <c r="T811" s="45"/>
      <c r="U811" s="37">
        <v>45540</v>
      </c>
      <c r="V811" s="38">
        <f>B811</f>
        <v>45549</v>
      </c>
      <c r="W811" s="50">
        <f>V811-U811</f>
        <v>9</v>
      </c>
      <c r="X811" s="294">
        <v>390944.99</v>
      </c>
      <c r="Y811" s="260">
        <v>399000</v>
      </c>
      <c r="Z811" s="260">
        <v>350000</v>
      </c>
      <c r="AA811" s="56"/>
      <c r="AB811" s="43">
        <v>0.40710000000000002</v>
      </c>
      <c r="AC811" s="295">
        <v>0</v>
      </c>
      <c r="AD811" s="62" t="s">
        <v>2458</v>
      </c>
      <c r="AE811" s="291"/>
      <c r="AF811" s="65"/>
      <c r="AG811" s="291"/>
      <c r="AH811" s="40">
        <f>Y811-Z811</f>
        <v>49000</v>
      </c>
      <c r="AI811" s="242"/>
      <c r="AJ811" s="242"/>
      <c r="AK811" s="291">
        <v>18186.79</v>
      </c>
      <c r="AL811" s="40">
        <f>AH811-AK811</f>
        <v>30813.21</v>
      </c>
      <c r="AM811" s="242">
        <f>IFERROR(EOMONTH(B811,0),"Pendente")</f>
        <v>45565</v>
      </c>
      <c r="AN811" s="242" t="str">
        <f>IF(AQ811="x","",IF(AQ811="x",AM811,IF(EOMONTH(I811,0)=31,"",EOMONTH(I811,0))))</f>
        <v/>
      </c>
      <c r="AO811" s="79">
        <f>IFERROR(IF(VLOOKUP(C811,C812:C1412,1,0)=0,1,0),1)</f>
        <v>1</v>
      </c>
      <c r="AP811" s="79"/>
      <c r="AQ811" s="243" t="str">
        <f>IF(MID(G811,1,15)="NAO ASSINADO","x","")</f>
        <v/>
      </c>
      <c r="AR811" s="242" t="b">
        <f>IF(AQ811="x",EOMONTH(I811,0))</f>
        <v>0</v>
      </c>
      <c r="AS811" s="79">
        <f>IF(AH811&lt;0,0,1)</f>
        <v>1</v>
      </c>
      <c r="AT811" s="79">
        <f>IF(AL811&lt;0,0,1)</f>
        <v>1</v>
      </c>
      <c r="AU811" s="79" t="str">
        <f>MID(E811,1,1)</f>
        <v>B</v>
      </c>
      <c r="AV811" s="79">
        <f>IF(AG811&lt;0,0,1)</f>
        <v>1</v>
      </c>
      <c r="AW811" s="79" t="str">
        <f>J811&amp;AU811</f>
        <v>6B</v>
      </c>
      <c r="AX811" s="79">
        <f>IF(COUNTIFS(J:J,"Integral",E:E,E811,H:H,"Ativo")=4,1/4,1/10)</f>
        <v>0.1</v>
      </c>
      <c r="AY811" s="79" t="s">
        <v>1535</v>
      </c>
      <c r="AZ811" s="79" t="b">
        <v>1</v>
      </c>
    </row>
    <row r="812" spans="1:52" ht="15" customHeight="1">
      <c r="A812" s="54">
        <v>841</v>
      </c>
      <c r="B812" s="405">
        <v>45549</v>
      </c>
      <c r="C812" s="32" t="s">
        <v>2460</v>
      </c>
      <c r="D812" s="32" t="s">
        <v>979</v>
      </c>
      <c r="E812" s="32" t="s">
        <v>283</v>
      </c>
      <c r="F812" s="32" t="s">
        <v>2461</v>
      </c>
      <c r="G812" s="60" t="s">
        <v>220</v>
      </c>
      <c r="H812" s="33" t="s">
        <v>90</v>
      </c>
      <c r="I812" s="34"/>
      <c r="J812" s="33">
        <v>6</v>
      </c>
      <c r="K812" s="56" t="s">
        <v>289</v>
      </c>
      <c r="L812" s="56" t="s">
        <v>289</v>
      </c>
      <c r="M812" s="386" t="s">
        <v>246</v>
      </c>
      <c r="N812" s="33" t="s">
        <v>68</v>
      </c>
      <c r="O812" s="33" t="s">
        <v>12</v>
      </c>
      <c r="P812" s="33" t="s">
        <v>1</v>
      </c>
      <c r="Q812" s="47"/>
      <c r="R812" s="47"/>
      <c r="S812" s="45" t="s">
        <v>145</v>
      </c>
      <c r="T812" s="45"/>
      <c r="U812" s="37">
        <v>44979</v>
      </c>
      <c r="V812" s="38">
        <f>B812</f>
        <v>45549</v>
      </c>
      <c r="W812" s="50">
        <f>V812-U812</f>
        <v>570</v>
      </c>
      <c r="X812" s="294">
        <v>390944.98</v>
      </c>
      <c r="Y812" s="260">
        <v>399000</v>
      </c>
      <c r="Z812" s="260">
        <v>401000</v>
      </c>
      <c r="AA812" s="56"/>
      <c r="AB812" s="43">
        <v>7.4800000000000005E-2</v>
      </c>
      <c r="AC812" s="295">
        <v>0</v>
      </c>
      <c r="AD812" s="62" t="s">
        <v>2462</v>
      </c>
      <c r="AE812" s="291"/>
      <c r="AF812" s="65"/>
      <c r="AG812" s="291"/>
      <c r="AH812" s="40">
        <f>Y812-Z812</f>
        <v>-2000</v>
      </c>
      <c r="AI812" s="242"/>
      <c r="AJ812" s="242"/>
      <c r="AK812" s="291">
        <v>29892.26</v>
      </c>
      <c r="AL812" s="40">
        <f>AH812-AK812</f>
        <v>-31892.26</v>
      </c>
      <c r="AM812" s="242">
        <f>IFERROR(EOMONTH(B812,0),"Pendente")</f>
        <v>45565</v>
      </c>
      <c r="AN812" s="242" t="str">
        <f>IF(AQ812="x","",IF(AQ812="x",AM812,IF(EOMONTH(I812,0)=31,"",EOMONTH(I812,0))))</f>
        <v/>
      </c>
      <c r="AO812" s="79">
        <f>IFERROR(IF(VLOOKUP(C812,C813:C1413,1,0)=0,1,0),1)</f>
        <v>0</v>
      </c>
      <c r="AP812" s="79"/>
      <c r="AQ812" s="243" t="str">
        <f>IF(MID(G812,1,15)="NAO ASSINADO","x","")</f>
        <v/>
      </c>
      <c r="AR812" s="242" t="b">
        <f>IF(AQ812="x",EOMONTH(I812,0))</f>
        <v>0</v>
      </c>
      <c r="AS812" s="79">
        <f>IF(AH812&lt;0,0,1)</f>
        <v>0</v>
      </c>
      <c r="AT812" s="79">
        <f>IF(AL812&lt;0,0,1)</f>
        <v>0</v>
      </c>
      <c r="AU812" s="79" t="str">
        <f>MID(E812,1,1)</f>
        <v>B</v>
      </c>
      <c r="AV812" s="79">
        <f>IF(AG812&lt;0,0,1)</f>
        <v>1</v>
      </c>
      <c r="AW812" s="79" t="str">
        <f>J812&amp;AU812</f>
        <v>6B</v>
      </c>
      <c r="AX812" s="79">
        <f>IF(COUNTIFS(J:J,"Integral",E:E,E812,H:H,"Ativo")=4,1/4,1/10)</f>
        <v>0.1</v>
      </c>
      <c r="AY812" s="79" t="s">
        <v>1332</v>
      </c>
      <c r="AZ812" s="79" t="b">
        <v>1</v>
      </c>
    </row>
    <row r="813" spans="1:52" ht="15" customHeight="1">
      <c r="A813" s="54">
        <v>842</v>
      </c>
      <c r="B813" s="405">
        <v>45549</v>
      </c>
      <c r="C813" s="32" t="s">
        <v>2460</v>
      </c>
      <c r="D813" s="32" t="s">
        <v>975</v>
      </c>
      <c r="E813" s="32" t="s">
        <v>283</v>
      </c>
      <c r="F813" s="32" t="s">
        <v>2463</v>
      </c>
      <c r="G813" s="60" t="s">
        <v>220</v>
      </c>
      <c r="H813" s="33" t="s">
        <v>90</v>
      </c>
      <c r="I813" s="34"/>
      <c r="J813" s="33">
        <v>6</v>
      </c>
      <c r="K813" s="56" t="s">
        <v>289</v>
      </c>
      <c r="L813" s="56" t="s">
        <v>289</v>
      </c>
      <c r="M813" s="386" t="s">
        <v>246</v>
      </c>
      <c r="N813" s="33" t="s">
        <v>68</v>
      </c>
      <c r="O813" s="33" t="s">
        <v>12</v>
      </c>
      <c r="P813" s="33" t="s">
        <v>1</v>
      </c>
      <c r="Q813" s="47"/>
      <c r="R813" s="47"/>
      <c r="S813" s="45" t="s">
        <v>145</v>
      </c>
      <c r="T813" s="45"/>
      <c r="U813" s="37">
        <v>44979</v>
      </c>
      <c r="V813" s="38">
        <f>B813</f>
        <v>45549</v>
      </c>
      <c r="W813" s="50">
        <f>V813-U813</f>
        <v>570</v>
      </c>
      <c r="X813" s="294">
        <v>390944.99</v>
      </c>
      <c r="Y813" s="260">
        <v>399000</v>
      </c>
      <c r="Z813" s="260">
        <v>401000</v>
      </c>
      <c r="AA813" s="56"/>
      <c r="AB813" s="43">
        <v>7.4800000000000005E-2</v>
      </c>
      <c r="AC813" s="295">
        <v>0</v>
      </c>
      <c r="AD813" s="62" t="s">
        <v>2462</v>
      </c>
      <c r="AE813" s="291"/>
      <c r="AF813" s="65"/>
      <c r="AG813" s="291"/>
      <c r="AH813" s="40">
        <f>Y813-Z813</f>
        <v>-2000</v>
      </c>
      <c r="AI813" s="242"/>
      <c r="AJ813" s="242"/>
      <c r="AK813" s="291">
        <v>29892.25</v>
      </c>
      <c r="AL813" s="40">
        <f>AH813-AK813</f>
        <v>-31892.25</v>
      </c>
      <c r="AM813" s="242">
        <f>IFERROR(EOMONTH(B813,0),"Pendente")</f>
        <v>45565</v>
      </c>
      <c r="AN813" s="242" t="str">
        <f>IF(AQ813="x","",IF(AQ813="x",AM813,IF(EOMONTH(I813,0)=31,"",EOMONTH(I813,0))))</f>
        <v/>
      </c>
      <c r="AO813" s="79">
        <f>IFERROR(IF(VLOOKUP(C813,C814:C1414,1,0)=0,1,0),1)</f>
        <v>1</v>
      </c>
      <c r="AP813" s="79"/>
      <c r="AQ813" s="243" t="str">
        <f>IF(MID(G813,1,15)="NAO ASSINADO","x","")</f>
        <v/>
      </c>
      <c r="AR813" s="242" t="b">
        <f>IF(AQ813="x",EOMONTH(I813,0))</f>
        <v>0</v>
      </c>
      <c r="AS813" s="79">
        <f>IF(AH813&lt;0,0,1)</f>
        <v>0</v>
      </c>
      <c r="AT813" s="79">
        <f>IF(AL813&lt;0,0,1)</f>
        <v>0</v>
      </c>
      <c r="AU813" s="79" t="str">
        <f>MID(E813,1,1)</f>
        <v>B</v>
      </c>
      <c r="AV813" s="79">
        <f>IF(AG813&lt;0,0,1)</f>
        <v>1</v>
      </c>
      <c r="AW813" s="79" t="str">
        <f>J813&amp;AU813</f>
        <v>6B</v>
      </c>
      <c r="AX813" s="79">
        <f>IF(COUNTIFS(J:J,"Integral",E:E,E813,H:H,"Ativo")=4,1/4,1/10)</f>
        <v>0.1</v>
      </c>
      <c r="AY813" s="79" t="s">
        <v>1332</v>
      </c>
      <c r="AZ813" s="79" t="b">
        <v>1</v>
      </c>
    </row>
    <row r="814" spans="1:52" ht="15" customHeight="1">
      <c r="A814" s="54">
        <v>892</v>
      </c>
      <c r="B814" s="405">
        <v>45604</v>
      </c>
      <c r="C814" s="351" t="s">
        <v>2464</v>
      </c>
      <c r="D814" s="32" t="s">
        <v>2465</v>
      </c>
      <c r="E814" s="32" t="s">
        <v>2466</v>
      </c>
      <c r="F814" s="32" t="s">
        <v>2467</v>
      </c>
      <c r="G814" s="60" t="s">
        <v>220</v>
      </c>
      <c r="H814" s="33" t="s">
        <v>90</v>
      </c>
      <c r="I814" s="34"/>
      <c r="J814" s="33">
        <v>13</v>
      </c>
      <c r="K814" s="35" t="s">
        <v>289</v>
      </c>
      <c r="L814" s="35" t="s">
        <v>289</v>
      </c>
      <c r="M814" s="386" t="s">
        <v>246</v>
      </c>
      <c r="N814" s="33" t="s">
        <v>68</v>
      </c>
      <c r="O814" s="33" t="s">
        <v>11</v>
      </c>
      <c r="P814" s="33" t="s">
        <v>1</v>
      </c>
      <c r="Q814" s="47" t="s">
        <v>101</v>
      </c>
      <c r="R814" s="47"/>
      <c r="S814" s="45" t="s">
        <v>162</v>
      </c>
      <c r="T814" s="45"/>
      <c r="U814" s="37">
        <v>45600</v>
      </c>
      <c r="V814" s="38">
        <f>B814</f>
        <v>45604</v>
      </c>
      <c r="W814" s="50">
        <f>V814-U814</f>
        <v>4</v>
      </c>
      <c r="X814" s="260">
        <v>1032301.29</v>
      </c>
      <c r="Y814" s="260">
        <v>1032301.29</v>
      </c>
      <c r="Z814" s="260">
        <v>837099.92</v>
      </c>
      <c r="AA814" s="56" t="s">
        <v>2468</v>
      </c>
      <c r="AB814" s="43">
        <v>0.2</v>
      </c>
      <c r="AC814" s="295">
        <v>0</v>
      </c>
      <c r="AD814" s="62" t="s">
        <v>2469</v>
      </c>
      <c r="AE814" s="291"/>
      <c r="AF814" s="40"/>
      <c r="AG814" s="291"/>
      <c r="AH814" s="40">
        <f>Y814-Z814</f>
        <v>195201.37</v>
      </c>
      <c r="AI814" s="242"/>
      <c r="AJ814" s="242"/>
      <c r="AK814" s="291">
        <v>69842.81</v>
      </c>
      <c r="AL814" s="40">
        <f>AH814-AK814</f>
        <v>125358.56</v>
      </c>
      <c r="AM814" s="242">
        <f>IFERROR(EOMONTH(B814,0),"Pendente")</f>
        <v>45626</v>
      </c>
      <c r="AN814" s="242" t="str">
        <f>IF(AQ814="x","",IF(AQ814="x",AM814,IF(EOMONTH(I814,0)=31,"",EOMONTH(I814,0))))</f>
        <v/>
      </c>
      <c r="AO814" s="364">
        <f>IFERROR(IF(VLOOKUP(C814,C815:C1415,1,0)=0,1,0),1)</f>
        <v>1</v>
      </c>
      <c r="AP814" s="364"/>
      <c r="AQ814" s="243" t="str">
        <f>IF(MID(G814,1,15)="NAO ASSINADO","x","")</f>
        <v/>
      </c>
      <c r="AR814" s="242" t="b">
        <f>IF(AQ814="x",EOMONTH(I814,0))</f>
        <v>0</v>
      </c>
      <c r="AS814" s="79">
        <f>IF(AH814&lt;0,0,1)</f>
        <v>1</v>
      </c>
      <c r="AT814" s="79">
        <f>IF(AL814&lt;0,0,1)</f>
        <v>1</v>
      </c>
      <c r="AU814" s="79" t="str">
        <f>MID(E814,1,1)</f>
        <v>C</v>
      </c>
      <c r="AV814" s="79">
        <f>IF(AG814&lt;0,0,1)</f>
        <v>1</v>
      </c>
      <c r="AW814" s="79" t="str">
        <f>J814&amp;AU814</f>
        <v>13C</v>
      </c>
      <c r="AX814" s="79">
        <f>IF(COUNTIFS(J:J,"Integral",E:E,E814,H:H,"Ativo")=4,1/4,1/10)</f>
        <v>0.1</v>
      </c>
      <c r="AY814" s="79" t="s">
        <v>2133</v>
      </c>
      <c r="AZ814" s="79" t="b">
        <v>1</v>
      </c>
    </row>
    <row r="815" spans="1:52" ht="15" customHeight="1">
      <c r="A815" s="54">
        <v>844</v>
      </c>
      <c r="B815" s="405">
        <v>45551</v>
      </c>
      <c r="C815" s="32" t="s">
        <v>2470</v>
      </c>
      <c r="D815" s="32" t="s">
        <v>2471</v>
      </c>
      <c r="E815" s="32" t="s">
        <v>2069</v>
      </c>
      <c r="F815" s="32" t="s">
        <v>2472</v>
      </c>
      <c r="G815" s="60" t="s">
        <v>220</v>
      </c>
      <c r="H815" s="33" t="s">
        <v>337</v>
      </c>
      <c r="I815" s="34">
        <v>45560</v>
      </c>
      <c r="J815" s="33">
        <v>4</v>
      </c>
      <c r="K815" s="56" t="s">
        <v>1512</v>
      </c>
      <c r="L815" s="56" t="s">
        <v>1512</v>
      </c>
      <c r="M815" s="386" t="s">
        <v>1026</v>
      </c>
      <c r="N815" s="33" t="s">
        <v>68</v>
      </c>
      <c r="O815" s="33" t="s">
        <v>10</v>
      </c>
      <c r="P815" s="33" t="s">
        <v>2</v>
      </c>
      <c r="Q815" s="47"/>
      <c r="R815" s="47"/>
      <c r="S815" s="45" t="s">
        <v>162</v>
      </c>
      <c r="T815" s="45"/>
      <c r="U815" s="37">
        <v>45308</v>
      </c>
      <c r="V815" s="38">
        <f>B815</f>
        <v>45551</v>
      </c>
      <c r="W815" s="50">
        <f>V815-U815</f>
        <v>243</v>
      </c>
      <c r="X815" s="294">
        <v>260629.99</v>
      </c>
      <c r="Y815" s="260">
        <v>271000</v>
      </c>
      <c r="Z815" s="260">
        <v>218843.33</v>
      </c>
      <c r="AA815" s="56"/>
      <c r="AB815" s="43">
        <v>1</v>
      </c>
      <c r="AC815" s="295">
        <v>0</v>
      </c>
      <c r="AD815" s="62">
        <v>0</v>
      </c>
      <c r="AE815" s="291"/>
      <c r="AF815" s="65"/>
      <c r="AG815" s="291">
        <v>8374.51</v>
      </c>
      <c r="AH815" s="40">
        <f>Y815-Z815</f>
        <v>52156.670000000013</v>
      </c>
      <c r="AI815" s="242"/>
      <c r="AJ815" s="242"/>
      <c r="AK815" s="291"/>
      <c r="AL815" s="40">
        <f>AH815-AK815</f>
        <v>52156.670000000013</v>
      </c>
      <c r="AM815" s="242">
        <f>IFERROR(EOMONTH(B815,0),"Pendente")</f>
        <v>45565</v>
      </c>
      <c r="AN815" s="242">
        <f>IF(AQ815="x","",IF(AQ815="x",AM815,IF(EOMONTH(I815,0)=31,"",EOMONTH(I815,0))))</f>
        <v>45565</v>
      </c>
      <c r="AO815" s="79">
        <f>IFERROR(IF(VLOOKUP(C815,C816:C1416,1,0)=0,1,0),1)</f>
        <v>0</v>
      </c>
      <c r="AP815" s="79"/>
      <c r="AQ815" s="243" t="str">
        <f>IF(MID(G815,1,15)="NAO ASSINADO","x","")</f>
        <v/>
      </c>
      <c r="AR815" s="242" t="b">
        <f>IF(AQ815="x",EOMONTH(I815,0))</f>
        <v>0</v>
      </c>
      <c r="AS815" s="79">
        <f>IF(AH815&lt;0,0,1)</f>
        <v>1</v>
      </c>
      <c r="AT815" s="79">
        <f>IF(AL815&lt;0,0,1)</f>
        <v>1</v>
      </c>
      <c r="AU815" s="79" t="str">
        <f>MID(E815,1,1)</f>
        <v>B</v>
      </c>
      <c r="AV815" s="79">
        <f>IF(AG815&lt;0,0,1)</f>
        <v>1</v>
      </c>
      <c r="AW815" s="79" t="str">
        <f>J815&amp;AU815</f>
        <v>4B</v>
      </c>
      <c r="AX815" s="79">
        <f>IF(COUNTIFS(J:J,"Integral",E:E,E815,H:H,"Ativo")=4,1/4,1/10)</f>
        <v>0.1</v>
      </c>
      <c r="AY815" s="79" t="s">
        <v>1535</v>
      </c>
      <c r="AZ815" s="79" t="b">
        <v>1</v>
      </c>
    </row>
    <row r="816" spans="1:52" ht="15" customHeight="1">
      <c r="A816" s="54">
        <v>845</v>
      </c>
      <c r="B816" s="405">
        <v>45551</v>
      </c>
      <c r="C816" s="32" t="s">
        <v>2470</v>
      </c>
      <c r="D816" s="32" t="s">
        <v>2473</v>
      </c>
      <c r="E816" s="32" t="s">
        <v>2069</v>
      </c>
      <c r="F816" s="32" t="s">
        <v>2474</v>
      </c>
      <c r="G816" s="60" t="s">
        <v>220</v>
      </c>
      <c r="H816" s="33" t="s">
        <v>337</v>
      </c>
      <c r="I816" s="34">
        <v>45560</v>
      </c>
      <c r="J816" s="33">
        <v>4</v>
      </c>
      <c r="K816" s="56" t="s">
        <v>1512</v>
      </c>
      <c r="L816" s="56" t="s">
        <v>1512</v>
      </c>
      <c r="M816" s="386" t="s">
        <v>1026</v>
      </c>
      <c r="N816" s="33" t="s">
        <v>68</v>
      </c>
      <c r="O816" s="33" t="s">
        <v>10</v>
      </c>
      <c r="P816" s="33" t="s">
        <v>2</v>
      </c>
      <c r="Q816" s="47"/>
      <c r="R816" s="47"/>
      <c r="S816" s="45" t="s">
        <v>162</v>
      </c>
      <c r="T816" s="45"/>
      <c r="U816" s="37">
        <v>45308</v>
      </c>
      <c r="V816" s="38">
        <f>B816</f>
        <v>45551</v>
      </c>
      <c r="W816" s="50">
        <f>V816-U816</f>
        <v>243</v>
      </c>
      <c r="X816" s="294">
        <v>260629.99</v>
      </c>
      <c r="Y816" s="260">
        <v>271000</v>
      </c>
      <c r="Z816" s="260">
        <v>218843.33</v>
      </c>
      <c r="AA816" s="56"/>
      <c r="AB816" s="43">
        <v>1</v>
      </c>
      <c r="AC816" s="295">
        <v>0</v>
      </c>
      <c r="AD816" s="62">
        <v>0</v>
      </c>
      <c r="AE816" s="291"/>
      <c r="AF816" s="65"/>
      <c r="AG816" s="291">
        <v>8374.51</v>
      </c>
      <c r="AH816" s="40">
        <f>Y816-Z816</f>
        <v>52156.670000000013</v>
      </c>
      <c r="AI816" s="242"/>
      <c r="AJ816" s="242"/>
      <c r="AK816" s="291"/>
      <c r="AL816" s="40">
        <f>AH816-AK816</f>
        <v>52156.670000000013</v>
      </c>
      <c r="AM816" s="242">
        <f>IFERROR(EOMONTH(B816,0),"Pendente")</f>
        <v>45565</v>
      </c>
      <c r="AN816" s="242">
        <f>IF(AQ816="x","",IF(AQ816="x",AM816,IF(EOMONTH(I816,0)=31,"",EOMONTH(I816,0))))</f>
        <v>45565</v>
      </c>
      <c r="AO816" s="79">
        <f>IFERROR(IF(VLOOKUP(C816,C817:C1417,1,0)=0,1,0),1)</f>
        <v>0</v>
      </c>
      <c r="AP816" s="79"/>
      <c r="AQ816" s="243" t="str">
        <f>IF(MID(G816,1,15)="NAO ASSINADO","x","")</f>
        <v/>
      </c>
      <c r="AR816" s="242" t="b">
        <f>IF(AQ816="x",EOMONTH(I816,0))</f>
        <v>0</v>
      </c>
      <c r="AS816" s="79">
        <f>IF(AH816&lt;0,0,1)</f>
        <v>1</v>
      </c>
      <c r="AT816" s="79">
        <f>IF(AL816&lt;0,0,1)</f>
        <v>1</v>
      </c>
      <c r="AU816" s="79" t="str">
        <f>MID(E816,1,1)</f>
        <v>B</v>
      </c>
      <c r="AV816" s="79">
        <f>IF(AG816&lt;0,0,1)</f>
        <v>1</v>
      </c>
      <c r="AW816" s="79" t="str">
        <f>J816&amp;AU816</f>
        <v>4B</v>
      </c>
      <c r="AX816" s="79">
        <f>IF(COUNTIFS(J:J,"Integral",E:E,E816,H:H,"Ativo")=4,1/4,1/10)</f>
        <v>0.1</v>
      </c>
      <c r="AY816" s="79" t="s">
        <v>1535</v>
      </c>
      <c r="AZ816" s="79" t="b">
        <v>1</v>
      </c>
    </row>
    <row r="817" spans="1:52" ht="15" customHeight="1">
      <c r="A817" s="54">
        <v>846</v>
      </c>
      <c r="B817" s="405">
        <v>45551</v>
      </c>
      <c r="C817" s="32" t="s">
        <v>2470</v>
      </c>
      <c r="D817" s="32" t="s">
        <v>2475</v>
      </c>
      <c r="E817" s="32" t="s">
        <v>2069</v>
      </c>
      <c r="F817" s="32" t="s">
        <v>2476</v>
      </c>
      <c r="G817" s="60" t="s">
        <v>220</v>
      </c>
      <c r="H817" s="33" t="s">
        <v>337</v>
      </c>
      <c r="I817" s="34">
        <v>45560</v>
      </c>
      <c r="J817" s="33">
        <v>4</v>
      </c>
      <c r="K817" s="56" t="s">
        <v>1512</v>
      </c>
      <c r="L817" s="56" t="s">
        <v>1512</v>
      </c>
      <c r="M817" s="386" t="s">
        <v>1026</v>
      </c>
      <c r="N817" s="33" t="s">
        <v>68</v>
      </c>
      <c r="O817" s="33" t="s">
        <v>10</v>
      </c>
      <c r="P817" s="33" t="s">
        <v>2</v>
      </c>
      <c r="Q817" s="47"/>
      <c r="R817" s="47"/>
      <c r="S817" s="45" t="s">
        <v>162</v>
      </c>
      <c r="T817" s="45"/>
      <c r="U817" s="37">
        <v>45308</v>
      </c>
      <c r="V817" s="38">
        <f>B817</f>
        <v>45551</v>
      </c>
      <c r="W817" s="50">
        <f>V817-U817</f>
        <v>243</v>
      </c>
      <c r="X817" s="294">
        <v>260629.99</v>
      </c>
      <c r="Y817" s="260">
        <v>271000</v>
      </c>
      <c r="Z817" s="260">
        <v>218843.34</v>
      </c>
      <c r="AA817" s="56"/>
      <c r="AB817" s="43">
        <v>1</v>
      </c>
      <c r="AC817" s="295">
        <v>0</v>
      </c>
      <c r="AD817" s="62">
        <v>0</v>
      </c>
      <c r="AE817" s="291"/>
      <c r="AF817" s="65"/>
      <c r="AG817" s="291">
        <v>8374.5300000000007</v>
      </c>
      <c r="AH817" s="40">
        <f>Y817-Z817</f>
        <v>52156.66</v>
      </c>
      <c r="AI817" s="242"/>
      <c r="AJ817" s="242"/>
      <c r="AK817" s="291"/>
      <c r="AL817" s="40">
        <f>AH817-AK817</f>
        <v>52156.66</v>
      </c>
      <c r="AM817" s="242">
        <f>IFERROR(EOMONTH(B817,0),"Pendente")</f>
        <v>45565</v>
      </c>
      <c r="AN817" s="242">
        <f>IF(AQ817="x","",IF(AQ817="x",AM817,IF(EOMONTH(I817,0)=31,"",EOMONTH(I817,0))))</f>
        <v>45565</v>
      </c>
      <c r="AO817" s="79">
        <f>IFERROR(IF(VLOOKUP(C817,C818:C1418,1,0)=0,1,0),1)</f>
        <v>0</v>
      </c>
      <c r="AP817" s="79"/>
      <c r="AQ817" s="243" t="str">
        <f>IF(MID(G817,1,15)="NAO ASSINADO","x","")</f>
        <v/>
      </c>
      <c r="AR817" s="242" t="b">
        <f>IF(AQ817="x",EOMONTH(I817,0))</f>
        <v>0</v>
      </c>
      <c r="AS817" s="79">
        <f>IF(AH817&lt;0,0,1)</f>
        <v>1</v>
      </c>
      <c r="AT817" s="79">
        <f>IF(AL817&lt;0,0,1)</f>
        <v>1</v>
      </c>
      <c r="AU817" s="79" t="str">
        <f>MID(E817,1,1)</f>
        <v>B</v>
      </c>
      <c r="AV817" s="79">
        <f>IF(AG817&lt;0,0,1)</f>
        <v>1</v>
      </c>
      <c r="AW817" s="79" t="str">
        <f>J817&amp;AU817</f>
        <v>4B</v>
      </c>
      <c r="AX817" s="79">
        <f>IF(COUNTIFS(J:J,"Integral",E:E,E817,H:H,"Ativo")=4,1/4,1/10)</f>
        <v>0.1</v>
      </c>
      <c r="AY817" s="79" t="s">
        <v>1535</v>
      </c>
      <c r="AZ817" s="79" t="b">
        <v>1</v>
      </c>
    </row>
    <row r="818" spans="1:52" ht="15" customHeight="1">
      <c r="A818" s="54">
        <v>847</v>
      </c>
      <c r="B818" s="405">
        <v>45553</v>
      </c>
      <c r="C818" s="351" t="s">
        <v>2477</v>
      </c>
      <c r="D818" s="32" t="s">
        <v>2143</v>
      </c>
      <c r="E818" s="32" t="s">
        <v>2137</v>
      </c>
      <c r="F818" s="32" t="s">
        <v>2478</v>
      </c>
      <c r="G818" s="60" t="s">
        <v>220</v>
      </c>
      <c r="H818" s="33" t="s">
        <v>90</v>
      </c>
      <c r="I818" s="34"/>
      <c r="J818" s="33">
        <v>6</v>
      </c>
      <c r="K818" s="56" t="s">
        <v>1165</v>
      </c>
      <c r="L818" s="56" t="s">
        <v>1165</v>
      </c>
      <c r="M818" s="386" t="s">
        <v>1026</v>
      </c>
      <c r="N818" s="33" t="s">
        <v>68</v>
      </c>
      <c r="O818" s="33" t="s">
        <v>12</v>
      </c>
      <c r="P818" s="33" t="s">
        <v>2</v>
      </c>
      <c r="Q818" s="47"/>
      <c r="R818" s="47"/>
      <c r="S818" s="45" t="s">
        <v>147</v>
      </c>
      <c r="T818" s="45"/>
      <c r="U818" s="37">
        <v>45168</v>
      </c>
      <c r="V818" s="38">
        <f>B818</f>
        <v>45553</v>
      </c>
      <c r="W818" s="50">
        <f>V818-U818</f>
        <v>385</v>
      </c>
      <c r="X818" s="294">
        <v>390944.98</v>
      </c>
      <c r="Y818" s="260">
        <v>406500</v>
      </c>
      <c r="Z818" s="260">
        <v>382500</v>
      </c>
      <c r="AA818" s="56"/>
      <c r="AB818" s="43">
        <v>0.26800000000000002</v>
      </c>
      <c r="AC818" s="295">
        <v>0</v>
      </c>
      <c r="AD818" s="62" t="s">
        <v>2479</v>
      </c>
      <c r="AE818" s="291"/>
      <c r="AF818" s="65"/>
      <c r="AG818" s="291">
        <v>3598.61</v>
      </c>
      <c r="AH818" s="40">
        <f>Y818-Z818</f>
        <v>24000</v>
      </c>
      <c r="AI818" s="242"/>
      <c r="AJ818" s="242"/>
      <c r="AK818" s="291"/>
      <c r="AL818" s="40">
        <f>AH818-AK818</f>
        <v>24000</v>
      </c>
      <c r="AM818" s="242">
        <f>IFERROR(EOMONTH(B818,0),"Pendente")</f>
        <v>45565</v>
      </c>
      <c r="AN818" s="242" t="str">
        <f>IF(AQ818="x","",IF(AQ818="x",AM818,IF(EOMONTH(I818,0)=31,"",EOMONTH(I818,0))))</f>
        <v/>
      </c>
      <c r="AO818" s="79">
        <f>IFERROR(IF(VLOOKUP(C818,C819:C1419,1,0)=0,1,0),1)</f>
        <v>0</v>
      </c>
      <c r="AP818" s="79"/>
      <c r="AQ818" s="243" t="str">
        <f>IF(MID(G818,1,15)="NAO ASSINADO","x","")</f>
        <v/>
      </c>
      <c r="AR818" s="242" t="b">
        <f>IF(AQ818="x",EOMONTH(I818,0))</f>
        <v>0</v>
      </c>
      <c r="AS818" s="79">
        <f>IF(AH818&lt;0,0,1)</f>
        <v>1</v>
      </c>
      <c r="AT818" s="79">
        <f>IF(AL818&lt;0,0,1)</f>
        <v>1</v>
      </c>
      <c r="AU818" s="79" t="str">
        <f>MID(E818,1,1)</f>
        <v>B</v>
      </c>
      <c r="AV818" s="79">
        <f>IF(AG818&lt;0,0,1)</f>
        <v>1</v>
      </c>
      <c r="AW818" s="79" t="str">
        <f>J818&amp;AU818</f>
        <v>6B</v>
      </c>
      <c r="AX818" s="79">
        <f>IF(COUNTIFS(J:J,"Integral",E:E,E818,H:H,"Ativo")=4,1/4,1/10)</f>
        <v>0.1</v>
      </c>
      <c r="AY818" s="79" t="s">
        <v>2133</v>
      </c>
      <c r="AZ818" s="79" t="b">
        <v>1</v>
      </c>
    </row>
    <row r="819" spans="1:52" ht="15" customHeight="1">
      <c r="A819" s="54">
        <v>848</v>
      </c>
      <c r="B819" s="405">
        <v>45553</v>
      </c>
      <c r="C819" s="351" t="s">
        <v>2477</v>
      </c>
      <c r="D819" s="32" t="s">
        <v>2146</v>
      </c>
      <c r="E819" s="32" t="s">
        <v>2137</v>
      </c>
      <c r="F819" s="32" t="s">
        <v>2480</v>
      </c>
      <c r="G819" s="60" t="s">
        <v>220</v>
      </c>
      <c r="H819" s="33" t="s">
        <v>90</v>
      </c>
      <c r="I819" s="34"/>
      <c r="J819" s="33">
        <v>6</v>
      </c>
      <c r="K819" s="56" t="s">
        <v>1165</v>
      </c>
      <c r="L819" s="56" t="s">
        <v>1165</v>
      </c>
      <c r="M819" s="386" t="s">
        <v>1026</v>
      </c>
      <c r="N819" s="33" t="s">
        <v>68</v>
      </c>
      <c r="O819" s="33" t="s">
        <v>12</v>
      </c>
      <c r="P819" s="33" t="s">
        <v>2</v>
      </c>
      <c r="Q819" s="47"/>
      <c r="R819" s="47"/>
      <c r="S819" s="45" t="s">
        <v>147</v>
      </c>
      <c r="T819" s="45"/>
      <c r="U819" s="37">
        <v>45168</v>
      </c>
      <c r="V819" s="38">
        <f>B819</f>
        <v>45553</v>
      </c>
      <c r="W819" s="50">
        <f>V819-U819</f>
        <v>385</v>
      </c>
      <c r="X819" s="294">
        <v>390944.99</v>
      </c>
      <c r="Y819" s="260">
        <v>406500</v>
      </c>
      <c r="Z819" s="260">
        <v>382500</v>
      </c>
      <c r="AA819" s="56"/>
      <c r="AB819" s="43">
        <v>0.26800000000000002</v>
      </c>
      <c r="AC819" s="295">
        <v>0</v>
      </c>
      <c r="AD819" s="62" t="s">
        <v>2479</v>
      </c>
      <c r="AE819" s="291"/>
      <c r="AF819" s="65"/>
      <c r="AG819" s="291">
        <v>3598.62</v>
      </c>
      <c r="AH819" s="40">
        <f>Y819-Z819</f>
        <v>24000</v>
      </c>
      <c r="AI819" s="242"/>
      <c r="AJ819" s="242"/>
      <c r="AK819" s="291"/>
      <c r="AL819" s="40">
        <f>AH819-AK819</f>
        <v>24000</v>
      </c>
      <c r="AM819" s="242">
        <f>IFERROR(EOMONTH(B819,0),"Pendente")</f>
        <v>45565</v>
      </c>
      <c r="AN819" s="242" t="str">
        <f>IF(AQ819="x","",IF(AQ819="x",AM819,IF(EOMONTH(I819,0)=31,"",EOMONTH(I819,0))))</f>
        <v/>
      </c>
      <c r="AO819" s="79">
        <f>IFERROR(IF(VLOOKUP(C819,C820:C1420,1,0)=0,1,0),1)</f>
        <v>1</v>
      </c>
      <c r="AP819" s="79"/>
      <c r="AQ819" s="243" t="str">
        <f>IF(MID(G819,1,15)="NAO ASSINADO","x","")</f>
        <v/>
      </c>
      <c r="AR819" s="242" t="b">
        <f>IF(AQ819="x",EOMONTH(I819,0))</f>
        <v>0</v>
      </c>
      <c r="AS819" s="79">
        <f>IF(AH819&lt;0,0,1)</f>
        <v>1</v>
      </c>
      <c r="AT819" s="79">
        <f>IF(AL819&lt;0,0,1)</f>
        <v>1</v>
      </c>
      <c r="AU819" s="79" t="str">
        <f>MID(E819,1,1)</f>
        <v>B</v>
      </c>
      <c r="AV819" s="79">
        <f>IF(AG819&lt;0,0,1)</f>
        <v>1</v>
      </c>
      <c r="AW819" s="79" t="str">
        <f>J819&amp;AU819</f>
        <v>6B</v>
      </c>
      <c r="AX819" s="79">
        <f>IF(COUNTIFS(J:J,"Integral",E:E,E819,H:H,"Ativo")=4,1/4,1/10)</f>
        <v>0.1</v>
      </c>
      <c r="AY819" s="79" t="s">
        <v>2133</v>
      </c>
      <c r="AZ819" s="79" t="b">
        <v>1</v>
      </c>
    </row>
    <row r="820" spans="1:52" ht="15" customHeight="1">
      <c r="A820" s="54">
        <v>849</v>
      </c>
      <c r="B820" s="405">
        <v>45553</v>
      </c>
      <c r="C820" s="32" t="s">
        <v>2481</v>
      </c>
      <c r="D820" s="32" t="s">
        <v>2482</v>
      </c>
      <c r="E820" s="32" t="s">
        <v>2183</v>
      </c>
      <c r="F820" s="32" t="s">
        <v>2483</v>
      </c>
      <c r="G820" s="60" t="s">
        <v>220</v>
      </c>
      <c r="H820" s="33" t="s">
        <v>90</v>
      </c>
      <c r="I820" s="34"/>
      <c r="J820" s="33">
        <v>4</v>
      </c>
      <c r="K820" s="56" t="s">
        <v>1755</v>
      </c>
      <c r="L820" s="56" t="s">
        <v>1755</v>
      </c>
      <c r="M820" s="386" t="s">
        <v>1755</v>
      </c>
      <c r="N820" s="33" t="s">
        <v>73</v>
      </c>
      <c r="O820" s="33" t="s">
        <v>12</v>
      </c>
      <c r="P820" s="33" t="s">
        <v>85</v>
      </c>
      <c r="Q820" s="47"/>
      <c r="R820" s="47"/>
      <c r="S820" s="45" t="s">
        <v>162</v>
      </c>
      <c r="T820" s="45"/>
      <c r="U820" s="37">
        <v>45553</v>
      </c>
      <c r="V820" s="38">
        <f>B820</f>
        <v>45553</v>
      </c>
      <c r="W820" s="50">
        <f>V820-U820</f>
        <v>0</v>
      </c>
      <c r="X820" s="294">
        <v>375512.95</v>
      </c>
      <c r="Y820" s="260">
        <v>413000</v>
      </c>
      <c r="Z820" s="260">
        <v>396550</v>
      </c>
      <c r="AA820" s="56"/>
      <c r="AB820" s="43">
        <v>0.20830000000000001</v>
      </c>
      <c r="AC820" s="295">
        <v>0</v>
      </c>
      <c r="AD820" s="62" t="s">
        <v>2484</v>
      </c>
      <c r="AE820" s="291"/>
      <c r="AF820" s="65"/>
      <c r="AG820" s="291">
        <v>34063.14</v>
      </c>
      <c r="AH820" s="40">
        <f>Y820-Z820</f>
        <v>16450</v>
      </c>
      <c r="AI820" s="242"/>
      <c r="AJ820" s="242"/>
      <c r="AK820" s="291"/>
      <c r="AL820" s="40">
        <f>AH820-AK820</f>
        <v>16450</v>
      </c>
      <c r="AM820" s="242">
        <f>IFERROR(EOMONTH(B820,0),"Pendente")</f>
        <v>45565</v>
      </c>
      <c r="AN820" s="242" t="str">
        <f>IF(AQ820="x","",IF(AQ820="x",AM820,IF(EOMONTH(I820,0)=31,"",EOMONTH(I820,0))))</f>
        <v/>
      </c>
      <c r="AO820" s="79">
        <f>IFERROR(IF(VLOOKUP(C820,C821:C1421,1,0)=0,1,0),1)</f>
        <v>1</v>
      </c>
      <c r="AP820" s="79"/>
      <c r="AQ820" s="243" t="str">
        <f>IF(MID(G820,1,15)="NAO ASSINADO","x","")</f>
        <v/>
      </c>
      <c r="AR820" s="242" t="b">
        <f>IF(AQ820="x",EOMONTH(I820,0))</f>
        <v>0</v>
      </c>
      <c r="AS820" s="79">
        <f>IF(AH820&lt;0,0,1)</f>
        <v>1</v>
      </c>
      <c r="AT820" s="79">
        <f>IF(AL820&lt;0,0,1)</f>
        <v>1</v>
      </c>
      <c r="AU820" s="79" t="str">
        <f>MID(E820,1,1)</f>
        <v>B</v>
      </c>
      <c r="AV820" s="79">
        <f>IF(AG820&lt;0,0,1)</f>
        <v>1</v>
      </c>
      <c r="AW820" s="79" t="str">
        <f>J820&amp;AU820</f>
        <v>4B</v>
      </c>
      <c r="AX820" s="79">
        <f>IF(COUNTIFS(J:J,"Integral",E:E,E820,H:H,"Ativo")=4,1/4,1/10)</f>
        <v>0.1</v>
      </c>
      <c r="AY820" s="79" t="s">
        <v>2133</v>
      </c>
      <c r="AZ820" s="79" t="b">
        <v>1</v>
      </c>
    </row>
    <row r="821" spans="1:52" ht="15" customHeight="1">
      <c r="A821" s="54">
        <v>850</v>
      </c>
      <c r="B821" s="405">
        <v>45554</v>
      </c>
      <c r="C821" s="351" t="s">
        <v>2485</v>
      </c>
      <c r="D821" s="32" t="s">
        <v>2486</v>
      </c>
      <c r="E821" s="32" t="s">
        <v>2183</v>
      </c>
      <c r="F821" s="32" t="s">
        <v>2487</v>
      </c>
      <c r="G821" s="60" t="s">
        <v>220</v>
      </c>
      <c r="H821" s="33" t="s">
        <v>90</v>
      </c>
      <c r="I821" s="34"/>
      <c r="J821" s="33">
        <v>4</v>
      </c>
      <c r="K821" s="56" t="s">
        <v>1154</v>
      </c>
      <c r="L821" s="56" t="s">
        <v>1154</v>
      </c>
      <c r="M821" s="386" t="s">
        <v>246</v>
      </c>
      <c r="N821" s="33" t="s">
        <v>68</v>
      </c>
      <c r="O821" s="33" t="s">
        <v>12</v>
      </c>
      <c r="P821" s="33" t="s">
        <v>1</v>
      </c>
      <c r="Q821" s="47"/>
      <c r="R821" s="47"/>
      <c r="S821" s="45" t="s">
        <v>143</v>
      </c>
      <c r="T821" s="45"/>
      <c r="U821" s="37">
        <v>45496</v>
      </c>
      <c r="V821" s="38">
        <f>B821</f>
        <v>45554</v>
      </c>
      <c r="W821" s="50">
        <f>V821-U821</f>
        <v>58</v>
      </c>
      <c r="X821" s="294">
        <v>375512.95</v>
      </c>
      <c r="Y821" s="260">
        <v>413000</v>
      </c>
      <c r="Z821" s="260">
        <v>413000</v>
      </c>
      <c r="AA821" s="56"/>
      <c r="AB821" s="43">
        <v>0.2</v>
      </c>
      <c r="AC821" s="295">
        <v>0</v>
      </c>
      <c r="AD821" s="62">
        <v>0</v>
      </c>
      <c r="AE821" s="291"/>
      <c r="AF821" s="65"/>
      <c r="AG821" s="291">
        <v>30272.25</v>
      </c>
      <c r="AH821" s="40">
        <f>Y821-Z821</f>
        <v>0</v>
      </c>
      <c r="AI821" s="242"/>
      <c r="AJ821" s="242"/>
      <c r="AK821" s="291"/>
      <c r="AL821" s="40">
        <f>AH821-AK821</f>
        <v>0</v>
      </c>
      <c r="AM821" s="242">
        <f>IFERROR(EOMONTH(B821,0),"Pendente")</f>
        <v>45565</v>
      </c>
      <c r="AN821" s="242" t="str">
        <f>IF(AQ821="x","",IF(AQ821="x",AM821,IF(EOMONTH(I821,0)=31,"",EOMONTH(I821,0))))</f>
        <v/>
      </c>
      <c r="AO821" s="79">
        <f>IFERROR(IF(VLOOKUP(C821,C822:C1422,1,0)=0,1,0),1)</f>
        <v>1</v>
      </c>
      <c r="AP821" s="79"/>
      <c r="AQ821" s="243" t="str">
        <f>IF(MID(G821,1,15)="NAO ASSINADO","x","")</f>
        <v/>
      </c>
      <c r="AR821" s="242" t="b">
        <f>IF(AQ821="x",EOMONTH(I821,0))</f>
        <v>0</v>
      </c>
      <c r="AS821" s="79">
        <f>IF(AH821&lt;0,0,1)</f>
        <v>1</v>
      </c>
      <c r="AT821" s="79">
        <f>IF(AL821&lt;0,0,1)</f>
        <v>1</v>
      </c>
      <c r="AU821" s="79" t="str">
        <f>MID(E821,1,1)</f>
        <v>B</v>
      </c>
      <c r="AV821" s="79">
        <f>IF(AG821&lt;0,0,1)</f>
        <v>1</v>
      </c>
      <c r="AW821" s="79" t="str">
        <f>J821&amp;AU821</f>
        <v>4B</v>
      </c>
      <c r="AX821" s="79">
        <f>IF(COUNTIFS(J:J,"Integral",E:E,E821,H:H,"Ativo")=4,1/4,1/10)</f>
        <v>0.1</v>
      </c>
      <c r="AY821" s="79" t="s">
        <v>2133</v>
      </c>
      <c r="AZ821" s="79" t="b">
        <v>1</v>
      </c>
    </row>
    <row r="822" spans="1:52" ht="9.75" customHeight="1">
      <c r="A822" s="54">
        <v>851</v>
      </c>
      <c r="B822" s="405">
        <v>45554</v>
      </c>
      <c r="C822" s="351" t="s">
        <v>2488</v>
      </c>
      <c r="D822" s="32" t="s">
        <v>2489</v>
      </c>
      <c r="E822" s="32" t="s">
        <v>1330</v>
      </c>
      <c r="F822" s="32" t="s">
        <v>2490</v>
      </c>
      <c r="G822" s="60" t="s">
        <v>220</v>
      </c>
      <c r="H822" s="33" t="s">
        <v>90</v>
      </c>
      <c r="I822" s="34"/>
      <c r="J822" s="33">
        <v>4</v>
      </c>
      <c r="K822" s="56" t="s">
        <v>981</v>
      </c>
      <c r="L822" s="56" t="s">
        <v>981</v>
      </c>
      <c r="M822" s="386" t="s">
        <v>1026</v>
      </c>
      <c r="N822" s="33" t="s">
        <v>68</v>
      </c>
      <c r="O822" s="33" t="s">
        <v>12</v>
      </c>
      <c r="P822" s="33" t="s">
        <v>2</v>
      </c>
      <c r="Q822" s="47" t="s">
        <v>102</v>
      </c>
      <c r="R822" s="47"/>
      <c r="S822" s="45" t="s">
        <v>144</v>
      </c>
      <c r="T822" s="45"/>
      <c r="U822" s="37">
        <v>45412</v>
      </c>
      <c r="V822" s="38">
        <f>B822</f>
        <v>45554</v>
      </c>
      <c r="W822" s="50">
        <f>V822-U822</f>
        <v>142</v>
      </c>
      <c r="X822" s="294">
        <v>260629.99</v>
      </c>
      <c r="Y822" s="260">
        <v>271000</v>
      </c>
      <c r="Z822" s="260">
        <v>239506</v>
      </c>
      <c r="AA822" s="56"/>
      <c r="AB822" s="43">
        <v>0.21149999999999999</v>
      </c>
      <c r="AC822" s="295">
        <v>0</v>
      </c>
      <c r="AD822" s="62">
        <v>0</v>
      </c>
      <c r="AE822" s="291"/>
      <c r="AF822" s="65"/>
      <c r="AG822" s="291">
        <v>8363.5300000000007</v>
      </c>
      <c r="AH822" s="40">
        <f>Y822-Z822</f>
        <v>31494</v>
      </c>
      <c r="AI822" s="242"/>
      <c r="AJ822" s="242"/>
      <c r="AK822" s="291"/>
      <c r="AL822" s="40">
        <f>AH822-AK822</f>
        <v>31494</v>
      </c>
      <c r="AM822" s="242">
        <f>IFERROR(EOMONTH(B822,0),"Pendente")</f>
        <v>45565</v>
      </c>
      <c r="AN822" s="242" t="str">
        <f>IF(AQ822="x","",IF(AQ822="x",AM822,IF(EOMONTH(I822,0)=31,"",EOMONTH(I822,0))))</f>
        <v/>
      </c>
      <c r="AO822" s="79">
        <f>IFERROR(IF(VLOOKUP(C822,C823:C1423,1,0)=0,1,0),1)</f>
        <v>0</v>
      </c>
      <c r="AP822" s="79"/>
      <c r="AQ822" s="243" t="str">
        <f>IF(MID(G822,1,15)="NAO ASSINADO","x","")</f>
        <v/>
      </c>
      <c r="AR822" s="242" t="b">
        <f>IF(AQ822="x",EOMONTH(I822,0))</f>
        <v>0</v>
      </c>
      <c r="AS822" s="79">
        <f>IF(AH822&lt;0,0,1)</f>
        <v>1</v>
      </c>
      <c r="AT822" s="79">
        <f>IF(AL822&lt;0,0,1)</f>
        <v>1</v>
      </c>
      <c r="AU822" s="79" t="str">
        <f>MID(E822,1,1)</f>
        <v>B</v>
      </c>
      <c r="AV822" s="79">
        <f>IF(AG822&lt;0,0,1)</f>
        <v>1</v>
      </c>
      <c r="AW822" s="79" t="str">
        <f>J822&amp;AU822</f>
        <v>4B</v>
      </c>
      <c r="AX822" s="79">
        <f>IF(COUNTIFS(J:J,"Integral",E:E,E822,H:H,"Ativo")=4,1/4,1/10)</f>
        <v>0.1</v>
      </c>
      <c r="AY822" s="79" t="s">
        <v>2133</v>
      </c>
      <c r="AZ822" s="79" t="b">
        <v>1</v>
      </c>
    </row>
    <row r="823" spans="1:52" ht="15" customHeight="1">
      <c r="A823" s="54">
        <v>852</v>
      </c>
      <c r="B823" s="405">
        <v>45554</v>
      </c>
      <c r="C823" s="351" t="s">
        <v>2488</v>
      </c>
      <c r="D823" s="32" t="s">
        <v>2491</v>
      </c>
      <c r="E823" s="32" t="s">
        <v>1330</v>
      </c>
      <c r="F823" s="32" t="s">
        <v>2492</v>
      </c>
      <c r="G823" s="60" t="s">
        <v>220</v>
      </c>
      <c r="H823" s="33" t="s">
        <v>90</v>
      </c>
      <c r="I823" s="34"/>
      <c r="J823" s="33">
        <v>4</v>
      </c>
      <c r="K823" s="56" t="s">
        <v>981</v>
      </c>
      <c r="L823" s="56" t="s">
        <v>981</v>
      </c>
      <c r="M823" s="386" t="s">
        <v>1026</v>
      </c>
      <c r="N823" s="33" t="s">
        <v>68</v>
      </c>
      <c r="O823" s="33" t="s">
        <v>12</v>
      </c>
      <c r="P823" s="33" t="s">
        <v>2</v>
      </c>
      <c r="Q823" s="47" t="s">
        <v>102</v>
      </c>
      <c r="R823" s="47"/>
      <c r="S823" s="45" t="s">
        <v>144</v>
      </c>
      <c r="T823" s="45"/>
      <c r="U823" s="37">
        <v>45412</v>
      </c>
      <c r="V823" s="38">
        <f>B823</f>
        <v>45554</v>
      </c>
      <c r="W823" s="50">
        <f>V823-U823</f>
        <v>142</v>
      </c>
      <c r="X823" s="294">
        <v>260629.99</v>
      </c>
      <c r="Y823" s="260">
        <v>271000</v>
      </c>
      <c r="Z823" s="260">
        <v>239507</v>
      </c>
      <c r="AA823" s="56"/>
      <c r="AB823" s="43">
        <v>0.21149999999999999</v>
      </c>
      <c r="AC823" s="295">
        <v>0</v>
      </c>
      <c r="AD823" s="62">
        <v>0</v>
      </c>
      <c r="AE823" s="291"/>
      <c r="AF823" s="65"/>
      <c r="AG823" s="291">
        <v>8363.5300000000007</v>
      </c>
      <c r="AH823" s="40">
        <f>Y823-Z823</f>
        <v>31493</v>
      </c>
      <c r="AI823" s="242"/>
      <c r="AJ823" s="242"/>
      <c r="AK823" s="291"/>
      <c r="AL823" s="40">
        <f>AH823-AK823</f>
        <v>31493</v>
      </c>
      <c r="AM823" s="242">
        <f>IFERROR(EOMONTH(B823,0),"Pendente")</f>
        <v>45565</v>
      </c>
      <c r="AN823" s="242" t="str">
        <f>IF(AQ823="x","",IF(AQ823="x",AM823,IF(EOMONTH(I823,0)=31,"",EOMONTH(I823,0))))</f>
        <v/>
      </c>
      <c r="AO823" s="79">
        <f>IFERROR(IF(VLOOKUP(C823,C824:C1424,1,0)=0,1,0),1)</f>
        <v>0</v>
      </c>
      <c r="AP823" s="79"/>
      <c r="AQ823" s="243" t="str">
        <f>IF(MID(G823,1,15)="NAO ASSINADO","x","")</f>
        <v/>
      </c>
      <c r="AR823" s="242" t="b">
        <f>IF(AQ823="x",EOMONTH(I823,0))</f>
        <v>0</v>
      </c>
      <c r="AS823" s="79">
        <f>IF(AH823&lt;0,0,1)</f>
        <v>1</v>
      </c>
      <c r="AT823" s="79">
        <f>IF(AL823&lt;0,0,1)</f>
        <v>1</v>
      </c>
      <c r="AU823" s="79" t="str">
        <f>MID(E823,1,1)</f>
        <v>B</v>
      </c>
      <c r="AV823" s="79">
        <f>IF(AG823&lt;0,0,1)</f>
        <v>1</v>
      </c>
      <c r="AW823" s="79" t="str">
        <f>J823&amp;AU823</f>
        <v>4B</v>
      </c>
      <c r="AX823" s="79">
        <f>IF(COUNTIFS(J:J,"Integral",E:E,E823,H:H,"Ativo")=4,1/4,1/10)</f>
        <v>0.1</v>
      </c>
      <c r="AY823" s="79" t="s">
        <v>2133</v>
      </c>
      <c r="AZ823" s="79" t="b">
        <v>1</v>
      </c>
    </row>
    <row r="824" spans="1:52" ht="15" customHeight="1">
      <c r="A824" s="54">
        <v>853</v>
      </c>
      <c r="B824" s="405">
        <v>45554</v>
      </c>
      <c r="C824" s="351" t="s">
        <v>2488</v>
      </c>
      <c r="D824" s="32" t="s">
        <v>2493</v>
      </c>
      <c r="E824" s="32" t="s">
        <v>1330</v>
      </c>
      <c r="F824" s="32" t="s">
        <v>2494</v>
      </c>
      <c r="G824" s="60" t="s">
        <v>220</v>
      </c>
      <c r="H824" s="33" t="s">
        <v>90</v>
      </c>
      <c r="I824" s="34"/>
      <c r="J824" s="33">
        <v>4</v>
      </c>
      <c r="K824" s="56" t="s">
        <v>981</v>
      </c>
      <c r="L824" s="56" t="s">
        <v>981</v>
      </c>
      <c r="M824" s="386" t="s">
        <v>1026</v>
      </c>
      <c r="N824" s="33" t="s">
        <v>68</v>
      </c>
      <c r="O824" s="33" t="s">
        <v>12</v>
      </c>
      <c r="P824" s="33" t="s">
        <v>2</v>
      </c>
      <c r="Q824" s="47" t="s">
        <v>102</v>
      </c>
      <c r="R824" s="47"/>
      <c r="S824" s="45" t="s">
        <v>144</v>
      </c>
      <c r="T824" s="45"/>
      <c r="U824" s="37">
        <v>45412</v>
      </c>
      <c r="V824" s="38">
        <f>B824</f>
        <v>45554</v>
      </c>
      <c r="W824" s="50">
        <f>V824-U824</f>
        <v>142</v>
      </c>
      <c r="X824" s="294">
        <v>260629.99</v>
      </c>
      <c r="Y824" s="260">
        <v>271000</v>
      </c>
      <c r="Z824" s="260">
        <v>239507</v>
      </c>
      <c r="AA824" s="56"/>
      <c r="AB824" s="43">
        <v>0.21149999999999999</v>
      </c>
      <c r="AC824" s="295">
        <v>0</v>
      </c>
      <c r="AD824" s="62">
        <v>0</v>
      </c>
      <c r="AE824" s="291"/>
      <c r="AF824" s="65"/>
      <c r="AG824" s="291">
        <v>8363.5499999999993</v>
      </c>
      <c r="AH824" s="40">
        <f>Y824-Z824</f>
        <v>31493</v>
      </c>
      <c r="AI824" s="242"/>
      <c r="AJ824" s="242"/>
      <c r="AK824" s="291"/>
      <c r="AL824" s="40">
        <f>AH824-AK824</f>
        <v>31493</v>
      </c>
      <c r="AM824" s="242">
        <f>IFERROR(EOMONTH(B824,0),"Pendente")</f>
        <v>45565</v>
      </c>
      <c r="AN824" s="242" t="str">
        <f>IF(AQ824="x","",IF(AQ824="x",AM824,IF(EOMONTH(I824,0)=31,"",EOMONTH(I824,0))))</f>
        <v/>
      </c>
      <c r="AO824" s="79">
        <f>IFERROR(IF(VLOOKUP(C824,C825:C1425,1,0)=0,1,0),1)</f>
        <v>1</v>
      </c>
      <c r="AP824" s="79"/>
      <c r="AQ824" s="243" t="str">
        <f>IF(MID(G824,1,15)="NAO ASSINADO","x","")</f>
        <v/>
      </c>
      <c r="AR824" s="242" t="b">
        <f>IF(AQ824="x",EOMONTH(I824,0))</f>
        <v>0</v>
      </c>
      <c r="AS824" s="79">
        <f>IF(AH824&lt;0,0,1)</f>
        <v>1</v>
      </c>
      <c r="AT824" s="79">
        <f>IF(AL824&lt;0,0,1)</f>
        <v>1</v>
      </c>
      <c r="AU824" s="79" t="str">
        <f>MID(E824,1,1)</f>
        <v>B</v>
      </c>
      <c r="AV824" s="79">
        <f>IF(AG824&lt;0,0,1)</f>
        <v>1</v>
      </c>
      <c r="AW824" s="79" t="str">
        <f>J824&amp;AU824</f>
        <v>4B</v>
      </c>
      <c r="AX824" s="79">
        <f>IF(COUNTIFS(J:J,"Integral",E:E,E824,H:H,"Ativo")=4,1/4,1/10)</f>
        <v>0.1</v>
      </c>
      <c r="AY824" s="79" t="s">
        <v>2133</v>
      </c>
      <c r="AZ824" s="79" t="b">
        <v>1</v>
      </c>
    </row>
    <row r="825" spans="1:52" ht="15" customHeight="1">
      <c r="A825" s="54">
        <v>854</v>
      </c>
      <c r="B825" s="405">
        <v>45377</v>
      </c>
      <c r="C825" s="351" t="s">
        <v>1015</v>
      </c>
      <c r="D825" s="32" t="s">
        <v>2004</v>
      </c>
      <c r="E825" s="32" t="s">
        <v>2005</v>
      </c>
      <c r="F825" s="32" t="s">
        <v>2495</v>
      </c>
      <c r="G825" s="60" t="s">
        <v>220</v>
      </c>
      <c r="H825" s="33" t="s">
        <v>90</v>
      </c>
      <c r="I825" s="34"/>
      <c r="J825" s="33" t="s">
        <v>1701</v>
      </c>
      <c r="K825" s="56" t="s">
        <v>221</v>
      </c>
      <c r="L825" s="56" t="s">
        <v>221</v>
      </c>
      <c r="M825" s="67" t="s">
        <v>222</v>
      </c>
      <c r="N825" s="33" t="s">
        <v>72</v>
      </c>
      <c r="O825" s="33" t="s">
        <v>11</v>
      </c>
      <c r="P825" s="33" t="s">
        <v>72</v>
      </c>
      <c r="Q825" s="47" t="s">
        <v>96</v>
      </c>
      <c r="R825" s="47"/>
      <c r="S825" s="45" t="s">
        <v>143</v>
      </c>
      <c r="T825" s="45"/>
      <c r="U825" s="37">
        <v>45043</v>
      </c>
      <c r="V825" s="38">
        <f>B825</f>
        <v>45377</v>
      </c>
      <c r="W825" s="50">
        <f>V825-U825</f>
        <v>334</v>
      </c>
      <c r="X825" s="294">
        <v>1896500</v>
      </c>
      <c r="Y825" s="260">
        <v>2086000</v>
      </c>
      <c r="Z825" s="260">
        <v>1862500</v>
      </c>
      <c r="AA825" s="56"/>
      <c r="AB825" s="43">
        <v>7.8399999999999997E-2</v>
      </c>
      <c r="AC825" s="295">
        <v>0</v>
      </c>
      <c r="AD825" s="62" t="s">
        <v>2496</v>
      </c>
      <c r="AE825" s="291"/>
      <c r="AF825" s="65"/>
      <c r="AG825" s="291"/>
      <c r="AH825" s="40">
        <f>Y825-Z825</f>
        <v>223500</v>
      </c>
      <c r="AI825" s="242"/>
      <c r="AJ825" s="242"/>
      <c r="AK825" s="291">
        <v>86254.34</v>
      </c>
      <c r="AL825" s="40">
        <f>AH825-AK825</f>
        <v>137245.66</v>
      </c>
      <c r="AM825" s="242">
        <f>IFERROR(EOMONTH(B825,0),"Pendente")</f>
        <v>45382</v>
      </c>
      <c r="AN825" s="242" t="str">
        <f>IF(AQ825="x","",IF(AQ825="x",AM825,IF(EOMONTH(I825,0)=31,"",EOMONTH(I825,0))))</f>
        <v/>
      </c>
      <c r="AO825" s="79">
        <f>IFERROR(IF(VLOOKUP(C825,C826:C1426,1,0)=0,1,0),1)</f>
        <v>0</v>
      </c>
      <c r="AP825" s="79"/>
      <c r="AQ825" s="243" t="str">
        <f>IF(MID(G825,1,15)="NAO ASSINADO","x","")</f>
        <v/>
      </c>
      <c r="AR825" s="242" t="b">
        <f>IF(AQ825="x",EOMONTH(I825,0))</f>
        <v>0</v>
      </c>
      <c r="AS825" s="79">
        <f>IF(AH825&lt;0,0,1)</f>
        <v>1</v>
      </c>
      <c r="AT825" s="79">
        <f>IF(AL825&lt;0,0,1)</f>
        <v>1</v>
      </c>
      <c r="AU825" s="79" t="str">
        <f>MID(E825,1,1)</f>
        <v>A</v>
      </c>
      <c r="AV825" s="79">
        <f>IF(AG825&lt;0,0,1)</f>
        <v>1</v>
      </c>
      <c r="AW825" s="79" t="str">
        <f>J825&amp;AU825</f>
        <v>INTEGRALA</v>
      </c>
      <c r="AX825" s="79">
        <f>IF(COUNTIFS(J:J,"Integral",E:E,E825,H:H,"Ativo")=4,1/4,1/10)</f>
        <v>0.25</v>
      </c>
      <c r="AY825" s="79" t="s">
        <v>2133</v>
      </c>
      <c r="AZ825" s="79" t="b">
        <v>0</v>
      </c>
    </row>
    <row r="826" spans="1:52" ht="15" customHeight="1">
      <c r="A826" s="54">
        <v>855</v>
      </c>
      <c r="B826" s="405">
        <v>45377</v>
      </c>
      <c r="C826" s="351" t="s">
        <v>1015</v>
      </c>
      <c r="D826" s="32" t="s">
        <v>2007</v>
      </c>
      <c r="E826" s="32" t="s">
        <v>2008</v>
      </c>
      <c r="F826" s="32" t="s">
        <v>2497</v>
      </c>
      <c r="G826" s="60" t="s">
        <v>220</v>
      </c>
      <c r="H826" s="33" t="s">
        <v>90</v>
      </c>
      <c r="I826" s="34"/>
      <c r="J826" s="33">
        <v>52</v>
      </c>
      <c r="K826" s="56" t="s">
        <v>221</v>
      </c>
      <c r="L826" s="56" t="s">
        <v>221</v>
      </c>
      <c r="M826" s="67" t="s">
        <v>222</v>
      </c>
      <c r="N826" s="33" t="s">
        <v>72</v>
      </c>
      <c r="O826" s="33" t="s">
        <v>11</v>
      </c>
      <c r="P826" s="33" t="s">
        <v>72</v>
      </c>
      <c r="Q826" s="47" t="s">
        <v>96</v>
      </c>
      <c r="R826" s="47"/>
      <c r="S826" s="45" t="s">
        <v>143</v>
      </c>
      <c r="T826" s="45"/>
      <c r="U826" s="37">
        <v>45043</v>
      </c>
      <c r="V826" s="38">
        <f>B826</f>
        <v>45377</v>
      </c>
      <c r="W826" s="50">
        <f>V826-U826</f>
        <v>334</v>
      </c>
      <c r="X826" s="294">
        <v>182000</v>
      </c>
      <c r="Y826" s="260">
        <v>200000</v>
      </c>
      <c r="Z826" s="260">
        <v>200000</v>
      </c>
      <c r="AA826" s="56"/>
      <c r="AB826" s="43">
        <v>7.8399999999999997E-2</v>
      </c>
      <c r="AC826" s="295">
        <v>0</v>
      </c>
      <c r="AD826" s="62" t="s">
        <v>2496</v>
      </c>
      <c r="AE826" s="291"/>
      <c r="AF826" s="65"/>
      <c r="AG826" s="40">
        <f>IF((X826*AE826)&lt;0,0,(X826*AE826))</f>
        <v>0</v>
      </c>
      <c r="AH826" s="40">
        <f>Y826-Z826</f>
        <v>0</v>
      </c>
      <c r="AI826" s="66">
        <f>AH826/X826</f>
        <v>0</v>
      </c>
      <c r="AJ826" s="66">
        <f>AI826-AF826</f>
        <v>0</v>
      </c>
      <c r="AK826" s="291"/>
      <c r="AL826" s="40">
        <f>AH826-AK826</f>
        <v>0</v>
      </c>
      <c r="AM826" s="242">
        <f>IFERROR(EOMONTH(B826,0),"Pendente")</f>
        <v>45382</v>
      </c>
      <c r="AN826" s="242" t="str">
        <f>IF(AQ826="x","",IF(AQ826="x",AM826,IF(EOMONTH(I826,0)=31,"",EOMONTH(I826,0))))</f>
        <v/>
      </c>
      <c r="AO826" s="79">
        <f>IFERROR(IF(VLOOKUP(C826,C827:C1427,1,0)=0,1,0),1)</f>
        <v>0</v>
      </c>
      <c r="AP826" s="79"/>
      <c r="AQ826" s="243" t="str">
        <f>IF(MID(G826,1,15)="NAO ASSINADO","x","")</f>
        <v/>
      </c>
      <c r="AR826" s="242" t="b">
        <f>IF(AQ826="x",EOMONTH(I826,0))</f>
        <v>0</v>
      </c>
      <c r="AS826" s="79">
        <f>IF(AH826&lt;0,0,1)</f>
        <v>1</v>
      </c>
      <c r="AT826" s="79">
        <f>IF(AL826&lt;0,0,1)</f>
        <v>1</v>
      </c>
      <c r="AU826" s="79" t="str">
        <f>MID(E826,1,1)</f>
        <v>V</v>
      </c>
      <c r="AV826" s="79">
        <f>IF(AG826&lt;0,0,1)</f>
        <v>1</v>
      </c>
      <c r="AW826" s="79" t="str">
        <f>J826&amp;AU826</f>
        <v>52V</v>
      </c>
      <c r="AX826" s="79">
        <f>IF(COUNTIFS(J:J,"Integral",E:E,E826,H:H,"Ativo")=4,1/4,1/10)</f>
        <v>0.1</v>
      </c>
      <c r="AY826" s="79" t="s">
        <v>2133</v>
      </c>
      <c r="AZ826" s="79" t="b">
        <v>0</v>
      </c>
    </row>
    <row r="827" spans="1:52" ht="15" customHeight="1">
      <c r="A827" s="54">
        <v>856</v>
      </c>
      <c r="B827" s="405">
        <v>45377</v>
      </c>
      <c r="C827" s="351" t="s">
        <v>1015</v>
      </c>
      <c r="D827" s="32" t="s">
        <v>2010</v>
      </c>
      <c r="E827" s="32" t="s">
        <v>2005</v>
      </c>
      <c r="F827" s="32" t="s">
        <v>2498</v>
      </c>
      <c r="G827" s="60" t="s">
        <v>220</v>
      </c>
      <c r="H827" s="33" t="s">
        <v>90</v>
      </c>
      <c r="I827" s="34"/>
      <c r="J827" s="33" t="s">
        <v>1701</v>
      </c>
      <c r="K827" s="56" t="s">
        <v>221</v>
      </c>
      <c r="L827" s="56" t="s">
        <v>221</v>
      </c>
      <c r="M827" s="67" t="s">
        <v>222</v>
      </c>
      <c r="N827" s="33" t="s">
        <v>72</v>
      </c>
      <c r="O827" s="33" t="s">
        <v>11</v>
      </c>
      <c r="P827" s="33" t="s">
        <v>72</v>
      </c>
      <c r="Q827" s="47" t="s">
        <v>96</v>
      </c>
      <c r="R827" s="47"/>
      <c r="S827" s="45" t="s">
        <v>143</v>
      </c>
      <c r="T827" s="45"/>
      <c r="U827" s="37">
        <v>45043</v>
      </c>
      <c r="V827" s="38">
        <f>B827</f>
        <v>45377</v>
      </c>
      <c r="W827" s="50">
        <f>V827-U827</f>
        <v>334</v>
      </c>
      <c r="X827" s="294">
        <v>1896500</v>
      </c>
      <c r="Y827" s="260">
        <v>2086000</v>
      </c>
      <c r="Z827" s="260">
        <v>1862500</v>
      </c>
      <c r="AA827" s="56"/>
      <c r="AB827" s="43">
        <v>7.8399999999999997E-2</v>
      </c>
      <c r="AC827" s="295">
        <v>0</v>
      </c>
      <c r="AD827" s="62" t="s">
        <v>2496</v>
      </c>
      <c r="AE827" s="291"/>
      <c r="AF827" s="65"/>
      <c r="AG827" s="291"/>
      <c r="AH827" s="40">
        <f>Y827-Z827</f>
        <v>223500</v>
      </c>
      <c r="AI827" s="242"/>
      <c r="AJ827" s="242"/>
      <c r="AK827" s="291">
        <v>86254.34</v>
      </c>
      <c r="AL827" s="40">
        <f>AH827-AK827</f>
        <v>137245.66</v>
      </c>
      <c r="AM827" s="242">
        <f>IFERROR(EOMONTH(B827,0),"Pendente")</f>
        <v>45382</v>
      </c>
      <c r="AN827" s="242" t="str">
        <f>IF(AQ827="x","",IF(AQ827="x",AM827,IF(EOMONTH(I827,0)=31,"",EOMONTH(I827,0))))</f>
        <v/>
      </c>
      <c r="AO827" s="79">
        <f>IFERROR(IF(VLOOKUP(C827,C828:C1428,1,0)=0,1,0),1)</f>
        <v>0</v>
      </c>
      <c r="AP827" s="79"/>
      <c r="AQ827" s="243" t="str">
        <f>IF(MID(G827,1,15)="NAO ASSINADO","x","")</f>
        <v/>
      </c>
      <c r="AR827" s="242" t="b">
        <f>IF(AQ827="x",EOMONTH(I827,0))</f>
        <v>0</v>
      </c>
      <c r="AS827" s="79">
        <f>IF(AH827&lt;0,0,1)</f>
        <v>1</v>
      </c>
      <c r="AT827" s="79">
        <f>IF(AL827&lt;0,0,1)</f>
        <v>1</v>
      </c>
      <c r="AU827" s="79" t="str">
        <f>MID(E827,1,1)</f>
        <v>A</v>
      </c>
      <c r="AV827" s="79">
        <f>IF(AG827&lt;0,0,1)</f>
        <v>1</v>
      </c>
      <c r="AW827" s="79" t="str">
        <f>J827&amp;AU827</f>
        <v>INTEGRALA</v>
      </c>
      <c r="AX827" s="79">
        <f>IF(COUNTIFS(J:J,"Integral",E:E,E827,H:H,"Ativo")=4,1/4,1/10)</f>
        <v>0.25</v>
      </c>
      <c r="AY827" s="79" t="s">
        <v>2133</v>
      </c>
      <c r="AZ827" s="79" t="b">
        <v>0</v>
      </c>
    </row>
    <row r="828" spans="1:52" ht="15" customHeight="1">
      <c r="A828" s="54">
        <v>857</v>
      </c>
      <c r="B828" s="405">
        <v>45377</v>
      </c>
      <c r="C828" s="351" t="s">
        <v>1015</v>
      </c>
      <c r="D828" s="32" t="s">
        <v>2012</v>
      </c>
      <c r="E828" s="32" t="s">
        <v>2005</v>
      </c>
      <c r="F828" s="32" t="s">
        <v>2499</v>
      </c>
      <c r="G828" s="60" t="s">
        <v>220</v>
      </c>
      <c r="H828" s="33" t="s">
        <v>90</v>
      </c>
      <c r="I828" s="34"/>
      <c r="J828" s="33" t="s">
        <v>1701</v>
      </c>
      <c r="K828" s="56" t="s">
        <v>221</v>
      </c>
      <c r="L828" s="56" t="s">
        <v>221</v>
      </c>
      <c r="M828" s="67" t="s">
        <v>222</v>
      </c>
      <c r="N828" s="33" t="s">
        <v>72</v>
      </c>
      <c r="O828" s="33" t="s">
        <v>11</v>
      </c>
      <c r="P828" s="33" t="s">
        <v>72</v>
      </c>
      <c r="Q828" s="47" t="s">
        <v>96</v>
      </c>
      <c r="R828" s="47"/>
      <c r="S828" s="45" t="s">
        <v>143</v>
      </c>
      <c r="T828" s="45"/>
      <c r="U828" s="37">
        <v>45043</v>
      </c>
      <c r="V828" s="38">
        <f>B828</f>
        <v>45377</v>
      </c>
      <c r="W828" s="50">
        <f>V828-U828</f>
        <v>334</v>
      </c>
      <c r="X828" s="294">
        <v>1896500</v>
      </c>
      <c r="Y828" s="260">
        <v>2086000</v>
      </c>
      <c r="Z828" s="260">
        <v>1862500</v>
      </c>
      <c r="AA828" s="56"/>
      <c r="AB828" s="43">
        <v>7.8399999999999997E-2</v>
      </c>
      <c r="AC828" s="295">
        <v>0</v>
      </c>
      <c r="AD828" s="62" t="s">
        <v>2496</v>
      </c>
      <c r="AE828" s="291"/>
      <c r="AF828" s="65"/>
      <c r="AG828" s="291"/>
      <c r="AH828" s="40">
        <f>Y828-Z828</f>
        <v>223500</v>
      </c>
      <c r="AI828" s="242"/>
      <c r="AJ828" s="242"/>
      <c r="AK828" s="291">
        <v>86254.34</v>
      </c>
      <c r="AL828" s="40">
        <f>AH828-AK828</f>
        <v>137245.66</v>
      </c>
      <c r="AM828" s="242">
        <f>IFERROR(EOMONTH(B828,0),"Pendente")</f>
        <v>45382</v>
      </c>
      <c r="AN828" s="242" t="str">
        <f>IF(AQ828="x","",IF(AQ828="x",AM828,IF(EOMONTH(I828,0)=31,"",EOMONTH(I828,0))))</f>
        <v/>
      </c>
      <c r="AO828" s="79">
        <f>IFERROR(IF(VLOOKUP(C828,C829:C1429,1,0)=0,1,0),1)</f>
        <v>0</v>
      </c>
      <c r="AP828" s="79"/>
      <c r="AQ828" s="243" t="str">
        <f>IF(MID(G828,1,15)="NAO ASSINADO","x","")</f>
        <v/>
      </c>
      <c r="AR828" s="242" t="b">
        <f>IF(AQ828="x",EOMONTH(I828,0))</f>
        <v>0</v>
      </c>
      <c r="AS828" s="79">
        <f>IF(AH828&lt;0,0,1)</f>
        <v>1</v>
      </c>
      <c r="AT828" s="79">
        <f>IF(AL828&lt;0,0,1)</f>
        <v>1</v>
      </c>
      <c r="AU828" s="79" t="str">
        <f>MID(E828,1,1)</f>
        <v>A</v>
      </c>
      <c r="AV828" s="79">
        <f>IF(AG828&lt;0,0,1)</f>
        <v>1</v>
      </c>
      <c r="AW828" s="79" t="str">
        <f>J828&amp;AU828</f>
        <v>INTEGRALA</v>
      </c>
      <c r="AX828" s="79">
        <f>IF(COUNTIFS(J:J,"Integral",E:E,E828,H:H,"Ativo")=4,1/4,1/10)</f>
        <v>0.25</v>
      </c>
      <c r="AY828" s="79" t="s">
        <v>2133</v>
      </c>
      <c r="AZ828" s="79" t="b">
        <v>0</v>
      </c>
    </row>
    <row r="829" spans="1:52" ht="15" customHeight="1">
      <c r="A829" s="54">
        <v>858</v>
      </c>
      <c r="B829" s="405">
        <v>45377</v>
      </c>
      <c r="C829" s="351" t="s">
        <v>1015</v>
      </c>
      <c r="D829" s="32" t="s">
        <v>2014</v>
      </c>
      <c r="E829" s="32" t="s">
        <v>2005</v>
      </c>
      <c r="F829" s="32" t="s">
        <v>2500</v>
      </c>
      <c r="G829" s="60" t="s">
        <v>220</v>
      </c>
      <c r="H829" s="33" t="s">
        <v>90</v>
      </c>
      <c r="I829" s="34"/>
      <c r="J829" s="33" t="s">
        <v>1701</v>
      </c>
      <c r="K829" s="56" t="s">
        <v>221</v>
      </c>
      <c r="L829" s="56" t="s">
        <v>221</v>
      </c>
      <c r="M829" s="67" t="s">
        <v>222</v>
      </c>
      <c r="N829" s="33" t="s">
        <v>72</v>
      </c>
      <c r="O829" s="33" t="s">
        <v>11</v>
      </c>
      <c r="P829" s="33" t="s">
        <v>72</v>
      </c>
      <c r="Q829" s="47" t="s">
        <v>96</v>
      </c>
      <c r="R829" s="47"/>
      <c r="S829" s="45" t="s">
        <v>143</v>
      </c>
      <c r="T829" s="45"/>
      <c r="U829" s="37">
        <v>45043</v>
      </c>
      <c r="V829" s="38">
        <f>B829</f>
        <v>45377</v>
      </c>
      <c r="W829" s="50">
        <f>V829-U829</f>
        <v>334</v>
      </c>
      <c r="X829" s="294">
        <v>1896500</v>
      </c>
      <c r="Y829" s="260">
        <v>2086000</v>
      </c>
      <c r="Z829" s="260">
        <v>1862500</v>
      </c>
      <c r="AA829" s="56"/>
      <c r="AB829" s="43">
        <v>7.8399999999999997E-2</v>
      </c>
      <c r="AC829" s="295">
        <v>0</v>
      </c>
      <c r="AD829" s="62" t="s">
        <v>2496</v>
      </c>
      <c r="AE829" s="291"/>
      <c r="AF829" s="65"/>
      <c r="AG829" s="291"/>
      <c r="AH829" s="40">
        <f>Y829-Z829</f>
        <v>223500</v>
      </c>
      <c r="AI829" s="242"/>
      <c r="AJ829" s="242"/>
      <c r="AK829" s="291">
        <v>86254.35</v>
      </c>
      <c r="AL829" s="40">
        <f>AH829-AK829</f>
        <v>137245.65</v>
      </c>
      <c r="AM829" s="242">
        <f>IFERROR(EOMONTH(B829,0),"Pendente")</f>
        <v>45382</v>
      </c>
      <c r="AN829" s="242" t="str">
        <f>IF(AQ829="x","",IF(AQ829="x",AM829,IF(EOMONTH(I829,0)=31,"",EOMONTH(I829,0))))</f>
        <v/>
      </c>
      <c r="AO829" s="350">
        <f>IFERROR(IF(VLOOKUP(C829,C830:C1430,1,0)=0,1,0),1)</f>
        <v>1</v>
      </c>
      <c r="AP829" s="350"/>
      <c r="AQ829" s="243" t="str">
        <f>IF(MID(G829,1,15)="NAO ASSINADO","x","")</f>
        <v/>
      </c>
      <c r="AR829" s="242" t="b">
        <f>IF(AQ829="x",EOMONTH(I829,0))</f>
        <v>0</v>
      </c>
      <c r="AS829" s="79">
        <f>IF(AH829&lt;0,0,1)</f>
        <v>1</v>
      </c>
      <c r="AT829" s="79">
        <f>IF(AL829&lt;0,0,1)</f>
        <v>1</v>
      </c>
      <c r="AU829" s="79" t="str">
        <f>MID(E829,1,1)</f>
        <v>A</v>
      </c>
      <c r="AV829" s="79">
        <f>IF(AG829&lt;0,0,1)</f>
        <v>1</v>
      </c>
      <c r="AW829" s="79" t="str">
        <f>J829&amp;AU829</f>
        <v>INTEGRALA</v>
      </c>
      <c r="AX829" s="79">
        <f>IF(COUNTIFS(J:J,"Integral",E:E,E829,H:H,"Ativo")=4,1/4,1/10)</f>
        <v>0.25</v>
      </c>
      <c r="AY829" s="79" t="s">
        <v>2133</v>
      </c>
      <c r="AZ829" s="79" t="b">
        <v>0</v>
      </c>
    </row>
    <row r="830" spans="1:52" ht="15" customHeight="1">
      <c r="A830" s="54">
        <v>859</v>
      </c>
      <c r="B830" s="405">
        <v>45558</v>
      </c>
      <c r="C830" s="351" t="s">
        <v>2501</v>
      </c>
      <c r="D830" s="32" t="s">
        <v>2502</v>
      </c>
      <c r="E830" s="32" t="s">
        <v>2503</v>
      </c>
      <c r="F830" s="32" t="s">
        <v>2504</v>
      </c>
      <c r="G830" s="60" t="s">
        <v>220</v>
      </c>
      <c r="H830" s="33" t="s">
        <v>90</v>
      </c>
      <c r="I830" s="34"/>
      <c r="J830" s="33">
        <v>6</v>
      </c>
      <c r="K830" s="56" t="s">
        <v>1755</v>
      </c>
      <c r="L830" s="56" t="s">
        <v>1755</v>
      </c>
      <c r="M830" s="386" t="s">
        <v>1755</v>
      </c>
      <c r="N830" s="33" t="s">
        <v>73</v>
      </c>
      <c r="O830" s="33" t="s">
        <v>10</v>
      </c>
      <c r="P830" s="33" t="s">
        <v>85</v>
      </c>
      <c r="Q830" s="47"/>
      <c r="R830" s="47"/>
      <c r="S830" s="45" t="s">
        <v>149</v>
      </c>
      <c r="T830" s="45"/>
      <c r="U830" s="37">
        <v>45553</v>
      </c>
      <c r="V830" s="38">
        <f>B830</f>
        <v>45558</v>
      </c>
      <c r="W830" s="50">
        <f>V830-U830</f>
        <v>5</v>
      </c>
      <c r="X830" s="294">
        <v>390945.01</v>
      </c>
      <c r="Y830" s="260">
        <v>399000</v>
      </c>
      <c r="Z830" s="260">
        <v>297170.31</v>
      </c>
      <c r="AA830" s="56"/>
      <c r="AB830" s="43">
        <v>0.2</v>
      </c>
      <c r="AC830" s="295">
        <v>0</v>
      </c>
      <c r="AD830" s="62" t="s">
        <v>2505</v>
      </c>
      <c r="AE830" s="291"/>
      <c r="AF830" s="65"/>
      <c r="AG830" s="291"/>
      <c r="AH830" s="40">
        <f>Y830-Z830</f>
        <v>101829.69</v>
      </c>
      <c r="AI830" s="76"/>
      <c r="AJ830" s="76"/>
      <c r="AK830" s="291">
        <v>25183.200000000001</v>
      </c>
      <c r="AL830" s="40">
        <f>AH830-AK830</f>
        <v>76646.490000000005</v>
      </c>
      <c r="AM830" s="76">
        <f>IFERROR(EOMONTH(B830,0),"Pendente")</f>
        <v>45565</v>
      </c>
      <c r="AN830" s="76" t="str">
        <f>IF(AQ830="x","",IF(AQ830="x",AM830,IF(EOMONTH(I830,0)=31,"",EOMONTH(I830,0))))</f>
        <v/>
      </c>
      <c r="AO830" s="352">
        <f>IFERROR(IF(VLOOKUP(C830,C831:C1431,1,0)=0,1,0),1)</f>
        <v>0</v>
      </c>
      <c r="AP830" s="352"/>
      <c r="AQ830" s="77" t="str">
        <f>IF(MID(G830,1,15)="NAO ASSINADO","x","")</f>
        <v/>
      </c>
      <c r="AR830" s="76" t="b">
        <f>IF(AQ830="x",EOMONTH(I830,0))</f>
        <v>0</v>
      </c>
      <c r="AS830" s="74">
        <f>IF(AH830&lt;0,0,1)</f>
        <v>1</v>
      </c>
      <c r="AT830" s="74">
        <f>IF(AL830&lt;0,0,1)</f>
        <v>1</v>
      </c>
      <c r="AU830" s="74" t="str">
        <f>MID(E830,1,1)</f>
        <v>B</v>
      </c>
      <c r="AV830" s="74">
        <f>IF(AG830&lt;0,0,1)</f>
        <v>1</v>
      </c>
      <c r="AW830" s="74" t="str">
        <f>J830&amp;AU830</f>
        <v>6B</v>
      </c>
      <c r="AX830" s="74">
        <f>IF(COUNTIFS(J:J,"Integral",E:E,E830,H:H,"Ativo")=4,1/4,1/10)</f>
        <v>0.1</v>
      </c>
      <c r="AY830" s="74" t="s">
        <v>2133</v>
      </c>
      <c r="AZ830" s="79" t="b">
        <v>1</v>
      </c>
    </row>
    <row r="831" spans="1:52" ht="15" customHeight="1">
      <c r="A831" s="54">
        <v>860</v>
      </c>
      <c r="B831" s="405">
        <v>45558</v>
      </c>
      <c r="C831" s="351" t="s">
        <v>2501</v>
      </c>
      <c r="D831" s="32" t="s">
        <v>2506</v>
      </c>
      <c r="E831" s="32" t="s">
        <v>2503</v>
      </c>
      <c r="F831" s="32" t="s">
        <v>2507</v>
      </c>
      <c r="G831" s="60" t="s">
        <v>220</v>
      </c>
      <c r="H831" s="33" t="s">
        <v>90</v>
      </c>
      <c r="I831" s="34"/>
      <c r="J831" s="33">
        <v>6</v>
      </c>
      <c r="K831" s="56" t="s">
        <v>1755</v>
      </c>
      <c r="L831" s="56" t="s">
        <v>1755</v>
      </c>
      <c r="M831" s="386" t="s">
        <v>1755</v>
      </c>
      <c r="N831" s="33" t="s">
        <v>73</v>
      </c>
      <c r="O831" s="33" t="s">
        <v>10</v>
      </c>
      <c r="P831" s="33" t="s">
        <v>85</v>
      </c>
      <c r="Q831" s="47"/>
      <c r="R831" s="47"/>
      <c r="S831" s="45" t="s">
        <v>149</v>
      </c>
      <c r="T831" s="45"/>
      <c r="U831" s="37">
        <v>45553</v>
      </c>
      <c r="V831" s="38">
        <f>B831</f>
        <v>45558</v>
      </c>
      <c r="W831" s="50">
        <f>V831-U831</f>
        <v>5</v>
      </c>
      <c r="X831" s="294">
        <v>390944.98</v>
      </c>
      <c r="Y831" s="260">
        <v>399000</v>
      </c>
      <c r="Z831" s="260">
        <v>297170</v>
      </c>
      <c r="AA831" s="56"/>
      <c r="AB831" s="43">
        <v>0.2</v>
      </c>
      <c r="AC831" s="295">
        <v>0</v>
      </c>
      <c r="AD831" s="62" t="s">
        <v>2505</v>
      </c>
      <c r="AE831" s="291"/>
      <c r="AF831" s="65"/>
      <c r="AG831" s="291"/>
      <c r="AH831" s="40">
        <f>Y831-Z831</f>
        <v>101830</v>
      </c>
      <c r="AI831" s="76"/>
      <c r="AJ831" s="76"/>
      <c r="AK831" s="291">
        <v>25183.200000000001</v>
      </c>
      <c r="AL831" s="40">
        <f>AH831-AK831</f>
        <v>76646.8</v>
      </c>
      <c r="AM831" s="76">
        <f>IFERROR(EOMONTH(B831,0),"Pendente")</f>
        <v>45565</v>
      </c>
      <c r="AN831" s="76" t="str">
        <f>IF(AQ831="x","",IF(AQ831="x",AM831,IF(EOMONTH(I831,0)=31,"",EOMONTH(I831,0))))</f>
        <v/>
      </c>
      <c r="AO831" s="352">
        <f>IFERROR(IF(VLOOKUP(C831,C832:C1432,1,0)=0,1,0),1)</f>
        <v>0</v>
      </c>
      <c r="AP831" s="352"/>
      <c r="AQ831" s="77" t="str">
        <f>IF(MID(G831,1,15)="NAO ASSINADO","x","")</f>
        <v/>
      </c>
      <c r="AR831" s="76" t="b">
        <f>IF(AQ831="x",EOMONTH(I831,0))</f>
        <v>0</v>
      </c>
      <c r="AS831" s="74">
        <f>IF(AH831&lt;0,0,1)</f>
        <v>1</v>
      </c>
      <c r="AT831" s="74">
        <f>IF(AL831&lt;0,0,1)</f>
        <v>1</v>
      </c>
      <c r="AU831" s="74" t="str">
        <f>MID(E831,1,1)</f>
        <v>B</v>
      </c>
      <c r="AV831" s="74">
        <f>IF(AG831&lt;0,0,1)</f>
        <v>1</v>
      </c>
      <c r="AW831" s="74" t="str">
        <f>J831&amp;AU831</f>
        <v>6B</v>
      </c>
      <c r="AX831" s="74">
        <f>IF(COUNTIFS(J:J,"Integral",E:E,E831,H:H,"Ativo")=4,1/4,1/10)</f>
        <v>0.1</v>
      </c>
      <c r="AY831" s="74" t="s">
        <v>2133</v>
      </c>
      <c r="AZ831" s="79" t="b">
        <v>1</v>
      </c>
    </row>
    <row r="832" spans="1:52" ht="15" customHeight="1">
      <c r="A832" s="54">
        <v>861</v>
      </c>
      <c r="B832" s="405">
        <v>45558</v>
      </c>
      <c r="C832" s="351" t="s">
        <v>2501</v>
      </c>
      <c r="D832" s="32" t="s">
        <v>2508</v>
      </c>
      <c r="E832" s="32" t="s">
        <v>2503</v>
      </c>
      <c r="F832" s="32" t="s">
        <v>2509</v>
      </c>
      <c r="G832" s="60" t="s">
        <v>220</v>
      </c>
      <c r="H832" s="33" t="s">
        <v>90</v>
      </c>
      <c r="I832" s="34"/>
      <c r="J832" s="33">
        <v>6</v>
      </c>
      <c r="K832" s="56" t="s">
        <v>1755</v>
      </c>
      <c r="L832" s="56" t="s">
        <v>1755</v>
      </c>
      <c r="M832" s="386" t="s">
        <v>1755</v>
      </c>
      <c r="N832" s="33" t="s">
        <v>73</v>
      </c>
      <c r="O832" s="33" t="s">
        <v>10</v>
      </c>
      <c r="P832" s="33" t="s">
        <v>85</v>
      </c>
      <c r="Q832" s="47"/>
      <c r="R832" s="47"/>
      <c r="S832" s="45" t="s">
        <v>149</v>
      </c>
      <c r="T832" s="45"/>
      <c r="U832" s="37">
        <v>45553</v>
      </c>
      <c r="V832" s="38">
        <f>B832</f>
        <v>45558</v>
      </c>
      <c r="W832" s="50">
        <f>V832-U832</f>
        <v>5</v>
      </c>
      <c r="X832" s="294">
        <v>390944.98</v>
      </c>
      <c r="Y832" s="260">
        <v>399000</v>
      </c>
      <c r="Z832" s="260">
        <v>297170</v>
      </c>
      <c r="AA832" s="56"/>
      <c r="AB832" s="43">
        <v>0.2</v>
      </c>
      <c r="AC832" s="295">
        <v>0</v>
      </c>
      <c r="AD832" s="62" t="s">
        <v>2505</v>
      </c>
      <c r="AE832" s="291"/>
      <c r="AF832" s="65"/>
      <c r="AG832" s="291"/>
      <c r="AH832" s="40">
        <f>Y832-Z832</f>
        <v>101830</v>
      </c>
      <c r="AI832" s="76"/>
      <c r="AJ832" s="76"/>
      <c r="AK832" s="291">
        <v>25183.200000000001</v>
      </c>
      <c r="AL832" s="40">
        <f>AH832-AK832</f>
        <v>76646.8</v>
      </c>
      <c r="AM832" s="76">
        <f>IFERROR(EOMONTH(B832,0),"Pendente")</f>
        <v>45565</v>
      </c>
      <c r="AN832" s="76" t="str">
        <f>IF(AQ832="x","",IF(AQ832="x",AM832,IF(EOMONTH(I832,0)=31,"",EOMONTH(I832,0))))</f>
        <v/>
      </c>
      <c r="AO832" s="352">
        <f>IFERROR(IF(VLOOKUP(C832,C833:C1433,1,0)=0,1,0),1)</f>
        <v>0</v>
      </c>
      <c r="AP832" s="352"/>
      <c r="AQ832" s="77" t="str">
        <f>IF(MID(G832,1,15)="NAO ASSINADO","x","")</f>
        <v/>
      </c>
      <c r="AR832" s="76" t="b">
        <f>IF(AQ832="x",EOMONTH(I832,0))</f>
        <v>0</v>
      </c>
      <c r="AS832" s="74">
        <f>IF(AH832&lt;0,0,1)</f>
        <v>1</v>
      </c>
      <c r="AT832" s="74">
        <f>IF(AL832&lt;0,0,1)</f>
        <v>1</v>
      </c>
      <c r="AU832" s="74" t="str">
        <f>MID(E832,1,1)</f>
        <v>B</v>
      </c>
      <c r="AV832" s="74">
        <f>IF(AG832&lt;0,0,1)</f>
        <v>1</v>
      </c>
      <c r="AW832" s="74" t="str">
        <f>J832&amp;AU832</f>
        <v>6B</v>
      </c>
      <c r="AX832" s="74">
        <f>IF(COUNTIFS(J:J,"Integral",E:E,E832,H:H,"Ativo")=4,1/4,1/10)</f>
        <v>0.1</v>
      </c>
      <c r="AY832" s="74" t="s">
        <v>2133</v>
      </c>
      <c r="AZ832" s="79" t="b">
        <v>1</v>
      </c>
    </row>
    <row r="833" spans="1:52" ht="15" customHeight="1">
      <c r="A833" s="54">
        <v>862</v>
      </c>
      <c r="B833" s="405">
        <v>45558</v>
      </c>
      <c r="C833" s="351" t="s">
        <v>2501</v>
      </c>
      <c r="D833" s="32" t="s">
        <v>2510</v>
      </c>
      <c r="E833" s="32" t="s">
        <v>2503</v>
      </c>
      <c r="F833" s="32" t="s">
        <v>2511</v>
      </c>
      <c r="G833" s="60" t="s">
        <v>220</v>
      </c>
      <c r="H833" s="33" t="s">
        <v>90</v>
      </c>
      <c r="I833" s="34"/>
      <c r="J833" s="33">
        <v>6</v>
      </c>
      <c r="K833" s="56" t="s">
        <v>1755</v>
      </c>
      <c r="L833" s="56" t="s">
        <v>1755</v>
      </c>
      <c r="M833" s="386" t="s">
        <v>1755</v>
      </c>
      <c r="N833" s="33" t="s">
        <v>73</v>
      </c>
      <c r="O833" s="33" t="s">
        <v>10</v>
      </c>
      <c r="P833" s="33" t="s">
        <v>85</v>
      </c>
      <c r="Q833" s="47"/>
      <c r="R833" s="47"/>
      <c r="S833" s="45" t="s">
        <v>149</v>
      </c>
      <c r="T833" s="45"/>
      <c r="U833" s="37">
        <v>45553</v>
      </c>
      <c r="V833" s="38">
        <f>B833</f>
        <v>45558</v>
      </c>
      <c r="W833" s="50">
        <f>V833-U833</f>
        <v>5</v>
      </c>
      <c r="X833" s="294">
        <v>390944.98</v>
      </c>
      <c r="Y833" s="260">
        <v>399000</v>
      </c>
      <c r="Z833" s="260">
        <v>297170</v>
      </c>
      <c r="AA833" s="56"/>
      <c r="AB833" s="43">
        <v>0.2</v>
      </c>
      <c r="AC833" s="295">
        <v>0</v>
      </c>
      <c r="AD833" s="62" t="s">
        <v>2505</v>
      </c>
      <c r="AE833" s="291"/>
      <c r="AF833" s="65"/>
      <c r="AG833" s="291"/>
      <c r="AH833" s="40">
        <f>Y833-Z833</f>
        <v>101830</v>
      </c>
      <c r="AI833" s="76"/>
      <c r="AJ833" s="76"/>
      <c r="AK833" s="291">
        <v>25183.200000000001</v>
      </c>
      <c r="AL833" s="40">
        <f>AH833-AK833</f>
        <v>76646.8</v>
      </c>
      <c r="AM833" s="76">
        <f>IFERROR(EOMONTH(B833,0),"Pendente")</f>
        <v>45565</v>
      </c>
      <c r="AN833" s="76" t="str">
        <f>IF(AQ833="x","",IF(AQ833="x",AM833,IF(EOMONTH(I833,0)=31,"",EOMONTH(I833,0))))</f>
        <v/>
      </c>
      <c r="AO833" s="352">
        <f>IFERROR(IF(VLOOKUP(C833,C834:C1434,1,0)=0,1,0),1)</f>
        <v>0</v>
      </c>
      <c r="AP833" s="352"/>
      <c r="AQ833" s="77" t="str">
        <f>IF(MID(G833,1,15)="NAO ASSINADO","x","")</f>
        <v/>
      </c>
      <c r="AR833" s="76" t="b">
        <f>IF(AQ833="x",EOMONTH(I833,0))</f>
        <v>0</v>
      </c>
      <c r="AS833" s="74">
        <f>IF(AH833&lt;0,0,1)</f>
        <v>1</v>
      </c>
      <c r="AT833" s="74">
        <f>IF(AL833&lt;0,0,1)</f>
        <v>1</v>
      </c>
      <c r="AU833" s="74" t="str">
        <f>MID(E833,1,1)</f>
        <v>B</v>
      </c>
      <c r="AV833" s="74">
        <f>IF(AG833&lt;0,0,1)</f>
        <v>1</v>
      </c>
      <c r="AW833" s="74" t="str">
        <f>J833&amp;AU833</f>
        <v>6B</v>
      </c>
      <c r="AX833" s="74">
        <f>IF(COUNTIFS(J:J,"Integral",E:E,E833,H:H,"Ativo")=4,1/4,1/10)</f>
        <v>0.1</v>
      </c>
      <c r="AY833" s="74" t="s">
        <v>2133</v>
      </c>
      <c r="AZ833" s="79" t="b">
        <v>1</v>
      </c>
    </row>
    <row r="834" spans="1:52" ht="15" customHeight="1">
      <c r="A834" s="54">
        <v>863</v>
      </c>
      <c r="B834" s="405">
        <v>45558</v>
      </c>
      <c r="C834" s="351" t="s">
        <v>2501</v>
      </c>
      <c r="D834" s="32" t="s">
        <v>2512</v>
      </c>
      <c r="E834" s="32" t="s">
        <v>2503</v>
      </c>
      <c r="F834" s="32" t="s">
        <v>2513</v>
      </c>
      <c r="G834" s="60" t="s">
        <v>220</v>
      </c>
      <c r="H834" s="33" t="s">
        <v>90</v>
      </c>
      <c r="I834" s="34"/>
      <c r="J834" s="33">
        <v>6</v>
      </c>
      <c r="K834" s="56" t="s">
        <v>1755</v>
      </c>
      <c r="L834" s="56" t="s">
        <v>1755</v>
      </c>
      <c r="M834" s="386" t="s">
        <v>1755</v>
      </c>
      <c r="N834" s="33" t="s">
        <v>73</v>
      </c>
      <c r="O834" s="33" t="s">
        <v>10</v>
      </c>
      <c r="P834" s="33" t="s">
        <v>85</v>
      </c>
      <c r="Q834" s="47"/>
      <c r="R834" s="47"/>
      <c r="S834" s="45" t="s">
        <v>149</v>
      </c>
      <c r="T834" s="45"/>
      <c r="U834" s="37">
        <v>45553</v>
      </c>
      <c r="V834" s="38">
        <f>B834</f>
        <v>45558</v>
      </c>
      <c r="W834" s="50">
        <f>V834-U834</f>
        <v>5</v>
      </c>
      <c r="X834" s="294">
        <v>390944.98</v>
      </c>
      <c r="Y834" s="260">
        <v>399000</v>
      </c>
      <c r="Z834" s="260">
        <v>297170</v>
      </c>
      <c r="AA834" s="56"/>
      <c r="AB834" s="43">
        <v>0.2</v>
      </c>
      <c r="AC834" s="295">
        <v>0</v>
      </c>
      <c r="AD834" s="62" t="s">
        <v>2505</v>
      </c>
      <c r="AE834" s="291"/>
      <c r="AF834" s="65"/>
      <c r="AG834" s="291"/>
      <c r="AH834" s="40">
        <f>Y834-Z834</f>
        <v>101830</v>
      </c>
      <c r="AI834" s="76"/>
      <c r="AJ834" s="76"/>
      <c r="AK834" s="291">
        <v>25183.200000000001</v>
      </c>
      <c r="AL834" s="40">
        <f>AH834-AK834</f>
        <v>76646.8</v>
      </c>
      <c r="AM834" s="76">
        <f>IFERROR(EOMONTH(B834,0),"Pendente")</f>
        <v>45565</v>
      </c>
      <c r="AN834" s="76" t="str">
        <f>IF(AQ834="x","",IF(AQ834="x",AM834,IF(EOMONTH(I834,0)=31,"",EOMONTH(I834,0))))</f>
        <v/>
      </c>
      <c r="AO834" s="352">
        <f>IFERROR(IF(VLOOKUP(C834,C835:C1435,1,0)=0,1,0),1)</f>
        <v>1</v>
      </c>
      <c r="AP834" s="352"/>
      <c r="AQ834" s="77" t="str">
        <f>IF(MID(G834,1,15)="NAO ASSINADO","x","")</f>
        <v/>
      </c>
      <c r="AR834" s="76" t="b">
        <f>IF(AQ834="x",EOMONTH(I834,0))</f>
        <v>0</v>
      </c>
      <c r="AS834" s="74">
        <f>IF(AH834&lt;0,0,1)</f>
        <v>1</v>
      </c>
      <c r="AT834" s="74">
        <f>IF(AL834&lt;0,0,1)</f>
        <v>1</v>
      </c>
      <c r="AU834" s="74" t="str">
        <f>MID(E834,1,1)</f>
        <v>B</v>
      </c>
      <c r="AV834" s="74">
        <f>IF(AG834&lt;0,0,1)</f>
        <v>1</v>
      </c>
      <c r="AW834" s="74" t="str">
        <f>J834&amp;AU834</f>
        <v>6B</v>
      </c>
      <c r="AX834" s="74">
        <f>IF(COUNTIFS(J:J,"Integral",E:E,E834,H:H,"Ativo")=4,1/4,1/10)</f>
        <v>0.1</v>
      </c>
      <c r="AY834" s="74" t="s">
        <v>2133</v>
      </c>
      <c r="AZ834" s="79" t="b">
        <v>1</v>
      </c>
    </row>
    <row r="835" spans="1:52" ht="15" customHeight="1">
      <c r="A835" s="54">
        <v>864</v>
      </c>
      <c r="B835" s="405">
        <v>45558</v>
      </c>
      <c r="C835" s="351" t="s">
        <v>2514</v>
      </c>
      <c r="D835" s="32" t="s">
        <v>2515</v>
      </c>
      <c r="E835" s="32" t="s">
        <v>1268</v>
      </c>
      <c r="F835" s="32" t="s">
        <v>2516</v>
      </c>
      <c r="G835" s="60" t="s">
        <v>220</v>
      </c>
      <c r="H835" s="33" t="s">
        <v>90</v>
      </c>
      <c r="I835" s="34"/>
      <c r="J835" s="33">
        <v>4</v>
      </c>
      <c r="K835" s="56" t="s">
        <v>1165</v>
      </c>
      <c r="L835" s="56" t="s">
        <v>1165</v>
      </c>
      <c r="M835" s="386" t="s">
        <v>1026</v>
      </c>
      <c r="N835" s="33" t="s">
        <v>68</v>
      </c>
      <c r="O835" s="33" t="s">
        <v>12</v>
      </c>
      <c r="P835" s="33" t="s">
        <v>2</v>
      </c>
      <c r="Q835" s="47" t="s">
        <v>102</v>
      </c>
      <c r="R835" s="47"/>
      <c r="S835" s="45" t="s">
        <v>145</v>
      </c>
      <c r="T835" s="45"/>
      <c r="U835" s="37">
        <v>45155</v>
      </c>
      <c r="V835" s="38">
        <f>B835</f>
        <v>45558</v>
      </c>
      <c r="W835" s="50">
        <f>V835-U835</f>
        <v>403</v>
      </c>
      <c r="X835" s="294">
        <v>375512.95</v>
      </c>
      <c r="Y835" s="260">
        <v>413000</v>
      </c>
      <c r="Z835" s="260">
        <v>410600</v>
      </c>
      <c r="AA835" s="56"/>
      <c r="AB835" s="43">
        <v>0.20119999999999999</v>
      </c>
      <c r="AC835" s="295">
        <v>0</v>
      </c>
      <c r="AD835" s="62" t="s">
        <v>2201</v>
      </c>
      <c r="AE835" s="291"/>
      <c r="AF835" s="65"/>
      <c r="AG835" s="291">
        <v>25350.89</v>
      </c>
      <c r="AH835" s="40">
        <f>Y835-Z835</f>
        <v>2400</v>
      </c>
      <c r="AI835" s="242"/>
      <c r="AJ835" s="242"/>
      <c r="AK835" s="291"/>
      <c r="AL835" s="40">
        <f>AH835-AK835</f>
        <v>2400</v>
      </c>
      <c r="AM835" s="242">
        <f>IFERROR(EOMONTH(B835,0),"Pendente")</f>
        <v>45565</v>
      </c>
      <c r="AN835" s="242" t="str">
        <f>IF(AQ835="x","",IF(AQ835="x",AM835,IF(EOMONTH(I835,0)=31,"",EOMONTH(I835,0))))</f>
        <v/>
      </c>
      <c r="AO835" s="364">
        <f>IFERROR(IF(VLOOKUP(C835,C836:C1436,1,0)=0,1,0),1)</f>
        <v>1</v>
      </c>
      <c r="AP835" s="364"/>
      <c r="AQ835" s="243" t="str">
        <f>IF(MID(G835,1,15)="NAO ASSINADO","x","")</f>
        <v/>
      </c>
      <c r="AR835" s="242" t="b">
        <f>IF(AQ835="x",EOMONTH(I835,0))</f>
        <v>0</v>
      </c>
      <c r="AS835" s="79">
        <f>IF(AH835&lt;0,0,1)</f>
        <v>1</v>
      </c>
      <c r="AT835" s="79">
        <f>IF(AL835&lt;0,0,1)</f>
        <v>1</v>
      </c>
      <c r="AU835" s="79" t="str">
        <f>MID(E835,1,1)</f>
        <v>B</v>
      </c>
      <c r="AV835" s="79">
        <f>IF(AG835&lt;0,0,1)</f>
        <v>1</v>
      </c>
      <c r="AW835" s="79" t="str">
        <f>J835&amp;AU835</f>
        <v>4B</v>
      </c>
      <c r="AX835" s="79">
        <f>IF(COUNTIFS(J:J,"Integral",E:E,E835,H:H,"Ativo")=4,1/4,1/10)</f>
        <v>0.1</v>
      </c>
      <c r="AY835" s="79" t="s">
        <v>2133</v>
      </c>
      <c r="AZ835" s="79" t="b">
        <v>1</v>
      </c>
    </row>
    <row r="836" spans="1:52" ht="15" customHeight="1">
      <c r="A836" s="54">
        <v>865</v>
      </c>
      <c r="B836" s="405">
        <v>45559</v>
      </c>
      <c r="C836" s="351" t="s">
        <v>2517</v>
      </c>
      <c r="D836" s="32" t="s">
        <v>2518</v>
      </c>
      <c r="E836" s="32" t="s">
        <v>2519</v>
      </c>
      <c r="F836" s="32" t="s">
        <v>2520</v>
      </c>
      <c r="G836" s="60" t="s">
        <v>220</v>
      </c>
      <c r="H836" s="33" t="s">
        <v>90</v>
      </c>
      <c r="I836" s="34"/>
      <c r="J836" s="33">
        <v>4</v>
      </c>
      <c r="K836" s="56" t="s">
        <v>1165</v>
      </c>
      <c r="L836" s="56" t="s">
        <v>1165</v>
      </c>
      <c r="M836" s="386" t="s">
        <v>1026</v>
      </c>
      <c r="N836" s="33" t="s">
        <v>68</v>
      </c>
      <c r="O836" s="33" t="s">
        <v>12</v>
      </c>
      <c r="P836" s="33" t="s">
        <v>2</v>
      </c>
      <c r="Q836" s="47"/>
      <c r="R836" s="47"/>
      <c r="S836" s="45" t="s">
        <v>147</v>
      </c>
      <c r="T836" s="45"/>
      <c r="U836" s="37">
        <v>45168</v>
      </c>
      <c r="V836" s="38">
        <f>B836</f>
        <v>45559</v>
      </c>
      <c r="W836" s="50">
        <f>V836-U836</f>
        <v>391</v>
      </c>
      <c r="X836" s="294">
        <v>548700</v>
      </c>
      <c r="Y836" s="260">
        <v>548700</v>
      </c>
      <c r="Z836" s="260">
        <v>520000</v>
      </c>
      <c r="AA836" s="56"/>
      <c r="AB836" s="43">
        <v>0.2056</v>
      </c>
      <c r="AC836" s="295">
        <v>0</v>
      </c>
      <c r="AD836" s="62" t="s">
        <v>2521</v>
      </c>
      <c r="AE836" s="291"/>
      <c r="AF836" s="40"/>
      <c r="AG836" s="291"/>
      <c r="AH836" s="40">
        <f>Y836-Z836</f>
        <v>28700</v>
      </c>
      <c r="AI836" s="242"/>
      <c r="AJ836" s="242"/>
      <c r="AK836" s="291">
        <v>11851.29</v>
      </c>
      <c r="AL836" s="40">
        <f>AH836-AK836</f>
        <v>16848.71</v>
      </c>
      <c r="AM836" s="242">
        <f>IFERROR(EOMONTH(B836,0),"Pendente")</f>
        <v>45565</v>
      </c>
      <c r="AN836" s="242" t="str">
        <f>IF(AQ836="x","",IF(AQ836="x",AM836,IF(EOMONTH(I836,0)=31,"",EOMONTH(I836,0))))</f>
        <v/>
      </c>
      <c r="AO836" s="364">
        <f>IFERROR(IF(VLOOKUP(C836,C837:C1437,1,0)=0,1,0),1)</f>
        <v>1</v>
      </c>
      <c r="AP836" s="364"/>
      <c r="AQ836" s="243" t="str">
        <f>IF(MID(G836,1,15)="NAO ASSINADO","x","")</f>
        <v/>
      </c>
      <c r="AR836" s="242" t="b">
        <f>IF(AQ836="x",EOMONTH(I836,0))</f>
        <v>0</v>
      </c>
      <c r="AS836" s="79">
        <f>IF(AH836&lt;0,0,1)</f>
        <v>1</v>
      </c>
      <c r="AT836" s="79">
        <f>IF(AL836&lt;0,0,1)</f>
        <v>1</v>
      </c>
      <c r="AU836" s="79" t="str">
        <f>MID(E836,1,1)</f>
        <v>C</v>
      </c>
      <c r="AV836" s="79">
        <f>IF(AG836&lt;0,0,1)</f>
        <v>1</v>
      </c>
      <c r="AW836" s="79" t="str">
        <f>J836&amp;AU836</f>
        <v>4C</v>
      </c>
      <c r="AX836" s="79">
        <f>IF(COUNTIFS(J:J,"Integral",E:E,E836,H:H,"Ativo")=4,1/4,1/10)</f>
        <v>0.1</v>
      </c>
      <c r="AY836" s="79" t="s">
        <v>1535</v>
      </c>
      <c r="AZ836" s="79" t="b">
        <v>1</v>
      </c>
    </row>
    <row r="837" spans="1:52" ht="15" customHeight="1">
      <c r="A837" s="54">
        <v>866</v>
      </c>
      <c r="B837" s="405">
        <v>45560</v>
      </c>
      <c r="C837" s="351" t="s">
        <v>2522</v>
      </c>
      <c r="D837" s="32" t="s">
        <v>2523</v>
      </c>
      <c r="E837" s="32" t="s">
        <v>2524</v>
      </c>
      <c r="F837" s="32" t="s">
        <v>2525</v>
      </c>
      <c r="G837" s="60" t="s">
        <v>220</v>
      </c>
      <c r="H837" s="33" t="s">
        <v>90</v>
      </c>
      <c r="I837" s="34"/>
      <c r="J837" s="33">
        <v>4</v>
      </c>
      <c r="K837" s="56" t="s">
        <v>1154</v>
      </c>
      <c r="L837" s="56" t="s">
        <v>1154</v>
      </c>
      <c r="M837" s="386" t="s">
        <v>246</v>
      </c>
      <c r="N837" s="33" t="s">
        <v>68</v>
      </c>
      <c r="O837" s="33" t="s">
        <v>12</v>
      </c>
      <c r="P837" s="33" t="s">
        <v>1</v>
      </c>
      <c r="Q837" s="47"/>
      <c r="R837" s="47"/>
      <c r="S837" s="45" t="s">
        <v>158</v>
      </c>
      <c r="T837" s="45"/>
      <c r="U837" s="37">
        <v>45393</v>
      </c>
      <c r="V837" s="38">
        <f>B837</f>
        <v>45560</v>
      </c>
      <c r="W837" s="50">
        <f>V837-U837</f>
        <v>167</v>
      </c>
      <c r="X837" s="294">
        <v>548700</v>
      </c>
      <c r="Y837" s="260">
        <v>548700</v>
      </c>
      <c r="Z837" s="260">
        <v>548700</v>
      </c>
      <c r="AA837" s="56"/>
      <c r="AB837" s="43">
        <v>0.2</v>
      </c>
      <c r="AC837" s="295">
        <v>0</v>
      </c>
      <c r="AD837" s="62">
        <v>0</v>
      </c>
      <c r="AE837" s="291"/>
      <c r="AF837" s="40"/>
      <c r="AG837" s="291"/>
      <c r="AH837" s="40">
        <f>Y837-Z837</f>
        <v>0</v>
      </c>
      <c r="AI837" s="242"/>
      <c r="AJ837" s="242"/>
      <c r="AK837" s="291"/>
      <c r="AL837" s="40">
        <f>AH837-AK837</f>
        <v>0</v>
      </c>
      <c r="AM837" s="242">
        <f>IFERROR(EOMONTH(B837,0),"Pendente")</f>
        <v>45565</v>
      </c>
      <c r="AN837" s="242" t="str">
        <f>IF(AQ837="x","",IF(AQ837="x",AM837,IF(EOMONTH(I837,0)=31,"",EOMONTH(I837,0))))</f>
        <v/>
      </c>
      <c r="AO837" s="364">
        <f>IFERROR(IF(VLOOKUP(C837,C838:C1437,1,0)=0,1,0),1)</f>
        <v>1</v>
      </c>
      <c r="AP837" s="364"/>
      <c r="AQ837" s="243" t="str">
        <f>IF(MID(G837,1,15)="NAO ASSINADO","x","")</f>
        <v/>
      </c>
      <c r="AR837" s="242" t="b">
        <f>IF(AQ837="x",EOMONTH(I837,0))</f>
        <v>0</v>
      </c>
      <c r="AS837" s="79">
        <f>IF(AH837&lt;0,0,1)</f>
        <v>1</v>
      </c>
      <c r="AT837" s="79">
        <f>IF(AL837&lt;0,0,1)</f>
        <v>1</v>
      </c>
      <c r="AU837" s="79" t="str">
        <f>MID(E837,1,1)</f>
        <v>C</v>
      </c>
      <c r="AV837" s="79">
        <f>IF(AG837&lt;0,0,1)</f>
        <v>1</v>
      </c>
      <c r="AW837" s="79" t="str">
        <f>J837&amp;AU837</f>
        <v>4C</v>
      </c>
      <c r="AX837" s="79">
        <f>IF(COUNTIFS(J:J,"Integral",E:E,E837,H:H,"Ativo")=4,1/4,1/10)</f>
        <v>0.1</v>
      </c>
      <c r="AY837" s="79" t="s">
        <v>1332</v>
      </c>
      <c r="AZ837" s="79" t="b">
        <v>1</v>
      </c>
    </row>
    <row r="838" spans="1:52" ht="15" customHeight="1">
      <c r="A838" s="54">
        <v>867</v>
      </c>
      <c r="B838" s="405">
        <v>45560</v>
      </c>
      <c r="C838" s="351" t="s">
        <v>2470</v>
      </c>
      <c r="D838" s="32" t="s">
        <v>2526</v>
      </c>
      <c r="E838" s="32" t="s">
        <v>2527</v>
      </c>
      <c r="F838" s="32" t="s">
        <v>2528</v>
      </c>
      <c r="G838" s="60" t="s">
        <v>220</v>
      </c>
      <c r="H838" s="33" t="s">
        <v>90</v>
      </c>
      <c r="I838" s="34"/>
      <c r="J838" s="33">
        <v>6</v>
      </c>
      <c r="K838" s="56" t="s">
        <v>1512</v>
      </c>
      <c r="L838" s="56" t="s">
        <v>1512</v>
      </c>
      <c r="M838" s="386" t="s">
        <v>1026</v>
      </c>
      <c r="N838" s="33" t="s">
        <v>68</v>
      </c>
      <c r="O838" s="33" t="s">
        <v>10</v>
      </c>
      <c r="P838" s="33" t="s">
        <v>2</v>
      </c>
      <c r="Q838" s="47"/>
      <c r="R838" s="47"/>
      <c r="S838" s="45" t="s">
        <v>162</v>
      </c>
      <c r="T838" s="45"/>
      <c r="U838" s="37">
        <v>45308</v>
      </c>
      <c r="V838" s="38">
        <f>B838</f>
        <v>45560</v>
      </c>
      <c r="W838" s="50">
        <f>V838-U838</f>
        <v>252</v>
      </c>
      <c r="X838" s="294">
        <v>566090</v>
      </c>
      <c r="Y838" s="260">
        <v>566090</v>
      </c>
      <c r="Z838" s="260">
        <v>461019</v>
      </c>
      <c r="AA838" s="56"/>
      <c r="AB838" s="43" t="s">
        <v>2529</v>
      </c>
      <c r="AC838" s="295">
        <v>0</v>
      </c>
      <c r="AD838" s="62" t="s">
        <v>2530</v>
      </c>
      <c r="AE838" s="291"/>
      <c r="AF838" s="40"/>
      <c r="AG838" s="291">
        <v>157.96</v>
      </c>
      <c r="AH838" s="40">
        <f>Y838-Z838</f>
        <v>105071</v>
      </c>
      <c r="AI838" s="76"/>
      <c r="AJ838" s="76"/>
      <c r="AK838" s="291"/>
      <c r="AL838" s="40">
        <f>AH838-AK838</f>
        <v>105071</v>
      </c>
      <c r="AM838" s="76">
        <f>IFERROR(EOMONTH(B838,0),"Pendente")</f>
        <v>45565</v>
      </c>
      <c r="AN838" s="76" t="str">
        <f>IF(AQ838="x","",IF(AQ838="x",AM838,IF(EOMONTH(I838,0)=31,"",EOMONTH(I838,0))))</f>
        <v/>
      </c>
      <c r="AO838" s="352">
        <f>IFERROR(IF(VLOOKUP(C838,C839:C1439,1,0)=0,1,0),1)</f>
        <v>0</v>
      </c>
      <c r="AP838" s="352"/>
      <c r="AQ838" s="77" t="str">
        <f>IF(MID(G838,1,15)="NAO ASSINADO","x","")</f>
        <v/>
      </c>
      <c r="AR838" s="76" t="b">
        <f>IF(AQ838="x",EOMONTH(I838,0))</f>
        <v>0</v>
      </c>
      <c r="AS838" s="74">
        <f>IF(AH838&lt;0,0,1)</f>
        <v>1</v>
      </c>
      <c r="AT838" s="74">
        <f>IF(AL838&lt;0,0,1)</f>
        <v>1</v>
      </c>
      <c r="AU838" s="74" t="str">
        <f>MID(E838,1,1)</f>
        <v>C</v>
      </c>
      <c r="AV838" s="74">
        <f>IF(AG838&lt;0,0,1)</f>
        <v>1</v>
      </c>
      <c r="AW838" s="74" t="str">
        <f>J838&amp;AU838</f>
        <v>6C</v>
      </c>
      <c r="AX838" s="74">
        <f>IF(COUNTIFS(J:J,"Integral",E:E,E838,H:H,"Ativo")=4,1/4,1/10)</f>
        <v>0.1</v>
      </c>
      <c r="AY838" s="74" t="s">
        <v>2133</v>
      </c>
      <c r="AZ838" s="79" t="b">
        <v>1</v>
      </c>
    </row>
    <row r="839" spans="1:52" ht="15" customHeight="1">
      <c r="A839" s="54">
        <v>868</v>
      </c>
      <c r="B839" s="405">
        <v>45560</v>
      </c>
      <c r="C839" s="351" t="s">
        <v>2470</v>
      </c>
      <c r="D839" s="32" t="s">
        <v>2531</v>
      </c>
      <c r="E839" s="32" t="s">
        <v>2527</v>
      </c>
      <c r="F839" s="32" t="s">
        <v>2532</v>
      </c>
      <c r="G839" s="60" t="s">
        <v>220</v>
      </c>
      <c r="H839" s="33" t="s">
        <v>90</v>
      </c>
      <c r="I839" s="34"/>
      <c r="J839" s="33">
        <v>6</v>
      </c>
      <c r="K839" s="56" t="s">
        <v>1512</v>
      </c>
      <c r="L839" s="56" t="s">
        <v>1512</v>
      </c>
      <c r="M839" s="386" t="s">
        <v>1026</v>
      </c>
      <c r="N839" s="33" t="s">
        <v>68</v>
      </c>
      <c r="O839" s="33" t="s">
        <v>10</v>
      </c>
      <c r="P839" s="33" t="s">
        <v>2</v>
      </c>
      <c r="Q839" s="47"/>
      <c r="R839" s="47"/>
      <c r="S839" s="45" t="s">
        <v>162</v>
      </c>
      <c r="T839" s="45"/>
      <c r="U839" s="37">
        <v>45308</v>
      </c>
      <c r="V839" s="38">
        <f>B839</f>
        <v>45560</v>
      </c>
      <c r="W839" s="50">
        <f>V839-U839</f>
        <v>252</v>
      </c>
      <c r="X839" s="294">
        <v>566090</v>
      </c>
      <c r="Y839" s="260">
        <v>566090</v>
      </c>
      <c r="Z839" s="260">
        <v>461019</v>
      </c>
      <c r="AA839" s="56"/>
      <c r="AB839" s="43" t="s">
        <v>2529</v>
      </c>
      <c r="AC839" s="295">
        <v>0</v>
      </c>
      <c r="AD839" s="62" t="s">
        <v>2530</v>
      </c>
      <c r="AE839" s="291"/>
      <c r="AF839" s="40"/>
      <c r="AG839" s="291">
        <v>157.96</v>
      </c>
      <c r="AH839" s="40">
        <f>Y839-Z839</f>
        <v>105071</v>
      </c>
      <c r="AI839" s="242"/>
      <c r="AJ839" s="242"/>
      <c r="AK839" s="291"/>
      <c r="AL839" s="40">
        <f>AH839-AK839</f>
        <v>105071</v>
      </c>
      <c r="AM839" s="242">
        <f>IFERROR(EOMONTH(B839,0),"Pendente")</f>
        <v>45565</v>
      </c>
      <c r="AN839" s="242" t="str">
        <f>IF(AQ839="x","",IF(AQ839="x",AM839,IF(EOMONTH(I839,0)=31,"",EOMONTH(I839,0))))</f>
        <v/>
      </c>
      <c r="AO839" s="364">
        <f>IFERROR(IF(VLOOKUP(C839,C840:C1440,1,0)=0,1,0),1)</f>
        <v>1</v>
      </c>
      <c r="AP839" s="364"/>
      <c r="AQ839" s="243" t="str">
        <f>IF(MID(G839,1,15)="NAO ASSINADO","x","")</f>
        <v/>
      </c>
      <c r="AR839" s="242" t="b">
        <f>IF(AQ839="x",EOMONTH(I839,0))</f>
        <v>0</v>
      </c>
      <c r="AS839" s="79">
        <f>IF(AH839&lt;0,0,1)</f>
        <v>1</v>
      </c>
      <c r="AT839" s="79">
        <f>IF(AL839&lt;0,0,1)</f>
        <v>1</v>
      </c>
      <c r="AU839" s="79" t="str">
        <f>MID(E839,1,1)</f>
        <v>C</v>
      </c>
      <c r="AV839" s="79">
        <f>IF(AG839&lt;0,0,1)</f>
        <v>1</v>
      </c>
      <c r="AW839" s="79" t="str">
        <f>J839&amp;AU839</f>
        <v>6C</v>
      </c>
      <c r="AX839" s="79">
        <f>IF(COUNTIFS(J:J,"Integral",E:E,E839,H:H,"Ativo")=4,1/4,1/10)</f>
        <v>0.1</v>
      </c>
      <c r="AY839" s="79" t="s">
        <v>2133</v>
      </c>
      <c r="AZ839" s="79" t="b">
        <v>1</v>
      </c>
    </row>
    <row r="840" spans="1:52" ht="13.5" customHeight="1">
      <c r="A840" s="54">
        <v>869</v>
      </c>
      <c r="B840" s="405">
        <v>45561</v>
      </c>
      <c r="C840" s="351" t="s">
        <v>1055</v>
      </c>
      <c r="D840" s="32" t="s">
        <v>2533</v>
      </c>
      <c r="E840" s="32" t="s">
        <v>2519</v>
      </c>
      <c r="F840" s="32" t="s">
        <v>2534</v>
      </c>
      <c r="G840" s="60" t="s">
        <v>220</v>
      </c>
      <c r="H840" s="33" t="s">
        <v>90</v>
      </c>
      <c r="I840" s="34"/>
      <c r="J840" s="33">
        <v>6</v>
      </c>
      <c r="K840" s="35" t="s">
        <v>289</v>
      </c>
      <c r="L840" s="35" t="s">
        <v>289</v>
      </c>
      <c r="M840" s="386" t="s">
        <v>246</v>
      </c>
      <c r="N840" s="33" t="s">
        <v>68</v>
      </c>
      <c r="O840" s="33" t="s">
        <v>10</v>
      </c>
      <c r="P840" s="33" t="s">
        <v>1</v>
      </c>
      <c r="Q840" s="47" t="s">
        <v>99</v>
      </c>
      <c r="R840" s="47"/>
      <c r="S840" s="45" t="s">
        <v>143</v>
      </c>
      <c r="T840" s="45"/>
      <c r="U840" s="37">
        <v>45068</v>
      </c>
      <c r="V840" s="38">
        <f>B840</f>
        <v>45561</v>
      </c>
      <c r="W840" s="50">
        <f>V840-U840</f>
        <v>493</v>
      </c>
      <c r="X840" s="294">
        <v>566090</v>
      </c>
      <c r="Y840" s="260">
        <v>566090</v>
      </c>
      <c r="Z840" s="260">
        <v>457152.5</v>
      </c>
      <c r="AA840" s="56"/>
      <c r="AB840" s="43">
        <v>1</v>
      </c>
      <c r="AC840" s="295">
        <v>0</v>
      </c>
      <c r="AD840" s="62">
        <v>0</v>
      </c>
      <c r="AE840" s="291"/>
      <c r="AF840" s="40"/>
      <c r="AG840" s="291"/>
      <c r="AH840" s="40">
        <f>Y840-Z840</f>
        <v>108937.5</v>
      </c>
      <c r="AI840" s="242"/>
      <c r="AJ840" s="242"/>
      <c r="AK840" s="291">
        <v>0.11</v>
      </c>
      <c r="AL840" s="40">
        <f>AH840-AK840</f>
        <v>108937.39</v>
      </c>
      <c r="AM840" s="242">
        <f>IFERROR(EOMONTH(B840,0),"Pendente")</f>
        <v>45565</v>
      </c>
      <c r="AN840" s="242" t="str">
        <f>IF(AQ840="x","",IF(AQ840="x",AM840,IF(EOMONTH(I840,0)=31,"",EOMONTH(I840,0))))</f>
        <v/>
      </c>
      <c r="AO840" s="364">
        <f>IFERROR(IF(VLOOKUP(C840,C841:C1441,1,0)=0,1,0),1)</f>
        <v>0</v>
      </c>
      <c r="AP840" s="364"/>
      <c r="AQ840" s="243" t="str">
        <f>IF(MID(G840,1,15)="NAO ASSINADO","x","")</f>
        <v/>
      </c>
      <c r="AR840" s="242" t="b">
        <f>IF(AQ840="x",EOMONTH(I840,0))</f>
        <v>0</v>
      </c>
      <c r="AS840" s="79">
        <f>IF(AH840&lt;0,0,1)</f>
        <v>1</v>
      </c>
      <c r="AT840" s="79">
        <f>IF(AL840&lt;0,0,1)</f>
        <v>1</v>
      </c>
      <c r="AU840" s="79" t="str">
        <f>MID(E840,1,1)</f>
        <v>C</v>
      </c>
      <c r="AV840" s="79">
        <f>IF(AG840&lt;0,0,1)</f>
        <v>1</v>
      </c>
      <c r="AW840" s="79" t="str">
        <f>J840&amp;AU840</f>
        <v>6C</v>
      </c>
      <c r="AX840" s="79">
        <f>IF(COUNTIFS(J:J,"Integral",E:E,E840,H:H,"Ativo")=4,1/4,1/10)</f>
        <v>0.1</v>
      </c>
      <c r="AY840" s="79" t="s">
        <v>2133</v>
      </c>
      <c r="AZ840" s="79" t="b">
        <v>1</v>
      </c>
    </row>
    <row r="841" spans="1:52" ht="13.5" customHeight="1">
      <c r="A841" s="54">
        <v>870</v>
      </c>
      <c r="B841" s="405">
        <v>45561</v>
      </c>
      <c r="C841" s="351" t="s">
        <v>1055</v>
      </c>
      <c r="D841" s="32" t="s">
        <v>2535</v>
      </c>
      <c r="E841" s="32" t="s">
        <v>2519</v>
      </c>
      <c r="F841" s="32" t="s">
        <v>2536</v>
      </c>
      <c r="G841" s="60" t="s">
        <v>220</v>
      </c>
      <c r="H841" s="33" t="s">
        <v>90</v>
      </c>
      <c r="I841" s="34"/>
      <c r="J841" s="33">
        <v>6</v>
      </c>
      <c r="K841" s="35" t="s">
        <v>289</v>
      </c>
      <c r="L841" s="35" t="s">
        <v>289</v>
      </c>
      <c r="M841" s="386" t="s">
        <v>246</v>
      </c>
      <c r="N841" s="33" t="s">
        <v>68</v>
      </c>
      <c r="O841" s="33" t="s">
        <v>10</v>
      </c>
      <c r="P841" s="33" t="s">
        <v>1</v>
      </c>
      <c r="Q841" s="47" t="s">
        <v>99</v>
      </c>
      <c r="R841" s="47"/>
      <c r="S841" s="45" t="s">
        <v>143</v>
      </c>
      <c r="T841" s="45"/>
      <c r="U841" s="37">
        <v>45068</v>
      </c>
      <c r="V841" s="38">
        <f>B841</f>
        <v>45561</v>
      </c>
      <c r="W841" s="50">
        <f>V841-U841</f>
        <v>493</v>
      </c>
      <c r="X841" s="294">
        <v>566090</v>
      </c>
      <c r="Y841" s="260">
        <v>566090</v>
      </c>
      <c r="Z841" s="260">
        <v>457152.5</v>
      </c>
      <c r="AA841" s="56"/>
      <c r="AB841" s="43">
        <v>1</v>
      </c>
      <c r="AC841" s="295">
        <v>0</v>
      </c>
      <c r="AD841" s="62">
        <v>0</v>
      </c>
      <c r="AE841" s="291"/>
      <c r="AF841" s="40"/>
      <c r="AG841" s="291"/>
      <c r="AH841" s="40">
        <f>Y841-Z841</f>
        <v>108937.5</v>
      </c>
      <c r="AI841" s="242"/>
      <c r="AJ841" s="242"/>
      <c r="AK841" s="291">
        <v>0.12</v>
      </c>
      <c r="AL841" s="40">
        <f>AH841-AK841</f>
        <v>108937.38</v>
      </c>
      <c r="AM841" s="242">
        <f>IFERROR(EOMONTH(B841,0),"Pendente")</f>
        <v>45565</v>
      </c>
      <c r="AN841" s="242" t="str">
        <f>IF(AQ841="x","",IF(AQ841="x",AM841,IF(EOMONTH(I841,0)=31,"",EOMONTH(I841,0))))</f>
        <v/>
      </c>
      <c r="AO841" s="350">
        <f>IFERROR(IF(VLOOKUP(C841,C842:C1442,1,0)=0,1,0),1)</f>
        <v>1</v>
      </c>
      <c r="AP841" s="350"/>
      <c r="AQ841" s="243" t="str">
        <f>IF(MID(G841,1,15)="NAO ASSINADO","x","")</f>
        <v/>
      </c>
      <c r="AR841" s="242" t="b">
        <f>IF(AQ841="x",EOMONTH(I841,0))</f>
        <v>0</v>
      </c>
      <c r="AS841" s="79">
        <f>IF(AH841&lt;0,0,1)</f>
        <v>1</v>
      </c>
      <c r="AT841" s="79">
        <f>IF(AL841&lt;0,0,1)</f>
        <v>1</v>
      </c>
      <c r="AU841" s="79" t="str">
        <f>MID(E841,1,1)</f>
        <v>C</v>
      </c>
      <c r="AV841" s="79">
        <f>IF(AG841&lt;0,0,1)</f>
        <v>1</v>
      </c>
      <c r="AW841" s="79" t="str">
        <f>J841&amp;AU841</f>
        <v>6C</v>
      </c>
      <c r="AX841" s="79">
        <f>IF(COUNTIFS(J:J,"Integral",E:E,E841,H:H,"Ativo")=4,1/4,1/10)</f>
        <v>0.1</v>
      </c>
      <c r="AY841" s="79" t="s">
        <v>2133</v>
      </c>
      <c r="AZ841" s="79" t="b">
        <v>1</v>
      </c>
    </row>
    <row r="842" spans="1:52" ht="15" customHeight="1">
      <c r="A842" s="54">
        <v>871</v>
      </c>
      <c r="B842" s="405">
        <v>45562</v>
      </c>
      <c r="C842" s="351" t="s">
        <v>2537</v>
      </c>
      <c r="D842" s="32" t="s">
        <v>2538</v>
      </c>
      <c r="E842" s="32" t="s">
        <v>2519</v>
      </c>
      <c r="F842" s="32" t="s">
        <v>2539</v>
      </c>
      <c r="G842" s="60" t="s">
        <v>220</v>
      </c>
      <c r="H842" s="33" t="s">
        <v>90</v>
      </c>
      <c r="I842" s="34"/>
      <c r="J842" s="33">
        <v>6</v>
      </c>
      <c r="K842" s="35" t="s">
        <v>289</v>
      </c>
      <c r="L842" s="35" t="s">
        <v>289</v>
      </c>
      <c r="M842" s="386" t="s">
        <v>246</v>
      </c>
      <c r="N842" s="33" t="s">
        <v>68</v>
      </c>
      <c r="O842" s="33" t="s">
        <v>10</v>
      </c>
      <c r="P842" s="33" t="s">
        <v>1</v>
      </c>
      <c r="Q842" s="47" t="s">
        <v>102</v>
      </c>
      <c r="R842" s="47"/>
      <c r="S842" s="45" t="s">
        <v>143</v>
      </c>
      <c r="T842" s="45"/>
      <c r="U842" s="37">
        <v>45561</v>
      </c>
      <c r="V842" s="38">
        <f>B842</f>
        <v>45562</v>
      </c>
      <c r="W842" s="50">
        <f>V842-U842</f>
        <v>1</v>
      </c>
      <c r="X842" s="294">
        <v>566090</v>
      </c>
      <c r="Y842" s="260">
        <v>566090</v>
      </c>
      <c r="Z842" s="260">
        <v>457152.61</v>
      </c>
      <c r="AA842" s="56"/>
      <c r="AB842" s="43">
        <v>1</v>
      </c>
      <c r="AC842" s="295">
        <v>0</v>
      </c>
      <c r="AD842" s="62">
        <v>0</v>
      </c>
      <c r="AE842" s="291"/>
      <c r="AF842" s="40"/>
      <c r="AG842" s="291">
        <v>0</v>
      </c>
      <c r="AH842" s="40">
        <f>Y842-Z842</f>
        <v>108937.39000000001</v>
      </c>
      <c r="AI842" s="242"/>
      <c r="AJ842" s="242"/>
      <c r="AK842" s="291">
        <v>0</v>
      </c>
      <c r="AL842" s="40">
        <f>AH842-AK842</f>
        <v>108937.39000000001</v>
      </c>
      <c r="AM842" s="242">
        <f>IFERROR(EOMONTH(B842,0),"Pendente")</f>
        <v>45565</v>
      </c>
      <c r="AN842" s="242" t="str">
        <f>IF(AQ842="x","",IF(AQ842="x",AM842,IF(EOMONTH(I842,0)=31,"",EOMONTH(I842,0))))</f>
        <v/>
      </c>
      <c r="AO842" s="364">
        <f>IFERROR(IF(VLOOKUP(C842,C843:C1443,1,0)=0,1,0),1)</f>
        <v>0</v>
      </c>
      <c r="AP842" s="364"/>
      <c r="AQ842" s="243" t="str">
        <f>IF(MID(G842,1,15)="NAO ASSINADO","x","")</f>
        <v/>
      </c>
      <c r="AR842" s="242" t="b">
        <f>IF(AQ842="x",EOMONTH(I842,0))</f>
        <v>0</v>
      </c>
      <c r="AS842" s="79">
        <f>IF(AH842&lt;0,0,1)</f>
        <v>1</v>
      </c>
      <c r="AT842" s="79">
        <f>IF(AL842&lt;0,0,1)</f>
        <v>1</v>
      </c>
      <c r="AU842" s="79" t="str">
        <f>MID(E842,1,1)</f>
        <v>C</v>
      </c>
      <c r="AV842" s="79">
        <f>IF(AG842&lt;0,0,1)</f>
        <v>1</v>
      </c>
      <c r="AW842" s="79" t="str">
        <f>J842&amp;AU842</f>
        <v>6C</v>
      </c>
      <c r="AX842" s="79">
        <f>IF(COUNTIFS(J:J,"Integral",E:E,E842,H:H,"Ativo")=4,1/4,1/10)</f>
        <v>0.1</v>
      </c>
      <c r="AY842" s="79" t="s">
        <v>2133</v>
      </c>
      <c r="AZ842" s="79" t="b">
        <v>1</v>
      </c>
    </row>
    <row r="843" spans="1:52" ht="15" customHeight="1">
      <c r="A843" s="54">
        <v>872</v>
      </c>
      <c r="B843" s="405">
        <v>45562</v>
      </c>
      <c r="C843" s="351" t="s">
        <v>2537</v>
      </c>
      <c r="D843" s="32" t="s">
        <v>2540</v>
      </c>
      <c r="E843" s="32" t="s">
        <v>2519</v>
      </c>
      <c r="F843" s="32" t="s">
        <v>2541</v>
      </c>
      <c r="G843" s="60" t="s">
        <v>220</v>
      </c>
      <c r="H843" s="33" t="s">
        <v>90</v>
      </c>
      <c r="I843" s="34"/>
      <c r="J843" s="33">
        <v>6</v>
      </c>
      <c r="K843" s="35" t="s">
        <v>289</v>
      </c>
      <c r="L843" s="35" t="s">
        <v>289</v>
      </c>
      <c r="M843" s="386" t="s">
        <v>246</v>
      </c>
      <c r="N843" s="33" t="s">
        <v>68</v>
      </c>
      <c r="O843" s="33" t="s">
        <v>10</v>
      </c>
      <c r="P843" s="33" t="s">
        <v>1</v>
      </c>
      <c r="Q843" s="47" t="s">
        <v>102</v>
      </c>
      <c r="R843" s="47"/>
      <c r="S843" s="45" t="s">
        <v>143</v>
      </c>
      <c r="T843" s="45"/>
      <c r="U843" s="37">
        <v>45561</v>
      </c>
      <c r="V843" s="38">
        <f>B843</f>
        <v>45562</v>
      </c>
      <c r="W843" s="50">
        <f>V843-U843</f>
        <v>1</v>
      </c>
      <c r="X843" s="294">
        <v>566090</v>
      </c>
      <c r="Y843" s="260">
        <v>566090</v>
      </c>
      <c r="Z843" s="260">
        <v>457152.62</v>
      </c>
      <c r="AA843" s="56"/>
      <c r="AB843" s="43">
        <v>1</v>
      </c>
      <c r="AC843" s="295">
        <v>0</v>
      </c>
      <c r="AD843" s="62">
        <v>0</v>
      </c>
      <c r="AE843" s="291"/>
      <c r="AF843" s="40"/>
      <c r="AG843" s="291">
        <v>0</v>
      </c>
      <c r="AH843" s="40">
        <f>Y843-Z843</f>
        <v>108937.38</v>
      </c>
      <c r="AI843" s="242"/>
      <c r="AJ843" s="242"/>
      <c r="AK843" s="291">
        <v>0</v>
      </c>
      <c r="AL843" s="40">
        <f>AH843-AK843</f>
        <v>108937.38</v>
      </c>
      <c r="AM843" s="242">
        <f>IFERROR(EOMONTH(B843,0),"Pendente")</f>
        <v>45565</v>
      </c>
      <c r="AN843" s="242" t="str">
        <f>IF(AQ843="x","",IF(AQ843="x",AM843,IF(EOMONTH(I843,0)=31,"",EOMONTH(I843,0))))</f>
        <v/>
      </c>
      <c r="AO843" s="364">
        <f>IFERROR(IF(VLOOKUP(C843,C844:C1444,1,0)=0,1,0),1)</f>
        <v>1</v>
      </c>
      <c r="AP843" s="364"/>
      <c r="AQ843" s="243" t="str">
        <f>IF(MID(G843,1,15)="NAO ASSINADO","x","")</f>
        <v/>
      </c>
      <c r="AR843" s="242" t="b">
        <f>IF(AQ843="x",EOMONTH(I843,0))</f>
        <v>0</v>
      </c>
      <c r="AS843" s="79">
        <f>IF(AH843&lt;0,0,1)</f>
        <v>1</v>
      </c>
      <c r="AT843" s="79">
        <f>IF(AL843&lt;0,0,1)</f>
        <v>1</v>
      </c>
      <c r="AU843" s="79" t="str">
        <f>MID(E843,1,1)</f>
        <v>C</v>
      </c>
      <c r="AV843" s="79">
        <f>IF(AG843&lt;0,0,1)</f>
        <v>1</v>
      </c>
      <c r="AW843" s="79" t="str">
        <f>J843&amp;AU843</f>
        <v>6C</v>
      </c>
      <c r="AX843" s="79">
        <f>IF(COUNTIFS(J:J,"Integral",E:E,E843,H:H,"Ativo")=4,1/4,1/10)</f>
        <v>0.1</v>
      </c>
      <c r="AY843" s="79" t="s">
        <v>2133</v>
      </c>
      <c r="AZ843" s="79" t="b">
        <v>1</v>
      </c>
    </row>
    <row r="844" spans="1:52" ht="15" customHeight="1">
      <c r="A844" s="54">
        <v>873</v>
      </c>
      <c r="B844" s="405">
        <v>45562</v>
      </c>
      <c r="C844" s="351" t="s">
        <v>1741</v>
      </c>
      <c r="D844" s="32" t="s">
        <v>2542</v>
      </c>
      <c r="E844" s="32" t="s">
        <v>2519</v>
      </c>
      <c r="F844" s="32" t="s">
        <v>2543</v>
      </c>
      <c r="G844" s="60" t="s">
        <v>220</v>
      </c>
      <c r="H844" s="33" t="s">
        <v>90</v>
      </c>
      <c r="I844" s="34"/>
      <c r="J844" s="33">
        <v>6</v>
      </c>
      <c r="K844" s="56" t="s">
        <v>981</v>
      </c>
      <c r="L844" s="56" t="s">
        <v>981</v>
      </c>
      <c r="M844" s="386" t="s">
        <v>1026</v>
      </c>
      <c r="N844" s="33" t="s">
        <v>68</v>
      </c>
      <c r="O844" s="33" t="s">
        <v>11</v>
      </c>
      <c r="P844" s="33" t="s">
        <v>86</v>
      </c>
      <c r="Q844" s="47" t="s">
        <v>99</v>
      </c>
      <c r="R844" s="47"/>
      <c r="S844" s="45" t="s">
        <v>143</v>
      </c>
      <c r="T844" s="45"/>
      <c r="U844" s="37">
        <v>45244</v>
      </c>
      <c r="V844" s="38">
        <f>B844</f>
        <v>45562</v>
      </c>
      <c r="W844" s="50">
        <f>V844-U844</f>
        <v>318</v>
      </c>
      <c r="X844" s="294">
        <v>566090</v>
      </c>
      <c r="Y844" s="260">
        <v>566090</v>
      </c>
      <c r="Z844" s="260">
        <v>472600</v>
      </c>
      <c r="AA844" s="56"/>
      <c r="AB844" s="43">
        <v>0.52900000000000003</v>
      </c>
      <c r="AC844" s="295">
        <v>0</v>
      </c>
      <c r="AD844" s="62" t="s">
        <v>2544</v>
      </c>
      <c r="AE844" s="291"/>
      <c r="AF844" s="40"/>
      <c r="AG844" s="291"/>
      <c r="AH844" s="40">
        <f>Y844-Z844</f>
        <v>93490</v>
      </c>
      <c r="AI844" s="242"/>
      <c r="AJ844" s="242"/>
      <c r="AK844" s="291">
        <v>8915.93</v>
      </c>
      <c r="AL844" s="40">
        <f>AH844-AK844</f>
        <v>84574.07</v>
      </c>
      <c r="AM844" s="242">
        <f>IFERROR(EOMONTH(B844,0),"Pendente")</f>
        <v>45565</v>
      </c>
      <c r="AN844" s="242" t="str">
        <f>IF(AQ844="x","",IF(AQ844="x",AM844,IF(EOMONTH(I844,0)=31,"",EOMONTH(I844,0))))</f>
        <v/>
      </c>
      <c r="AO844" s="364">
        <f>IFERROR(IF(VLOOKUP(C844,C845:C1445,1,0)=0,1,0),1)</f>
        <v>0</v>
      </c>
      <c r="AP844" s="364"/>
      <c r="AQ844" s="243" t="str">
        <f>IF(MID(G844,1,15)="NAO ASSINADO","x","")</f>
        <v/>
      </c>
      <c r="AR844" s="242" t="b">
        <f>IF(AQ844="x",EOMONTH(I844,0))</f>
        <v>0</v>
      </c>
      <c r="AS844" s="79">
        <f>IF(AH844&lt;0,0,1)</f>
        <v>1</v>
      </c>
      <c r="AT844" s="79">
        <f>IF(AL844&lt;0,0,1)</f>
        <v>1</v>
      </c>
      <c r="AU844" s="79" t="str">
        <f>MID(E844,1,1)</f>
        <v>C</v>
      </c>
      <c r="AV844" s="79">
        <f>IF(AG844&lt;0,0,1)</f>
        <v>1</v>
      </c>
      <c r="AW844" s="79" t="str">
        <f>J844&amp;AU844</f>
        <v>6C</v>
      </c>
      <c r="AX844" s="79">
        <f>IF(COUNTIFS(J:J,"Integral",E:E,E844,H:H,"Ativo")=4,1/4,1/10)</f>
        <v>0.1</v>
      </c>
      <c r="AY844" s="79" t="s">
        <v>2133</v>
      </c>
      <c r="AZ844" s="79" t="b">
        <v>1</v>
      </c>
    </row>
    <row r="845" spans="1:52" ht="15" customHeight="1">
      <c r="A845" s="54">
        <v>874</v>
      </c>
      <c r="B845" s="405">
        <v>45562</v>
      </c>
      <c r="C845" s="351" t="s">
        <v>1741</v>
      </c>
      <c r="D845" s="32" t="s">
        <v>2545</v>
      </c>
      <c r="E845" s="32" t="s">
        <v>2519</v>
      </c>
      <c r="F845" s="32" t="s">
        <v>2546</v>
      </c>
      <c r="G845" s="60" t="s">
        <v>220</v>
      </c>
      <c r="H845" s="33" t="s">
        <v>90</v>
      </c>
      <c r="I845" s="34"/>
      <c r="J845" s="33">
        <v>6</v>
      </c>
      <c r="K845" s="56" t="s">
        <v>981</v>
      </c>
      <c r="L845" s="56" t="s">
        <v>981</v>
      </c>
      <c r="M845" s="386" t="s">
        <v>1026</v>
      </c>
      <c r="N845" s="33" t="s">
        <v>68</v>
      </c>
      <c r="O845" s="33" t="s">
        <v>11</v>
      </c>
      <c r="P845" s="33" t="s">
        <v>86</v>
      </c>
      <c r="Q845" s="47" t="s">
        <v>99</v>
      </c>
      <c r="R845" s="47"/>
      <c r="S845" s="45" t="s">
        <v>143</v>
      </c>
      <c r="T845" s="45"/>
      <c r="U845" s="37">
        <v>45244</v>
      </c>
      <c r="V845" s="38">
        <f>B845</f>
        <v>45562</v>
      </c>
      <c r="W845" s="50">
        <f>V845-U845</f>
        <v>318</v>
      </c>
      <c r="X845" s="294">
        <v>566090</v>
      </c>
      <c r="Y845" s="260">
        <v>566090</v>
      </c>
      <c r="Z845" s="260">
        <v>472600</v>
      </c>
      <c r="AA845" s="56"/>
      <c r="AB845" s="43">
        <v>0.52900000000000003</v>
      </c>
      <c r="AC845" s="295">
        <v>0</v>
      </c>
      <c r="AD845" s="62" t="s">
        <v>2544</v>
      </c>
      <c r="AE845" s="291"/>
      <c r="AF845" s="40"/>
      <c r="AG845" s="291"/>
      <c r="AH845" s="40">
        <f>Y845-Z845</f>
        <v>93490</v>
      </c>
      <c r="AI845" s="242"/>
      <c r="AJ845" s="242"/>
      <c r="AK845" s="291">
        <v>8915.94</v>
      </c>
      <c r="AL845" s="40">
        <f>AH845-AK845</f>
        <v>84574.06</v>
      </c>
      <c r="AM845" s="242">
        <f>IFERROR(EOMONTH(B845,0),"Pendente")</f>
        <v>45565</v>
      </c>
      <c r="AN845" s="242" t="str">
        <f>IF(AQ845="x","",IF(AQ845="x",AM845,IF(EOMONTH(I845,0)=31,"",EOMONTH(I845,0))))</f>
        <v/>
      </c>
      <c r="AO845" s="350">
        <f>IFERROR(IF(VLOOKUP(C845,C846:C1446,1,0)=0,1,0),1)</f>
        <v>1</v>
      </c>
      <c r="AP845" s="350"/>
      <c r="AQ845" s="243" t="str">
        <f>IF(MID(G845,1,15)="NAO ASSINADO","x","")</f>
        <v/>
      </c>
      <c r="AR845" s="242" t="b">
        <f>IF(AQ845="x",EOMONTH(I845,0))</f>
        <v>0</v>
      </c>
      <c r="AS845" s="79">
        <f>IF(AH845&lt;0,0,1)</f>
        <v>1</v>
      </c>
      <c r="AT845" s="79">
        <f>IF(AL845&lt;0,0,1)</f>
        <v>1</v>
      </c>
      <c r="AU845" s="79" t="str">
        <f>MID(E845,1,1)</f>
        <v>C</v>
      </c>
      <c r="AV845" s="79">
        <f>IF(AG845&lt;0,0,1)</f>
        <v>1</v>
      </c>
      <c r="AW845" s="79" t="str">
        <f>J845&amp;AU845</f>
        <v>6C</v>
      </c>
      <c r="AX845" s="79">
        <f>IF(COUNTIFS(J:J,"Integral",E:E,E845,H:H,"Ativo")=4,1/4,1/10)</f>
        <v>0.1</v>
      </c>
      <c r="AY845" s="79" t="s">
        <v>2133</v>
      </c>
      <c r="AZ845" s="79" t="b">
        <v>1</v>
      </c>
    </row>
    <row r="846" spans="1:52" ht="15" customHeight="1">
      <c r="A846" s="54">
        <v>875</v>
      </c>
      <c r="B846" s="405">
        <v>45564</v>
      </c>
      <c r="C846" s="351" t="s">
        <v>2547</v>
      </c>
      <c r="D846" s="32" t="s">
        <v>2548</v>
      </c>
      <c r="E846" s="32" t="s">
        <v>2527</v>
      </c>
      <c r="F846" s="32" t="s">
        <v>2549</v>
      </c>
      <c r="G846" s="60" t="s">
        <v>220</v>
      </c>
      <c r="H846" s="33" t="s">
        <v>90</v>
      </c>
      <c r="I846" s="34"/>
      <c r="J846" s="33">
        <v>4</v>
      </c>
      <c r="K846" s="35" t="s">
        <v>1101</v>
      </c>
      <c r="L846" s="35" t="s">
        <v>1101</v>
      </c>
      <c r="M846" s="386" t="s">
        <v>1026</v>
      </c>
      <c r="N846" s="33" t="s">
        <v>68</v>
      </c>
      <c r="O846" s="33" t="s">
        <v>11</v>
      </c>
      <c r="P846" s="33" t="s">
        <v>2</v>
      </c>
      <c r="Q846" s="47" t="s">
        <v>102</v>
      </c>
      <c r="R846" s="47"/>
      <c r="S846" s="45" t="s">
        <v>147</v>
      </c>
      <c r="T846" s="45"/>
      <c r="U846" s="37">
        <v>45561</v>
      </c>
      <c r="V846" s="38">
        <f>B846</f>
        <v>45564</v>
      </c>
      <c r="W846" s="50">
        <f>V846-U846</f>
        <v>3</v>
      </c>
      <c r="X846" s="294">
        <v>548700</v>
      </c>
      <c r="Y846" s="260">
        <v>548700</v>
      </c>
      <c r="Z846" s="260">
        <v>446085</v>
      </c>
      <c r="AA846" s="56"/>
      <c r="AB846" s="43">
        <v>0.29139999999999999</v>
      </c>
      <c r="AC846" s="295">
        <v>0</v>
      </c>
      <c r="AD846" s="62">
        <v>0</v>
      </c>
      <c r="AE846" s="291"/>
      <c r="AF846" s="40"/>
      <c r="AG846" s="291">
        <v>4.8099999999999996</v>
      </c>
      <c r="AH846" s="40">
        <f>Y846-Z846</f>
        <v>102615</v>
      </c>
      <c r="AI846" s="242"/>
      <c r="AJ846" s="242"/>
      <c r="AK846" s="291"/>
      <c r="AL846" s="40">
        <f>AH846-AK846</f>
        <v>102615</v>
      </c>
      <c r="AM846" s="242">
        <f>IFERROR(EOMONTH(B846,0),"Pendente")</f>
        <v>45565</v>
      </c>
      <c r="AN846" s="242" t="str">
        <f>IF(AQ846="x","",IF(AQ846="x",AM846,IF(EOMONTH(I846,0)=31,"",EOMONTH(I846,0))))</f>
        <v/>
      </c>
      <c r="AO846" s="364">
        <f>IFERROR(IF(VLOOKUP(C846,C847:C1447,1,0)=0,1,0),1)</f>
        <v>1</v>
      </c>
      <c r="AP846" s="364"/>
      <c r="AQ846" s="243" t="str">
        <f>IF(MID(G846,1,15)="NAO ASSINADO","x","")</f>
        <v/>
      </c>
      <c r="AR846" s="242" t="b">
        <f>IF(AQ846="x",EOMONTH(I846,0))</f>
        <v>0</v>
      </c>
      <c r="AS846" s="79">
        <f>IF(AH846&lt;0,0,1)</f>
        <v>1</v>
      </c>
      <c r="AT846" s="79">
        <f>IF(AL846&lt;0,0,1)</f>
        <v>1</v>
      </c>
      <c r="AU846" s="79" t="str">
        <f>MID(E846,1,1)</f>
        <v>C</v>
      </c>
      <c r="AV846" s="79">
        <f>IF(AG846&lt;0,0,1)</f>
        <v>1</v>
      </c>
      <c r="AW846" s="79" t="str">
        <f>J846&amp;AU846</f>
        <v>4C</v>
      </c>
      <c r="AX846" s="79">
        <f>IF(COUNTIFS(J:J,"Integral",E:E,E846,H:H,"Ativo")=4,1/4,1/10)</f>
        <v>0.1</v>
      </c>
      <c r="AY846" s="79" t="s">
        <v>2133</v>
      </c>
      <c r="AZ846" s="79" t="b">
        <v>1</v>
      </c>
    </row>
    <row r="847" spans="1:52" ht="15" customHeight="1">
      <c r="A847" s="54">
        <v>876</v>
      </c>
      <c r="B847" s="405">
        <v>45565</v>
      </c>
      <c r="C847" s="351" t="s">
        <v>1325</v>
      </c>
      <c r="D847" s="32" t="s">
        <v>2550</v>
      </c>
      <c r="E847" s="32" t="s">
        <v>2551</v>
      </c>
      <c r="F847" s="32" t="s">
        <v>2552</v>
      </c>
      <c r="G847" s="60" t="s">
        <v>220</v>
      </c>
      <c r="H847" s="33" t="s">
        <v>90</v>
      </c>
      <c r="I847" s="34"/>
      <c r="J847" s="33">
        <v>6</v>
      </c>
      <c r="K847" s="56" t="s">
        <v>1154</v>
      </c>
      <c r="L847" s="56" t="s">
        <v>1154</v>
      </c>
      <c r="M847" s="386" t="s">
        <v>246</v>
      </c>
      <c r="N847" s="33" t="s">
        <v>68</v>
      </c>
      <c r="O847" s="33" t="s">
        <v>12</v>
      </c>
      <c r="P847" s="33" t="s">
        <v>1</v>
      </c>
      <c r="Q847" s="47" t="s">
        <v>84</v>
      </c>
      <c r="R847" s="47"/>
      <c r="S847" s="45" t="s">
        <v>145</v>
      </c>
      <c r="T847" s="45"/>
      <c r="U847" s="37">
        <v>45159</v>
      </c>
      <c r="V847" s="38">
        <f>B847</f>
        <v>45565</v>
      </c>
      <c r="W847" s="50">
        <f>V847-U847</f>
        <v>406</v>
      </c>
      <c r="X847" s="294">
        <v>566090</v>
      </c>
      <c r="Y847" s="260">
        <v>566090</v>
      </c>
      <c r="Z847" s="260">
        <v>566789.80000000005</v>
      </c>
      <c r="AA847" s="56"/>
      <c r="AB847" s="43">
        <v>0.20080000000000001</v>
      </c>
      <c r="AC847" s="295">
        <v>0</v>
      </c>
      <c r="AD847" s="62" t="s">
        <v>2553</v>
      </c>
      <c r="AE847" s="291"/>
      <c r="AF847" s="40"/>
      <c r="AG847" s="291"/>
      <c r="AH847" s="40">
        <f>Y847-Z847</f>
        <v>-699.80000000004657</v>
      </c>
      <c r="AI847" s="242"/>
      <c r="AJ847" s="242"/>
      <c r="AK847" s="291">
        <v>48292.45</v>
      </c>
      <c r="AL847" s="40">
        <f>AH847-AK847</f>
        <v>-48992.250000000044</v>
      </c>
      <c r="AM847" s="242">
        <f>IFERROR(EOMONTH(B847,0),"Pendente")</f>
        <v>45565</v>
      </c>
      <c r="AN847" s="242" t="str">
        <f>IF(AQ847="x","",IF(AQ847="x",AM847,IF(EOMONTH(I847,0)=31,"",EOMONTH(I847,0))))</f>
        <v/>
      </c>
      <c r="AO847" s="364">
        <f>IFERROR(IF(VLOOKUP(C847,C848:C1448,1,0)=0,1,0),1)</f>
        <v>0</v>
      </c>
      <c r="AP847" s="364"/>
      <c r="AQ847" s="243" t="str">
        <f>IF(MID(G847,1,15)="NAO ASSINADO","x","")</f>
        <v/>
      </c>
      <c r="AR847" s="242" t="b">
        <f>IF(AQ847="x",EOMONTH(I847,0))</f>
        <v>0</v>
      </c>
      <c r="AS847" s="79">
        <f>IF(AH847&lt;0,0,1)</f>
        <v>0</v>
      </c>
      <c r="AT847" s="79">
        <f>IF(AL847&lt;0,0,1)</f>
        <v>0</v>
      </c>
      <c r="AU847" s="79" t="str">
        <f>MID(E847,1,1)</f>
        <v>C</v>
      </c>
      <c r="AV847" s="79">
        <f>IF(AG847&lt;0,0,1)</f>
        <v>1</v>
      </c>
      <c r="AW847" s="79" t="str">
        <f>J847&amp;AU847</f>
        <v>6C</v>
      </c>
      <c r="AX847" s="79">
        <f>IF(COUNTIFS(J:J,"Integral",E:E,E847,H:H,"Ativo")=4,1/4,1/10)</f>
        <v>0.1</v>
      </c>
      <c r="AY847" s="79" t="s">
        <v>1535</v>
      </c>
      <c r="AZ847" s="79" t="b">
        <v>1</v>
      </c>
    </row>
    <row r="848" spans="1:52" ht="15" customHeight="1">
      <c r="A848" s="54">
        <v>877</v>
      </c>
      <c r="B848" s="405">
        <v>45565</v>
      </c>
      <c r="C848" s="351" t="s">
        <v>1325</v>
      </c>
      <c r="D848" s="32" t="s">
        <v>2554</v>
      </c>
      <c r="E848" s="32" t="s">
        <v>2551</v>
      </c>
      <c r="F848" s="32" t="s">
        <v>2555</v>
      </c>
      <c r="G848" s="60" t="s">
        <v>220</v>
      </c>
      <c r="H848" s="33" t="s">
        <v>90</v>
      </c>
      <c r="I848" s="34"/>
      <c r="J848" s="33">
        <v>6</v>
      </c>
      <c r="K848" s="56" t="s">
        <v>1154</v>
      </c>
      <c r="L848" s="56" t="s">
        <v>1154</v>
      </c>
      <c r="M848" s="386" t="s">
        <v>246</v>
      </c>
      <c r="N848" s="33" t="s">
        <v>68</v>
      </c>
      <c r="O848" s="33" t="s">
        <v>12</v>
      </c>
      <c r="P848" s="33" t="s">
        <v>1</v>
      </c>
      <c r="Q848" s="47" t="s">
        <v>84</v>
      </c>
      <c r="R848" s="47"/>
      <c r="S848" s="45" t="s">
        <v>145</v>
      </c>
      <c r="T848" s="45"/>
      <c r="U848" s="37">
        <v>45159</v>
      </c>
      <c r="V848" s="38">
        <f>B848</f>
        <v>45565</v>
      </c>
      <c r="W848" s="50">
        <f>V848-U848</f>
        <v>406</v>
      </c>
      <c r="X848" s="294">
        <v>566090</v>
      </c>
      <c r="Y848" s="260">
        <v>566090</v>
      </c>
      <c r="Z848" s="260">
        <v>566789.80000000005</v>
      </c>
      <c r="AA848" s="56"/>
      <c r="AB848" s="43">
        <v>0.20080000000000001</v>
      </c>
      <c r="AC848" s="295">
        <v>0</v>
      </c>
      <c r="AD848" s="62" t="s">
        <v>2553</v>
      </c>
      <c r="AE848" s="291"/>
      <c r="AF848" s="40"/>
      <c r="AG848" s="291"/>
      <c r="AH848" s="40">
        <f>Y848-Z848</f>
        <v>-699.80000000004657</v>
      </c>
      <c r="AI848" s="242"/>
      <c r="AJ848" s="242"/>
      <c r="AK848" s="291">
        <v>48292.45</v>
      </c>
      <c r="AL848" s="40">
        <f>AH848-AK848</f>
        <v>-48992.250000000044</v>
      </c>
      <c r="AM848" s="242">
        <f>IFERROR(EOMONTH(B848,0),"Pendente")</f>
        <v>45565</v>
      </c>
      <c r="AN848" s="242" t="str">
        <f>IF(AQ848="x","",IF(AQ848="x",AM848,IF(EOMONTH(I848,0)=31,"",EOMONTH(I848,0))))</f>
        <v/>
      </c>
      <c r="AO848" s="350">
        <f>IFERROR(IF(VLOOKUP(C848,C849:C1449,1,0)=0,1,0),1)</f>
        <v>1</v>
      </c>
      <c r="AP848" s="350"/>
      <c r="AQ848" s="243" t="str">
        <f>IF(MID(G848,1,15)="NAO ASSINADO","x","")</f>
        <v/>
      </c>
      <c r="AR848" s="242" t="b">
        <f>IF(AQ848="x",EOMONTH(I848,0))</f>
        <v>0</v>
      </c>
      <c r="AS848" s="79">
        <f>IF(AH848&lt;0,0,1)</f>
        <v>0</v>
      </c>
      <c r="AT848" s="79">
        <f>IF(AL848&lt;0,0,1)</f>
        <v>0</v>
      </c>
      <c r="AU848" s="79" t="str">
        <f>MID(E848,1,1)</f>
        <v>C</v>
      </c>
      <c r="AV848" s="79">
        <f>IF(AG848&lt;0,0,1)</f>
        <v>1</v>
      </c>
      <c r="AW848" s="79" t="str">
        <f>J848&amp;AU848</f>
        <v>6C</v>
      </c>
      <c r="AX848" s="79">
        <f>IF(COUNTIFS(J:J,"Integral",E:E,E848,H:H,"Ativo")=4,1/4,1/10)</f>
        <v>0.1</v>
      </c>
      <c r="AY848" s="79" t="s">
        <v>1535</v>
      </c>
      <c r="AZ848" s="79" t="b">
        <v>1</v>
      </c>
    </row>
    <row r="849" spans="1:52" ht="15" customHeight="1">
      <c r="A849" s="54">
        <v>878</v>
      </c>
      <c r="B849" s="405">
        <v>45573</v>
      </c>
      <c r="C849" s="351" t="s">
        <v>2556</v>
      </c>
      <c r="D849" s="32" t="s">
        <v>2557</v>
      </c>
      <c r="E849" s="32" t="s">
        <v>2558</v>
      </c>
      <c r="F849" s="32" t="s">
        <v>2559</v>
      </c>
      <c r="G849" s="60" t="s">
        <v>220</v>
      </c>
      <c r="H849" s="33" t="s">
        <v>90</v>
      </c>
      <c r="I849" s="34"/>
      <c r="J849" s="33" t="s">
        <v>1701</v>
      </c>
      <c r="K849" s="56" t="s">
        <v>1755</v>
      </c>
      <c r="L849" s="56" t="s">
        <v>1755</v>
      </c>
      <c r="M849" s="386" t="s">
        <v>1755</v>
      </c>
      <c r="N849" s="33" t="s">
        <v>73</v>
      </c>
      <c r="O849" s="33" t="s">
        <v>11</v>
      </c>
      <c r="P849" s="33" t="s">
        <v>85</v>
      </c>
      <c r="Q849" s="47" t="s">
        <v>97</v>
      </c>
      <c r="R849" s="47"/>
      <c r="S849" s="45" t="s">
        <v>147</v>
      </c>
      <c r="T849" s="45"/>
      <c r="U849" s="37">
        <v>45174</v>
      </c>
      <c r="V849" s="38">
        <f>B849</f>
        <v>45573</v>
      </c>
      <c r="W849" s="50">
        <f>V849-U849</f>
        <v>399</v>
      </c>
      <c r="X849" s="294">
        <v>327252.84000000003</v>
      </c>
      <c r="Y849" s="260">
        <v>327252.84000000003</v>
      </c>
      <c r="Z849" s="260">
        <v>264000</v>
      </c>
      <c r="AA849" s="56"/>
      <c r="AB849" s="43">
        <v>0.5</v>
      </c>
      <c r="AC849" s="295">
        <v>0</v>
      </c>
      <c r="AD849" s="62">
        <v>8.1199999999999994E-2</v>
      </c>
      <c r="AE849" s="291"/>
      <c r="AF849" s="40"/>
      <c r="AG849" s="291"/>
      <c r="AH849" s="40">
        <f>Y849-Z849</f>
        <v>63252.840000000026</v>
      </c>
      <c r="AI849" s="242"/>
      <c r="AJ849" s="242"/>
      <c r="AK849" s="291">
        <v>21463.1</v>
      </c>
      <c r="AL849" s="40">
        <f>AH849-AK849</f>
        <v>41789.740000000027</v>
      </c>
      <c r="AM849" s="242">
        <f>IFERROR(EOMONTH(B849,0),"Pendente")</f>
        <v>45596</v>
      </c>
      <c r="AN849" s="242" t="str">
        <f>IF(AQ849="x","",IF(AQ849="x",AM849,IF(EOMONTH(I849,0)=31,"",EOMONTH(I849,0))))</f>
        <v/>
      </c>
      <c r="AO849" s="364">
        <f>IFERROR(IF(VLOOKUP(C849,C850:C1450,1,0)=0,1,0),1)</f>
        <v>0</v>
      </c>
      <c r="AP849" s="364"/>
      <c r="AQ849" s="243" t="str">
        <f>IF(MID(G849,1,15)="NAO ASSINADO","x","")</f>
        <v/>
      </c>
      <c r="AR849" s="242" t="b">
        <f>IF(AQ849="x",EOMONTH(I849,0))</f>
        <v>0</v>
      </c>
      <c r="AS849" s="79">
        <f>IF(AH849&lt;0,0,1)</f>
        <v>1</v>
      </c>
      <c r="AT849" s="79">
        <f>IF(AL849&lt;0,0,1)</f>
        <v>1</v>
      </c>
      <c r="AU849" s="79" t="str">
        <f>MID(E849,1,1)</f>
        <v>B</v>
      </c>
      <c r="AV849" s="79">
        <f>IF(AG849&lt;0,0,1)</f>
        <v>1</v>
      </c>
      <c r="AW849" s="79" t="str">
        <f>J849&amp;AU849</f>
        <v>INTEGRALB</v>
      </c>
      <c r="AX849" s="79">
        <f>IF(COUNTIFS(J:J,"Integral",E:E,E849,H:H,"Ativo")=4,1/4,1/10)</f>
        <v>0.1</v>
      </c>
      <c r="AY849" s="79" t="s">
        <v>1535</v>
      </c>
      <c r="AZ849" s="79" t="b">
        <v>1</v>
      </c>
    </row>
    <row r="850" spans="1:52" ht="15" customHeight="1">
      <c r="A850" s="54">
        <v>879</v>
      </c>
      <c r="B850" s="405">
        <v>45573</v>
      </c>
      <c r="C850" s="351" t="s">
        <v>2556</v>
      </c>
      <c r="D850" s="32" t="s">
        <v>2560</v>
      </c>
      <c r="E850" s="32" t="s">
        <v>2558</v>
      </c>
      <c r="F850" s="32" t="s">
        <v>2561</v>
      </c>
      <c r="G850" s="60" t="s">
        <v>220</v>
      </c>
      <c r="H850" s="33" t="s">
        <v>90</v>
      </c>
      <c r="I850" s="34"/>
      <c r="J850" s="33" t="s">
        <v>1701</v>
      </c>
      <c r="K850" s="56" t="s">
        <v>1755</v>
      </c>
      <c r="L850" s="56" t="s">
        <v>1755</v>
      </c>
      <c r="M850" s="386" t="s">
        <v>1755</v>
      </c>
      <c r="N850" s="33" t="s">
        <v>73</v>
      </c>
      <c r="O850" s="33" t="s">
        <v>11</v>
      </c>
      <c r="P850" s="33" t="s">
        <v>85</v>
      </c>
      <c r="Q850" s="47" t="s">
        <v>97</v>
      </c>
      <c r="R850" s="47"/>
      <c r="S850" s="45" t="s">
        <v>147</v>
      </c>
      <c r="T850" s="45"/>
      <c r="U850" s="37">
        <v>45174</v>
      </c>
      <c r="V850" s="38">
        <f>B850</f>
        <v>45573</v>
      </c>
      <c r="W850" s="50">
        <f>V850-U850</f>
        <v>399</v>
      </c>
      <c r="X850" s="294">
        <v>327252.84000000003</v>
      </c>
      <c r="Y850" s="260">
        <v>327252.84000000003</v>
      </c>
      <c r="Z850" s="260">
        <v>264000</v>
      </c>
      <c r="AA850" s="56"/>
      <c r="AB850" s="43">
        <v>0.5</v>
      </c>
      <c r="AC850" s="295">
        <v>0</v>
      </c>
      <c r="AD850" s="62">
        <v>8.1199999999999994E-2</v>
      </c>
      <c r="AE850" s="291"/>
      <c r="AF850" s="40"/>
      <c r="AG850" s="291"/>
      <c r="AH850" s="40">
        <f>Y850-Z850</f>
        <v>63252.840000000026</v>
      </c>
      <c r="AI850" s="242"/>
      <c r="AJ850" s="242"/>
      <c r="AK850" s="291">
        <v>21463.11</v>
      </c>
      <c r="AL850" s="40">
        <f>AH850-AK850</f>
        <v>41789.730000000025</v>
      </c>
      <c r="AM850" s="242">
        <f>IFERROR(EOMONTH(B850,0),"Pendente")</f>
        <v>45596</v>
      </c>
      <c r="AN850" s="242" t="str">
        <f>IF(AQ850="x","",IF(AQ850="x",AM850,IF(EOMONTH(I850,0)=31,"",EOMONTH(I850,0))))</f>
        <v/>
      </c>
      <c r="AO850" s="364">
        <f>IFERROR(IF(VLOOKUP(C850,C851:C1451,1,0)=0,1,0),1)</f>
        <v>0</v>
      </c>
      <c r="AP850" s="364"/>
      <c r="AQ850" s="243" t="str">
        <f>IF(MID(G850,1,15)="NAO ASSINADO","x","")</f>
        <v/>
      </c>
      <c r="AR850" s="242" t="b">
        <f>IF(AQ850="x",EOMONTH(I850,0))</f>
        <v>0</v>
      </c>
      <c r="AS850" s="79">
        <f>IF(AH850&lt;0,0,1)</f>
        <v>1</v>
      </c>
      <c r="AT850" s="79">
        <f>IF(AL850&lt;0,0,1)</f>
        <v>1</v>
      </c>
      <c r="AU850" s="79" t="str">
        <f>MID(E850,1,1)</f>
        <v>B</v>
      </c>
      <c r="AV850" s="79">
        <f>IF(AG850&lt;0,0,1)</f>
        <v>1</v>
      </c>
      <c r="AW850" s="79" t="str">
        <f>J850&amp;AU850</f>
        <v>INTEGRALB</v>
      </c>
      <c r="AX850" s="79">
        <f>IF(COUNTIFS(J:J,"Integral",E:E,E850,H:H,"Ativo")=4,1/4,1/10)</f>
        <v>0.1</v>
      </c>
      <c r="AY850" s="79" t="s">
        <v>1535</v>
      </c>
      <c r="AZ850" s="79" t="b">
        <v>1</v>
      </c>
    </row>
    <row r="851" spans="1:52" ht="15" customHeight="1">
      <c r="A851" s="54">
        <v>880</v>
      </c>
      <c r="B851" s="405">
        <v>45573</v>
      </c>
      <c r="C851" s="351" t="s">
        <v>2556</v>
      </c>
      <c r="D851" s="32" t="s">
        <v>2562</v>
      </c>
      <c r="E851" s="32" t="s">
        <v>2558</v>
      </c>
      <c r="F851" s="32" t="s">
        <v>2563</v>
      </c>
      <c r="G851" s="60" t="s">
        <v>220</v>
      </c>
      <c r="H851" s="33" t="s">
        <v>90</v>
      </c>
      <c r="I851" s="34"/>
      <c r="J851" s="33" t="s">
        <v>1701</v>
      </c>
      <c r="K851" s="56" t="s">
        <v>1755</v>
      </c>
      <c r="L851" s="56" t="s">
        <v>1755</v>
      </c>
      <c r="M851" s="386" t="s">
        <v>1755</v>
      </c>
      <c r="N851" s="33" t="s">
        <v>73</v>
      </c>
      <c r="O851" s="33" t="s">
        <v>11</v>
      </c>
      <c r="P851" s="33" t="s">
        <v>85</v>
      </c>
      <c r="Q851" s="47" t="s">
        <v>97</v>
      </c>
      <c r="R851" s="47"/>
      <c r="S851" s="45" t="s">
        <v>147</v>
      </c>
      <c r="T851" s="45"/>
      <c r="U851" s="37">
        <v>45174</v>
      </c>
      <c r="V851" s="38">
        <f>B851</f>
        <v>45573</v>
      </c>
      <c r="W851" s="50">
        <f>V851-U851</f>
        <v>399</v>
      </c>
      <c r="X851" s="294">
        <v>327252.84000000003</v>
      </c>
      <c r="Y851" s="260">
        <v>327252.84000000003</v>
      </c>
      <c r="Z851" s="260">
        <v>264000</v>
      </c>
      <c r="AA851" s="56"/>
      <c r="AB851" s="43">
        <v>0.5</v>
      </c>
      <c r="AC851" s="295">
        <v>0</v>
      </c>
      <c r="AD851" s="62">
        <v>8.1199999999999994E-2</v>
      </c>
      <c r="AE851" s="291"/>
      <c r="AF851" s="40"/>
      <c r="AG851" s="291"/>
      <c r="AH851" s="40">
        <f>Y851-Z851</f>
        <v>63252.840000000026</v>
      </c>
      <c r="AI851" s="242"/>
      <c r="AJ851" s="242"/>
      <c r="AK851" s="291">
        <v>21463.11</v>
      </c>
      <c r="AL851" s="40">
        <f>AH851-AK851</f>
        <v>41789.730000000025</v>
      </c>
      <c r="AM851" s="242">
        <f>IFERROR(EOMONTH(B851,0),"Pendente")</f>
        <v>45596</v>
      </c>
      <c r="AN851" s="242" t="str">
        <f>IF(AQ851="x","",IF(AQ851="x",AM851,IF(EOMONTH(I851,0)=31,"",EOMONTH(I851,0))))</f>
        <v/>
      </c>
      <c r="AO851" s="364">
        <f>IFERROR(IF(VLOOKUP(C851,C852:C1452,1,0)=0,1,0),1)</f>
        <v>0</v>
      </c>
      <c r="AP851" s="364"/>
      <c r="AQ851" s="243" t="str">
        <f>IF(MID(G851,1,15)="NAO ASSINADO","x","")</f>
        <v/>
      </c>
      <c r="AR851" s="242" t="b">
        <f>IF(AQ851="x",EOMONTH(I851,0))</f>
        <v>0</v>
      </c>
      <c r="AS851" s="79">
        <f>IF(AH851&lt;0,0,1)</f>
        <v>1</v>
      </c>
      <c r="AT851" s="79">
        <f>IF(AL851&lt;0,0,1)</f>
        <v>1</v>
      </c>
      <c r="AU851" s="79" t="str">
        <f>MID(E851,1,1)</f>
        <v>B</v>
      </c>
      <c r="AV851" s="79">
        <f>IF(AG851&lt;0,0,1)</f>
        <v>1</v>
      </c>
      <c r="AW851" s="79" t="str">
        <f>J851&amp;AU851</f>
        <v>INTEGRALB</v>
      </c>
      <c r="AX851" s="79">
        <f>IF(COUNTIFS(J:J,"Integral",E:E,E851,H:H,"Ativo")=4,1/4,1/10)</f>
        <v>0.1</v>
      </c>
      <c r="AY851" s="79" t="s">
        <v>1535</v>
      </c>
      <c r="AZ851" s="79" t="b">
        <v>1</v>
      </c>
    </row>
    <row r="852" spans="1:52" ht="15" customHeight="1">
      <c r="A852" s="54">
        <v>881</v>
      </c>
      <c r="B852" s="405">
        <v>45573</v>
      </c>
      <c r="C852" s="351" t="s">
        <v>2556</v>
      </c>
      <c r="D852" s="32" t="s">
        <v>2564</v>
      </c>
      <c r="E852" s="32" t="s">
        <v>2558</v>
      </c>
      <c r="F852" s="32" t="s">
        <v>2565</v>
      </c>
      <c r="G852" s="60" t="s">
        <v>220</v>
      </c>
      <c r="H852" s="33" t="s">
        <v>90</v>
      </c>
      <c r="I852" s="34"/>
      <c r="J852" s="33" t="s">
        <v>1701</v>
      </c>
      <c r="K852" s="56" t="s">
        <v>1755</v>
      </c>
      <c r="L852" s="56" t="s">
        <v>1755</v>
      </c>
      <c r="M852" s="386" t="s">
        <v>1755</v>
      </c>
      <c r="N852" s="33" t="s">
        <v>73</v>
      </c>
      <c r="O852" s="33" t="s">
        <v>11</v>
      </c>
      <c r="P852" s="33" t="s">
        <v>85</v>
      </c>
      <c r="Q852" s="47" t="s">
        <v>97</v>
      </c>
      <c r="R852" s="47"/>
      <c r="S852" s="45" t="s">
        <v>147</v>
      </c>
      <c r="T852" s="45"/>
      <c r="U852" s="37">
        <v>45174</v>
      </c>
      <c r="V852" s="38">
        <f>B852</f>
        <v>45573</v>
      </c>
      <c r="W852" s="50">
        <f>V852-U852</f>
        <v>399</v>
      </c>
      <c r="X852" s="294">
        <v>327252.84000000003</v>
      </c>
      <c r="Y852" s="260">
        <v>327252.84000000003</v>
      </c>
      <c r="Z852" s="260">
        <v>264000</v>
      </c>
      <c r="AA852" s="56"/>
      <c r="AB852" s="43">
        <v>0.5</v>
      </c>
      <c r="AC852" s="295">
        <v>0</v>
      </c>
      <c r="AD852" s="62">
        <v>8.1199999999999994E-2</v>
      </c>
      <c r="AE852" s="291"/>
      <c r="AF852" s="40"/>
      <c r="AG852" s="291"/>
      <c r="AH852" s="40">
        <f>Y852-Z852</f>
        <v>63252.840000000026</v>
      </c>
      <c r="AI852" s="242"/>
      <c r="AJ852" s="242"/>
      <c r="AK852" s="291">
        <v>21463.11</v>
      </c>
      <c r="AL852" s="40">
        <f>AH852-AK852</f>
        <v>41789.730000000025</v>
      </c>
      <c r="AM852" s="242">
        <f>IFERROR(EOMONTH(B852,0),"Pendente")</f>
        <v>45596</v>
      </c>
      <c r="AN852" s="242" t="str">
        <f>IF(AQ852="x","",IF(AQ852="x",AM852,IF(EOMONTH(I852,0)=31,"",EOMONTH(I852,0))))</f>
        <v/>
      </c>
      <c r="AO852" s="364">
        <f>IFERROR(IF(VLOOKUP(C852,C853:C1453,1,0)=0,1,0),1)</f>
        <v>0</v>
      </c>
      <c r="AP852" s="364"/>
      <c r="AQ852" s="243" t="str">
        <f>IF(MID(G852,1,15)="NAO ASSINADO","x","")</f>
        <v/>
      </c>
      <c r="AR852" s="242" t="b">
        <f>IF(AQ852="x",EOMONTH(I852,0))</f>
        <v>0</v>
      </c>
      <c r="AS852" s="79">
        <f>IF(AH852&lt;0,0,1)</f>
        <v>1</v>
      </c>
      <c r="AT852" s="79">
        <f>IF(AL852&lt;0,0,1)</f>
        <v>1</v>
      </c>
      <c r="AU852" s="79" t="str">
        <f>MID(E852,1,1)</f>
        <v>B</v>
      </c>
      <c r="AV852" s="79">
        <f>IF(AG852&lt;0,0,1)</f>
        <v>1</v>
      </c>
      <c r="AW852" s="79" t="str">
        <f>J852&amp;AU852</f>
        <v>INTEGRALB</v>
      </c>
      <c r="AX852" s="79">
        <f>IF(COUNTIFS(J:J,"Integral",E:E,E852,H:H,"Ativo")=4,1/4,1/10)</f>
        <v>0.1</v>
      </c>
      <c r="AY852" s="79" t="s">
        <v>1535</v>
      </c>
      <c r="AZ852" s="79" t="b">
        <v>1</v>
      </c>
    </row>
    <row r="853" spans="1:52" ht="15" customHeight="1">
      <c r="A853" s="54">
        <v>882</v>
      </c>
      <c r="B853" s="405">
        <v>45573</v>
      </c>
      <c r="C853" s="351" t="s">
        <v>2556</v>
      </c>
      <c r="D853" s="32" t="s">
        <v>2566</v>
      </c>
      <c r="E853" s="32" t="s">
        <v>2558</v>
      </c>
      <c r="F853" s="32" t="s">
        <v>2567</v>
      </c>
      <c r="G853" s="60" t="s">
        <v>220</v>
      </c>
      <c r="H853" s="33" t="s">
        <v>90</v>
      </c>
      <c r="I853" s="34"/>
      <c r="J853" s="33" t="s">
        <v>1701</v>
      </c>
      <c r="K853" s="56" t="s">
        <v>1755</v>
      </c>
      <c r="L853" s="56" t="s">
        <v>1755</v>
      </c>
      <c r="M853" s="386" t="s">
        <v>1755</v>
      </c>
      <c r="N853" s="33" t="s">
        <v>73</v>
      </c>
      <c r="O853" s="33" t="s">
        <v>11</v>
      </c>
      <c r="P853" s="33" t="s">
        <v>85</v>
      </c>
      <c r="Q853" s="47" t="s">
        <v>97</v>
      </c>
      <c r="R853" s="47"/>
      <c r="S853" s="45" t="s">
        <v>147</v>
      </c>
      <c r="T853" s="45"/>
      <c r="U853" s="37">
        <v>45174</v>
      </c>
      <c r="V853" s="38">
        <f>B853</f>
        <v>45573</v>
      </c>
      <c r="W853" s="50">
        <f>V853-U853</f>
        <v>399</v>
      </c>
      <c r="X853" s="294">
        <v>327252.84000000003</v>
      </c>
      <c r="Y853" s="260">
        <v>327252.84000000003</v>
      </c>
      <c r="Z853" s="260">
        <v>264000</v>
      </c>
      <c r="AA853" s="56"/>
      <c r="AB853" s="43">
        <v>0.5</v>
      </c>
      <c r="AC853" s="295">
        <v>0</v>
      </c>
      <c r="AD853" s="62">
        <v>8.1199999999999994E-2</v>
      </c>
      <c r="AE853" s="291"/>
      <c r="AF853" s="40"/>
      <c r="AG853" s="291"/>
      <c r="AH853" s="40">
        <f>Y853-Z853</f>
        <v>63252.840000000026</v>
      </c>
      <c r="AI853" s="242"/>
      <c r="AJ853" s="242"/>
      <c r="AK853" s="291">
        <v>21463.11</v>
      </c>
      <c r="AL853" s="40">
        <f>AH853-AK853</f>
        <v>41789.730000000025</v>
      </c>
      <c r="AM853" s="242">
        <f>IFERROR(EOMONTH(B853,0),"Pendente")</f>
        <v>45596</v>
      </c>
      <c r="AN853" s="242" t="str">
        <f>IF(AQ853="x","",IF(AQ853="x",AM853,IF(EOMONTH(I853,0)=31,"",EOMONTH(I853,0))))</f>
        <v/>
      </c>
      <c r="AO853" s="364">
        <f>IFERROR(IF(VLOOKUP(C853,C854:C1454,1,0)=0,1,0),1)</f>
        <v>0</v>
      </c>
      <c r="AP853" s="364"/>
      <c r="AQ853" s="243" t="str">
        <f>IF(MID(G853,1,15)="NAO ASSINADO","x","")</f>
        <v/>
      </c>
      <c r="AR853" s="242" t="b">
        <f>IF(AQ853="x",EOMONTH(I853,0))</f>
        <v>0</v>
      </c>
      <c r="AS853" s="79">
        <f>IF(AH853&lt;0,0,1)</f>
        <v>1</v>
      </c>
      <c r="AT853" s="79">
        <f>IF(AL853&lt;0,0,1)</f>
        <v>1</v>
      </c>
      <c r="AU853" s="79" t="str">
        <f>MID(E853,1,1)</f>
        <v>B</v>
      </c>
      <c r="AV853" s="79">
        <f>IF(AG853&lt;0,0,1)</f>
        <v>1</v>
      </c>
      <c r="AW853" s="79" t="str">
        <f>J853&amp;AU853</f>
        <v>INTEGRALB</v>
      </c>
      <c r="AX853" s="79">
        <f>IF(COUNTIFS(J:J,"Integral",E:E,E853,H:H,"Ativo")=4,1/4,1/10)</f>
        <v>0.1</v>
      </c>
      <c r="AY853" s="79" t="s">
        <v>1535</v>
      </c>
      <c r="AZ853" s="79" t="b">
        <v>1</v>
      </c>
    </row>
    <row r="854" spans="1:52" ht="15" customHeight="1">
      <c r="A854" s="54">
        <v>883</v>
      </c>
      <c r="B854" s="405">
        <v>45573</v>
      </c>
      <c r="C854" s="351" t="s">
        <v>2556</v>
      </c>
      <c r="D854" s="32" t="s">
        <v>2568</v>
      </c>
      <c r="E854" s="32" t="s">
        <v>2558</v>
      </c>
      <c r="F854" s="32" t="s">
        <v>2569</v>
      </c>
      <c r="G854" s="60" t="s">
        <v>220</v>
      </c>
      <c r="H854" s="33" t="s">
        <v>90</v>
      </c>
      <c r="I854" s="34"/>
      <c r="J854" s="33" t="s">
        <v>1701</v>
      </c>
      <c r="K854" s="56" t="s">
        <v>1755</v>
      </c>
      <c r="L854" s="56" t="s">
        <v>1755</v>
      </c>
      <c r="M854" s="386" t="s">
        <v>1755</v>
      </c>
      <c r="N854" s="33" t="s">
        <v>73</v>
      </c>
      <c r="O854" s="33" t="s">
        <v>11</v>
      </c>
      <c r="P854" s="33" t="s">
        <v>85</v>
      </c>
      <c r="Q854" s="47" t="s">
        <v>97</v>
      </c>
      <c r="R854" s="47"/>
      <c r="S854" s="45" t="s">
        <v>147</v>
      </c>
      <c r="T854" s="45"/>
      <c r="U854" s="37">
        <v>45174</v>
      </c>
      <c r="V854" s="38">
        <f>B854</f>
        <v>45573</v>
      </c>
      <c r="W854" s="50">
        <f>V854-U854</f>
        <v>399</v>
      </c>
      <c r="X854" s="294">
        <v>327252.84000000003</v>
      </c>
      <c r="Y854" s="260">
        <v>327252.84000000003</v>
      </c>
      <c r="Z854" s="260">
        <v>264000</v>
      </c>
      <c r="AA854" s="56"/>
      <c r="AB854" s="43">
        <v>0.5</v>
      </c>
      <c r="AC854" s="295">
        <v>0</v>
      </c>
      <c r="AD854" s="62">
        <v>8.1199999999999994E-2</v>
      </c>
      <c r="AE854" s="291"/>
      <c r="AF854" s="40"/>
      <c r="AG854" s="291"/>
      <c r="AH854" s="40">
        <f>Y854-Z854</f>
        <v>63252.840000000026</v>
      </c>
      <c r="AI854" s="242"/>
      <c r="AJ854" s="242"/>
      <c r="AK854" s="291">
        <v>21463.11</v>
      </c>
      <c r="AL854" s="40">
        <f>AH854-AK854</f>
        <v>41789.730000000025</v>
      </c>
      <c r="AM854" s="242">
        <f>IFERROR(EOMONTH(B854,0),"Pendente")</f>
        <v>45596</v>
      </c>
      <c r="AN854" s="242" t="str">
        <f>IF(AQ854="x","",IF(AQ854="x",AM854,IF(EOMONTH(I854,0)=31,"",EOMONTH(I854,0))))</f>
        <v/>
      </c>
      <c r="AO854" s="364">
        <f>IFERROR(IF(VLOOKUP(C854,C855:C1455,1,0)=0,1,0),1)</f>
        <v>0</v>
      </c>
      <c r="AP854" s="364"/>
      <c r="AQ854" s="243" t="str">
        <f>IF(MID(G854,1,15)="NAO ASSINADO","x","")</f>
        <v/>
      </c>
      <c r="AR854" s="242" t="b">
        <f>IF(AQ854="x",EOMONTH(I854,0))</f>
        <v>0</v>
      </c>
      <c r="AS854" s="79">
        <f>IF(AH854&lt;0,0,1)</f>
        <v>1</v>
      </c>
      <c r="AT854" s="79">
        <f>IF(AL854&lt;0,0,1)</f>
        <v>1</v>
      </c>
      <c r="AU854" s="79" t="str">
        <f>MID(E854,1,1)</f>
        <v>B</v>
      </c>
      <c r="AV854" s="79">
        <f>IF(AG854&lt;0,0,1)</f>
        <v>1</v>
      </c>
      <c r="AW854" s="79" t="str">
        <f>J854&amp;AU854</f>
        <v>INTEGRALB</v>
      </c>
      <c r="AX854" s="79">
        <f>IF(COUNTIFS(J:J,"Integral",E:E,E854,H:H,"Ativo")=4,1/4,1/10)</f>
        <v>0.1</v>
      </c>
      <c r="AY854" s="79" t="s">
        <v>1535</v>
      </c>
      <c r="AZ854" s="79" t="b">
        <v>1</v>
      </c>
    </row>
    <row r="855" spans="1:52" ht="15" customHeight="1">
      <c r="A855" s="54">
        <v>884</v>
      </c>
      <c r="B855" s="405">
        <v>45573</v>
      </c>
      <c r="C855" s="351" t="s">
        <v>2556</v>
      </c>
      <c r="D855" s="32" t="s">
        <v>2570</v>
      </c>
      <c r="E855" s="32" t="s">
        <v>2558</v>
      </c>
      <c r="F855" s="32" t="s">
        <v>2571</v>
      </c>
      <c r="G855" s="60" t="s">
        <v>220</v>
      </c>
      <c r="H855" s="33" t="s">
        <v>90</v>
      </c>
      <c r="I855" s="34"/>
      <c r="J855" s="33" t="s">
        <v>1701</v>
      </c>
      <c r="K855" s="56" t="s">
        <v>1755</v>
      </c>
      <c r="L855" s="56" t="s">
        <v>1755</v>
      </c>
      <c r="M855" s="386" t="s">
        <v>1755</v>
      </c>
      <c r="N855" s="33" t="s">
        <v>73</v>
      </c>
      <c r="O855" s="33" t="s">
        <v>11</v>
      </c>
      <c r="P855" s="33" t="s">
        <v>85</v>
      </c>
      <c r="Q855" s="47" t="s">
        <v>97</v>
      </c>
      <c r="R855" s="47"/>
      <c r="S855" s="45" t="s">
        <v>147</v>
      </c>
      <c r="T855" s="45"/>
      <c r="U855" s="37">
        <v>45174</v>
      </c>
      <c r="V855" s="38">
        <f>B855</f>
        <v>45573</v>
      </c>
      <c r="W855" s="50">
        <f>V855-U855</f>
        <v>399</v>
      </c>
      <c r="X855" s="294">
        <v>327252.84000000003</v>
      </c>
      <c r="Y855" s="260">
        <v>327252.84000000003</v>
      </c>
      <c r="Z855" s="260">
        <v>264000</v>
      </c>
      <c r="AA855" s="56"/>
      <c r="AB855" s="43">
        <v>0.5</v>
      </c>
      <c r="AC855" s="295">
        <v>0</v>
      </c>
      <c r="AD855" s="62">
        <v>8.1199999999999994E-2</v>
      </c>
      <c r="AE855" s="291"/>
      <c r="AF855" s="40"/>
      <c r="AG855" s="291"/>
      <c r="AH855" s="40">
        <f>Y855-Z855</f>
        <v>63252.840000000026</v>
      </c>
      <c r="AI855" s="242"/>
      <c r="AJ855" s="242"/>
      <c r="AK855" s="291">
        <v>21463.11</v>
      </c>
      <c r="AL855" s="40">
        <f>AH855-AK855</f>
        <v>41789.730000000025</v>
      </c>
      <c r="AM855" s="242">
        <f>IFERROR(EOMONTH(B855,0),"Pendente")</f>
        <v>45596</v>
      </c>
      <c r="AN855" s="242" t="str">
        <f>IF(AQ855="x","",IF(AQ855="x",AM855,IF(EOMONTH(I855,0)=31,"",EOMONTH(I855,0))))</f>
        <v/>
      </c>
      <c r="AO855" s="364">
        <f>IFERROR(IF(VLOOKUP(C855,C856:C1456,1,0)=0,1,0),1)</f>
        <v>0</v>
      </c>
      <c r="AP855" s="364"/>
      <c r="AQ855" s="243" t="str">
        <f>IF(MID(G855,1,15)="NAO ASSINADO","x","")</f>
        <v/>
      </c>
      <c r="AR855" s="242" t="b">
        <f>IF(AQ855="x",EOMONTH(I855,0))</f>
        <v>0</v>
      </c>
      <c r="AS855" s="79">
        <f>IF(AH855&lt;0,0,1)</f>
        <v>1</v>
      </c>
      <c r="AT855" s="79">
        <f>IF(AL855&lt;0,0,1)</f>
        <v>1</v>
      </c>
      <c r="AU855" s="79" t="str">
        <f>MID(E855,1,1)</f>
        <v>B</v>
      </c>
      <c r="AV855" s="79">
        <f>IF(AG855&lt;0,0,1)</f>
        <v>1</v>
      </c>
      <c r="AW855" s="79" t="str">
        <f>J855&amp;AU855</f>
        <v>INTEGRALB</v>
      </c>
      <c r="AX855" s="79">
        <f>IF(COUNTIFS(J:J,"Integral",E:E,E855,H:H,"Ativo")=4,1/4,1/10)</f>
        <v>0.1</v>
      </c>
      <c r="AY855" s="79" t="s">
        <v>1535</v>
      </c>
      <c r="AZ855" s="79" t="b">
        <v>1</v>
      </c>
    </row>
    <row r="856" spans="1:52" ht="15" customHeight="1">
      <c r="A856" s="54">
        <v>885</v>
      </c>
      <c r="B856" s="405">
        <v>45573</v>
      </c>
      <c r="C856" s="351" t="s">
        <v>2556</v>
      </c>
      <c r="D856" s="32" t="s">
        <v>2572</v>
      </c>
      <c r="E856" s="32" t="s">
        <v>2558</v>
      </c>
      <c r="F856" s="32" t="s">
        <v>2573</v>
      </c>
      <c r="G856" s="60" t="s">
        <v>220</v>
      </c>
      <c r="H856" s="33" t="s">
        <v>90</v>
      </c>
      <c r="I856" s="34"/>
      <c r="J856" s="33" t="s">
        <v>1701</v>
      </c>
      <c r="K856" s="56" t="s">
        <v>1755</v>
      </c>
      <c r="L856" s="56" t="s">
        <v>1755</v>
      </c>
      <c r="M856" s="386" t="s">
        <v>1755</v>
      </c>
      <c r="N856" s="33" t="s">
        <v>73</v>
      </c>
      <c r="O856" s="33" t="s">
        <v>11</v>
      </c>
      <c r="P856" s="33" t="s">
        <v>85</v>
      </c>
      <c r="Q856" s="47" t="s">
        <v>97</v>
      </c>
      <c r="R856" s="47"/>
      <c r="S856" s="45" t="s">
        <v>147</v>
      </c>
      <c r="T856" s="45"/>
      <c r="U856" s="37">
        <v>45174</v>
      </c>
      <c r="V856" s="38">
        <f>B856</f>
        <v>45573</v>
      </c>
      <c r="W856" s="50">
        <f>V856-U856</f>
        <v>399</v>
      </c>
      <c r="X856" s="260">
        <v>327252.86</v>
      </c>
      <c r="Y856" s="260">
        <v>327252.86</v>
      </c>
      <c r="Z856" s="260">
        <v>264000</v>
      </c>
      <c r="AA856" s="56"/>
      <c r="AB856" s="43">
        <v>0.5</v>
      </c>
      <c r="AC856" s="295">
        <v>0</v>
      </c>
      <c r="AD856" s="62">
        <v>8.1199999999999994E-2</v>
      </c>
      <c r="AE856" s="291"/>
      <c r="AF856" s="40"/>
      <c r="AG856" s="291"/>
      <c r="AH856" s="40">
        <f>Y856-Z856</f>
        <v>63252.859999999986</v>
      </c>
      <c r="AI856" s="242"/>
      <c r="AJ856" s="242"/>
      <c r="AK856" s="291">
        <v>21463.11</v>
      </c>
      <c r="AL856" s="40">
        <f>AH856-AK856</f>
        <v>41789.749999999985</v>
      </c>
      <c r="AM856" s="242">
        <f>IFERROR(EOMONTH(B856,0),"Pendente")</f>
        <v>45596</v>
      </c>
      <c r="AN856" s="242" t="str">
        <f>IF(AQ856="x","",IF(AQ856="x",AM856,IF(EOMONTH(I856,0)=31,"",EOMONTH(I856,0))))</f>
        <v/>
      </c>
      <c r="AO856" s="364">
        <f>IFERROR(IF(VLOOKUP(C856,C857:C1457,1,0)=0,1,0),1)</f>
        <v>0</v>
      </c>
      <c r="AP856" s="364"/>
      <c r="AQ856" s="243" t="str">
        <f>IF(MID(G856,1,15)="NAO ASSINADO","x","")</f>
        <v/>
      </c>
      <c r="AR856" s="242" t="b">
        <f>IF(AQ856="x",EOMONTH(I856,0))</f>
        <v>0</v>
      </c>
      <c r="AS856" s="79">
        <f>IF(AH856&lt;0,0,1)</f>
        <v>1</v>
      </c>
      <c r="AT856" s="79">
        <f>IF(AL856&lt;0,0,1)</f>
        <v>1</v>
      </c>
      <c r="AU856" s="79" t="str">
        <f>MID(E856,1,1)</f>
        <v>B</v>
      </c>
      <c r="AV856" s="79">
        <f>IF(AG856&lt;0,0,1)</f>
        <v>1</v>
      </c>
      <c r="AW856" s="79" t="str">
        <f>J856&amp;AU856</f>
        <v>INTEGRALB</v>
      </c>
      <c r="AX856" s="79">
        <f>IF(COUNTIFS(J:J,"Integral",E:E,E856,H:H,"Ativo")=4,1/4,1/10)</f>
        <v>0.1</v>
      </c>
      <c r="AY856" s="79" t="s">
        <v>1535</v>
      </c>
      <c r="AZ856" s="79" t="b">
        <v>1</v>
      </c>
    </row>
    <row r="857" spans="1:52" ht="15" customHeight="1">
      <c r="A857" s="54">
        <v>886</v>
      </c>
      <c r="B857" s="405">
        <v>45573</v>
      </c>
      <c r="C857" s="351" t="s">
        <v>2556</v>
      </c>
      <c r="D857" s="32" t="s">
        <v>2574</v>
      </c>
      <c r="E857" s="32" t="s">
        <v>2558</v>
      </c>
      <c r="F857" s="32" t="s">
        <v>2575</v>
      </c>
      <c r="G857" s="60" t="s">
        <v>220</v>
      </c>
      <c r="H857" s="33" t="s">
        <v>90</v>
      </c>
      <c r="I857" s="34"/>
      <c r="J857" s="33" t="s">
        <v>1701</v>
      </c>
      <c r="K857" s="56" t="s">
        <v>1755</v>
      </c>
      <c r="L857" s="56" t="s">
        <v>1755</v>
      </c>
      <c r="M857" s="386" t="s">
        <v>1755</v>
      </c>
      <c r="N857" s="33" t="s">
        <v>73</v>
      </c>
      <c r="O857" s="33" t="s">
        <v>11</v>
      </c>
      <c r="P857" s="33" t="s">
        <v>85</v>
      </c>
      <c r="Q857" s="47" t="s">
        <v>97</v>
      </c>
      <c r="R857" s="47"/>
      <c r="S857" s="45" t="s">
        <v>147</v>
      </c>
      <c r="T857" s="45"/>
      <c r="U857" s="37">
        <v>45174</v>
      </c>
      <c r="V857" s="38">
        <f>B857</f>
        <v>45573</v>
      </c>
      <c r="W857" s="50">
        <f>V857-U857</f>
        <v>399</v>
      </c>
      <c r="X857" s="260">
        <v>327252.86</v>
      </c>
      <c r="Y857" s="260">
        <v>327252.86</v>
      </c>
      <c r="Z857" s="260">
        <v>264000</v>
      </c>
      <c r="AA857" s="56"/>
      <c r="AB857" s="43">
        <v>0.5</v>
      </c>
      <c r="AC857" s="295">
        <v>0</v>
      </c>
      <c r="AD857" s="62">
        <v>8.1199999999999994E-2</v>
      </c>
      <c r="AE857" s="291"/>
      <c r="AF857" s="40"/>
      <c r="AG857" s="291"/>
      <c r="AH857" s="40">
        <f>Y857-Z857</f>
        <v>63252.859999999986</v>
      </c>
      <c r="AI857" s="242"/>
      <c r="AJ857" s="242"/>
      <c r="AK857" s="291">
        <v>21463.11</v>
      </c>
      <c r="AL857" s="40">
        <f>AH857-AK857</f>
        <v>41789.749999999985</v>
      </c>
      <c r="AM857" s="242">
        <f>IFERROR(EOMONTH(B857,0),"Pendente")</f>
        <v>45596</v>
      </c>
      <c r="AN857" s="242" t="str">
        <f>IF(AQ857="x","",IF(AQ857="x",AM857,IF(EOMONTH(I857,0)=31,"",EOMONTH(I857,0))))</f>
        <v/>
      </c>
      <c r="AO857" s="364">
        <f>IFERROR(IF(VLOOKUP(C857,C858:C1458,1,0)=0,1,0),1)</f>
        <v>0</v>
      </c>
      <c r="AP857" s="364"/>
      <c r="AQ857" s="243" t="str">
        <f>IF(MID(G857,1,15)="NAO ASSINADO","x","")</f>
        <v/>
      </c>
      <c r="AR857" s="242" t="b">
        <f>IF(AQ857="x",EOMONTH(I857,0))</f>
        <v>0</v>
      </c>
      <c r="AS857" s="79">
        <f>IF(AH857&lt;0,0,1)</f>
        <v>1</v>
      </c>
      <c r="AT857" s="79">
        <f>IF(AL857&lt;0,0,1)</f>
        <v>1</v>
      </c>
      <c r="AU857" s="79" t="str">
        <f>MID(E857,1,1)</f>
        <v>B</v>
      </c>
      <c r="AV857" s="79">
        <f>IF(AG857&lt;0,0,1)</f>
        <v>1</v>
      </c>
      <c r="AW857" s="79" t="str">
        <f>J857&amp;AU857</f>
        <v>INTEGRALB</v>
      </c>
      <c r="AX857" s="79">
        <f>IF(COUNTIFS(J:J,"Integral",E:E,E857,H:H,"Ativo")=4,1/4,1/10)</f>
        <v>0.1</v>
      </c>
      <c r="AY857" s="79" t="s">
        <v>1535</v>
      </c>
      <c r="AZ857" s="79" t="b">
        <v>1</v>
      </c>
    </row>
    <row r="858" spans="1:52" ht="15" customHeight="1">
      <c r="A858" s="54">
        <v>887</v>
      </c>
      <c r="B858" s="405">
        <v>45573</v>
      </c>
      <c r="C858" s="351" t="s">
        <v>2556</v>
      </c>
      <c r="D858" s="32" t="s">
        <v>2576</v>
      </c>
      <c r="E858" s="32" t="s">
        <v>2558</v>
      </c>
      <c r="F858" s="32" t="s">
        <v>2577</v>
      </c>
      <c r="G858" s="60" t="s">
        <v>220</v>
      </c>
      <c r="H858" s="33" t="s">
        <v>90</v>
      </c>
      <c r="I858" s="34"/>
      <c r="J858" s="33" t="s">
        <v>1701</v>
      </c>
      <c r="K858" s="56" t="s">
        <v>1755</v>
      </c>
      <c r="L858" s="56" t="s">
        <v>1755</v>
      </c>
      <c r="M858" s="386" t="s">
        <v>1755</v>
      </c>
      <c r="N858" s="33" t="s">
        <v>73</v>
      </c>
      <c r="O858" s="33" t="s">
        <v>11</v>
      </c>
      <c r="P858" s="33" t="s">
        <v>85</v>
      </c>
      <c r="Q858" s="47" t="s">
        <v>97</v>
      </c>
      <c r="R858" s="47"/>
      <c r="S858" s="45" t="s">
        <v>147</v>
      </c>
      <c r="T858" s="45"/>
      <c r="U858" s="37">
        <v>45174</v>
      </c>
      <c r="V858" s="38">
        <f>B858</f>
        <v>45573</v>
      </c>
      <c r="W858" s="50">
        <f>V858-U858</f>
        <v>399</v>
      </c>
      <c r="X858" s="260">
        <v>327252.86</v>
      </c>
      <c r="Y858" s="260">
        <v>327252.86</v>
      </c>
      <c r="Z858" s="260">
        <v>264000</v>
      </c>
      <c r="AA858" s="56"/>
      <c r="AB858" s="43">
        <v>0.5</v>
      </c>
      <c r="AC858" s="295">
        <v>0</v>
      </c>
      <c r="AD858" s="62">
        <v>8.1199999999999994E-2</v>
      </c>
      <c r="AE858" s="291"/>
      <c r="AF858" s="40"/>
      <c r="AG858" s="291"/>
      <c r="AH858" s="40">
        <f>Y858-Z858</f>
        <v>63252.859999999986</v>
      </c>
      <c r="AI858" s="242"/>
      <c r="AJ858" s="242"/>
      <c r="AK858" s="291">
        <v>21463.11</v>
      </c>
      <c r="AL858" s="40">
        <f>AH858-AK858</f>
        <v>41789.749999999985</v>
      </c>
      <c r="AM858" s="242">
        <f>IFERROR(EOMONTH(B858,0),"Pendente")</f>
        <v>45596</v>
      </c>
      <c r="AN858" s="242" t="str">
        <f>IF(AQ858="x","",IF(AQ858="x",AM858,IF(EOMONTH(I858,0)=31,"",EOMONTH(I858,0))))</f>
        <v/>
      </c>
      <c r="AO858" s="364">
        <f>IFERROR(IF(VLOOKUP(C858,C859:C1459,1,0)=0,1,0),1)</f>
        <v>1</v>
      </c>
      <c r="AP858" s="364"/>
      <c r="AQ858" s="243" t="str">
        <f>IF(MID(G858,1,15)="NAO ASSINADO","x","")</f>
        <v/>
      </c>
      <c r="AR858" s="242" t="b">
        <f>IF(AQ858="x",EOMONTH(I858,0))</f>
        <v>0</v>
      </c>
      <c r="AS858" s="79">
        <f>IF(AH858&lt;0,0,1)</f>
        <v>1</v>
      </c>
      <c r="AT858" s="79">
        <f>IF(AL858&lt;0,0,1)</f>
        <v>1</v>
      </c>
      <c r="AU858" s="79" t="str">
        <f>MID(E858,1,1)</f>
        <v>B</v>
      </c>
      <c r="AV858" s="79">
        <f>IF(AG858&lt;0,0,1)</f>
        <v>1</v>
      </c>
      <c r="AW858" s="79" t="str">
        <f>J858&amp;AU858</f>
        <v>INTEGRALB</v>
      </c>
      <c r="AX858" s="79">
        <f>IF(COUNTIFS(J:J,"Integral",E:E,E858,H:H,"Ativo")=4,1/4,1/10)</f>
        <v>0.1</v>
      </c>
      <c r="AY858" s="79" t="s">
        <v>1535</v>
      </c>
      <c r="AZ858" s="79" t="b">
        <v>1</v>
      </c>
    </row>
    <row r="859" spans="1:52" ht="15" customHeight="1">
      <c r="A859" s="54">
        <v>888</v>
      </c>
      <c r="B859" s="405">
        <v>45594</v>
      </c>
      <c r="C859" s="351" t="s">
        <v>2578</v>
      </c>
      <c r="D859" s="32" t="s">
        <v>2579</v>
      </c>
      <c r="E859" s="32" t="s">
        <v>2524</v>
      </c>
      <c r="F859" s="32" t="s">
        <v>2580</v>
      </c>
      <c r="G859" s="60" t="s">
        <v>220</v>
      </c>
      <c r="H859" s="33" t="s">
        <v>90</v>
      </c>
      <c r="I859" s="34"/>
      <c r="J859" s="33">
        <v>4</v>
      </c>
      <c r="K859" s="35" t="s">
        <v>289</v>
      </c>
      <c r="L859" s="35" t="s">
        <v>289</v>
      </c>
      <c r="M859" s="386" t="s">
        <v>246</v>
      </c>
      <c r="N859" s="33" t="s">
        <v>68</v>
      </c>
      <c r="O859" s="33" t="s">
        <v>12</v>
      </c>
      <c r="P859" s="33" t="s">
        <v>1</v>
      </c>
      <c r="Q859" s="47"/>
      <c r="R859" s="47"/>
      <c r="S859" s="45" t="s">
        <v>143</v>
      </c>
      <c r="T859" s="45"/>
      <c r="U859" s="37">
        <v>45583</v>
      </c>
      <c r="V859" s="38">
        <f>B859</f>
        <v>45594</v>
      </c>
      <c r="W859" s="50">
        <f>V859-U859</f>
        <v>11</v>
      </c>
      <c r="X859" s="260">
        <v>575913</v>
      </c>
      <c r="Y859" s="260">
        <v>606436.39</v>
      </c>
      <c r="Z859" s="260">
        <v>606000</v>
      </c>
      <c r="AA859" s="56" t="s">
        <v>1671</v>
      </c>
      <c r="AB859" s="43">
        <v>9.9000000000000005E-2</v>
      </c>
      <c r="AC859" s="295">
        <v>0</v>
      </c>
      <c r="AD859" s="62" t="s">
        <v>2581</v>
      </c>
      <c r="AE859" s="291"/>
      <c r="AF859" s="40"/>
      <c r="AG859" s="291">
        <v>6755.34</v>
      </c>
      <c r="AH859" s="40">
        <f>Y859-Z859</f>
        <v>436.39000000001397</v>
      </c>
      <c r="AI859" s="242"/>
      <c r="AJ859" s="242"/>
      <c r="AK859" s="291"/>
      <c r="AL859" s="40">
        <f>AH859-AK859</f>
        <v>436.39000000001397</v>
      </c>
      <c r="AM859" s="242">
        <f>IFERROR(EOMONTH(B859,0),"Pendente")</f>
        <v>45596</v>
      </c>
      <c r="AN859" s="242" t="str">
        <f>IF(AQ859="x","",IF(AQ859="x",AM859,IF(EOMONTH(I859,0)=31,"",EOMONTH(I859,0))))</f>
        <v/>
      </c>
      <c r="AO859" s="364">
        <f>IFERROR(IF(VLOOKUP(C859,C860:C1460,1,0)=0,1,0),1)</f>
        <v>1</v>
      </c>
      <c r="AP859" s="364"/>
      <c r="AQ859" s="243" t="str">
        <f>IF(MID(G859,1,15)="NAO ASSINADO","x","")</f>
        <v/>
      </c>
      <c r="AR859" s="242" t="b">
        <f>IF(AQ859="x",EOMONTH(I859,0))</f>
        <v>0</v>
      </c>
      <c r="AS859" s="79">
        <f>IF(AH859&lt;0,0,1)</f>
        <v>1</v>
      </c>
      <c r="AT859" s="79">
        <f>IF(AL859&lt;0,0,1)</f>
        <v>1</v>
      </c>
      <c r="AU859" s="79" t="str">
        <f>MID(E859,1,1)</f>
        <v>C</v>
      </c>
      <c r="AV859" s="79">
        <f>IF(AG859&lt;0,0,1)</f>
        <v>1</v>
      </c>
      <c r="AW859" s="79" t="str">
        <f>J859&amp;AU859</f>
        <v>4C</v>
      </c>
      <c r="AX859" s="79">
        <f>IF(COUNTIFS(J:J,"Integral",E:E,E859,H:H,"Ativo")=4,1/4,1/10)</f>
        <v>0.1</v>
      </c>
      <c r="AY859" s="79" t="s">
        <v>1535</v>
      </c>
      <c r="AZ859" s="79" t="b">
        <v>1</v>
      </c>
    </row>
    <row r="860" spans="1:52" ht="15" customHeight="1">
      <c r="A860" s="54">
        <v>818</v>
      </c>
      <c r="B860" s="405">
        <v>45534</v>
      </c>
      <c r="C860" s="32" t="s">
        <v>2582</v>
      </c>
      <c r="D860" s="32" t="s">
        <v>2583</v>
      </c>
      <c r="E860" s="32" t="s">
        <v>753</v>
      </c>
      <c r="F860" s="32" t="s">
        <v>2584</v>
      </c>
      <c r="G860" s="60" t="s">
        <v>220</v>
      </c>
      <c r="H860" s="33" t="s">
        <v>90</v>
      </c>
      <c r="I860" s="34"/>
      <c r="J860" s="33">
        <v>6</v>
      </c>
      <c r="K860" s="56" t="s">
        <v>1891</v>
      </c>
      <c r="L860" s="56" t="s">
        <v>1891</v>
      </c>
      <c r="M860" s="386" t="s">
        <v>1026</v>
      </c>
      <c r="N860" s="33" t="s">
        <v>68</v>
      </c>
      <c r="O860" s="33" t="s">
        <v>11</v>
      </c>
      <c r="P860" s="33" t="s">
        <v>86</v>
      </c>
      <c r="Q860" s="47" t="s">
        <v>104</v>
      </c>
      <c r="R860" s="47"/>
      <c r="S860" s="45" t="s">
        <v>147</v>
      </c>
      <c r="T860" s="45"/>
      <c r="U860" s="37">
        <v>45534</v>
      </c>
      <c r="V860" s="38">
        <f>B860</f>
        <v>45534</v>
      </c>
      <c r="W860" s="50">
        <f>V860-U860</f>
        <v>0</v>
      </c>
      <c r="X860" s="294">
        <v>388458.85</v>
      </c>
      <c r="Y860" s="260">
        <v>396000</v>
      </c>
      <c r="Z860" s="260">
        <v>332950</v>
      </c>
      <c r="AA860" s="35"/>
      <c r="AB860" s="43">
        <v>0.21310000000000001</v>
      </c>
      <c r="AC860" s="295">
        <v>0</v>
      </c>
      <c r="AD860" s="62" t="s">
        <v>2585</v>
      </c>
      <c r="AE860" s="291"/>
      <c r="AF860" s="65"/>
      <c r="AG860" s="291">
        <v>16791.75</v>
      </c>
      <c r="AH860" s="40">
        <f>Y860-Z860</f>
        <v>63050</v>
      </c>
      <c r="AI860" s="242"/>
      <c r="AJ860" s="242"/>
      <c r="AK860" s="291"/>
      <c r="AL860" s="40">
        <f>AH860-AK860</f>
        <v>63050</v>
      </c>
      <c r="AM860" s="242">
        <f>IFERROR(EOMONTH(B860,0),"Pendente")</f>
        <v>45535</v>
      </c>
      <c r="AN860" s="242" t="str">
        <f>IF(AQ860="x","",IF(AQ860="x",AM860,IF(EOMONTH(I860,0)=31,"",EOMONTH(I860,0))))</f>
        <v/>
      </c>
      <c r="AO860" s="79">
        <f>IFERROR(IF(VLOOKUP(C860,C861:C1461,1,0)=0,1,0),1)</f>
        <v>0</v>
      </c>
      <c r="AP860" s="79"/>
      <c r="AQ860" s="243" t="str">
        <f>IF(MID(G860,1,15)="NAO ASSINADO","x","")</f>
        <v/>
      </c>
      <c r="AR860" s="242" t="b">
        <f>IF(AQ860="x",EOMONTH(I860,0))</f>
        <v>0</v>
      </c>
      <c r="AS860" s="79">
        <f>IF(AH860&lt;0,0,1)</f>
        <v>1</v>
      </c>
      <c r="AT860" s="79">
        <f>IF(AL860&lt;0,0,1)</f>
        <v>1</v>
      </c>
      <c r="AU860" s="79" t="str">
        <f>MID(E860,1,1)</f>
        <v>B</v>
      </c>
      <c r="AV860" s="79">
        <f>IF(AG860&lt;0,0,1)</f>
        <v>1</v>
      </c>
      <c r="AW860" s="79" t="str">
        <f>J860&amp;AU860</f>
        <v>6B</v>
      </c>
      <c r="AX860" s="79">
        <f>IF(COUNTIFS(J:J,"Integral",E:E,E860,H:H,"Ativo")=4,1/4,1/10)</f>
        <v>0.1</v>
      </c>
      <c r="AY860" s="79" t="s">
        <v>1332</v>
      </c>
      <c r="AZ860" s="79" t="b">
        <v>0</v>
      </c>
    </row>
    <row r="861" spans="1:52" ht="15" customHeight="1">
      <c r="A861" s="54">
        <v>819</v>
      </c>
      <c r="B861" s="405">
        <v>45534</v>
      </c>
      <c r="C861" s="32" t="s">
        <v>2582</v>
      </c>
      <c r="D861" s="32" t="s">
        <v>848</v>
      </c>
      <c r="E861" s="32" t="s">
        <v>753</v>
      </c>
      <c r="F861" s="32" t="s">
        <v>2586</v>
      </c>
      <c r="G861" s="60" t="s">
        <v>220</v>
      </c>
      <c r="H861" s="33" t="s">
        <v>90</v>
      </c>
      <c r="I861" s="34"/>
      <c r="J861" s="33">
        <v>6</v>
      </c>
      <c r="K861" s="56" t="s">
        <v>1891</v>
      </c>
      <c r="L861" s="56" t="s">
        <v>1891</v>
      </c>
      <c r="M861" s="386" t="s">
        <v>1026</v>
      </c>
      <c r="N861" s="33" t="s">
        <v>68</v>
      </c>
      <c r="O861" s="33" t="s">
        <v>11</v>
      </c>
      <c r="P861" s="33" t="s">
        <v>86</v>
      </c>
      <c r="Q861" s="47" t="s">
        <v>104</v>
      </c>
      <c r="R861" s="47"/>
      <c r="S861" s="45" t="s">
        <v>147</v>
      </c>
      <c r="T861" s="45"/>
      <c r="U861" s="37">
        <v>45534</v>
      </c>
      <c r="V861" s="38">
        <f>B861</f>
        <v>45534</v>
      </c>
      <c r="W861" s="50">
        <f>V861-U861</f>
        <v>0</v>
      </c>
      <c r="X861" s="294">
        <v>388458.85</v>
      </c>
      <c r="Y861" s="260">
        <v>396000</v>
      </c>
      <c r="Z861" s="260">
        <v>332950</v>
      </c>
      <c r="AA861" s="35"/>
      <c r="AB861" s="43">
        <v>0.21310000000000001</v>
      </c>
      <c r="AC861" s="295">
        <v>0</v>
      </c>
      <c r="AD861" s="62" t="s">
        <v>2585</v>
      </c>
      <c r="AE861" s="291"/>
      <c r="AF861" s="65"/>
      <c r="AG861" s="291">
        <v>16791.75</v>
      </c>
      <c r="AH861" s="40">
        <f>Y861-Z861</f>
        <v>63050</v>
      </c>
      <c r="AI861" s="242"/>
      <c r="AJ861" s="242"/>
      <c r="AK861" s="291"/>
      <c r="AL861" s="40">
        <f>AH861-AK861</f>
        <v>63050</v>
      </c>
      <c r="AM861" s="242">
        <f>IFERROR(EOMONTH(B861,0),"Pendente")</f>
        <v>45535</v>
      </c>
      <c r="AN861" s="242" t="str">
        <f>IF(AQ861="x","",IF(AQ861="x",AM861,IF(EOMONTH(I861,0)=31,"",EOMONTH(I861,0))))</f>
        <v/>
      </c>
      <c r="AO861" s="350">
        <v>1</v>
      </c>
      <c r="AP861" s="350"/>
      <c r="AQ861" s="243" t="str">
        <f>IF(MID(G861,1,15)="NAO ASSINADO","x","")</f>
        <v/>
      </c>
      <c r="AR861" s="242" t="b">
        <f>IF(AQ861="x",EOMONTH(I861,0))</f>
        <v>0</v>
      </c>
      <c r="AS861" s="79">
        <f>IF(AH861&lt;0,0,1)</f>
        <v>1</v>
      </c>
      <c r="AT861" s="79">
        <f>IF(AL861&lt;0,0,1)</f>
        <v>1</v>
      </c>
      <c r="AU861" s="79" t="str">
        <f>MID(E861,1,1)</f>
        <v>B</v>
      </c>
      <c r="AV861" s="79">
        <f>IF(AG861&lt;0,0,1)</f>
        <v>1</v>
      </c>
      <c r="AW861" s="79" t="str">
        <f>J861&amp;AU861</f>
        <v>6B</v>
      </c>
      <c r="AX861" s="79">
        <f>IF(COUNTIFS(J:J,"Integral",E:E,E861,H:H,"Ativo")=4,1/4,1/10)</f>
        <v>0.1</v>
      </c>
      <c r="AY861" s="79" t="s">
        <v>1332</v>
      </c>
      <c r="AZ861" s="79" t="b">
        <v>0</v>
      </c>
    </row>
    <row r="862" spans="1:52" ht="15" customHeight="1">
      <c r="A862" s="54">
        <v>835</v>
      </c>
      <c r="B862" s="405">
        <v>45546</v>
      </c>
      <c r="C862" s="32" t="s">
        <v>2582</v>
      </c>
      <c r="D862" s="32" t="s">
        <v>2587</v>
      </c>
      <c r="E862" s="32" t="s">
        <v>1238</v>
      </c>
      <c r="F862" s="32" t="s">
        <v>2588</v>
      </c>
      <c r="G862" s="60" t="s">
        <v>220</v>
      </c>
      <c r="H862" s="33" t="s">
        <v>90</v>
      </c>
      <c r="I862" s="34"/>
      <c r="J862" s="33">
        <v>4</v>
      </c>
      <c r="K862" s="56" t="s">
        <v>1891</v>
      </c>
      <c r="L862" s="56" t="s">
        <v>1891</v>
      </c>
      <c r="M862" s="386" t="s">
        <v>1026</v>
      </c>
      <c r="N862" s="33" t="s">
        <v>68</v>
      </c>
      <c r="O862" s="33" t="s">
        <v>11</v>
      </c>
      <c r="P862" s="33" t="s">
        <v>86</v>
      </c>
      <c r="Q862" s="47" t="s">
        <v>104</v>
      </c>
      <c r="R862" s="47"/>
      <c r="S862" s="45" t="s">
        <v>147</v>
      </c>
      <c r="T862" s="45"/>
      <c r="U862" s="37">
        <v>45534</v>
      </c>
      <c r="V862" s="38">
        <f>B862</f>
        <v>45546</v>
      </c>
      <c r="W862" s="50">
        <f>V862-U862</f>
        <v>12</v>
      </c>
      <c r="X862" s="294">
        <v>260629.99</v>
      </c>
      <c r="Y862" s="260">
        <v>266000</v>
      </c>
      <c r="Z862" s="260">
        <v>221966.68</v>
      </c>
      <c r="AA862" s="56"/>
      <c r="AB862" s="43">
        <v>0.1201</v>
      </c>
      <c r="AC862" s="295">
        <v>0</v>
      </c>
      <c r="AD862" s="62" t="s">
        <v>2589</v>
      </c>
      <c r="AE862" s="291"/>
      <c r="AF862" s="65"/>
      <c r="AG862" s="291"/>
      <c r="AH862" s="40">
        <f>Y862-Z862</f>
        <v>44033.320000000007</v>
      </c>
      <c r="AI862" s="242"/>
      <c r="AJ862" s="242"/>
      <c r="AK862" s="291">
        <v>9877.52</v>
      </c>
      <c r="AL862" s="40">
        <f>AH862-AK862</f>
        <v>34155.800000000003</v>
      </c>
      <c r="AM862" s="242">
        <f>IFERROR(EOMONTH(B862,0),"Pendente")</f>
        <v>45565</v>
      </c>
      <c r="AN862" s="242" t="str">
        <f>IF(AQ862="x","",IF(AQ862="x",AM862,IF(EOMONTH(I862,0)=31,"",EOMONTH(I862,0))))</f>
        <v/>
      </c>
      <c r="AO862" s="79">
        <f>IFERROR(IF(VLOOKUP(C862,C863:C1463,1,0)=0,1,0),1)</f>
        <v>0</v>
      </c>
      <c r="AP862" s="79"/>
      <c r="AQ862" s="243" t="str">
        <f>IF(MID(G862,1,15)="NAO ASSINADO","x","")</f>
        <v/>
      </c>
      <c r="AR862" s="242" t="b">
        <f>IF(AQ862="x",EOMONTH(I862,0))</f>
        <v>0</v>
      </c>
      <c r="AS862" s="79">
        <f>IF(AH862&lt;0,0,1)</f>
        <v>1</v>
      </c>
      <c r="AT862" s="79">
        <f>IF(AL862&lt;0,0,1)</f>
        <v>1</v>
      </c>
      <c r="AU862" s="79" t="str">
        <f>MID(E862,1,1)</f>
        <v>B</v>
      </c>
      <c r="AV862" s="79">
        <f>IF(AG862&lt;0,0,1)</f>
        <v>1</v>
      </c>
      <c r="AW862" s="79" t="str">
        <f>J862&amp;AU862</f>
        <v>4B</v>
      </c>
      <c r="AX862" s="79">
        <f>IF(COUNTIFS(J:J,"Integral",E:E,E862,H:H,"Ativo")=4,1/4,1/10)</f>
        <v>0.1</v>
      </c>
      <c r="AY862" s="79" t="s">
        <v>1332</v>
      </c>
      <c r="AZ862" s="79" t="b">
        <v>1</v>
      </c>
    </row>
    <row r="863" spans="1:52" ht="15" customHeight="1">
      <c r="A863" s="54">
        <v>836</v>
      </c>
      <c r="B863" s="405">
        <v>45546</v>
      </c>
      <c r="C863" s="32" t="s">
        <v>2582</v>
      </c>
      <c r="D863" s="32" t="s">
        <v>2590</v>
      </c>
      <c r="E863" s="32" t="s">
        <v>1238</v>
      </c>
      <c r="F863" s="32" t="s">
        <v>2591</v>
      </c>
      <c r="G863" s="60" t="s">
        <v>220</v>
      </c>
      <c r="H863" s="33" t="s">
        <v>90</v>
      </c>
      <c r="I863" s="34"/>
      <c r="J863" s="33">
        <v>4</v>
      </c>
      <c r="K863" s="56" t="s">
        <v>1891</v>
      </c>
      <c r="L863" s="56" t="s">
        <v>1891</v>
      </c>
      <c r="M863" s="386" t="s">
        <v>1026</v>
      </c>
      <c r="N863" s="33" t="s">
        <v>68</v>
      </c>
      <c r="O863" s="33" t="s">
        <v>11</v>
      </c>
      <c r="P863" s="33" t="s">
        <v>86</v>
      </c>
      <c r="Q863" s="47" t="s">
        <v>104</v>
      </c>
      <c r="R863" s="47"/>
      <c r="S863" s="45" t="s">
        <v>147</v>
      </c>
      <c r="T863" s="45"/>
      <c r="U863" s="37">
        <v>45534</v>
      </c>
      <c r="V863" s="38">
        <f>B863</f>
        <v>45546</v>
      </c>
      <c r="W863" s="50">
        <f>V863-U863</f>
        <v>12</v>
      </c>
      <c r="X863" s="294">
        <v>260629.99</v>
      </c>
      <c r="Y863" s="260">
        <v>266000</v>
      </c>
      <c r="Z863" s="260">
        <v>221966.66</v>
      </c>
      <c r="AA863" s="56"/>
      <c r="AB863" s="43">
        <v>0.1201</v>
      </c>
      <c r="AC863" s="295">
        <v>0</v>
      </c>
      <c r="AD863" s="62" t="s">
        <v>2589</v>
      </c>
      <c r="AE863" s="291"/>
      <c r="AF863" s="65"/>
      <c r="AG863" s="291"/>
      <c r="AH863" s="40">
        <f>Y863-Z863</f>
        <v>44033.34</v>
      </c>
      <c r="AI863" s="242"/>
      <c r="AJ863" s="242"/>
      <c r="AK863" s="291">
        <v>9877.52</v>
      </c>
      <c r="AL863" s="40">
        <f>AH863-AK863</f>
        <v>34155.819999999992</v>
      </c>
      <c r="AM863" s="242">
        <f>IFERROR(EOMONTH(B863,0),"Pendente")</f>
        <v>45565</v>
      </c>
      <c r="AN863" s="242" t="str">
        <f>IF(AQ863="x","",IF(AQ863="x",AM863,IF(EOMONTH(I863,0)=31,"",EOMONTH(I863,0))))</f>
        <v/>
      </c>
      <c r="AO863" s="79">
        <f>IFERROR(IF(VLOOKUP(C863,C864:C1464,1,0)=0,1,0),1)</f>
        <v>0</v>
      </c>
      <c r="AP863" s="79"/>
      <c r="AQ863" s="243" t="str">
        <f>IF(MID(G863,1,15)="NAO ASSINADO","x","")</f>
        <v/>
      </c>
      <c r="AR863" s="242" t="b">
        <f>IF(AQ863="x",EOMONTH(I863,0))</f>
        <v>0</v>
      </c>
      <c r="AS863" s="79">
        <f>IF(AH863&lt;0,0,1)</f>
        <v>1</v>
      </c>
      <c r="AT863" s="79">
        <f>IF(AL863&lt;0,0,1)</f>
        <v>1</v>
      </c>
      <c r="AU863" s="79" t="str">
        <f>MID(E863,1,1)</f>
        <v>B</v>
      </c>
      <c r="AV863" s="79">
        <f>IF(AG863&lt;0,0,1)</f>
        <v>1</v>
      </c>
      <c r="AW863" s="79" t="str">
        <f>J863&amp;AU863</f>
        <v>4B</v>
      </c>
      <c r="AX863" s="79">
        <f>IF(COUNTIFS(J:J,"Integral",E:E,E863,H:H,"Ativo")=4,1/4,1/10)</f>
        <v>0.1</v>
      </c>
      <c r="AY863" s="79" t="s">
        <v>1332</v>
      </c>
      <c r="AZ863" s="79" t="b">
        <v>1</v>
      </c>
    </row>
    <row r="864" spans="1:52" ht="15" customHeight="1">
      <c r="A864" s="54">
        <v>837</v>
      </c>
      <c r="B864" s="405">
        <v>45546</v>
      </c>
      <c r="C864" s="32" t="s">
        <v>2582</v>
      </c>
      <c r="D864" s="32" t="s">
        <v>2592</v>
      </c>
      <c r="E864" s="32" t="s">
        <v>1238</v>
      </c>
      <c r="F864" s="32" t="s">
        <v>2593</v>
      </c>
      <c r="G864" s="60" t="s">
        <v>220</v>
      </c>
      <c r="H864" s="33" t="s">
        <v>90</v>
      </c>
      <c r="I864" s="34"/>
      <c r="J864" s="33">
        <v>4</v>
      </c>
      <c r="K864" s="56" t="s">
        <v>1891</v>
      </c>
      <c r="L864" s="56" t="s">
        <v>1891</v>
      </c>
      <c r="M864" s="386" t="s">
        <v>1026</v>
      </c>
      <c r="N864" s="33" t="s">
        <v>68</v>
      </c>
      <c r="O864" s="33" t="s">
        <v>11</v>
      </c>
      <c r="P864" s="33" t="s">
        <v>86</v>
      </c>
      <c r="Q864" s="47" t="s">
        <v>104</v>
      </c>
      <c r="R864" s="47"/>
      <c r="S864" s="45" t="s">
        <v>147</v>
      </c>
      <c r="T864" s="45"/>
      <c r="U864" s="37">
        <v>45534</v>
      </c>
      <c r="V864" s="38">
        <f>B864</f>
        <v>45546</v>
      </c>
      <c r="W864" s="50">
        <f>V864-U864</f>
        <v>12</v>
      </c>
      <c r="X864" s="294">
        <v>260629.99</v>
      </c>
      <c r="Y864" s="260">
        <v>266000</v>
      </c>
      <c r="Z864" s="260">
        <v>221966.66</v>
      </c>
      <c r="AA864" s="56"/>
      <c r="AB864" s="43">
        <v>0.1201</v>
      </c>
      <c r="AC864" s="295">
        <v>0</v>
      </c>
      <c r="AD864" s="62" t="s">
        <v>2589</v>
      </c>
      <c r="AE864" s="291"/>
      <c r="AF864" s="65"/>
      <c r="AG864" s="291"/>
      <c r="AH864" s="40">
        <f>Y864-Z864</f>
        <v>44033.34</v>
      </c>
      <c r="AI864" s="242"/>
      <c r="AJ864" s="242"/>
      <c r="AK864" s="291">
        <v>9877.52</v>
      </c>
      <c r="AL864" s="40">
        <f>AH864-AK864</f>
        <v>34155.819999999992</v>
      </c>
      <c r="AM864" s="242">
        <f>IFERROR(EOMONTH(B864,0),"Pendente")</f>
        <v>45565</v>
      </c>
      <c r="AN864" s="242" t="str">
        <f>IF(AQ864="x","",IF(AQ864="x",AM864,IF(EOMONTH(I864,0)=31,"",EOMONTH(I864,0))))</f>
        <v/>
      </c>
      <c r="AO864" s="79">
        <f>IFERROR(IF(VLOOKUP(C864,C865:C1465,1,0)=0,1,0),1)</f>
        <v>1</v>
      </c>
      <c r="AP864" s="79"/>
      <c r="AQ864" s="243" t="str">
        <f>IF(MID(G864,1,15)="NAO ASSINADO","x","")</f>
        <v/>
      </c>
      <c r="AR864" s="242" t="b">
        <f>IF(AQ864="x",EOMONTH(I864,0))</f>
        <v>0</v>
      </c>
      <c r="AS864" s="79">
        <f>IF(AH864&lt;0,0,1)</f>
        <v>1</v>
      </c>
      <c r="AT864" s="79">
        <f>IF(AL864&lt;0,0,1)</f>
        <v>1</v>
      </c>
      <c r="AU864" s="79" t="str">
        <f>MID(E864,1,1)</f>
        <v>B</v>
      </c>
      <c r="AV864" s="79">
        <f>IF(AG864&lt;0,0,1)</f>
        <v>1</v>
      </c>
      <c r="AW864" s="79" t="str">
        <f>J864&amp;AU864</f>
        <v>4B</v>
      </c>
      <c r="AX864" s="79">
        <f>IF(COUNTIFS(J:J,"Integral",E:E,E864,H:H,"Ativo")=4,1/4,1/10)</f>
        <v>0.1</v>
      </c>
      <c r="AY864" s="79" t="s">
        <v>1332</v>
      </c>
      <c r="AZ864" s="79" t="b">
        <v>1</v>
      </c>
    </row>
    <row r="865" spans="1:52" ht="15" customHeight="1">
      <c r="A865" s="54">
        <v>895</v>
      </c>
      <c r="B865" s="405">
        <v>45608</v>
      </c>
      <c r="C865" s="351" t="s">
        <v>2594</v>
      </c>
      <c r="D865" s="32" t="s">
        <v>2595</v>
      </c>
      <c r="E865" s="32" t="s">
        <v>2439</v>
      </c>
      <c r="F865" s="32" t="s">
        <v>2596</v>
      </c>
      <c r="G865" s="60" t="s">
        <v>220</v>
      </c>
      <c r="H865" s="33" t="s">
        <v>90</v>
      </c>
      <c r="I865" s="34"/>
      <c r="J865" s="33">
        <v>13</v>
      </c>
      <c r="K865" s="35" t="s">
        <v>2372</v>
      </c>
      <c r="L865" s="35" t="s">
        <v>1755</v>
      </c>
      <c r="M865" s="67" t="s">
        <v>1755</v>
      </c>
      <c r="N865" s="33" t="s">
        <v>73</v>
      </c>
      <c r="O865" s="33" t="s">
        <v>11</v>
      </c>
      <c r="P865" s="33" t="s">
        <v>85</v>
      </c>
      <c r="Q865" s="47" t="s">
        <v>101</v>
      </c>
      <c r="R865" s="47"/>
      <c r="S865" s="45" t="s">
        <v>149</v>
      </c>
      <c r="T865" s="45"/>
      <c r="U865" s="37">
        <v>45590</v>
      </c>
      <c r="V865" s="38">
        <f>B865</f>
        <v>45608</v>
      </c>
      <c r="W865" s="50">
        <f>V865-U865</f>
        <v>18</v>
      </c>
      <c r="X865" s="260">
        <v>1032301.29</v>
      </c>
      <c r="Y865" s="260">
        <v>1087013.26</v>
      </c>
      <c r="Z865" s="260">
        <v>837099.92</v>
      </c>
      <c r="AA865" s="56" t="s">
        <v>2468</v>
      </c>
      <c r="AB865" s="43">
        <v>0.2</v>
      </c>
      <c r="AC865" s="295">
        <v>0</v>
      </c>
      <c r="AD865" s="62" t="s">
        <v>2597</v>
      </c>
      <c r="AE865" s="291"/>
      <c r="AF865" s="40"/>
      <c r="AG865" s="291"/>
      <c r="AH865" s="40">
        <f>Y865-Z865</f>
        <v>249913.33999999997</v>
      </c>
      <c r="AI865" s="242"/>
      <c r="AJ865" s="242"/>
      <c r="AK865" s="291">
        <v>69842.81</v>
      </c>
      <c r="AL865" s="40">
        <f>AH865-AK865</f>
        <v>180070.52999999997</v>
      </c>
      <c r="AM865" s="242">
        <f>IFERROR(EOMONTH(B865,0),"Pendente")</f>
        <v>45626</v>
      </c>
      <c r="AN865" s="242" t="str">
        <f>IF(AQ865="x","",IF(AQ865="x",AM865,IF(EOMONTH(I865,0)=31,"",EOMONTH(I865,0))))</f>
        <v/>
      </c>
      <c r="AO865" s="364">
        <f>IFERROR(IF(VLOOKUP(C865,C866:C1466,1,0)=0,1,0),1)</f>
        <v>1</v>
      </c>
      <c r="AP865" s="364"/>
      <c r="AQ865" s="243" t="str">
        <f>IF(MID(G865,1,15)="NAO ASSINADO","x","")</f>
        <v/>
      </c>
      <c r="AR865" s="242" t="b">
        <f>IF(AQ865="x",EOMONTH(I865,0))</f>
        <v>0</v>
      </c>
      <c r="AS865" s="79">
        <f>IF(AH865&lt;0,0,1)</f>
        <v>1</v>
      </c>
      <c r="AT865" s="79">
        <f>IF(AL865&lt;0,0,1)</f>
        <v>1</v>
      </c>
      <c r="AU865" s="79" t="str">
        <f>MID(E865,1,1)</f>
        <v>C</v>
      </c>
      <c r="AV865" s="79">
        <f>IF(AG865&lt;0,0,1)</f>
        <v>1</v>
      </c>
      <c r="AW865" s="79" t="str">
        <f>J865&amp;AU865</f>
        <v>13C</v>
      </c>
      <c r="AX865" s="79">
        <f>IF(COUNTIFS(J:J,"Integral",E:E,E865,H:H,"Ativo")=4,1/4,1/10)</f>
        <v>0.1</v>
      </c>
      <c r="AY865" s="79" t="s">
        <v>2598</v>
      </c>
      <c r="AZ865" s="79" t="b">
        <v>1</v>
      </c>
    </row>
    <row r="866" spans="1:52" ht="15" customHeight="1">
      <c r="A866" s="54">
        <v>899</v>
      </c>
      <c r="B866" s="405">
        <v>45618</v>
      </c>
      <c r="C866" s="351" t="s">
        <v>2599</v>
      </c>
      <c r="D866" s="32" t="s">
        <v>2600</v>
      </c>
      <c r="E866" s="32" t="s">
        <v>2439</v>
      </c>
      <c r="F866" s="32" t="s">
        <v>2601</v>
      </c>
      <c r="G866" s="60" t="s">
        <v>220</v>
      </c>
      <c r="H866" s="33" t="s">
        <v>90</v>
      </c>
      <c r="I866" s="34"/>
      <c r="J866" s="33">
        <v>13</v>
      </c>
      <c r="K866" s="56" t="s">
        <v>981</v>
      </c>
      <c r="L866" s="56" t="s">
        <v>981</v>
      </c>
      <c r="M866" s="386" t="s">
        <v>1026</v>
      </c>
      <c r="N866" s="33" t="s">
        <v>68</v>
      </c>
      <c r="O866" s="33" t="s">
        <v>12</v>
      </c>
      <c r="P866" s="33" t="s">
        <v>2</v>
      </c>
      <c r="Q866" s="47" t="s">
        <v>103</v>
      </c>
      <c r="R866" s="47"/>
      <c r="S866" s="45" t="s">
        <v>145</v>
      </c>
      <c r="T866" s="45"/>
      <c r="U866" s="37">
        <v>45606</v>
      </c>
      <c r="V866" s="38">
        <f>B866</f>
        <v>45618</v>
      </c>
      <c r="W866" s="50">
        <f>V866-U866</f>
        <v>12</v>
      </c>
      <c r="X866" s="260">
        <v>1032301.29</v>
      </c>
      <c r="Y866" s="260">
        <v>1087013.26</v>
      </c>
      <c r="Z866" s="260">
        <v>1032000</v>
      </c>
      <c r="AA866" s="56"/>
      <c r="AB866" s="43">
        <v>0.2</v>
      </c>
      <c r="AC866" s="295">
        <v>0</v>
      </c>
      <c r="AD866" s="62" t="s">
        <v>2602</v>
      </c>
      <c r="AE866" s="291"/>
      <c r="AF866" s="40"/>
      <c r="AG866" s="291"/>
      <c r="AH866" s="40">
        <f>Y866-Z866</f>
        <v>55013.260000000009</v>
      </c>
      <c r="AI866" s="242"/>
      <c r="AJ866" s="242"/>
      <c r="AK866" s="291">
        <v>10878.22</v>
      </c>
      <c r="AL866" s="40">
        <f>AH866-AK866</f>
        <v>44135.040000000008</v>
      </c>
      <c r="AM866" s="242">
        <f>IFERROR(EOMONTH(B866,0),"Pendente")</f>
        <v>45626</v>
      </c>
      <c r="AN866" s="242" t="str">
        <f>IF(AQ866="x","",IF(AQ866="x",AM866,IF(EOMONTH(I866,0)=31,"",EOMONTH(I866,0))))</f>
        <v/>
      </c>
      <c r="AO866" s="364">
        <f>IFERROR(IF(VLOOKUP(C866,C867:C1467,1,0)=0,1,0),1)</f>
        <v>1</v>
      </c>
      <c r="AP866" s="364"/>
      <c r="AQ866" s="243" t="str">
        <f>IF(MID(G866,1,15)="NAO ASSINADO","x","")</f>
        <v/>
      </c>
      <c r="AR866" s="242" t="b">
        <f>IF(AQ866="x",EOMONTH(I866,0))</f>
        <v>0</v>
      </c>
      <c r="AS866" s="79">
        <f>IF(AH866&lt;0,0,1)</f>
        <v>1</v>
      </c>
      <c r="AT866" s="79">
        <f>IF(AL866&lt;0,0,1)</f>
        <v>1</v>
      </c>
      <c r="AU866" s="79" t="str">
        <f>MID(E866,1,1)</f>
        <v>C</v>
      </c>
      <c r="AV866" s="79">
        <f>IF(AG866&lt;0,0,1)</f>
        <v>1</v>
      </c>
      <c r="AW866" s="79" t="str">
        <f>J866&amp;AU866</f>
        <v>13C</v>
      </c>
      <c r="AX866" s="79">
        <f>IF(COUNTIFS(J:J,"Integral",E:E,E866,H:H,"Ativo")=4,1/4,1/10)</f>
        <v>0.1</v>
      </c>
      <c r="AY866" s="79" t="s">
        <v>1535</v>
      </c>
      <c r="AZ866" s="79" t="b">
        <v>1</v>
      </c>
    </row>
    <row r="867" spans="1:52" ht="15" customHeight="1">
      <c r="A867" s="54">
        <v>896</v>
      </c>
      <c r="B867" s="405">
        <v>45613</v>
      </c>
      <c r="C867" s="351" t="s">
        <v>2603</v>
      </c>
      <c r="D867" s="32" t="s">
        <v>2604</v>
      </c>
      <c r="E867" s="32" t="s">
        <v>2377</v>
      </c>
      <c r="F867" s="32" t="s">
        <v>2605</v>
      </c>
      <c r="G867" s="60" t="s">
        <v>220</v>
      </c>
      <c r="H867" s="33" t="s">
        <v>337</v>
      </c>
      <c r="I867" s="34">
        <v>45638</v>
      </c>
      <c r="J867" s="33">
        <v>4</v>
      </c>
      <c r="K867" s="56" t="s">
        <v>1165</v>
      </c>
      <c r="L867" s="56" t="s">
        <v>1165</v>
      </c>
      <c r="M867" s="386" t="s">
        <v>1026</v>
      </c>
      <c r="N867" s="33" t="s">
        <v>68</v>
      </c>
      <c r="O867" s="33" t="s">
        <v>12</v>
      </c>
      <c r="P867" s="33" t="s">
        <v>2</v>
      </c>
      <c r="Q867" s="47"/>
      <c r="R867" s="47"/>
      <c r="S867" s="45" t="s">
        <v>167</v>
      </c>
      <c r="T867" s="45"/>
      <c r="U867" s="37">
        <v>45423</v>
      </c>
      <c r="V867" s="38">
        <f>B867</f>
        <v>45613</v>
      </c>
      <c r="W867" s="50">
        <f>V867-U867</f>
        <v>190</v>
      </c>
      <c r="X867" s="260">
        <v>464482.77</v>
      </c>
      <c r="Y867" s="260">
        <v>489100.36</v>
      </c>
      <c r="Z867" s="260">
        <v>489080</v>
      </c>
      <c r="AA867" s="56"/>
      <c r="AB867" s="43">
        <v>0.2</v>
      </c>
      <c r="AC867" s="295">
        <v>0</v>
      </c>
      <c r="AD867" s="62" t="s">
        <v>2606</v>
      </c>
      <c r="AE867" s="291"/>
      <c r="AF867" s="40"/>
      <c r="AG867" s="291">
        <v>17788.97</v>
      </c>
      <c r="AH867" s="40">
        <f>Y867-Z867</f>
        <v>20.35999999998603</v>
      </c>
      <c r="AI867" s="76"/>
      <c r="AJ867" s="76"/>
      <c r="AK867" s="291"/>
      <c r="AL867" s="40">
        <f>AH867-AK867</f>
        <v>20.35999999998603</v>
      </c>
      <c r="AM867" s="242">
        <f>IFERROR(EOMONTH(B867,0),"Pendente")</f>
        <v>45626</v>
      </c>
      <c r="AN867" s="242">
        <f>IF(AQ867="x","",IF(AQ867="x",AM867,IF(EOMONTH(I867,0)=31,"",EOMONTH(I867,0))))</f>
        <v>45657</v>
      </c>
      <c r="AO867" s="350">
        <v>1</v>
      </c>
      <c r="AP867" s="350"/>
      <c r="AQ867" s="243" t="str">
        <f>IF(MID(G867,1,15)="NAO ASSINADO","x","")</f>
        <v/>
      </c>
      <c r="AR867" s="242" t="b">
        <f>IF(AQ867="x",EOMONTH(I867,0))</f>
        <v>0</v>
      </c>
      <c r="AS867" s="79">
        <f>IF(AH867&lt;0,0,1)</f>
        <v>1</v>
      </c>
      <c r="AT867" s="79">
        <f>IF(AL867&lt;0,0,1)</f>
        <v>1</v>
      </c>
      <c r="AU867" s="79" t="str">
        <f>MID(E867,1,1)</f>
        <v>C</v>
      </c>
      <c r="AV867" s="79">
        <f>IF(AG867&lt;0,0,1)</f>
        <v>1</v>
      </c>
      <c r="AW867" s="79" t="str">
        <f>J867&amp;AU867</f>
        <v>4C</v>
      </c>
      <c r="AX867" s="79">
        <f>IF(COUNTIFS(J:J,"Integral",E:E,E867,H:H,"Ativo")=4,1/4,1/10)</f>
        <v>0.1</v>
      </c>
      <c r="AY867" s="79" t="s">
        <v>1332</v>
      </c>
      <c r="AZ867" s="79" t="b">
        <v>1</v>
      </c>
    </row>
    <row r="868" spans="1:52" ht="15" customHeight="1">
      <c r="A868" s="54">
        <v>891</v>
      </c>
      <c r="B868" s="405">
        <v>45604</v>
      </c>
      <c r="C868" s="351" t="s">
        <v>2607</v>
      </c>
      <c r="D868" s="32" t="s">
        <v>2608</v>
      </c>
      <c r="E868" s="32" t="s">
        <v>2466</v>
      </c>
      <c r="F868" s="32" t="s">
        <v>2609</v>
      </c>
      <c r="G868" s="60" t="s">
        <v>220</v>
      </c>
      <c r="H868" s="33" t="s">
        <v>90</v>
      </c>
      <c r="I868" s="34"/>
      <c r="J868" s="33">
        <v>13</v>
      </c>
      <c r="K868" s="35" t="s">
        <v>289</v>
      </c>
      <c r="L868" s="35" t="s">
        <v>289</v>
      </c>
      <c r="M868" s="386" t="s">
        <v>246</v>
      </c>
      <c r="N868" s="33" t="s">
        <v>68</v>
      </c>
      <c r="O868" s="33" t="s">
        <v>11</v>
      </c>
      <c r="P868" s="33" t="s">
        <v>1</v>
      </c>
      <c r="Q868" s="47" t="s">
        <v>101</v>
      </c>
      <c r="R868" s="47"/>
      <c r="S868" s="45" t="s">
        <v>161</v>
      </c>
      <c r="T868" s="45"/>
      <c r="U868" s="37">
        <v>45600</v>
      </c>
      <c r="V868" s="38">
        <f>B868</f>
        <v>45604</v>
      </c>
      <c r="W868" s="50">
        <f>V868-U868</f>
        <v>4</v>
      </c>
      <c r="X868" s="260">
        <v>1032301.29</v>
      </c>
      <c r="Y868" s="260">
        <v>1032301.29</v>
      </c>
      <c r="Z868" s="260">
        <v>837099.92</v>
      </c>
      <c r="AA868" s="56" t="s">
        <v>2468</v>
      </c>
      <c r="AB868" s="43">
        <v>0.2</v>
      </c>
      <c r="AC868" s="295">
        <v>0</v>
      </c>
      <c r="AD868" s="62" t="s">
        <v>2469</v>
      </c>
      <c r="AE868" s="291"/>
      <c r="AF868" s="40"/>
      <c r="AG868" s="291"/>
      <c r="AH868" s="40">
        <f>Y868-Z868</f>
        <v>195201.37</v>
      </c>
      <c r="AI868" s="242"/>
      <c r="AJ868" s="242"/>
      <c r="AK868" s="291">
        <v>69842.81</v>
      </c>
      <c r="AL868" s="40">
        <f>AH868-AK868</f>
        <v>125358.56</v>
      </c>
      <c r="AM868" s="242">
        <f>IFERROR(EOMONTH(B868,0),"Pendente")</f>
        <v>45626</v>
      </c>
      <c r="AN868" s="242" t="str">
        <f>IF(AQ868="x","",IF(AQ868="x",AM868,IF(EOMONTH(I868,0)=31,"",EOMONTH(I868,0))))</f>
        <v/>
      </c>
      <c r="AO868" s="364">
        <f>IFERROR(IF(VLOOKUP(C868,C869:C1469,1,0)=0,1,0),1)</f>
        <v>1</v>
      </c>
      <c r="AP868" s="364"/>
      <c r="AQ868" s="243" t="str">
        <f>IF(MID(G868,1,15)="NAO ASSINADO","x","")</f>
        <v/>
      </c>
      <c r="AR868" s="242" t="b">
        <f>IF(AQ868="x",EOMONTH(I868,0))</f>
        <v>0</v>
      </c>
      <c r="AS868" s="79">
        <f>IF(AH868&lt;0,0,1)</f>
        <v>1</v>
      </c>
      <c r="AT868" s="79">
        <f>IF(AL868&lt;0,0,1)</f>
        <v>1</v>
      </c>
      <c r="AU868" s="79" t="str">
        <f>MID(E868,1,1)</f>
        <v>C</v>
      </c>
      <c r="AV868" s="79">
        <f>IF(AG868&lt;0,0,1)</f>
        <v>1</v>
      </c>
      <c r="AW868" s="79" t="str">
        <f>J868&amp;AU868</f>
        <v>13C</v>
      </c>
      <c r="AX868" s="79">
        <f>IF(COUNTIFS(J:J,"Integral",E:E,E868,H:H,"Ativo")=4,1/4,1/10)</f>
        <v>0.1</v>
      </c>
      <c r="AY868" s="79" t="s">
        <v>2598</v>
      </c>
      <c r="AZ868" s="79" t="b">
        <v>1</v>
      </c>
    </row>
    <row r="869" spans="1:52" ht="15" customHeight="1">
      <c r="A869" s="54">
        <v>893</v>
      </c>
      <c r="B869" s="405">
        <v>45604</v>
      </c>
      <c r="C869" s="351" t="s">
        <v>2610</v>
      </c>
      <c r="D869" s="32" t="s">
        <v>2611</v>
      </c>
      <c r="E869" s="32" t="s">
        <v>2466</v>
      </c>
      <c r="F869" s="32" t="s">
        <v>2612</v>
      </c>
      <c r="G869" s="60" t="s">
        <v>220</v>
      </c>
      <c r="H869" s="33" t="s">
        <v>90</v>
      </c>
      <c r="I869" s="34"/>
      <c r="J869" s="33">
        <v>13</v>
      </c>
      <c r="K869" s="35" t="s">
        <v>289</v>
      </c>
      <c r="L869" s="35" t="s">
        <v>289</v>
      </c>
      <c r="M869" s="386" t="s">
        <v>246</v>
      </c>
      <c r="N869" s="33" t="s">
        <v>68</v>
      </c>
      <c r="O869" s="33" t="s">
        <v>11</v>
      </c>
      <c r="P869" s="33" t="s">
        <v>1</v>
      </c>
      <c r="Q869" s="47" t="s">
        <v>101</v>
      </c>
      <c r="R869" s="47"/>
      <c r="S869" s="45" t="s">
        <v>162</v>
      </c>
      <c r="T869" s="45"/>
      <c r="U869" s="37">
        <v>45600</v>
      </c>
      <c r="V869" s="38">
        <f>B869</f>
        <v>45604</v>
      </c>
      <c r="W869" s="50">
        <f>V869-U869</f>
        <v>4</v>
      </c>
      <c r="X869" s="260">
        <v>1032301.29</v>
      </c>
      <c r="Y869" s="260">
        <v>1032301.29</v>
      </c>
      <c r="Z869" s="260">
        <v>837099.92</v>
      </c>
      <c r="AA869" s="56" t="s">
        <v>2468</v>
      </c>
      <c r="AB869" s="43">
        <v>0.2</v>
      </c>
      <c r="AC869" s="295">
        <v>0</v>
      </c>
      <c r="AD869" s="62" t="s">
        <v>2469</v>
      </c>
      <c r="AE869" s="291"/>
      <c r="AF869" s="40"/>
      <c r="AG869" s="291"/>
      <c r="AH869" s="40">
        <f>Y869-Z869</f>
        <v>195201.37</v>
      </c>
      <c r="AI869" s="242"/>
      <c r="AJ869" s="242"/>
      <c r="AK869" s="291">
        <v>69842.81</v>
      </c>
      <c r="AL869" s="40">
        <f>AH869-AK869</f>
        <v>125358.56</v>
      </c>
      <c r="AM869" s="242">
        <f>IFERROR(EOMONTH(B869,0),"Pendente")</f>
        <v>45626</v>
      </c>
      <c r="AN869" s="242" t="str">
        <f>IF(AQ869="x","",IF(AQ869="x",AM869,IF(EOMONTH(I869,0)=31,"",EOMONTH(I869,0))))</f>
        <v/>
      </c>
      <c r="AO869" s="364">
        <f>IFERROR(IF(VLOOKUP(C869,C870:C1470,1,0)=0,1,0),1)</f>
        <v>1</v>
      </c>
      <c r="AP869" s="364"/>
      <c r="AQ869" s="243" t="str">
        <f>IF(MID(G869,1,15)="NAO ASSINADO","x","")</f>
        <v/>
      </c>
      <c r="AR869" s="242" t="b">
        <f>IF(AQ869="x",EOMONTH(I869,0))</f>
        <v>0</v>
      </c>
      <c r="AS869" s="79">
        <f>IF(AH869&lt;0,0,1)</f>
        <v>1</v>
      </c>
      <c r="AT869" s="79">
        <f>IF(AL869&lt;0,0,1)</f>
        <v>1</v>
      </c>
      <c r="AU869" s="79" t="str">
        <f>MID(E869,1,1)</f>
        <v>C</v>
      </c>
      <c r="AV869" s="79">
        <f>IF(AG869&lt;0,0,1)</f>
        <v>1</v>
      </c>
      <c r="AW869" s="79" t="str">
        <f>J869&amp;AU869</f>
        <v>13C</v>
      </c>
      <c r="AX869" s="79">
        <f>IF(COUNTIFS(J:J,"Integral",E:E,E869,H:H,"Ativo")=4,1/4,1/10)</f>
        <v>0.1</v>
      </c>
      <c r="AY869" s="79" t="s">
        <v>2598</v>
      </c>
      <c r="AZ869" s="79" t="b">
        <v>1</v>
      </c>
    </row>
    <row r="870" spans="1:52" ht="15" customHeight="1">
      <c r="A870" s="54">
        <v>894</v>
      </c>
      <c r="B870" s="405">
        <v>45604</v>
      </c>
      <c r="C870" s="351" t="s">
        <v>2613</v>
      </c>
      <c r="D870" s="32" t="s">
        <v>2611</v>
      </c>
      <c r="E870" s="32" t="s">
        <v>2466</v>
      </c>
      <c r="F870" s="32" t="s">
        <v>2614</v>
      </c>
      <c r="G870" s="60" t="s">
        <v>220</v>
      </c>
      <c r="H870" s="33" t="s">
        <v>90</v>
      </c>
      <c r="I870" s="34"/>
      <c r="J870" s="33">
        <v>13</v>
      </c>
      <c r="K870" s="35" t="s">
        <v>289</v>
      </c>
      <c r="L870" s="35" t="s">
        <v>289</v>
      </c>
      <c r="M870" s="386" t="s">
        <v>246</v>
      </c>
      <c r="N870" s="33" t="s">
        <v>68</v>
      </c>
      <c r="O870" s="33" t="s">
        <v>11</v>
      </c>
      <c r="P870" s="33" t="s">
        <v>1</v>
      </c>
      <c r="Q870" s="47" t="s">
        <v>101</v>
      </c>
      <c r="R870" s="47"/>
      <c r="S870" s="45" t="s">
        <v>150</v>
      </c>
      <c r="T870" s="45"/>
      <c r="U870" s="37">
        <v>45600</v>
      </c>
      <c r="V870" s="38">
        <f>B870</f>
        <v>45604</v>
      </c>
      <c r="W870" s="50">
        <f>V870-U870</f>
        <v>4</v>
      </c>
      <c r="X870" s="260">
        <v>1032301.29</v>
      </c>
      <c r="Y870" s="260">
        <v>1032301.29</v>
      </c>
      <c r="Z870" s="260">
        <v>837099.92</v>
      </c>
      <c r="AA870" s="56" t="s">
        <v>2468</v>
      </c>
      <c r="AB870" s="43">
        <v>0.23330000000000001</v>
      </c>
      <c r="AC870" s="295">
        <v>0</v>
      </c>
      <c r="AD870" s="62" t="s">
        <v>2615</v>
      </c>
      <c r="AE870" s="291"/>
      <c r="AF870" s="40"/>
      <c r="AG870" s="291"/>
      <c r="AH870" s="40">
        <f>Y870-Z870</f>
        <v>195201.37</v>
      </c>
      <c r="AI870" s="242"/>
      <c r="AJ870" s="242"/>
      <c r="AK870" s="291">
        <v>77927.600000000006</v>
      </c>
      <c r="AL870" s="40">
        <f>AH870-AK870</f>
        <v>117273.76999999999</v>
      </c>
      <c r="AM870" s="242">
        <f>IFERROR(EOMONTH(B870,0),"Pendente")</f>
        <v>45626</v>
      </c>
      <c r="AN870" s="242" t="str">
        <f>IF(AQ870="x","",IF(AQ870="x",AM870,IF(EOMONTH(I870,0)=31,"",EOMONTH(I870,0))))</f>
        <v/>
      </c>
      <c r="AO870" s="364">
        <f>IFERROR(IF(VLOOKUP(C870,C871:C1471,1,0)=0,1,0),1)</f>
        <v>1</v>
      </c>
      <c r="AP870" s="364"/>
      <c r="AQ870" s="243" t="str">
        <f>IF(MID(G870,1,15)="NAO ASSINADO","x","")</f>
        <v/>
      </c>
      <c r="AR870" s="242" t="b">
        <f>IF(AQ870="x",EOMONTH(I870,0))</f>
        <v>0</v>
      </c>
      <c r="AS870" s="79">
        <f>IF(AH870&lt;0,0,1)</f>
        <v>1</v>
      </c>
      <c r="AT870" s="79">
        <f>IF(AL870&lt;0,0,1)</f>
        <v>1</v>
      </c>
      <c r="AU870" s="79" t="str">
        <f>MID(E870,1,1)</f>
        <v>C</v>
      </c>
      <c r="AV870" s="79">
        <f>IF(AG870&lt;0,0,1)</f>
        <v>1</v>
      </c>
      <c r="AW870" s="79" t="str">
        <f>J870&amp;AU870</f>
        <v>13C</v>
      </c>
      <c r="AX870" s="79">
        <f>IF(COUNTIFS(J:J,"Integral",E:E,E870,H:H,"Ativo")=4,1/4,1/10)</f>
        <v>0.1</v>
      </c>
      <c r="AY870" s="79" t="s">
        <v>2133</v>
      </c>
      <c r="AZ870" s="79" t="b">
        <v>1</v>
      </c>
    </row>
    <row r="871" spans="1:52" ht="15" customHeight="1">
      <c r="A871" s="54">
        <v>789</v>
      </c>
      <c r="B871" s="406">
        <v>45530</v>
      </c>
      <c r="C871" s="32" t="s">
        <v>2616</v>
      </c>
      <c r="D871" s="32" t="s">
        <v>2617</v>
      </c>
      <c r="E871" s="32" t="s">
        <v>431</v>
      </c>
      <c r="F871" s="32" t="s">
        <v>2618</v>
      </c>
      <c r="G871" s="60" t="s">
        <v>220</v>
      </c>
      <c r="H871" s="33" t="s">
        <v>90</v>
      </c>
      <c r="I871" s="34"/>
      <c r="J871" s="33">
        <v>4</v>
      </c>
      <c r="K871" s="56" t="s">
        <v>981</v>
      </c>
      <c r="L871" s="56" t="s">
        <v>981</v>
      </c>
      <c r="M871" s="386" t="s">
        <v>1026</v>
      </c>
      <c r="N871" s="33" t="s">
        <v>68</v>
      </c>
      <c r="O871" s="33" t="s">
        <v>10</v>
      </c>
      <c r="P871" s="33" t="s">
        <v>2</v>
      </c>
      <c r="Q871" s="47" t="s">
        <v>104</v>
      </c>
      <c r="R871" s="47"/>
      <c r="S871" s="45" t="s">
        <v>145</v>
      </c>
      <c r="T871" s="45"/>
      <c r="U871" s="37">
        <v>45525</v>
      </c>
      <c r="V871" s="38">
        <f>B871</f>
        <v>45530</v>
      </c>
      <c r="W871" s="50">
        <f>V871-U871</f>
        <v>5</v>
      </c>
      <c r="X871" s="294">
        <v>373124.95</v>
      </c>
      <c r="Y871" s="260">
        <v>398000</v>
      </c>
      <c r="Z871" s="260">
        <v>321400.42</v>
      </c>
      <c r="AA871" s="56"/>
      <c r="AB871" s="43">
        <v>1</v>
      </c>
      <c r="AC871" s="295">
        <v>0</v>
      </c>
      <c r="AD871" s="62">
        <v>0</v>
      </c>
      <c r="AE871" s="291"/>
      <c r="AF871" s="65"/>
      <c r="AG871" s="291">
        <v>20087.560000000001</v>
      </c>
      <c r="AH871" s="40">
        <f>Y871-Z871</f>
        <v>76599.580000000016</v>
      </c>
      <c r="AI871" s="242"/>
      <c r="AJ871" s="242"/>
      <c r="AK871" s="291"/>
      <c r="AL871" s="40">
        <f>AH871-AK871</f>
        <v>76599.580000000016</v>
      </c>
      <c r="AM871" s="242">
        <f>IFERROR(EOMONTH(B871,0),"Pendente")</f>
        <v>45535</v>
      </c>
      <c r="AN871" s="242" t="str">
        <f>IF(AQ871="x","",IF(AQ871="x",AM871,IF(EOMONTH(I871,0)=31,"",EOMONTH(I871,0))))</f>
        <v/>
      </c>
      <c r="AO871" s="79">
        <f>IFERROR(IF(VLOOKUP(C871,C872:C1472,1,0)=0,1,0),1)</f>
        <v>1</v>
      </c>
      <c r="AP871" s="79"/>
      <c r="AQ871" s="243" t="str">
        <f>IF(MID(G871,1,15)="NAO ASSINADO","x","")</f>
        <v/>
      </c>
      <c r="AR871" s="242" t="b">
        <f>IF(AQ871="x",EOMONTH(I871,0))</f>
        <v>0</v>
      </c>
      <c r="AS871" s="79">
        <f>IF(AH871&lt;0,0,1)</f>
        <v>1</v>
      </c>
      <c r="AT871" s="79">
        <f>IF(AL871&lt;0,0,1)</f>
        <v>1</v>
      </c>
      <c r="AU871" s="79" t="str">
        <f>MID(E871,1,1)</f>
        <v>B</v>
      </c>
      <c r="AV871" s="79">
        <f>IF(AG871&lt;0,0,1)</f>
        <v>1</v>
      </c>
      <c r="AW871" s="79" t="str">
        <f>J871&amp;AU871</f>
        <v>4B</v>
      </c>
      <c r="AX871" s="79">
        <f>IF(COUNTIFS(J:J,"Integral",E:E,E871,H:H,"Ativo")=4,1/4,1/10)</f>
        <v>0.1</v>
      </c>
      <c r="AY871" s="79" t="s">
        <v>1535</v>
      </c>
      <c r="AZ871" s="79" t="b">
        <v>0</v>
      </c>
    </row>
    <row r="872" spans="1:52" ht="15" customHeight="1">
      <c r="A872" s="54">
        <v>901</v>
      </c>
      <c r="B872" s="405">
        <v>45628</v>
      </c>
      <c r="C872" s="351" t="s">
        <v>2619</v>
      </c>
      <c r="D872" s="32" t="s">
        <v>2620</v>
      </c>
      <c r="E872" s="32" t="s">
        <v>2621</v>
      </c>
      <c r="F872" s="32" t="s">
        <v>2622</v>
      </c>
      <c r="G872" s="60" t="s">
        <v>220</v>
      </c>
      <c r="H872" s="33" t="s">
        <v>90</v>
      </c>
      <c r="I872" s="34"/>
      <c r="J872" s="33">
        <v>4</v>
      </c>
      <c r="K872" s="56" t="s">
        <v>2022</v>
      </c>
      <c r="L872" s="56" t="s">
        <v>2022</v>
      </c>
      <c r="M872" s="386" t="s">
        <v>246</v>
      </c>
      <c r="N872" s="33" t="s">
        <v>68</v>
      </c>
      <c r="O872" s="33" t="s">
        <v>12</v>
      </c>
      <c r="P872" s="33" t="s">
        <v>1</v>
      </c>
      <c r="Q872" s="47"/>
      <c r="R872" s="47"/>
      <c r="S872" s="45" t="s">
        <v>157</v>
      </c>
      <c r="T872" s="45"/>
      <c r="U872" s="37">
        <v>45625</v>
      </c>
      <c r="V872" s="38">
        <f t="shared" ref="V834:V878" si="135">B872</f>
        <v>45628</v>
      </c>
      <c r="W872" s="50">
        <f>V872-U872</f>
        <v>3</v>
      </c>
      <c r="X872" s="260">
        <v>582273.19999999995</v>
      </c>
      <c r="Y872" s="260">
        <v>613133.68000000005</v>
      </c>
      <c r="Z872" s="260">
        <v>610413</v>
      </c>
      <c r="AA872" s="56"/>
      <c r="AB872" s="43">
        <v>0.2</v>
      </c>
      <c r="AC872" s="295">
        <v>0</v>
      </c>
      <c r="AD872" s="62" t="s">
        <v>2623</v>
      </c>
      <c r="AE872" s="291"/>
      <c r="AF872" s="40"/>
      <c r="AG872" s="291">
        <v>22727.11</v>
      </c>
      <c r="AH872" s="40">
        <f t="shared" ref="AH870:AH878" si="136">Y872-Z872</f>
        <v>2720.6800000000512</v>
      </c>
      <c r="AI872" s="242"/>
      <c r="AJ872" s="242"/>
      <c r="AK872" s="291"/>
      <c r="AL872" s="40">
        <f t="shared" ref="AL872:AL878" si="137">AH872-AK872</f>
        <v>2720.6800000000512</v>
      </c>
      <c r="AM872" s="242">
        <f t="shared" ref="AM834:AM878" si="138">IFERROR(EOMONTH(B872,0),"Pendente")</f>
        <v>45657</v>
      </c>
      <c r="AN872" s="242" t="str">
        <f>IF(AQ872="x","",IF(AQ872="x",AM872,IF(EOMONTH(I872,0)=31,"",EOMONTH(I872,0))))</f>
        <v/>
      </c>
      <c r="AO872" s="364">
        <f>IFERROR(IF(VLOOKUP(C872,C873:C1473,1,0)=0,1,0),1)</f>
        <v>1</v>
      </c>
      <c r="AP872" s="364"/>
      <c r="AQ872" s="243" t="str">
        <f t="shared" ref="AQ809:AQ872" si="139">IF(MID(G872,1,15)="NAO ASSINADO","x","")</f>
        <v/>
      </c>
      <c r="AR872" s="242" t="b">
        <f>IF(AQ872="x",EOMONTH(I872,0))</f>
        <v>0</v>
      </c>
      <c r="AS872" s="79">
        <f t="shared" ref="AS868:AS878" si="140">IF(AH872&lt;0,0,1)</f>
        <v>1</v>
      </c>
      <c r="AT872" s="79">
        <f t="shared" ref="AT868:AT878" si="141">IF(AL872&lt;0,0,1)</f>
        <v>1</v>
      </c>
      <c r="AU872" s="79" t="str">
        <f t="shared" ref="AU868:AU878" si="142">MID(E872,1,1)</f>
        <v>C</v>
      </c>
      <c r="AV872" s="79">
        <f t="shared" ref="AV817:AV878" si="143">IF(AG872&lt;0,0,1)</f>
        <v>1</v>
      </c>
      <c r="AW872" s="79" t="str">
        <f>J872&amp;AU872</f>
        <v>4C</v>
      </c>
      <c r="AX872" s="79">
        <f>IF(COUNTIFS(J:J,"Integral",E:E,E872,H:H,"Ativo")=4,1/4,1/10)</f>
        <v>0.1</v>
      </c>
      <c r="AY872" s="79" t="s">
        <v>2133</v>
      </c>
      <c r="AZ872" s="79" t="b">
        <v>1</v>
      </c>
    </row>
    <row r="873" spans="1:52" ht="15" customHeight="1">
      <c r="A873" s="54">
        <v>902</v>
      </c>
      <c r="B873" s="405">
        <v>45638</v>
      </c>
      <c r="C873" s="351" t="s">
        <v>2624</v>
      </c>
      <c r="D873" s="32" t="s">
        <v>2625</v>
      </c>
      <c r="E873" s="32" t="s">
        <v>2377</v>
      </c>
      <c r="F873" s="32" t="s">
        <v>2626</v>
      </c>
      <c r="G873" s="60" t="s">
        <v>220</v>
      </c>
      <c r="H873" s="33" t="s">
        <v>90</v>
      </c>
      <c r="I873" s="34"/>
      <c r="J873" s="33">
        <v>4</v>
      </c>
      <c r="K873" s="56" t="s">
        <v>2034</v>
      </c>
      <c r="L873" s="35" t="s">
        <v>274</v>
      </c>
      <c r="M873" s="386" t="s">
        <v>246</v>
      </c>
      <c r="N873" s="33" t="s">
        <v>68</v>
      </c>
      <c r="O873" s="33" t="s">
        <v>12</v>
      </c>
      <c r="P873" s="33" t="s">
        <v>1</v>
      </c>
      <c r="Q873" s="47"/>
      <c r="R873" s="47"/>
      <c r="S873" s="45" t="s">
        <v>145</v>
      </c>
      <c r="T873" s="45"/>
      <c r="U873" s="37">
        <v>45638</v>
      </c>
      <c r="V873" s="38">
        <f t="shared" si="135"/>
        <v>45638</v>
      </c>
      <c r="W873" s="50">
        <f>V873-U873</f>
        <v>0</v>
      </c>
      <c r="X873" s="260">
        <v>466506.96</v>
      </c>
      <c r="Y873" s="260">
        <v>491231.83</v>
      </c>
      <c r="Z873" s="260">
        <v>491231.85</v>
      </c>
      <c r="AA873" s="56"/>
      <c r="AB873" s="43">
        <v>0.2</v>
      </c>
      <c r="AC873" s="295">
        <v>0</v>
      </c>
      <c r="AD873" s="62" t="s">
        <v>2627</v>
      </c>
      <c r="AE873" s="291"/>
      <c r="AF873" s="40"/>
      <c r="AG873" s="291">
        <v>17012.11</v>
      </c>
      <c r="AH873" s="40">
        <f t="shared" si="136"/>
        <v>-1.9999999960418791E-2</v>
      </c>
      <c r="AI873" s="242"/>
      <c r="AJ873" s="242"/>
      <c r="AK873" s="291"/>
      <c r="AL873" s="40">
        <f t="shared" si="137"/>
        <v>-1.9999999960418791E-2</v>
      </c>
      <c r="AM873" s="242">
        <f t="shared" si="138"/>
        <v>45657</v>
      </c>
      <c r="AN873" s="242" t="str">
        <f>IF(AQ873="x","",IF(AQ873="x",AM873,IF(EOMONTH(I873,0)=31,"",EOMONTH(I873,0))))</f>
        <v/>
      </c>
      <c r="AO873" s="364">
        <f>IFERROR(IF(VLOOKUP(C873,C874:C1474,1,0)=0,1,0),1)</f>
        <v>1</v>
      </c>
      <c r="AP873" s="364"/>
      <c r="AQ873" s="243" t="str">
        <f t="shared" ref="AQ873:AQ878" si="144">IF(MID(G873,1,15)="NAO ASSINADO","x","")</f>
        <v/>
      </c>
      <c r="AR873" s="242" t="b">
        <f>IF(AQ873="x",EOMONTH(I873,0))</f>
        <v>0</v>
      </c>
      <c r="AS873" s="79">
        <f t="shared" si="140"/>
        <v>0</v>
      </c>
      <c r="AT873" s="79">
        <f t="shared" si="141"/>
        <v>0</v>
      </c>
      <c r="AU873" s="79" t="str">
        <f t="shared" si="142"/>
        <v>C</v>
      </c>
      <c r="AV873" s="79">
        <f t="shared" si="143"/>
        <v>1</v>
      </c>
      <c r="AW873" s="79" t="str">
        <f>J873&amp;AU873</f>
        <v>4C</v>
      </c>
      <c r="AX873" s="79">
        <f>IF(COUNTIFS(J:J,"Integral",E:E,E873,H:H,"Ativo")=4,1/4,1/10)</f>
        <v>0.1</v>
      </c>
      <c r="AY873" s="79" t="s">
        <v>2133</v>
      </c>
      <c r="AZ873" s="79" t="b">
        <v>1</v>
      </c>
    </row>
    <row r="874" spans="1:52" ht="15" customHeight="1">
      <c r="A874" s="54">
        <v>903</v>
      </c>
      <c r="B874" s="405">
        <v>45638</v>
      </c>
      <c r="C874" s="351" t="s">
        <v>2628</v>
      </c>
      <c r="D874" s="32" t="s">
        <v>2629</v>
      </c>
      <c r="E874" s="32" t="s">
        <v>2524</v>
      </c>
      <c r="F874" s="32" t="s">
        <v>2630</v>
      </c>
      <c r="G874" s="60" t="s">
        <v>220</v>
      </c>
      <c r="H874" s="33" t="s">
        <v>90</v>
      </c>
      <c r="I874" s="34"/>
      <c r="J874" s="33">
        <v>6</v>
      </c>
      <c r="K874" s="56" t="s">
        <v>1755</v>
      </c>
      <c r="L874" s="56" t="s">
        <v>1755</v>
      </c>
      <c r="M874" s="386" t="s">
        <v>1755</v>
      </c>
      <c r="N874" s="33" t="s">
        <v>73</v>
      </c>
      <c r="O874" s="33" t="s">
        <v>11</v>
      </c>
      <c r="P874" s="33" t="s">
        <v>85</v>
      </c>
      <c r="Q874" s="47"/>
      <c r="R874" s="47"/>
      <c r="S874" s="45" t="s">
        <v>166</v>
      </c>
      <c r="T874" s="45"/>
      <c r="U874" s="37">
        <v>45624</v>
      </c>
      <c r="V874" s="38">
        <f t="shared" si="135"/>
        <v>45638</v>
      </c>
      <c r="W874" s="50">
        <f>V874-U874</f>
        <v>14</v>
      </c>
      <c r="X874" s="260">
        <v>600735.92000000004</v>
      </c>
      <c r="Y874" s="260">
        <v>632574.92000000004</v>
      </c>
      <c r="Z874" s="260">
        <v>481150</v>
      </c>
      <c r="AA874" s="56"/>
      <c r="AB874" s="43">
        <v>0.20780000000000001</v>
      </c>
      <c r="AC874" s="295">
        <v>0</v>
      </c>
      <c r="AD874" s="62" t="s">
        <v>2631</v>
      </c>
      <c r="AE874" s="291"/>
      <c r="AF874" s="40"/>
      <c r="AG874" s="291"/>
      <c r="AH874" s="40">
        <f t="shared" si="136"/>
        <v>151424.92000000004</v>
      </c>
      <c r="AI874" s="242"/>
      <c r="AJ874" s="242"/>
      <c r="AK874" s="291">
        <v>24817.8</v>
      </c>
      <c r="AL874" s="40">
        <f t="shared" si="137"/>
        <v>126607.12000000004</v>
      </c>
      <c r="AM874" s="242">
        <f t="shared" si="138"/>
        <v>45657</v>
      </c>
      <c r="AN874" s="242" t="str">
        <f>IF(AQ874="x","",IF(AQ874="x",AM874,IF(EOMONTH(I874,0)=31,"",EOMONTH(I874,0))))</f>
        <v/>
      </c>
      <c r="AO874" s="364">
        <f>IFERROR(IF(VLOOKUP(C874,C876:C1475,1,0)=0,1,0),1)</f>
        <v>1</v>
      </c>
      <c r="AP874" s="364"/>
      <c r="AQ874" s="243" t="str">
        <f t="shared" si="144"/>
        <v/>
      </c>
      <c r="AR874" s="242" t="b">
        <f>IF(AQ874="x",EOMONTH(I874,0))</f>
        <v>0</v>
      </c>
      <c r="AS874" s="79">
        <f t="shared" si="140"/>
        <v>1</v>
      </c>
      <c r="AT874" s="79">
        <f t="shared" si="141"/>
        <v>1</v>
      </c>
      <c r="AU874" s="79" t="str">
        <f t="shared" si="142"/>
        <v>C</v>
      </c>
      <c r="AV874" s="79">
        <f t="shared" si="143"/>
        <v>1</v>
      </c>
      <c r="AW874" s="79" t="str">
        <f>J874&amp;AU874</f>
        <v>6C</v>
      </c>
      <c r="AX874" s="79">
        <f>IF(COUNTIFS(J:J,"Integral",E:E,E874,H:H,"Ativo")=4,1/4,1/10)</f>
        <v>0.1</v>
      </c>
      <c r="AY874" s="79" t="s">
        <v>2133</v>
      </c>
      <c r="AZ874" s="79" t="b">
        <v>1</v>
      </c>
    </row>
    <row r="875" spans="1:52" ht="15" customHeight="1">
      <c r="A875" s="54">
        <v>904</v>
      </c>
      <c r="B875" s="405">
        <v>45638</v>
      </c>
      <c r="C875" s="351" t="s">
        <v>2603</v>
      </c>
      <c r="D875" s="32" t="s">
        <v>2632</v>
      </c>
      <c r="E875" s="32" t="s">
        <v>2633</v>
      </c>
      <c r="F875" s="32" t="s">
        <v>2634</v>
      </c>
      <c r="G875" s="60" t="s">
        <v>220</v>
      </c>
      <c r="H875" s="33" t="s">
        <v>90</v>
      </c>
      <c r="I875" s="34"/>
      <c r="J875" s="33">
        <v>13</v>
      </c>
      <c r="K875" s="56" t="s">
        <v>1165</v>
      </c>
      <c r="L875" s="56" t="s">
        <v>1165</v>
      </c>
      <c r="M875" s="386" t="s">
        <v>1026</v>
      </c>
      <c r="N875" s="33" t="s">
        <v>68</v>
      </c>
      <c r="O875" s="33" t="s">
        <v>12</v>
      </c>
      <c r="P875" s="33" t="s">
        <v>2</v>
      </c>
      <c r="Q875" s="47" t="s">
        <v>84</v>
      </c>
      <c r="R875" s="47"/>
      <c r="S875" s="45" t="s">
        <v>167</v>
      </c>
      <c r="T875" s="45"/>
      <c r="U875" s="37">
        <v>45423</v>
      </c>
      <c r="V875" s="38">
        <f t="shared" si="135"/>
        <v>45638</v>
      </c>
      <c r="W875" s="50">
        <f>V875-U875</f>
        <v>215</v>
      </c>
      <c r="X875" s="260">
        <v>1036804.34</v>
      </c>
      <c r="Y875" s="260">
        <v>1091754.97</v>
      </c>
      <c r="Z875" s="260">
        <v>998000</v>
      </c>
      <c r="AA875" s="56"/>
      <c r="AB875" s="43">
        <v>0.2</v>
      </c>
      <c r="AC875" s="295">
        <v>0</v>
      </c>
      <c r="AD875" s="62" t="s">
        <v>2635</v>
      </c>
      <c r="AE875" s="291"/>
      <c r="AF875" s="40"/>
      <c r="AG875" s="291"/>
      <c r="AH875" s="40">
        <f t="shared" si="136"/>
        <v>93754.969999999972</v>
      </c>
      <c r="AI875" s="242"/>
      <c r="AJ875" s="242"/>
      <c r="AK875" s="291">
        <v>34068.97</v>
      </c>
      <c r="AL875" s="40">
        <f t="shared" si="137"/>
        <v>59685.999999999971</v>
      </c>
      <c r="AM875" s="242">
        <f t="shared" si="138"/>
        <v>45657</v>
      </c>
      <c r="AN875" s="242" t="str">
        <f>IF(AQ875="x","",IF(AQ875="x",AM875,IF(EOMONTH(I875,0)=31,"",EOMONTH(I875,0))))</f>
        <v/>
      </c>
      <c r="AO875" s="364">
        <f>IFERROR(IF(VLOOKUP(C875,C876:C1476,1,0)=0,1,0),1)</f>
        <v>1</v>
      </c>
      <c r="AP875" s="364"/>
      <c r="AQ875" s="243" t="str">
        <f t="shared" si="144"/>
        <v/>
      </c>
      <c r="AR875" s="242" t="b">
        <f>IF(AQ875="x",EOMONTH(I875,0))</f>
        <v>0</v>
      </c>
      <c r="AS875" s="79">
        <f t="shared" si="140"/>
        <v>1</v>
      </c>
      <c r="AT875" s="79">
        <f t="shared" si="141"/>
        <v>1</v>
      </c>
      <c r="AU875" s="79" t="str">
        <f t="shared" si="142"/>
        <v>C</v>
      </c>
      <c r="AV875" s="79">
        <f t="shared" si="143"/>
        <v>1</v>
      </c>
      <c r="AW875" s="79" t="str">
        <f>J875&amp;AU875</f>
        <v>13C</v>
      </c>
      <c r="AX875" s="79">
        <f>IF(COUNTIFS(J:J,"Integral",E:E,E875,H:H,"Ativo")=4,1/4,1/10)</f>
        <v>0.1</v>
      </c>
      <c r="AY875" s="79" t="s">
        <v>2133</v>
      </c>
      <c r="AZ875" s="79" t="b">
        <v>1</v>
      </c>
    </row>
    <row r="876" spans="1:52" ht="15" customHeight="1">
      <c r="A876" s="54">
        <v>905</v>
      </c>
      <c r="B876" s="405">
        <v>45640</v>
      </c>
      <c r="C876" s="351" t="s">
        <v>2636</v>
      </c>
      <c r="D876" s="32" t="s">
        <v>2637</v>
      </c>
      <c r="E876" s="32" t="s">
        <v>2524</v>
      </c>
      <c r="F876" s="32" t="s">
        <v>2638</v>
      </c>
      <c r="G876" s="60" t="s">
        <v>220</v>
      </c>
      <c r="H876" s="33" t="s">
        <v>90</v>
      </c>
      <c r="I876" s="34"/>
      <c r="J876" s="33">
        <v>6</v>
      </c>
      <c r="K876" s="35" t="s">
        <v>274</v>
      </c>
      <c r="L876" s="35" t="s">
        <v>274</v>
      </c>
      <c r="M876" s="386" t="s">
        <v>246</v>
      </c>
      <c r="N876" s="33" t="s">
        <v>68</v>
      </c>
      <c r="O876" s="33" t="s">
        <v>12</v>
      </c>
      <c r="P876" s="33" t="s">
        <v>1</v>
      </c>
      <c r="Q876" s="47"/>
      <c r="R876" s="47"/>
      <c r="S876" s="45" t="s">
        <v>143</v>
      </c>
      <c r="T876" s="45"/>
      <c r="U876" s="37">
        <v>45632</v>
      </c>
      <c r="V876" s="38">
        <f t="shared" si="135"/>
        <v>45640</v>
      </c>
      <c r="W876" s="50">
        <f>V876-U876</f>
        <v>8</v>
      </c>
      <c r="X876" s="260">
        <v>600735.92000000004</v>
      </c>
      <c r="Y876" s="260">
        <v>632574.92000000004</v>
      </c>
      <c r="Z876" s="260">
        <v>570000</v>
      </c>
      <c r="AA876" s="56"/>
      <c r="AB876" s="43">
        <v>0.2</v>
      </c>
      <c r="AC876" s="295">
        <v>0</v>
      </c>
      <c r="AD876" s="62" t="s">
        <v>2631</v>
      </c>
      <c r="AE876" s="291"/>
      <c r="AF876" s="40"/>
      <c r="AG876" s="291"/>
      <c r="AH876" s="40">
        <f t="shared" si="136"/>
        <v>62574.920000000042</v>
      </c>
      <c r="AI876" s="242"/>
      <c r="AJ876" s="242"/>
      <c r="AK876" s="291">
        <v>24821.15</v>
      </c>
      <c r="AL876" s="40">
        <f t="shared" si="137"/>
        <v>37753.77000000004</v>
      </c>
      <c r="AM876" s="242">
        <f t="shared" si="138"/>
        <v>45657</v>
      </c>
      <c r="AN876" s="242" t="str">
        <f>IF(AQ876="x","",IF(AQ876="x",AM876,IF(EOMONTH(I876,0)=31,"",EOMONTH(I876,0))))</f>
        <v/>
      </c>
      <c r="AO876" s="364">
        <f>IFERROR(IF(VLOOKUP(C876,C877:C1477,1,0)=0,1,0),1)</f>
        <v>1</v>
      </c>
      <c r="AP876" s="364"/>
      <c r="AQ876" s="243" t="str">
        <f t="shared" si="144"/>
        <v/>
      </c>
      <c r="AR876" s="242" t="b">
        <f>IF(AQ876="x",EOMONTH(I876,0))</f>
        <v>0</v>
      </c>
      <c r="AS876" s="79">
        <f t="shared" si="140"/>
        <v>1</v>
      </c>
      <c r="AT876" s="79">
        <f t="shared" si="141"/>
        <v>1</v>
      </c>
      <c r="AU876" s="79" t="str">
        <f t="shared" si="142"/>
        <v>C</v>
      </c>
      <c r="AV876" s="79">
        <f t="shared" si="143"/>
        <v>1</v>
      </c>
      <c r="AW876" s="79" t="str">
        <f>J876&amp;AU876</f>
        <v>6C</v>
      </c>
      <c r="AX876" s="79">
        <f>IF(COUNTIFS(J:J,"Integral",E:E,E876,H:H,"Ativo")=4,1/4,1/10)</f>
        <v>0.1</v>
      </c>
      <c r="AY876" s="79" t="s">
        <v>2133</v>
      </c>
      <c r="AZ876" s="79" t="b">
        <v>1</v>
      </c>
    </row>
    <row r="877" spans="1:52" ht="15" customHeight="1">
      <c r="A877" s="54">
        <v>906</v>
      </c>
      <c r="B877" s="405">
        <v>45641</v>
      </c>
      <c r="C877" s="351" t="s">
        <v>2639</v>
      </c>
      <c r="D877" s="32" t="s">
        <v>2640</v>
      </c>
      <c r="E877" s="32" t="s">
        <v>2641</v>
      </c>
      <c r="F877" s="32" t="s">
        <v>2642</v>
      </c>
      <c r="G877" s="60" t="s">
        <v>220</v>
      </c>
      <c r="H877" s="33" t="s">
        <v>90</v>
      </c>
      <c r="I877" s="34"/>
      <c r="J877" s="33">
        <v>13</v>
      </c>
      <c r="K877" s="56" t="s">
        <v>981</v>
      </c>
      <c r="L877" s="56" t="s">
        <v>981</v>
      </c>
      <c r="M877" s="386" t="s">
        <v>1026</v>
      </c>
      <c r="N877" s="33" t="s">
        <v>68</v>
      </c>
      <c r="O877" s="33" t="s">
        <v>12</v>
      </c>
      <c r="P877" s="33" t="s">
        <v>86</v>
      </c>
      <c r="Q877" s="47" t="s">
        <v>98</v>
      </c>
      <c r="R877" s="47"/>
      <c r="S877" s="45" t="s">
        <v>145</v>
      </c>
      <c r="T877" s="45"/>
      <c r="U877" s="37">
        <v>45601</v>
      </c>
      <c r="V877" s="38">
        <f t="shared" si="135"/>
        <v>45641</v>
      </c>
      <c r="W877" s="50">
        <f>V877-U877</f>
        <v>40</v>
      </c>
      <c r="X877" s="260">
        <v>1296280.3899999999</v>
      </c>
      <c r="Y877" s="260">
        <v>1364983.25</v>
      </c>
      <c r="Z877" s="260">
        <v>1259600</v>
      </c>
      <c r="AA877" s="56"/>
      <c r="AB877" s="43">
        <v>0.2009</v>
      </c>
      <c r="AC877" s="295">
        <v>0</v>
      </c>
      <c r="AD877" s="62">
        <v>8.7099999999999997E-2</v>
      </c>
      <c r="AE877" s="291"/>
      <c r="AF877" s="40"/>
      <c r="AG877" s="291"/>
      <c r="AH877" s="40">
        <f t="shared" si="136"/>
        <v>105383.25</v>
      </c>
      <c r="AI877" s="242"/>
      <c r="AJ877" s="242"/>
      <c r="AK877" s="291">
        <v>40554.370000000003</v>
      </c>
      <c r="AL877" s="40">
        <f t="shared" si="137"/>
        <v>64828.88</v>
      </c>
      <c r="AM877" s="242">
        <f t="shared" si="138"/>
        <v>45657</v>
      </c>
      <c r="AN877" s="242" t="str">
        <f>IF(AQ877="x","",IF(AQ877="x",AM877,IF(EOMONTH(I877,0)=31,"",EOMONTH(I877,0))))</f>
        <v/>
      </c>
      <c r="AO877" s="364">
        <f>IFERROR(IF(VLOOKUP(C877,C878:C1478,1,0)=0,1,0),1)</f>
        <v>1</v>
      </c>
      <c r="AP877" s="364"/>
      <c r="AQ877" s="243" t="str">
        <f t="shared" si="144"/>
        <v/>
      </c>
      <c r="AR877" s="242" t="b">
        <f>IF(AQ877="x",EOMONTH(I877,0))</f>
        <v>0</v>
      </c>
      <c r="AS877" s="79">
        <f t="shared" si="140"/>
        <v>1</v>
      </c>
      <c r="AT877" s="79">
        <f t="shared" si="141"/>
        <v>1</v>
      </c>
      <c r="AU877" s="79" t="str">
        <f t="shared" si="142"/>
        <v>C</v>
      </c>
      <c r="AV877" s="79">
        <f t="shared" si="143"/>
        <v>1</v>
      </c>
      <c r="AW877" s="79" t="str">
        <f>J877&amp;AU877</f>
        <v>13C</v>
      </c>
      <c r="AX877" s="79">
        <f>IF(COUNTIFS(J:J,"Integral",E:E,E877,H:H,"Ativo")=4,1/4,1/10)</f>
        <v>0.1</v>
      </c>
      <c r="AY877" s="79" t="s">
        <v>2133</v>
      </c>
      <c r="AZ877" s="79" t="b">
        <v>1</v>
      </c>
    </row>
    <row r="878" spans="1:52" ht="15" customHeight="1">
      <c r="A878" s="54">
        <v>907</v>
      </c>
      <c r="B878" s="405">
        <v>45642</v>
      </c>
      <c r="C878" s="351" t="s">
        <v>2211</v>
      </c>
      <c r="D878" s="32" t="s">
        <v>2643</v>
      </c>
      <c r="E878" s="32" t="s">
        <v>2524</v>
      </c>
      <c r="F878" s="32" t="s">
        <v>2644</v>
      </c>
      <c r="G878" s="60" t="s">
        <v>220</v>
      </c>
      <c r="H878" s="33" t="s">
        <v>90</v>
      </c>
      <c r="I878" s="34"/>
      <c r="J878" s="33">
        <v>6</v>
      </c>
      <c r="K878" s="56" t="s">
        <v>1755</v>
      </c>
      <c r="L878" s="56" t="s">
        <v>1755</v>
      </c>
      <c r="M878" s="386" t="s">
        <v>1755</v>
      </c>
      <c r="N878" s="33" t="s">
        <v>73</v>
      </c>
      <c r="O878" s="33" t="s">
        <v>11</v>
      </c>
      <c r="P878" s="33" t="s">
        <v>85</v>
      </c>
      <c r="Q878" s="47" t="s">
        <v>99</v>
      </c>
      <c r="R878" s="47"/>
      <c r="S878" s="45" t="s">
        <v>160</v>
      </c>
      <c r="T878" s="45"/>
      <c r="U878" s="37">
        <v>45499</v>
      </c>
      <c r="V878" s="38">
        <f t="shared" si="135"/>
        <v>45642</v>
      </c>
      <c r="W878" s="50">
        <f>V878-U878</f>
        <v>143</v>
      </c>
      <c r="X878" s="260">
        <v>600735.92000000004</v>
      </c>
      <c r="Y878" s="260">
        <v>632574.92000000004</v>
      </c>
      <c r="Z878" s="260">
        <v>448000</v>
      </c>
      <c r="AA878" s="56"/>
      <c r="AB878" s="43" t="s">
        <v>2645</v>
      </c>
      <c r="AC878" s="295">
        <v>0</v>
      </c>
      <c r="AD878" s="62" t="s">
        <v>2646</v>
      </c>
      <c r="AE878" s="291"/>
      <c r="AF878" s="40"/>
      <c r="AG878" s="291"/>
      <c r="AH878" s="40">
        <f t="shared" si="136"/>
        <v>184574.92000000004</v>
      </c>
      <c r="AI878" s="76"/>
      <c r="AJ878" s="76"/>
      <c r="AK878" s="291">
        <v>53657.98</v>
      </c>
      <c r="AL878" s="40">
        <f t="shared" si="137"/>
        <v>130916.94000000003</v>
      </c>
      <c r="AM878" s="76">
        <f t="shared" si="138"/>
        <v>45657</v>
      </c>
      <c r="AN878" s="76" t="str">
        <f>IF(AQ878="x","",IF(AQ878="x",AM878,IF(EOMONTH(I878,0)=31,"",EOMONTH(I878,0))))</f>
        <v/>
      </c>
      <c r="AO878" s="338">
        <f>IFERROR(IF(VLOOKUP(C878,C879:C1479,1,0)=0,1,0),1)</f>
        <v>1</v>
      </c>
      <c r="AP878" s="338"/>
      <c r="AQ878" s="77" t="str">
        <f t="shared" si="144"/>
        <v/>
      </c>
      <c r="AR878" s="76" t="b">
        <f>IF(AQ878="x",EOMONTH(I878,0))</f>
        <v>0</v>
      </c>
      <c r="AS878" s="74">
        <f t="shared" si="140"/>
        <v>1</v>
      </c>
      <c r="AT878" s="74">
        <f t="shared" si="141"/>
        <v>1</v>
      </c>
      <c r="AU878" s="74" t="str">
        <f t="shared" si="142"/>
        <v>C</v>
      </c>
      <c r="AV878" s="74">
        <f t="shared" si="143"/>
        <v>1</v>
      </c>
      <c r="AW878" s="74" t="str">
        <f>J878&amp;AU878</f>
        <v>6C</v>
      </c>
      <c r="AX878" s="74">
        <f>IF(COUNTIFS(J:J,"Integral",E:E,E878,H:H,"Ativo")=4,1/4,1/10)</f>
        <v>0.1</v>
      </c>
      <c r="AY878" s="74" t="s">
        <v>1535</v>
      </c>
      <c r="AZ878" s="79" t="b">
        <v>1</v>
      </c>
    </row>
    <row r="879" spans="1:52" ht="15" customHeight="1">
      <c r="A879" s="54">
        <v>908</v>
      </c>
      <c r="B879" s="405">
        <v>45645</v>
      </c>
      <c r="C879" s="351" t="s">
        <v>2647</v>
      </c>
      <c r="D879" s="32" t="s">
        <v>2648</v>
      </c>
      <c r="E879" s="32" t="s">
        <v>2649</v>
      </c>
      <c r="F879" s="32" t="s">
        <v>2650</v>
      </c>
      <c r="G879" s="60" t="s">
        <v>220</v>
      </c>
      <c r="H879" s="33" t="s">
        <v>90</v>
      </c>
      <c r="I879" s="34"/>
      <c r="J879" s="33" t="s">
        <v>1701</v>
      </c>
      <c r="K879" s="56" t="s">
        <v>1154</v>
      </c>
      <c r="L879" s="56" t="s">
        <v>1154</v>
      </c>
      <c r="M879" s="386" t="s">
        <v>246</v>
      </c>
      <c r="N879" s="33" t="s">
        <v>68</v>
      </c>
      <c r="O879" s="33" t="s">
        <v>12</v>
      </c>
      <c r="P879" s="33" t="s">
        <v>2</v>
      </c>
      <c r="Q879" s="47"/>
      <c r="R879" s="47"/>
      <c r="S879" s="45" t="s">
        <v>145</v>
      </c>
      <c r="T879" s="45"/>
      <c r="U879" s="37">
        <v>45060</v>
      </c>
      <c r="V879" s="38">
        <f t="shared" ref="V879:V883" si="145">B879</f>
        <v>45645</v>
      </c>
      <c r="W879" s="50">
        <f>V879-U879</f>
        <v>585</v>
      </c>
      <c r="X879" s="260">
        <v>1873994.31</v>
      </c>
      <c r="Y879" s="260">
        <v>1873994.31</v>
      </c>
      <c r="Z879" s="260">
        <v>1526250</v>
      </c>
      <c r="AA879" s="56"/>
      <c r="AB879" s="43">
        <v>0.29339999999999999</v>
      </c>
      <c r="AC879" s="295">
        <v>0</v>
      </c>
      <c r="AD879" s="62">
        <v>0.12</v>
      </c>
      <c r="AE879" s="291"/>
      <c r="AF879" s="65"/>
      <c r="AG879" s="291"/>
      <c r="AH879" s="40">
        <f t="shared" ref="AH879:AH903" si="146">Y879-Z879</f>
        <v>347744.31000000006</v>
      </c>
      <c r="AI879" s="66">
        <f>AH879/X879</f>
        <v>0.18556316214215188</v>
      </c>
      <c r="AJ879" s="66">
        <f t="shared" ref="AJ879:AJ883" si="147">AI879-AF879</f>
        <v>0.18556316214215188</v>
      </c>
      <c r="AK879" s="292">
        <v>186418.98</v>
      </c>
      <c r="AL879" s="40">
        <f t="shared" ref="AL879:AL903" si="148">AH879-AK879</f>
        <v>161325.33000000005</v>
      </c>
      <c r="AM879" s="242">
        <f t="shared" ref="AM879:AM883" si="149">IFERROR(EOMONTH(B879,0),"Pendente")</f>
        <v>45657</v>
      </c>
      <c r="AN879" s="242" t="str">
        <f>IF(AQ879="x","",IF(AQ879="x",AM879,IF(EOMONTH(I879,0)=31,"",EOMONTH(I879,0))))</f>
        <v/>
      </c>
      <c r="AO879" s="79">
        <f>IFERROR(IF(VLOOKUP(C879,C880:C1480,1,0)=0,1,0),1)</f>
        <v>0</v>
      </c>
      <c r="AP879" s="79"/>
      <c r="AQ879" s="243" t="str">
        <f t="shared" ref="AQ879:AQ883" si="150">IF(MID(G879,1,15)="NAO ASSINADO","x","")</f>
        <v/>
      </c>
      <c r="AR879" s="242" t="b">
        <f>IF(AQ879="x",EOMONTH(I879,0))</f>
        <v>0</v>
      </c>
      <c r="AS879" s="79">
        <f t="shared" ref="AS879:AS883" si="151">IF(AH879&lt;0,0,1)</f>
        <v>1</v>
      </c>
      <c r="AT879" s="79">
        <f t="shared" ref="AT879:AT883" si="152">IF(AL879&lt;0,0,1)</f>
        <v>1</v>
      </c>
      <c r="AU879" s="79" t="str">
        <f t="shared" ref="AU879:AU883" si="153">MID(E879,1,1)</f>
        <v>A</v>
      </c>
      <c r="AV879" s="79">
        <f t="shared" ref="AV879:AV883" si="154">IF(AG879&lt;0,0,1)</f>
        <v>1</v>
      </c>
      <c r="AW879" s="79" t="str">
        <f>J879&amp;AU879</f>
        <v>INTEGRALA</v>
      </c>
      <c r="AX879" s="79">
        <f>IF(COUNTIFS(J:J,"Integral",E:E,E879,H:H,"Ativo")=4,1/4,1/10)</f>
        <v>0.25</v>
      </c>
      <c r="AY879" s="79" t="s">
        <v>2133</v>
      </c>
      <c r="AZ879" s="79" t="b">
        <v>1</v>
      </c>
    </row>
    <row r="880" spans="1:52" ht="15" customHeight="1">
      <c r="A880" s="54">
        <v>909</v>
      </c>
      <c r="B880" s="405">
        <v>45645</v>
      </c>
      <c r="C880" s="351" t="s">
        <v>2647</v>
      </c>
      <c r="D880" s="32" t="s">
        <v>2651</v>
      </c>
      <c r="E880" s="32" t="s">
        <v>2649</v>
      </c>
      <c r="F880" s="32" t="s">
        <v>2652</v>
      </c>
      <c r="G880" s="60" t="s">
        <v>220</v>
      </c>
      <c r="H880" s="33" t="s">
        <v>90</v>
      </c>
      <c r="I880" s="34"/>
      <c r="J880" s="33" t="s">
        <v>1701</v>
      </c>
      <c r="K880" s="56" t="s">
        <v>1154</v>
      </c>
      <c r="L880" s="56" t="s">
        <v>1154</v>
      </c>
      <c r="M880" s="386" t="s">
        <v>246</v>
      </c>
      <c r="N880" s="33" t="s">
        <v>68</v>
      </c>
      <c r="O880" s="33" t="s">
        <v>12</v>
      </c>
      <c r="P880" s="33" t="s">
        <v>2</v>
      </c>
      <c r="Q880" s="47"/>
      <c r="R880" s="47"/>
      <c r="S880" s="45" t="s">
        <v>145</v>
      </c>
      <c r="T880" s="45"/>
      <c r="U880" s="37">
        <v>45060</v>
      </c>
      <c r="V880" s="38">
        <f t="shared" si="145"/>
        <v>45645</v>
      </c>
      <c r="W880" s="50">
        <f>V880-U880</f>
        <v>585</v>
      </c>
      <c r="X880" s="260">
        <v>1873994.31</v>
      </c>
      <c r="Y880" s="260">
        <v>1873994.31</v>
      </c>
      <c r="Z880" s="260">
        <v>1526250</v>
      </c>
      <c r="AA880" s="56"/>
      <c r="AB880" s="43">
        <v>0.29339999999999999</v>
      </c>
      <c r="AC880" s="295">
        <v>0</v>
      </c>
      <c r="AD880" s="62">
        <v>0.12</v>
      </c>
      <c r="AE880" s="291"/>
      <c r="AF880" s="40"/>
      <c r="AG880" s="291"/>
      <c r="AH880" s="40">
        <f t="shared" si="146"/>
        <v>347744.31000000006</v>
      </c>
      <c r="AI880" s="66">
        <f>AH880/X880</f>
        <v>0.18556316214215188</v>
      </c>
      <c r="AJ880" s="66">
        <f t="shared" si="147"/>
        <v>0.18556316214215188</v>
      </c>
      <c r="AK880" s="292">
        <v>186418.99</v>
      </c>
      <c r="AL880" s="40">
        <f t="shared" si="148"/>
        <v>161325.32000000007</v>
      </c>
      <c r="AM880" s="242">
        <f t="shared" si="149"/>
        <v>45657</v>
      </c>
      <c r="AN880" s="242" t="str">
        <f>IF(AQ880="x","",IF(AQ880="x",AM880,IF(EOMONTH(I880,0)=31,"",EOMONTH(I880,0))))</f>
        <v/>
      </c>
      <c r="AO880" s="79">
        <f>IFERROR(IF(VLOOKUP(C880,C881:C1481,1,0)=0,1,0),1)</f>
        <v>0</v>
      </c>
      <c r="AP880" s="79"/>
      <c r="AQ880" s="243" t="str">
        <f t="shared" si="150"/>
        <v/>
      </c>
      <c r="AR880" s="242" t="b">
        <f>IF(AQ880="x",EOMONTH(I880,0))</f>
        <v>0</v>
      </c>
      <c r="AS880" s="79">
        <f t="shared" si="151"/>
        <v>1</v>
      </c>
      <c r="AT880" s="79">
        <f t="shared" si="152"/>
        <v>1</v>
      </c>
      <c r="AU880" s="79" t="str">
        <f t="shared" si="153"/>
        <v>A</v>
      </c>
      <c r="AV880" s="79">
        <f t="shared" si="154"/>
        <v>1</v>
      </c>
      <c r="AW880" s="79" t="str">
        <f>J880&amp;AU880</f>
        <v>INTEGRALA</v>
      </c>
      <c r="AX880" s="79">
        <f>IF(COUNTIFS(J:J,"Integral",E:E,E880,H:H,"Ativo")=4,1/4,1/10)</f>
        <v>0.25</v>
      </c>
      <c r="AY880" s="79" t="s">
        <v>2133</v>
      </c>
      <c r="AZ880" s="79" t="b">
        <v>1</v>
      </c>
    </row>
    <row r="881" spans="1:79" ht="15" customHeight="1">
      <c r="A881" s="54">
        <v>910</v>
      </c>
      <c r="B881" s="405">
        <v>45645</v>
      </c>
      <c r="C881" s="351" t="s">
        <v>2647</v>
      </c>
      <c r="D881" s="32" t="s">
        <v>2653</v>
      </c>
      <c r="E881" s="32" t="s">
        <v>2649</v>
      </c>
      <c r="F881" s="32" t="s">
        <v>2654</v>
      </c>
      <c r="G881" s="60" t="s">
        <v>220</v>
      </c>
      <c r="H881" s="33" t="s">
        <v>90</v>
      </c>
      <c r="I881" s="34"/>
      <c r="J881" s="33" t="s">
        <v>1701</v>
      </c>
      <c r="K881" s="56" t="s">
        <v>1154</v>
      </c>
      <c r="L881" s="56" t="s">
        <v>1154</v>
      </c>
      <c r="M881" s="386" t="s">
        <v>246</v>
      </c>
      <c r="N881" s="33" t="s">
        <v>68</v>
      </c>
      <c r="O881" s="33" t="s">
        <v>12</v>
      </c>
      <c r="P881" s="33" t="s">
        <v>2</v>
      </c>
      <c r="Q881" s="47"/>
      <c r="R881" s="47"/>
      <c r="S881" s="45" t="s">
        <v>145</v>
      </c>
      <c r="T881" s="45"/>
      <c r="U881" s="37">
        <v>45060</v>
      </c>
      <c r="V881" s="38">
        <f t="shared" si="145"/>
        <v>45645</v>
      </c>
      <c r="W881" s="50">
        <f>V881-U881</f>
        <v>585</v>
      </c>
      <c r="X881" s="260">
        <v>1873994.31</v>
      </c>
      <c r="Y881" s="260">
        <v>1873994.31</v>
      </c>
      <c r="Z881" s="260">
        <v>1526250</v>
      </c>
      <c r="AA881" s="56"/>
      <c r="AB881" s="43">
        <v>0.29339999999999999</v>
      </c>
      <c r="AC881" s="295">
        <v>0</v>
      </c>
      <c r="AD881" s="62">
        <v>0.12</v>
      </c>
      <c r="AE881" s="291"/>
      <c r="AF881" s="40"/>
      <c r="AG881" s="291"/>
      <c r="AH881" s="40">
        <f t="shared" si="146"/>
        <v>347744.31000000006</v>
      </c>
      <c r="AI881" s="66">
        <f>AH881/X881</f>
        <v>0.18556316214215188</v>
      </c>
      <c r="AJ881" s="66">
        <f t="shared" si="147"/>
        <v>0.18556316214215188</v>
      </c>
      <c r="AK881" s="292">
        <v>186418.99</v>
      </c>
      <c r="AL881" s="40">
        <f t="shared" si="148"/>
        <v>161325.32000000007</v>
      </c>
      <c r="AM881" s="242">
        <f t="shared" si="149"/>
        <v>45657</v>
      </c>
      <c r="AN881" s="242" t="str">
        <f>IF(AQ881="x","",IF(AQ881="x",AM881,IF(EOMONTH(I881,0)=31,"",EOMONTH(I881,0))))</f>
        <v/>
      </c>
      <c r="AO881" s="79">
        <f>IFERROR(IF(VLOOKUP(C881,C882:C1482,1,0)=0,1,0),1)</f>
        <v>0</v>
      </c>
      <c r="AP881" s="79"/>
      <c r="AQ881" s="243" t="str">
        <f t="shared" si="150"/>
        <v/>
      </c>
      <c r="AR881" s="242" t="b">
        <f>IF(AQ881="x",EOMONTH(I881,0))</f>
        <v>0</v>
      </c>
      <c r="AS881" s="79">
        <f t="shared" si="151"/>
        <v>1</v>
      </c>
      <c r="AT881" s="79">
        <f t="shared" si="152"/>
        <v>1</v>
      </c>
      <c r="AU881" s="79" t="str">
        <f t="shared" si="153"/>
        <v>A</v>
      </c>
      <c r="AV881" s="79">
        <f t="shared" si="154"/>
        <v>1</v>
      </c>
      <c r="AW881" s="79" t="str">
        <f>J881&amp;AU881</f>
        <v>INTEGRALA</v>
      </c>
      <c r="AX881" s="79">
        <f>IF(COUNTIFS(J:J,"Integral",E:E,E881,H:H,"Ativo")=4,1/4,1/10)</f>
        <v>0.25</v>
      </c>
      <c r="AY881" s="79" t="s">
        <v>2133</v>
      </c>
      <c r="AZ881" s="79" t="b">
        <v>1</v>
      </c>
    </row>
    <row r="882" spans="1:79" ht="15" customHeight="1">
      <c r="A882" s="54">
        <v>911</v>
      </c>
      <c r="B882" s="405">
        <v>45645</v>
      </c>
      <c r="C882" s="351" t="s">
        <v>2647</v>
      </c>
      <c r="D882" s="32" t="s">
        <v>2655</v>
      </c>
      <c r="E882" s="32" t="s">
        <v>2649</v>
      </c>
      <c r="F882" s="32" t="s">
        <v>2656</v>
      </c>
      <c r="G882" s="60" t="s">
        <v>220</v>
      </c>
      <c r="H882" s="33" t="s">
        <v>90</v>
      </c>
      <c r="I882" s="34"/>
      <c r="J882" s="33" t="s">
        <v>1701</v>
      </c>
      <c r="K882" s="56" t="s">
        <v>1154</v>
      </c>
      <c r="L882" s="56" t="s">
        <v>1154</v>
      </c>
      <c r="M882" s="386" t="s">
        <v>246</v>
      </c>
      <c r="N882" s="33" t="s">
        <v>68</v>
      </c>
      <c r="O882" s="33" t="s">
        <v>12</v>
      </c>
      <c r="P882" s="33" t="s">
        <v>2</v>
      </c>
      <c r="Q882" s="47"/>
      <c r="R882" s="47"/>
      <c r="S882" s="45" t="s">
        <v>145</v>
      </c>
      <c r="T882" s="45"/>
      <c r="U882" s="37">
        <v>45060</v>
      </c>
      <c r="V882" s="38">
        <f t="shared" si="145"/>
        <v>45645</v>
      </c>
      <c r="W882" s="50">
        <f>V882-U882</f>
        <v>585</v>
      </c>
      <c r="X882" s="260">
        <v>1873994.32</v>
      </c>
      <c r="Y882" s="260">
        <v>1873994.32</v>
      </c>
      <c r="Z882" s="260">
        <v>1526250</v>
      </c>
      <c r="AA882" s="56"/>
      <c r="AB882" s="43">
        <v>0.29339999999999999</v>
      </c>
      <c r="AC882" s="295">
        <v>0</v>
      </c>
      <c r="AD882" s="62">
        <v>0.12</v>
      </c>
      <c r="AE882" s="291"/>
      <c r="AF882" s="40"/>
      <c r="AG882" s="291"/>
      <c r="AH882" s="40">
        <f t="shared" si="146"/>
        <v>347744.32000000007</v>
      </c>
      <c r="AI882" s="66">
        <f>AH882/X882</f>
        <v>0.18556316648814605</v>
      </c>
      <c r="AJ882" s="66">
        <f t="shared" si="147"/>
        <v>0.18556316648814605</v>
      </c>
      <c r="AK882" s="292">
        <v>186418.99</v>
      </c>
      <c r="AL882" s="40">
        <f t="shared" si="148"/>
        <v>161325.33000000007</v>
      </c>
      <c r="AM882" s="242">
        <f t="shared" si="149"/>
        <v>45657</v>
      </c>
      <c r="AN882" s="242" t="str">
        <f>IF(AQ882="x","",IF(AQ882="x",AM882,IF(EOMONTH(I882,0)=31,"",EOMONTH(I882,0))))</f>
        <v/>
      </c>
      <c r="AO882" s="79">
        <f>IFERROR(IF(VLOOKUP(C882,C883:C1483,1,0)=0,1,0),1)</f>
        <v>0</v>
      </c>
      <c r="AP882" s="79"/>
      <c r="AQ882" s="243" t="str">
        <f t="shared" si="150"/>
        <v/>
      </c>
      <c r="AR882" s="242" t="b">
        <f>IF(AQ882="x",EOMONTH(I882,0))</f>
        <v>0</v>
      </c>
      <c r="AS882" s="79">
        <f t="shared" si="151"/>
        <v>1</v>
      </c>
      <c r="AT882" s="79">
        <f t="shared" si="152"/>
        <v>1</v>
      </c>
      <c r="AU882" s="79" t="str">
        <f t="shared" si="153"/>
        <v>A</v>
      </c>
      <c r="AV882" s="79">
        <f t="shared" si="154"/>
        <v>1</v>
      </c>
      <c r="AW882" s="79" t="str">
        <f>J882&amp;AU882</f>
        <v>INTEGRALA</v>
      </c>
      <c r="AX882" s="79">
        <f>IF(COUNTIFS(J:J,"Integral",E:E,E882,H:H,"Ativo")=4,1/4,1/10)</f>
        <v>0.25</v>
      </c>
      <c r="AY882" s="79" t="s">
        <v>2133</v>
      </c>
      <c r="AZ882" s="79" t="b">
        <v>1</v>
      </c>
    </row>
    <row r="883" spans="1:79" ht="15" customHeight="1">
      <c r="A883" s="54">
        <v>912</v>
      </c>
      <c r="B883" s="405">
        <v>45645</v>
      </c>
      <c r="C883" s="351" t="s">
        <v>2647</v>
      </c>
      <c r="D883" s="32" t="s">
        <v>2657</v>
      </c>
      <c r="E883" s="32" t="s">
        <v>2658</v>
      </c>
      <c r="F883" s="32" t="s">
        <v>2659</v>
      </c>
      <c r="G883" s="60" t="s">
        <v>220</v>
      </c>
      <c r="H883" s="33" t="s">
        <v>90</v>
      </c>
      <c r="I883" s="34"/>
      <c r="J883" s="33">
        <v>52</v>
      </c>
      <c r="K883" s="56" t="s">
        <v>1154</v>
      </c>
      <c r="L883" s="56" t="s">
        <v>1154</v>
      </c>
      <c r="M883" s="386" t="s">
        <v>246</v>
      </c>
      <c r="N883" s="33" t="s">
        <v>68</v>
      </c>
      <c r="O883" s="33" t="s">
        <v>12</v>
      </c>
      <c r="P883" s="33" t="s">
        <v>2</v>
      </c>
      <c r="Q883" s="47"/>
      <c r="R883" s="47"/>
      <c r="S883" s="45" t="s">
        <v>145</v>
      </c>
      <c r="T883" s="45"/>
      <c r="U883" s="37">
        <v>45060</v>
      </c>
      <c r="V883" s="38">
        <f t="shared" si="145"/>
        <v>45645</v>
      </c>
      <c r="W883" s="50">
        <f>V883-U883</f>
        <v>585</v>
      </c>
      <c r="X883" s="260">
        <v>200000</v>
      </c>
      <c r="Y883" s="260">
        <v>200000</v>
      </c>
      <c r="Z883" s="260">
        <v>200000</v>
      </c>
      <c r="AA883" s="56"/>
      <c r="AB883" s="43">
        <v>0.29349999999999998</v>
      </c>
      <c r="AC883" s="295">
        <v>0</v>
      </c>
      <c r="AD883" s="62">
        <v>0.12</v>
      </c>
      <c r="AE883" s="291"/>
      <c r="AF883" s="40"/>
      <c r="AG883" s="291"/>
      <c r="AH883" s="40">
        <f t="shared" si="146"/>
        <v>0</v>
      </c>
      <c r="AI883" s="66">
        <f>AH883/X883</f>
        <v>0</v>
      </c>
      <c r="AJ883" s="66">
        <f t="shared" si="147"/>
        <v>0</v>
      </c>
      <c r="AK883" s="292">
        <v>0</v>
      </c>
      <c r="AL883" s="40">
        <f t="shared" si="148"/>
        <v>0</v>
      </c>
      <c r="AM883" s="242">
        <f t="shared" si="149"/>
        <v>45657</v>
      </c>
      <c r="AN883" s="242" t="str">
        <f>IF(AQ883="x","",IF(AQ883="x",AM883,IF(EOMONTH(I883,0)=31,"",EOMONTH(I883,0))))</f>
        <v/>
      </c>
      <c r="AO883" s="79">
        <f>IFERROR(IF(VLOOKUP(C883,C884:C1484,1,0)=0,1,0),1)</f>
        <v>1</v>
      </c>
      <c r="AP883" s="79"/>
      <c r="AQ883" s="243" t="str">
        <f t="shared" si="150"/>
        <v/>
      </c>
      <c r="AR883" s="242" t="b">
        <f>IF(AQ883="x",EOMONTH(I883,0))</f>
        <v>0</v>
      </c>
      <c r="AS883" s="79">
        <f t="shared" si="151"/>
        <v>1</v>
      </c>
      <c r="AT883" s="79">
        <f t="shared" si="152"/>
        <v>1</v>
      </c>
      <c r="AU883" s="79" t="str">
        <f t="shared" si="153"/>
        <v>V</v>
      </c>
      <c r="AV883" s="79">
        <f t="shared" si="154"/>
        <v>1</v>
      </c>
      <c r="AW883" s="79" t="str">
        <f>J883&amp;AU883</f>
        <v>52V</v>
      </c>
      <c r="AX883" s="79">
        <f>IF(COUNTIFS(J:J,"Integral",E:E,E883,H:H,"Ativo")=4,1/4,1/10)</f>
        <v>0.1</v>
      </c>
      <c r="AY883" s="79" t="s">
        <v>2133</v>
      </c>
      <c r="AZ883" s="79" t="b">
        <v>1</v>
      </c>
    </row>
    <row r="884" spans="1:79" ht="15" customHeight="1">
      <c r="A884" s="54">
        <v>913</v>
      </c>
      <c r="B884" s="405">
        <v>45653</v>
      </c>
      <c r="C884" s="351" t="s">
        <v>2660</v>
      </c>
      <c r="D884" s="32" t="s">
        <v>2661</v>
      </c>
      <c r="E884" s="32" t="s">
        <v>2633</v>
      </c>
      <c r="F884" s="32" t="s">
        <v>2662</v>
      </c>
      <c r="G884" s="60" t="s">
        <v>220</v>
      </c>
      <c r="H884" s="33" t="s">
        <v>90</v>
      </c>
      <c r="I884" s="34"/>
      <c r="J884" s="33">
        <v>13</v>
      </c>
      <c r="K884" s="56" t="s">
        <v>981</v>
      </c>
      <c r="L884" s="56" t="s">
        <v>981</v>
      </c>
      <c r="M884" s="386" t="s">
        <v>1026</v>
      </c>
      <c r="N884" s="33" t="s">
        <v>68</v>
      </c>
      <c r="O884" s="33" t="s">
        <v>12</v>
      </c>
      <c r="P884" s="33" t="s">
        <v>2</v>
      </c>
      <c r="Q884" s="47"/>
      <c r="R884" s="47"/>
      <c r="S884" s="45" t="s">
        <v>143</v>
      </c>
      <c r="T884" s="45"/>
      <c r="U884" s="37">
        <v>45648</v>
      </c>
      <c r="V884" s="38">
        <f>B884</f>
        <v>45653</v>
      </c>
      <c r="W884" s="50">
        <f>V884-U884</f>
        <v>5</v>
      </c>
      <c r="X884" s="260">
        <v>1036804.34</v>
      </c>
      <c r="Y884" s="260">
        <v>1091754.97</v>
      </c>
      <c r="Z884" s="260">
        <v>973120</v>
      </c>
      <c r="AA884" s="56"/>
      <c r="AB884" s="43">
        <v>0.32879999999999998</v>
      </c>
      <c r="AC884" s="295">
        <v>0</v>
      </c>
      <c r="AD884" s="62">
        <v>8.5900000000000004E-2</v>
      </c>
      <c r="AE884" s="291"/>
      <c r="AF884" s="40"/>
      <c r="AG884" s="291"/>
      <c r="AH884" s="40">
        <f t="shared" si="146"/>
        <v>118634.96999999997</v>
      </c>
      <c r="AI884" s="66"/>
      <c r="AJ884" s="66"/>
      <c r="AK884" s="292">
        <v>31371.91</v>
      </c>
      <c r="AL884" s="40">
        <f t="shared" si="148"/>
        <v>87263.059999999969</v>
      </c>
      <c r="AM884" s="242">
        <f t="shared" ref="AM884" si="155">IFERROR(EOMONTH(B884,0),"Pendente")</f>
        <v>45657</v>
      </c>
      <c r="AN884" s="242" t="str">
        <f>IF(AQ884="x","",IF(AQ884="x",AM884,IF(EOMONTH(I884,0)=31,"",EOMONTH(I884,0))))</f>
        <v/>
      </c>
      <c r="AO884" s="79">
        <f>IFERROR(IF(VLOOKUP(C884,C885:C1485,1,0)=0,1,0),1)</f>
        <v>1</v>
      </c>
      <c r="AP884" s="79"/>
      <c r="AQ884" s="243" t="str">
        <f t="shared" ref="AQ884" si="156">IF(MID(G884,1,15)="NAO ASSINADO","x","")</f>
        <v/>
      </c>
      <c r="AR884" s="242" t="b">
        <f>IF(AQ884="x",EOMONTH(I884,0))</f>
        <v>0</v>
      </c>
      <c r="AS884" s="79">
        <f t="shared" ref="AS884" si="157">IF(AH884&lt;0,0,1)</f>
        <v>1</v>
      </c>
      <c r="AT884" s="79">
        <f t="shared" ref="AT884" si="158">IF(AL884&lt;0,0,1)</f>
        <v>1</v>
      </c>
      <c r="AU884" s="79" t="str">
        <f t="shared" ref="AU884" si="159">MID(E884,1,1)</f>
        <v>C</v>
      </c>
      <c r="AV884" s="79">
        <f t="shared" ref="AV884" si="160">IF(AG884&lt;0,0,1)</f>
        <v>1</v>
      </c>
      <c r="AW884" s="79" t="str">
        <f>J884&amp;AU884</f>
        <v>13C</v>
      </c>
      <c r="AX884" s="79">
        <f>IF(COUNTIFS(J:J,"Integral",E:E,E884,H:H,"Ativo")=4,1/4,1/10)</f>
        <v>0.1</v>
      </c>
      <c r="AY884" s="79" t="s">
        <v>1535</v>
      </c>
      <c r="AZ884" s="79" t="b">
        <v>1</v>
      </c>
    </row>
    <row r="885" spans="1:79" ht="15" customHeight="1">
      <c r="A885" s="54">
        <v>916</v>
      </c>
      <c r="B885" s="405">
        <v>45656</v>
      </c>
      <c r="C885" s="351" t="s">
        <v>2663</v>
      </c>
      <c r="D885" s="32" t="s">
        <v>2664</v>
      </c>
      <c r="E885" s="32" t="s">
        <v>2665</v>
      </c>
      <c r="F885" s="32" t="s">
        <v>2666</v>
      </c>
      <c r="G885" s="60" t="s">
        <v>220</v>
      </c>
      <c r="H885" s="33" t="s">
        <v>90</v>
      </c>
      <c r="I885" s="34"/>
      <c r="J885" s="33">
        <v>13</v>
      </c>
      <c r="K885" s="56" t="s">
        <v>221</v>
      </c>
      <c r="L885" s="56" t="s">
        <v>221</v>
      </c>
      <c r="M885" s="67" t="s">
        <v>222</v>
      </c>
      <c r="N885" s="33" t="s">
        <v>72</v>
      </c>
      <c r="O885" s="33" t="s">
        <v>11</v>
      </c>
      <c r="P885" s="33" t="s">
        <v>72</v>
      </c>
      <c r="Q885" s="47" t="s">
        <v>96</v>
      </c>
      <c r="R885" s="47"/>
      <c r="S885" s="45" t="s">
        <v>144</v>
      </c>
      <c r="T885" s="45"/>
      <c r="U885" s="37">
        <v>45627</v>
      </c>
      <c r="V885" s="38">
        <f t="shared" ref="V885:V889" si="161">B885</f>
        <v>45656</v>
      </c>
      <c r="W885" s="50">
        <f>V885-U885</f>
        <v>29</v>
      </c>
      <c r="X885" s="260">
        <v>129620.39</v>
      </c>
      <c r="Y885" s="260">
        <v>1364983.25</v>
      </c>
      <c r="Z885" s="260">
        <v>1275000</v>
      </c>
      <c r="AA885" s="56"/>
      <c r="AB885" s="43">
        <v>1.9599999999999999E-2</v>
      </c>
      <c r="AC885" s="295">
        <v>0</v>
      </c>
      <c r="AD885" s="62">
        <v>-3.5000000000000003E-2</v>
      </c>
      <c r="AE885" s="291"/>
      <c r="AF885" s="40"/>
      <c r="AG885" s="292">
        <v>94010.02</v>
      </c>
      <c r="AH885" s="40">
        <f t="shared" si="146"/>
        <v>89983.25</v>
      </c>
      <c r="AI885" s="66"/>
      <c r="AJ885" s="66"/>
      <c r="AK885" s="292"/>
      <c r="AL885" s="40">
        <f t="shared" si="148"/>
        <v>89983.25</v>
      </c>
      <c r="AM885" s="242">
        <f t="shared" ref="AM885:AM888" si="162">IFERROR(EOMONTH(B885,0),"Pendente")</f>
        <v>45657</v>
      </c>
      <c r="AN885" s="242" t="str">
        <f>IF(AQ885="x","",IF(AQ885="x",AM885,IF(EOMONTH(I885,0)=31,"",EOMONTH(I885,0))))</f>
        <v/>
      </c>
      <c r="AO885" s="79">
        <f>IFERROR(IF(VLOOKUP(C885,C886:C1486,1,0)=0,1,0),1)</f>
        <v>0</v>
      </c>
      <c r="AP885" s="79"/>
      <c r="AQ885" s="243" t="str">
        <f t="shared" ref="AQ885:AQ888" si="163">IF(MID(G885,1,15)="NAO ASSINADO","x","")</f>
        <v/>
      </c>
      <c r="AR885" s="242" t="b">
        <f>IF(AQ885="x",EOMONTH(I885,0))</f>
        <v>0</v>
      </c>
      <c r="AS885" s="79">
        <f t="shared" ref="AS885:AS888" si="164">IF(AH885&lt;0,0,1)</f>
        <v>1</v>
      </c>
      <c r="AT885" s="79">
        <f t="shared" ref="AT885:AT888" si="165">IF(AL885&lt;0,0,1)</f>
        <v>1</v>
      </c>
      <c r="AU885" s="79" t="str">
        <f t="shared" ref="AU885:AU888" si="166">MID(E885,1,1)</f>
        <v>C</v>
      </c>
      <c r="AV885" s="79">
        <f t="shared" ref="AV885:AV888" si="167">IF(AG885&lt;0,0,1)</f>
        <v>1</v>
      </c>
      <c r="AW885" s="79" t="str">
        <f>J885&amp;AU885</f>
        <v>13C</v>
      </c>
      <c r="AX885" s="79">
        <f>IF(COUNTIFS(J:J,"Integral",E:E,E885,H:H,"Ativo")=4,1/4,1/10)</f>
        <v>0.1</v>
      </c>
      <c r="AY885" s="79" t="s">
        <v>1332</v>
      </c>
      <c r="AZ885" s="79" t="b">
        <v>0</v>
      </c>
    </row>
    <row r="886" spans="1:79" ht="15" customHeight="1">
      <c r="A886" s="54">
        <v>917</v>
      </c>
      <c r="B886" s="405">
        <v>45656</v>
      </c>
      <c r="C886" s="351" t="s">
        <v>2663</v>
      </c>
      <c r="D886" s="32" t="s">
        <v>2667</v>
      </c>
      <c r="E886" s="32" t="s">
        <v>2665</v>
      </c>
      <c r="F886" s="32" t="s">
        <v>2668</v>
      </c>
      <c r="G886" s="60" t="s">
        <v>220</v>
      </c>
      <c r="H886" s="33" t="s">
        <v>90</v>
      </c>
      <c r="I886" s="34"/>
      <c r="J886" s="33">
        <v>13</v>
      </c>
      <c r="K886" s="56" t="s">
        <v>221</v>
      </c>
      <c r="L886" s="56" t="s">
        <v>221</v>
      </c>
      <c r="M886" s="67" t="s">
        <v>222</v>
      </c>
      <c r="N886" s="33" t="s">
        <v>72</v>
      </c>
      <c r="O886" s="33" t="s">
        <v>11</v>
      </c>
      <c r="P886" s="33" t="s">
        <v>72</v>
      </c>
      <c r="Q886" s="47" t="s">
        <v>96</v>
      </c>
      <c r="R886" s="47"/>
      <c r="S886" s="45" t="s">
        <v>144</v>
      </c>
      <c r="T886" s="45"/>
      <c r="U886" s="37">
        <v>45627</v>
      </c>
      <c r="V886" s="38">
        <f t="shared" si="161"/>
        <v>45656</v>
      </c>
      <c r="W886" s="50">
        <f>V886-U886</f>
        <v>29</v>
      </c>
      <c r="X886" s="260">
        <v>129620.39</v>
      </c>
      <c r="Y886" s="260">
        <v>1364983.25</v>
      </c>
      <c r="Z886" s="260">
        <v>1275000</v>
      </c>
      <c r="AA886" s="56"/>
      <c r="AB886" s="43">
        <v>1.9599999999999999E-2</v>
      </c>
      <c r="AC886" s="295">
        <v>0</v>
      </c>
      <c r="AD886" s="62">
        <v>-3.5000000000000003E-2</v>
      </c>
      <c r="AE886" s="291"/>
      <c r="AF886" s="40"/>
      <c r="AG886" s="292">
        <v>94010.02</v>
      </c>
      <c r="AH886" s="40">
        <f t="shared" si="146"/>
        <v>89983.25</v>
      </c>
      <c r="AI886" s="66"/>
      <c r="AJ886" s="66"/>
      <c r="AK886" s="292"/>
      <c r="AL886" s="40">
        <f t="shared" si="148"/>
        <v>89983.25</v>
      </c>
      <c r="AM886" s="242">
        <f t="shared" si="162"/>
        <v>45657</v>
      </c>
      <c r="AN886" s="242" t="str">
        <f>IF(AQ886="x","",IF(AQ886="x",AM886,IF(EOMONTH(I886,0)=31,"",EOMONTH(I886,0))))</f>
        <v/>
      </c>
      <c r="AO886" s="79">
        <f>IFERROR(IF(VLOOKUP(C886,C887:C1487,1,0)=0,1,0),1)</f>
        <v>0</v>
      </c>
      <c r="AP886" s="79"/>
      <c r="AQ886" s="243" t="str">
        <f t="shared" si="163"/>
        <v/>
      </c>
      <c r="AR886" s="242" t="b">
        <f>IF(AQ886="x",EOMONTH(I886,0))</f>
        <v>0</v>
      </c>
      <c r="AS886" s="79">
        <f t="shared" si="164"/>
        <v>1</v>
      </c>
      <c r="AT886" s="79">
        <f t="shared" si="165"/>
        <v>1</v>
      </c>
      <c r="AU886" s="79" t="str">
        <f t="shared" si="166"/>
        <v>C</v>
      </c>
      <c r="AV886" s="79">
        <f t="shared" si="167"/>
        <v>1</v>
      </c>
      <c r="AW886" s="79" t="str">
        <f>J886&amp;AU886</f>
        <v>13C</v>
      </c>
      <c r="AX886" s="79">
        <f>IF(COUNTIFS(J:J,"Integral",E:E,E886,H:H,"Ativo")=4,1/4,1/10)</f>
        <v>0.1</v>
      </c>
      <c r="AY886" s="79" t="s">
        <v>1332</v>
      </c>
      <c r="AZ886" s="79" t="b">
        <v>0</v>
      </c>
    </row>
    <row r="887" spans="1:79" ht="15" customHeight="1">
      <c r="A887" s="54">
        <v>918</v>
      </c>
      <c r="B887" s="405">
        <v>45656</v>
      </c>
      <c r="C887" s="351" t="s">
        <v>2663</v>
      </c>
      <c r="D887" s="32" t="s">
        <v>2669</v>
      </c>
      <c r="E887" s="32" t="s">
        <v>2665</v>
      </c>
      <c r="F887" s="32" t="s">
        <v>2670</v>
      </c>
      <c r="G887" s="60" t="s">
        <v>220</v>
      </c>
      <c r="H887" s="33" t="s">
        <v>90</v>
      </c>
      <c r="I887" s="34"/>
      <c r="J887" s="33">
        <v>13</v>
      </c>
      <c r="K887" s="56" t="s">
        <v>221</v>
      </c>
      <c r="L887" s="56" t="s">
        <v>221</v>
      </c>
      <c r="M887" s="67" t="s">
        <v>222</v>
      </c>
      <c r="N887" s="33" t="s">
        <v>72</v>
      </c>
      <c r="O887" s="33" t="s">
        <v>11</v>
      </c>
      <c r="P887" s="33" t="s">
        <v>72</v>
      </c>
      <c r="Q887" s="47" t="s">
        <v>96</v>
      </c>
      <c r="R887" s="47"/>
      <c r="S887" s="45" t="s">
        <v>144</v>
      </c>
      <c r="T887" s="45"/>
      <c r="U887" s="37">
        <v>45627</v>
      </c>
      <c r="V887" s="38">
        <f t="shared" si="161"/>
        <v>45656</v>
      </c>
      <c r="W887" s="50">
        <f>V887-U887</f>
        <v>29</v>
      </c>
      <c r="X887" s="260">
        <v>129620.39</v>
      </c>
      <c r="Y887" s="260">
        <v>1364983.25</v>
      </c>
      <c r="Z887" s="260">
        <v>1275000</v>
      </c>
      <c r="AA887" s="56"/>
      <c r="AB887" s="43">
        <v>1.9599999999999999E-2</v>
      </c>
      <c r="AC887" s="295">
        <v>0</v>
      </c>
      <c r="AD887" s="62">
        <v>-3.5000000000000003E-2</v>
      </c>
      <c r="AE887" s="291"/>
      <c r="AF887" s="40"/>
      <c r="AG887" s="292">
        <v>94010.02</v>
      </c>
      <c r="AH887" s="40">
        <f t="shared" si="146"/>
        <v>89983.25</v>
      </c>
      <c r="AI887" s="66"/>
      <c r="AJ887" s="66"/>
      <c r="AK887" s="292"/>
      <c r="AL887" s="40">
        <f t="shared" si="148"/>
        <v>89983.25</v>
      </c>
      <c r="AM887" s="242">
        <f t="shared" si="162"/>
        <v>45657</v>
      </c>
      <c r="AN887" s="242" t="str">
        <f>IF(AQ887="x","",IF(AQ887="x",AM887,IF(EOMONTH(I887,0)=31,"",EOMONTH(I887,0))))</f>
        <v/>
      </c>
      <c r="AO887" s="79">
        <f>IFERROR(IF(VLOOKUP(C887,C888:C1488,1,0)=0,1,0),1)</f>
        <v>0</v>
      </c>
      <c r="AP887" s="79"/>
      <c r="AQ887" s="243" t="str">
        <f t="shared" si="163"/>
        <v/>
      </c>
      <c r="AR887" s="242" t="b">
        <f>IF(AQ887="x",EOMONTH(I887,0))</f>
        <v>0</v>
      </c>
      <c r="AS887" s="79">
        <f t="shared" si="164"/>
        <v>1</v>
      </c>
      <c r="AT887" s="79">
        <f t="shared" si="165"/>
        <v>1</v>
      </c>
      <c r="AU887" s="79" t="str">
        <f t="shared" si="166"/>
        <v>C</v>
      </c>
      <c r="AV887" s="79">
        <f t="shared" si="167"/>
        <v>1</v>
      </c>
      <c r="AW887" s="79" t="str">
        <f>J887&amp;AU887</f>
        <v>13C</v>
      </c>
      <c r="AX887" s="79">
        <f>IF(COUNTIFS(J:J,"Integral",E:E,E887,H:H,"Ativo")=4,1/4,1/10)</f>
        <v>0.1</v>
      </c>
      <c r="AY887" s="79" t="s">
        <v>1332</v>
      </c>
      <c r="AZ887" s="79" t="b">
        <v>0</v>
      </c>
    </row>
    <row r="888" spans="1:79" ht="15" customHeight="1">
      <c r="A888" s="54">
        <v>919</v>
      </c>
      <c r="B888" s="405">
        <v>45656</v>
      </c>
      <c r="C888" s="351" t="s">
        <v>2663</v>
      </c>
      <c r="D888" s="32" t="s">
        <v>2671</v>
      </c>
      <c r="E888" s="32" t="s">
        <v>2665</v>
      </c>
      <c r="F888" s="32" t="s">
        <v>2672</v>
      </c>
      <c r="G888" s="60" t="s">
        <v>220</v>
      </c>
      <c r="H888" s="33" t="s">
        <v>90</v>
      </c>
      <c r="I888" s="34"/>
      <c r="J888" s="33">
        <v>13</v>
      </c>
      <c r="K888" s="56" t="s">
        <v>221</v>
      </c>
      <c r="L888" s="56" t="s">
        <v>221</v>
      </c>
      <c r="M888" s="67" t="s">
        <v>222</v>
      </c>
      <c r="N888" s="33" t="s">
        <v>72</v>
      </c>
      <c r="O888" s="33" t="s">
        <v>11</v>
      </c>
      <c r="P888" s="33" t="s">
        <v>72</v>
      </c>
      <c r="Q888" s="47" t="s">
        <v>96</v>
      </c>
      <c r="R888" s="47"/>
      <c r="S888" s="45" t="s">
        <v>144</v>
      </c>
      <c r="T888" s="45"/>
      <c r="U888" s="37">
        <v>45627</v>
      </c>
      <c r="V888" s="38">
        <f t="shared" si="161"/>
        <v>45656</v>
      </c>
      <c r="W888" s="50">
        <f>V888-U888</f>
        <v>29</v>
      </c>
      <c r="X888" s="260">
        <v>129620.39</v>
      </c>
      <c r="Y888" s="260">
        <v>1364983.25</v>
      </c>
      <c r="Z888" s="260">
        <v>1275000</v>
      </c>
      <c r="AA888" s="56"/>
      <c r="AB888" s="43">
        <v>1.9599999999999999E-2</v>
      </c>
      <c r="AC888" s="295">
        <v>0</v>
      </c>
      <c r="AD888" s="62">
        <v>-3.5000000000000003E-2</v>
      </c>
      <c r="AE888" s="291"/>
      <c r="AF888" s="40"/>
      <c r="AG888" s="292">
        <v>94010.02</v>
      </c>
      <c r="AH888" s="40">
        <f t="shared" si="146"/>
        <v>89983.25</v>
      </c>
      <c r="AI888" s="66"/>
      <c r="AJ888" s="66"/>
      <c r="AK888" s="292"/>
      <c r="AL888" s="40">
        <f t="shared" si="148"/>
        <v>89983.25</v>
      </c>
      <c r="AM888" s="242">
        <f t="shared" si="162"/>
        <v>45657</v>
      </c>
      <c r="AN888" s="242" t="str">
        <f>IF(AQ888="x","",IF(AQ888="x",AM888,IF(EOMONTH(I888,0)=31,"",EOMONTH(I888,0))))</f>
        <v/>
      </c>
      <c r="AO888" s="79">
        <f>IFERROR(IF(VLOOKUP(C888,C889:C1489,1,0)=0,1,0),1)</f>
        <v>1</v>
      </c>
      <c r="AP888" s="79"/>
      <c r="AQ888" s="243" t="str">
        <f t="shared" si="163"/>
        <v/>
      </c>
      <c r="AR888" s="242" t="b">
        <f>IF(AQ888="x",EOMONTH(I888,0))</f>
        <v>0</v>
      </c>
      <c r="AS888" s="79">
        <f t="shared" si="164"/>
        <v>1</v>
      </c>
      <c r="AT888" s="79">
        <f t="shared" si="165"/>
        <v>1</v>
      </c>
      <c r="AU888" s="79" t="str">
        <f t="shared" si="166"/>
        <v>C</v>
      </c>
      <c r="AV888" s="79">
        <f t="shared" si="167"/>
        <v>1</v>
      </c>
      <c r="AW888" s="79" t="str">
        <f>J888&amp;AU888</f>
        <v>13C</v>
      </c>
      <c r="AX888" s="79">
        <f>IF(COUNTIFS(J:J,"Integral",E:E,E888,H:H,"Ativo")=4,1/4,1/10)</f>
        <v>0.1</v>
      </c>
      <c r="AY888" s="79" t="s">
        <v>1332</v>
      </c>
      <c r="AZ888" s="79" t="b">
        <v>0</v>
      </c>
    </row>
    <row r="889" spans="1:79" ht="15" customHeight="1">
      <c r="A889" s="54">
        <v>920</v>
      </c>
      <c r="B889" s="405">
        <v>45664</v>
      </c>
      <c r="C889" s="351" t="s">
        <v>2673</v>
      </c>
      <c r="D889" s="32" t="s">
        <v>2674</v>
      </c>
      <c r="E889" s="32" t="s">
        <v>2675</v>
      </c>
      <c r="F889" s="32" t="s">
        <v>2676</v>
      </c>
      <c r="G889" s="60" t="s">
        <v>220</v>
      </c>
      <c r="H889" s="33" t="s">
        <v>90</v>
      </c>
      <c r="I889" s="34"/>
      <c r="J889" s="33">
        <v>4</v>
      </c>
      <c r="K889" s="56" t="s">
        <v>981</v>
      </c>
      <c r="L889" s="56" t="s">
        <v>981</v>
      </c>
      <c r="M889" s="386" t="s">
        <v>1026</v>
      </c>
      <c r="N889" s="33" t="s">
        <v>68</v>
      </c>
      <c r="O889" s="33" t="s">
        <v>12</v>
      </c>
      <c r="P889" s="33" t="s">
        <v>2</v>
      </c>
      <c r="Q889" s="47"/>
      <c r="R889" s="47"/>
      <c r="S889" s="45" t="s">
        <v>143</v>
      </c>
      <c r="T889" s="389">
        <v>3</v>
      </c>
      <c r="U889" s="37">
        <v>45653</v>
      </c>
      <c r="V889" s="38">
        <f>B889</f>
        <v>45664</v>
      </c>
      <c r="W889" s="50">
        <f>V889-U889</f>
        <v>11</v>
      </c>
      <c r="X889" s="260">
        <v>468863.5</v>
      </c>
      <c r="Y889" s="260">
        <v>493713.27</v>
      </c>
      <c r="Z889" s="260">
        <v>493713.21</v>
      </c>
      <c r="AA889" s="56"/>
      <c r="AB889" s="43">
        <v>0.2</v>
      </c>
      <c r="AC889" s="295">
        <v>0</v>
      </c>
      <c r="AD889" s="62">
        <v>5.5999999999999999E-3</v>
      </c>
      <c r="AE889" s="291"/>
      <c r="AF889" s="40"/>
      <c r="AG889" s="292">
        <v>17820.59</v>
      </c>
      <c r="AH889" s="40">
        <f>Y889-Z889</f>
        <v>5.9999999997671694E-2</v>
      </c>
      <c r="AI889" s="66"/>
      <c r="AJ889" s="66"/>
      <c r="AK889" s="292"/>
      <c r="AL889" s="40">
        <f>AH889-AK889</f>
        <v>5.9999999997671694E-2</v>
      </c>
      <c r="AM889" s="242">
        <f>IFERROR(EOMONTH(B889,0),"Pendente")</f>
        <v>45688</v>
      </c>
      <c r="AN889" s="242" t="str">
        <f>IF(AQ889="x","",IF(AQ889="x",AM889,IF(EOMONTH(I889,0)=31,"",EOMONTH(I889,0))))</f>
        <v/>
      </c>
      <c r="AO889" s="79">
        <f>IFERROR(IF(VLOOKUP(C889,C890:C1490,1,0)=0,1,0),1)</f>
        <v>1</v>
      </c>
      <c r="AP889" s="79"/>
      <c r="AQ889" s="243" t="str">
        <f>IF(MID(G889,1,15)="NAO ASSINADO","x","")</f>
        <v/>
      </c>
      <c r="AR889" s="242" t="b">
        <f>IF(AQ889="x",EOMONTH(I889,0))</f>
        <v>0</v>
      </c>
      <c r="AS889" s="79">
        <f>IF(AH889&lt;0,0,1)</f>
        <v>1</v>
      </c>
      <c r="AT889" s="79">
        <f>IF(AL889&lt;0,0,1)</f>
        <v>1</v>
      </c>
      <c r="AU889" s="79" t="str">
        <f>MID(E889,1,1)</f>
        <v>C</v>
      </c>
      <c r="AV889" s="79">
        <f>IF(AG889&lt;0,0,1)</f>
        <v>1</v>
      </c>
      <c r="AW889" s="79" t="str">
        <f>J889&amp;AU889</f>
        <v>4C</v>
      </c>
      <c r="AX889" s="79">
        <f>IF(COUNTIFS(J:J,"Integral",E:E,E889,H:H,"Ativo")=4,1/4,1/10)</f>
        <v>0.1</v>
      </c>
      <c r="AY889" s="79" t="s">
        <v>1535</v>
      </c>
      <c r="AZ889" s="79" t="b">
        <v>1</v>
      </c>
      <c r="BA889" s="87"/>
      <c r="BB889" s="87"/>
      <c r="BC889" s="87"/>
      <c r="BD889" s="87"/>
      <c r="BE889" s="87"/>
      <c r="BF889" s="87"/>
      <c r="BG889" s="87"/>
      <c r="BH889" s="87"/>
      <c r="BI889" s="87"/>
      <c r="BJ889" s="87"/>
      <c r="BK889" s="87"/>
      <c r="BL889" s="87"/>
      <c r="BM889" s="87"/>
      <c r="BN889" s="87"/>
      <c r="BO889" s="87"/>
      <c r="BP889" s="87"/>
      <c r="BQ889" s="87"/>
      <c r="BR889" s="87"/>
      <c r="BS889" s="87"/>
      <c r="BT889" s="87"/>
      <c r="BU889" s="87"/>
      <c r="BV889" s="87"/>
      <c r="BW889" s="87"/>
      <c r="BX889" s="87"/>
      <c r="BY889" s="87"/>
      <c r="BZ889" s="87"/>
      <c r="CA889" s="87"/>
    </row>
    <row r="890" spans="1:79" ht="15" customHeight="1">
      <c r="A890" s="54">
        <v>921</v>
      </c>
      <c r="B890" s="405">
        <v>45664</v>
      </c>
      <c r="C890" s="351" t="s">
        <v>2677</v>
      </c>
      <c r="D890" s="32" t="s">
        <v>2678</v>
      </c>
      <c r="E890" s="32" t="s">
        <v>2633</v>
      </c>
      <c r="F890" s="32" t="s">
        <v>2679</v>
      </c>
      <c r="G890" s="60" t="s">
        <v>220</v>
      </c>
      <c r="H890" s="33" t="s">
        <v>90</v>
      </c>
      <c r="I890" s="34"/>
      <c r="J890" s="33">
        <v>13</v>
      </c>
      <c r="K890" s="56" t="s">
        <v>2372</v>
      </c>
      <c r="L890" s="56" t="s">
        <v>2372</v>
      </c>
      <c r="M890" s="386" t="s">
        <v>246</v>
      </c>
      <c r="N890" s="33" t="s">
        <v>68</v>
      </c>
      <c r="O890" s="33" t="s">
        <v>12</v>
      </c>
      <c r="P890" s="33" t="s">
        <v>1</v>
      </c>
      <c r="Q890" s="47"/>
      <c r="R890" s="47"/>
      <c r="S890" s="45" t="s">
        <v>143</v>
      </c>
      <c r="T890" s="389">
        <v>3</v>
      </c>
      <c r="U890" s="37">
        <v>45659</v>
      </c>
      <c r="V890" s="38">
        <f>B890</f>
        <v>45664</v>
      </c>
      <c r="W890" s="50">
        <f>V890-U890</f>
        <v>5</v>
      </c>
      <c r="X890" s="260">
        <v>1042046.75</v>
      </c>
      <c r="Y890" s="260">
        <v>1097275.23</v>
      </c>
      <c r="Z890" s="260">
        <v>998000.2</v>
      </c>
      <c r="AA890" s="56"/>
      <c r="AB890" s="43">
        <v>0.2</v>
      </c>
      <c r="AC890" s="295">
        <v>0</v>
      </c>
      <c r="AD890" s="62">
        <v>9.0499999999999997E-2</v>
      </c>
      <c r="AE890" s="291"/>
      <c r="AF890" s="40"/>
      <c r="AG890" s="292"/>
      <c r="AH890" s="40">
        <f>Y890-Z890</f>
        <v>99275.030000000028</v>
      </c>
      <c r="AI890" s="66"/>
      <c r="AJ890" s="66"/>
      <c r="AK890" s="292">
        <v>35570.32</v>
      </c>
      <c r="AL890" s="40">
        <f>AH890-AK890</f>
        <v>63704.710000000028</v>
      </c>
      <c r="AM890" s="242">
        <f>IFERROR(EOMONTH(B890,0),"Pendente")</f>
        <v>45688</v>
      </c>
      <c r="AN890" s="242" t="str">
        <f>IF(AQ890="x","",IF(AQ890="x",AM890,IF(EOMONTH(I890,0)=31,"",EOMONTH(I890,0))))</f>
        <v/>
      </c>
      <c r="AO890" s="79">
        <f>IFERROR(IF(VLOOKUP(C890,C891:C1491,1,0)=0,1,0),1)</f>
        <v>1</v>
      </c>
      <c r="AP890" s="79"/>
      <c r="AQ890" s="243" t="str">
        <f>IF(MID(G890,1,15)="NAO ASSINADO","x","")</f>
        <v/>
      </c>
      <c r="AR890" s="242" t="b">
        <f>IF(AQ890="x",EOMONTH(I890,0))</f>
        <v>0</v>
      </c>
      <c r="AS890" s="79">
        <f>IF(AH890&lt;0,0,1)</f>
        <v>1</v>
      </c>
      <c r="AT890" s="79">
        <f>IF(AL890&lt;0,0,1)</f>
        <v>1</v>
      </c>
      <c r="AU890" s="79" t="str">
        <f>MID(E890,1,1)</f>
        <v>C</v>
      </c>
      <c r="AV890" s="79">
        <f>IF(AG890&lt;0,0,1)</f>
        <v>1</v>
      </c>
      <c r="AW890" s="79" t="str">
        <f>J890&amp;AU890</f>
        <v>13C</v>
      </c>
      <c r="AX890" s="79">
        <f>IF(COUNTIFS(J:J,"Integral",E:E,E890,H:H,"Ativo")=4,1/4,1/10)</f>
        <v>0.1</v>
      </c>
      <c r="AY890" s="79" t="s">
        <v>1535</v>
      </c>
      <c r="AZ890" s="79" t="b">
        <v>1</v>
      </c>
    </row>
    <row r="891" spans="1:79" ht="15" customHeight="1">
      <c r="A891" s="54">
        <v>922</v>
      </c>
      <c r="B891" s="405">
        <v>45664</v>
      </c>
      <c r="C891" s="351" t="s">
        <v>2680</v>
      </c>
      <c r="D891" s="32" t="s">
        <v>2681</v>
      </c>
      <c r="E891" s="32" t="s">
        <v>2633</v>
      </c>
      <c r="F891" s="32" t="s">
        <v>2682</v>
      </c>
      <c r="G891" s="60" t="s">
        <v>220</v>
      </c>
      <c r="H891" s="33" t="s">
        <v>90</v>
      </c>
      <c r="I891" s="34"/>
      <c r="J891" s="33">
        <v>13</v>
      </c>
      <c r="K891" s="56" t="s">
        <v>274</v>
      </c>
      <c r="L891" s="56" t="s">
        <v>274</v>
      </c>
      <c r="M891" s="386" t="s">
        <v>246</v>
      </c>
      <c r="N891" s="33" t="s">
        <v>68</v>
      </c>
      <c r="O891" s="33" t="s">
        <v>12</v>
      </c>
      <c r="P891" s="33" t="s">
        <v>1</v>
      </c>
      <c r="Q891" s="47"/>
      <c r="R891" s="47"/>
      <c r="S891" s="45" t="s">
        <v>149</v>
      </c>
      <c r="T891" s="389">
        <v>1</v>
      </c>
      <c r="U891" s="37">
        <v>45664</v>
      </c>
      <c r="V891" s="38">
        <f>B891</f>
        <v>45664</v>
      </c>
      <c r="W891" s="50">
        <f>V891-U891</f>
        <v>0</v>
      </c>
      <c r="X891" s="260">
        <v>1042046.75</v>
      </c>
      <c r="Y891" s="260">
        <v>1097275.23</v>
      </c>
      <c r="Z891" s="260">
        <v>998000.2</v>
      </c>
      <c r="AA891" s="56"/>
      <c r="AB891" s="43">
        <v>0.2</v>
      </c>
      <c r="AC891" s="295">
        <v>0</v>
      </c>
      <c r="AD891" s="62">
        <v>9.0499999999999997E-2</v>
      </c>
      <c r="AE891" s="291"/>
      <c r="AF891" s="40"/>
      <c r="AG891" s="292"/>
      <c r="AH891" s="40">
        <f>Y891-Z891</f>
        <v>99275.030000000028</v>
      </c>
      <c r="AI891" s="66"/>
      <c r="AJ891" s="66"/>
      <c r="AK891" s="292">
        <v>35570.32</v>
      </c>
      <c r="AL891" s="40">
        <f>AH891-AK891</f>
        <v>63704.710000000028</v>
      </c>
      <c r="AM891" s="242">
        <f>IFERROR(EOMONTH(B891,0),"Pendente")</f>
        <v>45688</v>
      </c>
      <c r="AN891" s="242" t="str">
        <f>IF(AQ891="x","",IF(AQ891="x",AM891,IF(EOMONTH(I891,0)=31,"",EOMONTH(I891,0))))</f>
        <v/>
      </c>
      <c r="AO891" s="79">
        <f>IFERROR(IF(VLOOKUP(C891,C892:C1492,1,0)=0,1,0),1)</f>
        <v>1</v>
      </c>
      <c r="AP891" s="79"/>
      <c r="AQ891" s="243" t="str">
        <f>IF(MID(G891,1,15)="NAO ASSINADO","x","")</f>
        <v/>
      </c>
      <c r="AR891" s="242" t="b">
        <f>IF(AQ891="x",EOMONTH(I891,0))</f>
        <v>0</v>
      </c>
      <c r="AS891" s="79">
        <f>IF(AH891&lt;0,0,1)</f>
        <v>1</v>
      </c>
      <c r="AT891" s="79">
        <f>IF(AL891&lt;0,0,1)</f>
        <v>1</v>
      </c>
      <c r="AU891" s="79" t="str">
        <f>MID(E891,1,1)</f>
        <v>C</v>
      </c>
      <c r="AV891" s="79">
        <f>IF(AG891&lt;0,0,1)</f>
        <v>1</v>
      </c>
      <c r="AW891" s="79" t="str">
        <f>J891&amp;AU891</f>
        <v>13C</v>
      </c>
      <c r="AX891" s="79">
        <f>IF(COUNTIFS(J:J,"Integral",E:E,E891,H:H,"Ativo")=4,1/4,1/10)</f>
        <v>0.1</v>
      </c>
      <c r="AY891" s="79" t="s">
        <v>1535</v>
      </c>
      <c r="AZ891" s="79" t="b">
        <v>1</v>
      </c>
    </row>
    <row r="892" spans="1:79" ht="15" customHeight="1">
      <c r="A892" s="54">
        <v>923</v>
      </c>
      <c r="B892" s="405">
        <v>45667</v>
      </c>
      <c r="C892" s="351" t="s">
        <v>2683</v>
      </c>
      <c r="D892" s="32" t="s">
        <v>2684</v>
      </c>
      <c r="E892" s="32" t="s">
        <v>2685</v>
      </c>
      <c r="F892" s="32" t="s">
        <v>2686</v>
      </c>
      <c r="G892" s="60" t="s">
        <v>220</v>
      </c>
      <c r="H892" s="33" t="s">
        <v>90</v>
      </c>
      <c r="I892" s="34"/>
      <c r="J892" s="33">
        <v>4</v>
      </c>
      <c r="K892" s="35" t="s">
        <v>2379</v>
      </c>
      <c r="L892" s="35" t="s">
        <v>2379</v>
      </c>
      <c r="M892" s="67" t="s">
        <v>981</v>
      </c>
      <c r="N892" s="33" t="s">
        <v>68</v>
      </c>
      <c r="O892" s="33" t="s">
        <v>12</v>
      </c>
      <c r="P892" s="33" t="s">
        <v>2</v>
      </c>
      <c r="Q892" s="47"/>
      <c r="R892" s="47"/>
      <c r="S892" s="45" t="s">
        <v>149</v>
      </c>
      <c r="T892" s="389">
        <v>3</v>
      </c>
      <c r="U892" s="37">
        <v>45647</v>
      </c>
      <c r="V892" s="38">
        <f>B892</f>
        <v>45667</v>
      </c>
      <c r="W892" s="50">
        <f>V892-U892</f>
        <v>20</v>
      </c>
      <c r="X892" s="260">
        <v>391589.15</v>
      </c>
      <c r="Y892" s="260">
        <v>391589.15</v>
      </c>
      <c r="Z892" s="260">
        <v>378999.8</v>
      </c>
      <c r="AA892" s="56"/>
      <c r="AB892" s="43">
        <v>0.2</v>
      </c>
      <c r="AC892" s="295">
        <v>0</v>
      </c>
      <c r="AD892" s="62">
        <v>3.2099999999999997E-2</v>
      </c>
      <c r="AE892" s="291"/>
      <c r="AF892" s="40"/>
      <c r="AG892" s="292"/>
      <c r="AH892" s="40">
        <f>Y892-Z892</f>
        <v>12589.350000000035</v>
      </c>
      <c r="AI892" s="66"/>
      <c r="AJ892" s="66"/>
      <c r="AK892" s="292">
        <v>10166.67</v>
      </c>
      <c r="AL892" s="40">
        <f>AH892-AK892</f>
        <v>2422.6800000000349</v>
      </c>
      <c r="AM892" s="242">
        <f>IFERROR(EOMONTH(B892,0),"Pendente")</f>
        <v>45688</v>
      </c>
      <c r="AN892" s="242" t="str">
        <f>IF(AQ892="x","",IF(AQ892="x",AM892,IF(EOMONTH(I892,0)=31,"",EOMONTH(I892,0))))</f>
        <v/>
      </c>
      <c r="AO892" s="79">
        <f>IFERROR(IF(VLOOKUP(C892,C893:C1493,1,0)=0,1,0),1)</f>
        <v>0</v>
      </c>
      <c r="AP892" s="79"/>
      <c r="AQ892" s="243" t="str">
        <f>IF(MID(G892,1,15)="NAO ASSINADO","x","")</f>
        <v/>
      </c>
      <c r="AR892" s="242" t="b">
        <f>IF(AQ892="x",EOMONTH(I892,0))</f>
        <v>0</v>
      </c>
      <c r="AS892" s="79">
        <f>IF(AH892&lt;0,0,1)</f>
        <v>1</v>
      </c>
      <c r="AT892" s="79">
        <f>IF(AL892&lt;0,0,1)</f>
        <v>1</v>
      </c>
      <c r="AU892" s="79" t="str">
        <f>MID(E892,1,1)</f>
        <v>B</v>
      </c>
      <c r="AV892" s="79">
        <f>IF(AG892&lt;0,0,1)</f>
        <v>1</v>
      </c>
      <c r="AW892" s="79" t="str">
        <f>J892&amp;AU892</f>
        <v>4B</v>
      </c>
      <c r="AX892" s="79">
        <f>IF(COUNTIFS(J:J,"Integral",E:E,E892,H:H,"Ativo")=4,1/4,1/10)</f>
        <v>0.1</v>
      </c>
      <c r="AY892" s="79" t="s">
        <v>1535</v>
      </c>
      <c r="AZ892" s="79" t="b">
        <v>1</v>
      </c>
    </row>
    <row r="893" spans="1:79">
      <c r="A893" s="54">
        <v>924</v>
      </c>
      <c r="B893" s="405">
        <v>45667</v>
      </c>
      <c r="C893" s="351" t="s">
        <v>2683</v>
      </c>
      <c r="D893" s="32" t="s">
        <v>2687</v>
      </c>
      <c r="E893" s="32" t="s">
        <v>2685</v>
      </c>
      <c r="F893" s="32" t="s">
        <v>2688</v>
      </c>
      <c r="G893" s="60" t="s">
        <v>220</v>
      </c>
      <c r="H893" s="33" t="s">
        <v>90</v>
      </c>
      <c r="I893" s="34"/>
      <c r="J893" s="33">
        <v>6</v>
      </c>
      <c r="K893" s="35" t="s">
        <v>2379</v>
      </c>
      <c r="L893" s="35" t="s">
        <v>2379</v>
      </c>
      <c r="M893" s="67" t="s">
        <v>981</v>
      </c>
      <c r="N893" s="33" t="s">
        <v>68</v>
      </c>
      <c r="O893" s="33" t="s">
        <v>12</v>
      </c>
      <c r="P893" s="33" t="s">
        <v>2</v>
      </c>
      <c r="Q893" s="47"/>
      <c r="R893" s="47"/>
      <c r="S893" s="45" t="s">
        <v>149</v>
      </c>
      <c r="T893" s="389">
        <v>3</v>
      </c>
      <c r="U893" s="37">
        <v>45647</v>
      </c>
      <c r="V893" s="38">
        <f>B893</f>
        <v>45667</v>
      </c>
      <c r="W893" s="50">
        <f>V893-U893</f>
        <v>20</v>
      </c>
      <c r="X893" s="260">
        <v>407681.85</v>
      </c>
      <c r="Y893" s="260">
        <v>407681.85</v>
      </c>
      <c r="Z893" s="260">
        <v>394999.9</v>
      </c>
      <c r="AA893" s="56"/>
      <c r="AB893" s="43">
        <v>0.2</v>
      </c>
      <c r="AC893" s="295">
        <v>0</v>
      </c>
      <c r="AD893" s="62">
        <v>3.1099999999999999E-2</v>
      </c>
      <c r="AE893" s="291"/>
      <c r="AF893" s="40"/>
      <c r="AG893" s="292"/>
      <c r="AH893" s="40">
        <f>Y893-Z893</f>
        <v>12681.949999999953</v>
      </c>
      <c r="AI893" s="66"/>
      <c r="AJ893" s="66"/>
      <c r="AK893" s="292">
        <v>10241.450000000001</v>
      </c>
      <c r="AL893" s="40">
        <f>AH893-AK893</f>
        <v>2440.4999999999527</v>
      </c>
      <c r="AM893" s="242">
        <f>IFERROR(EOMONTH(B893,0),"Pendente")</f>
        <v>45688</v>
      </c>
      <c r="AN893" s="242" t="str">
        <f>IF(AQ893="x","",IF(AQ893="x",AM893,IF(EOMONTH(I893,0)=31,"",EOMONTH(I893,0))))</f>
        <v/>
      </c>
      <c r="AO893" s="79">
        <f>IFERROR(IF(VLOOKUP(C893,C894:C1494,1,0)=0,1,0),1)</f>
        <v>0</v>
      </c>
      <c r="AP893" s="79"/>
      <c r="AQ893" s="243" t="str">
        <f>IF(MID(G893,1,15)="NAO ASSINADO","x","")</f>
        <v/>
      </c>
      <c r="AR893" s="242" t="b">
        <f>IF(AQ893="x",EOMONTH(I893,0))</f>
        <v>0</v>
      </c>
      <c r="AS893" s="79">
        <f>IF(AH893&lt;0,0,1)</f>
        <v>1</v>
      </c>
      <c r="AT893" s="79">
        <f>IF(AL893&lt;0,0,1)</f>
        <v>1</v>
      </c>
      <c r="AU893" s="79" t="str">
        <f>MID(E893,1,1)</f>
        <v>B</v>
      </c>
      <c r="AV893" s="79">
        <f>IF(AG893&lt;0,0,1)</f>
        <v>1</v>
      </c>
      <c r="AW893" s="79" t="str">
        <f>J893&amp;AU893</f>
        <v>6B</v>
      </c>
      <c r="AX893" s="79">
        <f>IF(COUNTIFS(J:J,"Integral",E:E,E893,H:H,"Ativo")=4,1/4,1/10)</f>
        <v>0.1</v>
      </c>
      <c r="AY893" s="79" t="s">
        <v>1535</v>
      </c>
      <c r="AZ893" s="79" t="b">
        <v>1</v>
      </c>
    </row>
    <row r="894" spans="1:79">
      <c r="A894" s="54">
        <v>925</v>
      </c>
      <c r="B894" s="405">
        <v>45667</v>
      </c>
      <c r="C894" s="351" t="s">
        <v>2683</v>
      </c>
      <c r="D894" s="32" t="s">
        <v>2689</v>
      </c>
      <c r="E894" s="32" t="s">
        <v>2685</v>
      </c>
      <c r="F894" s="32" t="s">
        <v>2690</v>
      </c>
      <c r="G894" s="60" t="s">
        <v>220</v>
      </c>
      <c r="H894" s="33" t="s">
        <v>90</v>
      </c>
      <c r="I894" s="34"/>
      <c r="J894" s="33">
        <v>6</v>
      </c>
      <c r="K894" s="35" t="s">
        <v>2379</v>
      </c>
      <c r="L894" s="35" t="s">
        <v>2379</v>
      </c>
      <c r="M894" s="67" t="s">
        <v>981</v>
      </c>
      <c r="N894" s="33" t="s">
        <v>68</v>
      </c>
      <c r="O894" s="33" t="s">
        <v>12</v>
      </c>
      <c r="P894" s="33" t="s">
        <v>2</v>
      </c>
      <c r="Q894" s="47"/>
      <c r="R894" s="47"/>
      <c r="S894" s="45" t="s">
        <v>149</v>
      </c>
      <c r="T894" s="389">
        <v>3</v>
      </c>
      <c r="U894" s="37">
        <v>45647</v>
      </c>
      <c r="V894" s="38">
        <f>B894</f>
        <v>45667</v>
      </c>
      <c r="W894" s="50">
        <f>V894-U894</f>
        <v>20</v>
      </c>
      <c r="X894" s="260">
        <v>407681.86</v>
      </c>
      <c r="Y894" s="260">
        <v>407681.86</v>
      </c>
      <c r="Z894" s="260">
        <v>394999.9</v>
      </c>
      <c r="AA894" s="56"/>
      <c r="AB894" s="43">
        <v>0.2</v>
      </c>
      <c r="AC894" s="295">
        <v>0</v>
      </c>
      <c r="AD894" s="62">
        <v>3.1099999999999999E-2</v>
      </c>
      <c r="AE894" s="291"/>
      <c r="AF894" s="40"/>
      <c r="AG894" s="292"/>
      <c r="AH894" s="40">
        <f>Y894-Z894</f>
        <v>12681.959999999963</v>
      </c>
      <c r="AI894" s="66"/>
      <c r="AJ894" s="66"/>
      <c r="AK894" s="292">
        <v>10241.459999999999</v>
      </c>
      <c r="AL894" s="40">
        <f>AH894-AK894</f>
        <v>2440.4999999999636</v>
      </c>
      <c r="AM894" s="242">
        <f>IFERROR(EOMONTH(B894,0),"Pendente")</f>
        <v>45688</v>
      </c>
      <c r="AN894" s="242" t="str">
        <f>IF(AQ894="x","",IF(AQ894="x",AM894,IF(EOMONTH(I894,0)=31,"",EOMONTH(I894,0))))</f>
        <v/>
      </c>
      <c r="AO894" s="79">
        <f>IFERROR(IF(VLOOKUP(C894,C895:C1495,1,0)=0,1,0),1)</f>
        <v>1</v>
      </c>
      <c r="AP894" s="79"/>
      <c r="AQ894" s="243" t="str">
        <f>IF(MID(G894,1,15)="NAO ASSINADO","x","")</f>
        <v/>
      </c>
      <c r="AR894" s="242" t="b">
        <f>IF(AQ894="x",EOMONTH(I894,0))</f>
        <v>0</v>
      </c>
      <c r="AS894" s="79">
        <f>IF(AH894&lt;0,0,1)</f>
        <v>1</v>
      </c>
      <c r="AT894" s="79">
        <f>IF(AL894&lt;0,0,1)</f>
        <v>1</v>
      </c>
      <c r="AU894" s="79" t="str">
        <f>MID(E894,1,1)</f>
        <v>B</v>
      </c>
      <c r="AV894" s="79">
        <f>IF(AG894&lt;0,0,1)</f>
        <v>1</v>
      </c>
      <c r="AW894" s="79" t="str">
        <f>J894&amp;AU894</f>
        <v>6B</v>
      </c>
      <c r="AX894" s="79">
        <f>IF(COUNTIFS(J:J,"Integral",E:E,E894,H:H,"Ativo")=4,1/4,1/10)</f>
        <v>0.1</v>
      </c>
      <c r="AY894" s="79" t="s">
        <v>1535</v>
      </c>
      <c r="AZ894" s="79" t="b">
        <v>1</v>
      </c>
    </row>
    <row r="895" spans="1:79" ht="15" customHeight="1">
      <c r="A895" s="54">
        <v>926</v>
      </c>
      <c r="B895" s="405">
        <v>45667</v>
      </c>
      <c r="C895" s="351" t="s">
        <v>2691</v>
      </c>
      <c r="D895" s="32" t="s">
        <v>2692</v>
      </c>
      <c r="E895" s="32" t="s">
        <v>2524</v>
      </c>
      <c r="F895" s="32" t="s">
        <v>2693</v>
      </c>
      <c r="G895" s="60" t="s">
        <v>220</v>
      </c>
      <c r="H895" s="33" t="s">
        <v>90</v>
      </c>
      <c r="I895" s="34"/>
      <c r="J895" s="33">
        <v>6</v>
      </c>
      <c r="K895" s="56" t="s">
        <v>274</v>
      </c>
      <c r="L895" s="56" t="s">
        <v>274</v>
      </c>
      <c r="M895" s="386" t="s">
        <v>246</v>
      </c>
      <c r="N895" s="33" t="s">
        <v>68</v>
      </c>
      <c r="O895" s="33" t="s">
        <v>10</v>
      </c>
      <c r="P895" s="33" t="s">
        <v>86</v>
      </c>
      <c r="Q895" s="47" t="s">
        <v>100</v>
      </c>
      <c r="R895" s="47"/>
      <c r="S895" s="45" t="s">
        <v>143</v>
      </c>
      <c r="T895" s="389">
        <v>3</v>
      </c>
      <c r="U895" s="37">
        <v>45659</v>
      </c>
      <c r="V895" s="38">
        <f>B895</f>
        <v>45667</v>
      </c>
      <c r="W895" s="50">
        <f>V895-U895</f>
        <v>8</v>
      </c>
      <c r="X895" s="260">
        <v>603777.03</v>
      </c>
      <c r="Y895" s="260">
        <v>635777.21</v>
      </c>
      <c r="Z895" s="260">
        <v>450000</v>
      </c>
      <c r="AA895" s="56"/>
      <c r="AB895" s="43">
        <v>1</v>
      </c>
      <c r="AC895" s="295">
        <v>0</v>
      </c>
      <c r="AD895" s="62">
        <v>0.1235</v>
      </c>
      <c r="AE895" s="291"/>
      <c r="AF895" s="40"/>
      <c r="AG895" s="292"/>
      <c r="AH895" s="40">
        <f>Y895-Z895</f>
        <v>185777.20999999996</v>
      </c>
      <c r="AI895" s="66"/>
      <c r="AJ895" s="66"/>
      <c r="AK895" s="292">
        <v>37587.22</v>
      </c>
      <c r="AL895" s="40">
        <f>AH895-AK895</f>
        <v>148189.98999999996</v>
      </c>
      <c r="AM895" s="242">
        <f>IFERROR(EOMONTH(B895,0),"Pendente")</f>
        <v>45688</v>
      </c>
      <c r="AN895" s="242" t="str">
        <f>IF(AQ895="x","",IF(AQ895="x",AM895,IF(EOMONTH(I895,0)=31,"",EOMONTH(I895,0))))</f>
        <v/>
      </c>
      <c r="AO895" s="79">
        <f>IFERROR(IF(VLOOKUP(C895,C896:C1496,1,0)=0,1,0),1)</f>
        <v>1</v>
      </c>
      <c r="AP895" s="79"/>
      <c r="AQ895" s="243" t="str">
        <f>IF(MID(G895,1,15)="NAO ASSINADO","x","")</f>
        <v/>
      </c>
      <c r="AR895" s="242" t="b">
        <f>IF(AQ895="x",EOMONTH(I895,0))</f>
        <v>0</v>
      </c>
      <c r="AS895" s="79">
        <f>IF(AH895&lt;0,0,1)</f>
        <v>1</v>
      </c>
      <c r="AT895" s="79">
        <f>IF(AL895&lt;0,0,1)</f>
        <v>1</v>
      </c>
      <c r="AU895" s="79" t="str">
        <f>MID(E895,1,1)</f>
        <v>C</v>
      </c>
      <c r="AV895" s="79">
        <f>IF(AG895&lt;0,0,1)</f>
        <v>1</v>
      </c>
      <c r="AW895" s="79" t="str">
        <f>J895&amp;AU895</f>
        <v>6C</v>
      </c>
      <c r="AX895" s="79">
        <f>IF(COUNTIFS(J:J,"Integral",E:E,E895,H:H,"Ativo")=4,1/4,1/10)</f>
        <v>0.1</v>
      </c>
      <c r="AY895" s="79" t="s">
        <v>1332</v>
      </c>
      <c r="AZ895" s="79" t="b">
        <v>1</v>
      </c>
    </row>
    <row r="896" spans="1:79" ht="15" customHeight="1">
      <c r="A896" s="54">
        <v>927</v>
      </c>
      <c r="B896" s="405">
        <v>45667</v>
      </c>
      <c r="C896" s="351" t="s">
        <v>2694</v>
      </c>
      <c r="D896" s="32" t="s">
        <v>2695</v>
      </c>
      <c r="E896" s="32" t="s">
        <v>2696</v>
      </c>
      <c r="F896" s="32" t="s">
        <v>2697</v>
      </c>
      <c r="G896" s="60" t="s">
        <v>243</v>
      </c>
      <c r="H896" s="33" t="s">
        <v>244</v>
      </c>
      <c r="I896" s="34">
        <v>45678</v>
      </c>
      <c r="J896" s="33">
        <v>6</v>
      </c>
      <c r="K896" s="56" t="s">
        <v>1165</v>
      </c>
      <c r="L896" s="56" t="s">
        <v>1165</v>
      </c>
      <c r="M896" s="67" t="s">
        <v>981</v>
      </c>
      <c r="N896" s="33" t="s">
        <v>68</v>
      </c>
      <c r="O896" s="33" t="s">
        <v>12</v>
      </c>
      <c r="P896" s="33" t="s">
        <v>2</v>
      </c>
      <c r="Q896" s="47"/>
      <c r="R896" s="47"/>
      <c r="S896" s="45" t="s">
        <v>150</v>
      </c>
      <c r="T896" s="389">
        <v>8</v>
      </c>
      <c r="U896" s="37">
        <v>45612</v>
      </c>
      <c r="V896" s="38">
        <f>B896</f>
        <v>45667</v>
      </c>
      <c r="W896" s="50">
        <f>V896-U896</f>
        <v>55</v>
      </c>
      <c r="X896" s="260">
        <v>407681.85</v>
      </c>
      <c r="Y896" s="260">
        <v>407681.85</v>
      </c>
      <c r="Z896" s="260">
        <v>394990</v>
      </c>
      <c r="AA896" s="56"/>
      <c r="AB896" s="43">
        <v>0.2</v>
      </c>
      <c r="AC896" s="295">
        <v>0</v>
      </c>
      <c r="AD896" s="62" t="s">
        <v>2698</v>
      </c>
      <c r="AE896" s="291"/>
      <c r="AF896" s="40"/>
      <c r="AG896" s="292"/>
      <c r="AH896" s="40">
        <f>Y896-Z896</f>
        <v>12691.849999999977</v>
      </c>
      <c r="AI896" s="66"/>
      <c r="AJ896" s="66"/>
      <c r="AK896" s="292">
        <v>13032.4</v>
      </c>
      <c r="AL896" s="40">
        <f>AH896-AK896</f>
        <v>-340.55000000002292</v>
      </c>
      <c r="AM896" s="242">
        <f>IFERROR(EOMONTH(B896,0),"Pendente")</f>
        <v>45688</v>
      </c>
      <c r="AN896" s="242" t="str">
        <f>IF(AQ896="x","",IF(AQ896="x",AM896,IF(EOMONTH(I896,0)=31,"",EOMONTH(I896,0))))</f>
        <v/>
      </c>
      <c r="AO896" s="79">
        <f>IFERROR(IF(VLOOKUP(C896,C897:C1497,1,0)=0,1,0),1)</f>
        <v>0</v>
      </c>
      <c r="AP896" s="79"/>
      <c r="AQ896" s="243" t="str">
        <f>IF(MID(G896,1,15)="NAO ASSINADO","x","")</f>
        <v>x</v>
      </c>
      <c r="AR896" s="242">
        <f>IF(AQ896="x",EOMONTH(I896,0))</f>
        <v>45688</v>
      </c>
      <c r="AS896" s="79">
        <f>IF(AH896&lt;0,0,1)</f>
        <v>1</v>
      </c>
      <c r="AT896" s="79">
        <f>IF(AL896&lt;0,0,1)</f>
        <v>0</v>
      </c>
      <c r="AU896" s="79" t="str">
        <f>MID(E896,1,1)</f>
        <v>B</v>
      </c>
      <c r="AV896" s="79">
        <f>IF(AG896&lt;0,0,1)</f>
        <v>1</v>
      </c>
      <c r="AW896" s="79" t="str">
        <f>J896&amp;AU896</f>
        <v>6B</v>
      </c>
      <c r="AX896" s="79">
        <f>IF(COUNTIFS(J:J,"Integral",E:E,E896,H:H,"Ativo")=4,1/4,1/10)</f>
        <v>0.1</v>
      </c>
      <c r="AY896" s="79" t="s">
        <v>2133</v>
      </c>
      <c r="AZ896" s="79" t="b">
        <v>1</v>
      </c>
    </row>
    <row r="897" spans="1:92" ht="15" customHeight="1">
      <c r="A897" s="54">
        <v>928</v>
      </c>
      <c r="B897" s="405">
        <v>45667</v>
      </c>
      <c r="C897" s="351" t="s">
        <v>2694</v>
      </c>
      <c r="D897" s="32" t="s">
        <v>2699</v>
      </c>
      <c r="E897" s="32" t="s">
        <v>2696</v>
      </c>
      <c r="F897" s="32" t="s">
        <v>2700</v>
      </c>
      <c r="G897" s="60" t="s">
        <v>243</v>
      </c>
      <c r="H897" s="33" t="s">
        <v>244</v>
      </c>
      <c r="I897" s="34">
        <v>45678</v>
      </c>
      <c r="J897" s="33">
        <v>6</v>
      </c>
      <c r="K897" s="56" t="s">
        <v>1165</v>
      </c>
      <c r="L897" s="56" t="s">
        <v>1165</v>
      </c>
      <c r="M897" s="67" t="s">
        <v>981</v>
      </c>
      <c r="N897" s="33" t="s">
        <v>68</v>
      </c>
      <c r="O897" s="33" t="s">
        <v>12</v>
      </c>
      <c r="P897" s="33" t="s">
        <v>2</v>
      </c>
      <c r="Q897" s="47"/>
      <c r="R897" s="47"/>
      <c r="S897" s="45" t="s">
        <v>150</v>
      </c>
      <c r="T897" s="389">
        <v>8</v>
      </c>
      <c r="U897" s="37">
        <v>45612</v>
      </c>
      <c r="V897" s="38">
        <f>B897</f>
        <v>45667</v>
      </c>
      <c r="W897" s="50">
        <f>V897-U897</f>
        <v>55</v>
      </c>
      <c r="X897" s="260">
        <v>407681.86</v>
      </c>
      <c r="Y897" s="260">
        <v>407681.86</v>
      </c>
      <c r="Z897" s="260">
        <v>394990</v>
      </c>
      <c r="AA897" s="56"/>
      <c r="AB897" s="43">
        <v>0.2</v>
      </c>
      <c r="AC897" s="295">
        <v>0</v>
      </c>
      <c r="AD897" s="62" t="s">
        <v>2698</v>
      </c>
      <c r="AE897" s="291"/>
      <c r="AF897" s="40"/>
      <c r="AG897" s="292"/>
      <c r="AH897" s="40">
        <f>Y897-Z897</f>
        <v>12691.859999999986</v>
      </c>
      <c r="AI897" s="66"/>
      <c r="AJ897" s="66"/>
      <c r="AK897" s="292">
        <v>13032.4</v>
      </c>
      <c r="AL897" s="40">
        <f>AH897-AK897</f>
        <v>-340.54000000001361</v>
      </c>
      <c r="AM897" s="242">
        <f>IFERROR(EOMONTH(B897,0),"Pendente")</f>
        <v>45688</v>
      </c>
      <c r="AN897" s="242" t="str">
        <f>IF(AQ897="x","",IF(AQ897="x",AM897,IF(EOMONTH(I897,0)=31,"",EOMONTH(I897,0))))</f>
        <v/>
      </c>
      <c r="AO897" s="79">
        <f>IFERROR(IF(VLOOKUP(C897,C898:C1498,1,0)=0,1,0),1)</f>
        <v>1</v>
      </c>
      <c r="AP897" s="79"/>
      <c r="AQ897" s="243" t="str">
        <f>IF(MID(G897,1,15)="NAO ASSINADO","x","")</f>
        <v>x</v>
      </c>
      <c r="AR897" s="242">
        <f>IF(AQ897="x",EOMONTH(I897,0))</f>
        <v>45688</v>
      </c>
      <c r="AS897" s="79">
        <f>IF(AH897&lt;0,0,1)</f>
        <v>1</v>
      </c>
      <c r="AT897" s="79">
        <f>IF(AL897&lt;0,0,1)</f>
        <v>0</v>
      </c>
      <c r="AU897" s="79" t="str">
        <f>MID(E897,1,1)</f>
        <v>B</v>
      </c>
      <c r="AV897" s="79">
        <f>IF(AG897&lt;0,0,1)</f>
        <v>1</v>
      </c>
      <c r="AW897" s="79" t="str">
        <f>J897&amp;AU897</f>
        <v>6B</v>
      </c>
      <c r="AX897" s="79">
        <f>IF(COUNTIFS(J:J,"Integral",E:E,E897,H:H,"Ativo")=4,1/4,1/10)</f>
        <v>0.1</v>
      </c>
      <c r="AY897" s="79" t="s">
        <v>2133</v>
      </c>
      <c r="AZ897" s="79" t="b">
        <v>1</v>
      </c>
    </row>
    <row r="898" spans="1:92" ht="15" customHeight="1">
      <c r="A898" s="54">
        <v>929</v>
      </c>
      <c r="B898" s="405">
        <v>45667</v>
      </c>
      <c r="C898" s="351" t="s">
        <v>2701</v>
      </c>
      <c r="D898" s="32" t="s">
        <v>2702</v>
      </c>
      <c r="E898" s="32" t="s">
        <v>2685</v>
      </c>
      <c r="F898" s="32" t="s">
        <v>2703</v>
      </c>
      <c r="G898" s="60" t="s">
        <v>220</v>
      </c>
      <c r="H898" s="33" t="s">
        <v>90</v>
      </c>
      <c r="I898" s="34"/>
      <c r="J898" s="33">
        <v>6</v>
      </c>
      <c r="K898" s="56" t="s">
        <v>2372</v>
      </c>
      <c r="L898" s="56" t="s">
        <v>2372</v>
      </c>
      <c r="M898" s="386" t="s">
        <v>246</v>
      </c>
      <c r="N898" s="33" t="s">
        <v>68</v>
      </c>
      <c r="O898" s="33" t="s">
        <v>10</v>
      </c>
      <c r="P898" s="33" t="s">
        <v>86</v>
      </c>
      <c r="Q898" s="47" t="s">
        <v>100</v>
      </c>
      <c r="R898" s="47"/>
      <c r="S898" s="45" t="s">
        <v>143</v>
      </c>
      <c r="T898" s="389">
        <v>14</v>
      </c>
      <c r="U898" s="37">
        <v>45531</v>
      </c>
      <c r="V898" s="38">
        <f>B898</f>
        <v>45667</v>
      </c>
      <c r="W898" s="50">
        <f>V898-U898</f>
        <v>136</v>
      </c>
      <c r="X898" s="260">
        <v>407681.85</v>
      </c>
      <c r="Y898" s="260">
        <v>407681.85</v>
      </c>
      <c r="Z898" s="260">
        <v>319000</v>
      </c>
      <c r="AA898" s="56"/>
      <c r="AB898" s="43">
        <v>1</v>
      </c>
      <c r="AC898" s="295">
        <v>0</v>
      </c>
      <c r="AD898" s="62" t="s">
        <v>2704</v>
      </c>
      <c r="AE898" s="291"/>
      <c r="AF898" s="40"/>
      <c r="AG898" s="292"/>
      <c r="AH898" s="40">
        <f>Y898-Z898</f>
        <v>88681.849999999977</v>
      </c>
      <c r="AI898" s="66"/>
      <c r="AJ898" s="66"/>
      <c r="AK898" s="292">
        <v>10228.26</v>
      </c>
      <c r="AL898" s="40">
        <f>AH898-AK898</f>
        <v>78453.589999999982</v>
      </c>
      <c r="AM898" s="242">
        <f>IFERROR(EOMONTH(B898,0),"Pendente")</f>
        <v>45688</v>
      </c>
      <c r="AN898" s="242" t="str">
        <f>IF(AQ898="x","",IF(AQ898="x",AM898,IF(EOMONTH(I898,0)=31,"",EOMONTH(I898,0))))</f>
        <v/>
      </c>
      <c r="AO898" s="79">
        <f>IFERROR(IF(VLOOKUP(C898,C899:C1499,1,0)=0,1,0),1)</f>
        <v>0</v>
      </c>
      <c r="AP898" s="79"/>
      <c r="AQ898" s="243" t="str">
        <f>IF(MID(G898,1,15)="NAO ASSINADO","x","")</f>
        <v/>
      </c>
      <c r="AR898" s="242" t="b">
        <f>IF(AQ898="x",EOMONTH(I898,0))</f>
        <v>0</v>
      </c>
      <c r="AS898" s="79">
        <f>IF(AH898&lt;0,0,1)</f>
        <v>1</v>
      </c>
      <c r="AT898" s="79">
        <f>IF(AL898&lt;0,0,1)</f>
        <v>1</v>
      </c>
      <c r="AU898" s="79" t="str">
        <f>MID(E898,1,1)</f>
        <v>B</v>
      </c>
      <c r="AV898" s="79">
        <f>IF(AG898&lt;0,0,1)</f>
        <v>1</v>
      </c>
      <c r="AW898" s="79" t="str">
        <f>J898&amp;AU898</f>
        <v>6B</v>
      </c>
      <c r="AX898" s="79">
        <f>IF(COUNTIFS(J:J,"Integral",E:E,E898,H:H,"Ativo")=4,1/4,1/10)</f>
        <v>0.1</v>
      </c>
      <c r="AY898" s="79" t="s">
        <v>2133</v>
      </c>
      <c r="AZ898" s="79" t="b">
        <v>1</v>
      </c>
    </row>
    <row r="899" spans="1:92" ht="15" customHeight="1">
      <c r="A899" s="54">
        <v>930</v>
      </c>
      <c r="B899" s="405">
        <v>45667</v>
      </c>
      <c r="C899" s="351" t="s">
        <v>2701</v>
      </c>
      <c r="D899" s="32" t="s">
        <v>2705</v>
      </c>
      <c r="E899" s="32" t="s">
        <v>2685</v>
      </c>
      <c r="F899" s="32" t="s">
        <v>2706</v>
      </c>
      <c r="G899" s="60" t="s">
        <v>220</v>
      </c>
      <c r="H899" s="33" t="s">
        <v>90</v>
      </c>
      <c r="I899" s="34"/>
      <c r="J899" s="33">
        <v>6</v>
      </c>
      <c r="K899" s="56" t="s">
        <v>2372</v>
      </c>
      <c r="L899" s="56" t="s">
        <v>2372</v>
      </c>
      <c r="M899" s="386" t="s">
        <v>246</v>
      </c>
      <c r="N899" s="33" t="s">
        <v>68</v>
      </c>
      <c r="O899" s="33" t="s">
        <v>10</v>
      </c>
      <c r="P899" s="33" t="s">
        <v>86</v>
      </c>
      <c r="Q899" s="47" t="s">
        <v>100</v>
      </c>
      <c r="R899" s="47"/>
      <c r="S899" s="45" t="s">
        <v>143</v>
      </c>
      <c r="T899" s="389">
        <v>14</v>
      </c>
      <c r="U899" s="37">
        <v>45531</v>
      </c>
      <c r="V899" s="38">
        <f>B899</f>
        <v>45667</v>
      </c>
      <c r="W899" s="50">
        <f>V899-U899</f>
        <v>136</v>
      </c>
      <c r="X899" s="260">
        <v>407681.86</v>
      </c>
      <c r="Y899" s="260">
        <v>407681.86</v>
      </c>
      <c r="Z899" s="260">
        <v>319000</v>
      </c>
      <c r="AA899" s="56"/>
      <c r="AB899" s="43">
        <v>1</v>
      </c>
      <c r="AC899" s="295">
        <v>0</v>
      </c>
      <c r="AD899" s="62" t="s">
        <v>2704</v>
      </c>
      <c r="AE899" s="291"/>
      <c r="AF899" s="40"/>
      <c r="AG899" s="292"/>
      <c r="AH899" s="40">
        <f>Y899-Z899</f>
        <v>88681.859999999986</v>
      </c>
      <c r="AI899" s="66"/>
      <c r="AJ899" s="66"/>
      <c r="AK899" s="292">
        <v>10228.26</v>
      </c>
      <c r="AL899" s="40">
        <f>AH899-AK899</f>
        <v>78453.599999999991</v>
      </c>
      <c r="AM899" s="242">
        <f>IFERROR(EOMONTH(B899,0),"Pendente")</f>
        <v>45688</v>
      </c>
      <c r="AN899" s="242" t="str">
        <f>IF(AQ899="x","",IF(AQ899="x",AM899,IF(EOMONTH(I899,0)=31,"",EOMONTH(I899,0))))</f>
        <v/>
      </c>
      <c r="AO899" s="79">
        <f>IFERROR(IF(VLOOKUP(C899,C900:C1500,1,0)=0,1,0),1)</f>
        <v>1</v>
      </c>
      <c r="AP899" s="79"/>
      <c r="AQ899" s="243" t="str">
        <f>IF(MID(G899,1,15)="NAO ASSINADO","x","")</f>
        <v/>
      </c>
      <c r="AR899" s="242" t="b">
        <f>IF(AQ899="x",EOMONTH(I899,0))</f>
        <v>0</v>
      </c>
      <c r="AS899" s="79">
        <f>IF(AH899&lt;0,0,1)</f>
        <v>1</v>
      </c>
      <c r="AT899" s="79">
        <f>IF(AL899&lt;0,0,1)</f>
        <v>1</v>
      </c>
      <c r="AU899" s="79" t="str">
        <f>MID(E899,1,1)</f>
        <v>B</v>
      </c>
      <c r="AV899" s="79">
        <f>IF(AG899&lt;0,0,1)</f>
        <v>1</v>
      </c>
      <c r="AW899" s="79" t="str">
        <f>J899&amp;AU899</f>
        <v>6B</v>
      </c>
      <c r="AX899" s="79">
        <f>IF(COUNTIFS(J:J,"Integral",E:E,E899,H:H,"Ativo")=4,1/4,1/10)</f>
        <v>0.1</v>
      </c>
      <c r="AY899" s="79" t="s">
        <v>2133</v>
      </c>
      <c r="AZ899" s="79" t="b">
        <v>1</v>
      </c>
    </row>
    <row r="900" spans="1:92" ht="18.75" customHeight="1">
      <c r="A900" s="54">
        <v>931</v>
      </c>
      <c r="B900" s="405">
        <v>45670</v>
      </c>
      <c r="C900" s="351" t="s">
        <v>2707</v>
      </c>
      <c r="D900" s="32" t="s">
        <v>2708</v>
      </c>
      <c r="E900" s="32" t="s">
        <v>2524</v>
      </c>
      <c r="F900" s="32" t="s">
        <v>2709</v>
      </c>
      <c r="G900" s="60" t="s">
        <v>220</v>
      </c>
      <c r="H900" s="33" t="s">
        <v>90</v>
      </c>
      <c r="I900" s="34"/>
      <c r="J900" s="33">
        <v>6</v>
      </c>
      <c r="K900" s="56" t="s">
        <v>1165</v>
      </c>
      <c r="L900" s="56" t="s">
        <v>1165</v>
      </c>
      <c r="M900" s="67" t="s">
        <v>981</v>
      </c>
      <c r="N900" s="33" t="s">
        <v>68</v>
      </c>
      <c r="O900" s="33" t="s">
        <v>12</v>
      </c>
      <c r="P900" s="33" t="s">
        <v>86</v>
      </c>
      <c r="Q900" s="47" t="s">
        <v>98</v>
      </c>
      <c r="R900" s="47"/>
      <c r="S900" s="45" t="s">
        <v>147</v>
      </c>
      <c r="T900" s="389">
        <v>0</v>
      </c>
      <c r="U900" s="37">
        <v>45670</v>
      </c>
      <c r="V900" s="38">
        <f>B900</f>
        <v>45670</v>
      </c>
      <c r="W900" s="50">
        <f>V900-U900</f>
        <v>0</v>
      </c>
      <c r="X900" s="260">
        <v>603777.03</v>
      </c>
      <c r="Y900" s="260">
        <v>635777.21</v>
      </c>
      <c r="Z900" s="260">
        <v>613000</v>
      </c>
      <c r="AA900" s="56"/>
      <c r="AB900" s="43">
        <v>0.1958</v>
      </c>
      <c r="AC900" s="295">
        <v>0</v>
      </c>
      <c r="AD900" s="62">
        <v>4.2799999999999998E-2</v>
      </c>
      <c r="AE900" s="291"/>
      <c r="AF900" s="40"/>
      <c r="AG900" s="292">
        <v>3889.59</v>
      </c>
      <c r="AH900" s="40">
        <f>Y900-Z900</f>
        <v>22777.209999999963</v>
      </c>
      <c r="AI900" s="66"/>
      <c r="AJ900" s="66"/>
      <c r="AK900" s="292"/>
      <c r="AL900" s="40">
        <f>AH900-AK900</f>
        <v>22777.209999999963</v>
      </c>
      <c r="AM900" s="242">
        <f>IFERROR(EOMONTH(B900,0),"Pendente")</f>
        <v>45688</v>
      </c>
      <c r="AN900" s="242" t="str">
        <f>IF(AQ900="x","",IF(AQ900="x",AM900,IF(EOMONTH(I900,0)=31,"",EOMONTH(I900,0))))</f>
        <v/>
      </c>
      <c r="AO900" s="350">
        <v>1</v>
      </c>
      <c r="AP900" s="79"/>
      <c r="AQ900" s="243" t="str">
        <f>IF(MID(G900,1,15)="NAO ASSINADO","x","")</f>
        <v/>
      </c>
      <c r="AR900" s="242" t="b">
        <f>IF(AQ900="x",EOMONTH(I900,0))</f>
        <v>0</v>
      </c>
      <c r="AS900" s="79">
        <f>IF(AH900&lt;0,0,1)</f>
        <v>1</v>
      </c>
      <c r="AT900" s="79">
        <f>IF(AL900&lt;0,0,1)</f>
        <v>1</v>
      </c>
      <c r="AU900" s="79" t="str">
        <f>MID(E900,1,1)</f>
        <v>C</v>
      </c>
      <c r="AV900" s="79">
        <f>IF(AG900&lt;0,0,1)</f>
        <v>1</v>
      </c>
      <c r="AW900" s="79" t="str">
        <f>J900&amp;AU900</f>
        <v>6C</v>
      </c>
      <c r="AX900" s="79">
        <f>IF(COUNTIFS(J:J,"Integral",E:E,E900,H:H,"Ativo")=4,1/4,1/10)</f>
        <v>0.1</v>
      </c>
      <c r="AY900" s="79" t="s">
        <v>2133</v>
      </c>
      <c r="AZ900" s="79" t="b">
        <v>1</v>
      </c>
    </row>
    <row r="901" spans="1:92" ht="15" customHeight="1">
      <c r="A901" s="54">
        <v>932</v>
      </c>
      <c r="B901" s="405">
        <v>45672</v>
      </c>
      <c r="C901" s="351" t="s">
        <v>2710</v>
      </c>
      <c r="D901" s="32" t="s">
        <v>2711</v>
      </c>
      <c r="E901" s="32" t="s">
        <v>2685</v>
      </c>
      <c r="F901" s="32" t="s">
        <v>2712</v>
      </c>
      <c r="G901" s="60" t="s">
        <v>220</v>
      </c>
      <c r="H901" s="33" t="s">
        <v>90</v>
      </c>
      <c r="I901" s="34"/>
      <c r="J901" s="33">
        <v>4</v>
      </c>
      <c r="K901" s="35" t="s">
        <v>2379</v>
      </c>
      <c r="L901" s="35" t="s">
        <v>2379</v>
      </c>
      <c r="M901" s="67" t="s">
        <v>981</v>
      </c>
      <c r="N901" s="33" t="s">
        <v>68</v>
      </c>
      <c r="O901" s="33" t="s">
        <v>12</v>
      </c>
      <c r="P901" s="33" t="s">
        <v>2</v>
      </c>
      <c r="Q901" s="47"/>
      <c r="R901" s="47"/>
      <c r="S901" s="45" t="s">
        <v>147</v>
      </c>
      <c r="T901" s="389">
        <v>1</v>
      </c>
      <c r="U901" s="37">
        <v>45661</v>
      </c>
      <c r="V901" s="38">
        <f>B901</f>
        <v>45672</v>
      </c>
      <c r="W901" s="50">
        <f>V901-U901</f>
        <v>11</v>
      </c>
      <c r="X901" s="260">
        <v>391589.15</v>
      </c>
      <c r="Y901" s="260">
        <v>391589.15</v>
      </c>
      <c r="Z901" s="260">
        <v>378898.8</v>
      </c>
      <c r="AA901" s="56"/>
      <c r="AB901" s="43">
        <v>0.2001</v>
      </c>
      <c r="AC901" s="295">
        <v>0</v>
      </c>
      <c r="AD901" s="62">
        <v>4.7600000000000003E-2</v>
      </c>
      <c r="AE901" s="291"/>
      <c r="AF901" s="40"/>
      <c r="AG901" s="292"/>
      <c r="AH901" s="40">
        <f>Y901-Z901</f>
        <v>12690.350000000035</v>
      </c>
      <c r="AI901" s="66"/>
      <c r="AJ901" s="66"/>
      <c r="AK901" s="292">
        <v>15045.81</v>
      </c>
      <c r="AL901" s="40">
        <f>AH901-AK901</f>
        <v>-2355.4599999999646</v>
      </c>
      <c r="AM901" s="242">
        <f>IFERROR(EOMONTH(B901,0),"Pendente")</f>
        <v>45688</v>
      </c>
      <c r="AN901" s="242" t="str">
        <f>IF(AQ901="x","",IF(AQ901="x",AM901,IF(EOMONTH(I901,0)=31,"",EOMONTH(I901,0))))</f>
        <v/>
      </c>
      <c r="AO901" s="79">
        <f>IFERROR(IF(VLOOKUP(C901,C902:C1502,1,0)=0,1,0),1)</f>
        <v>1</v>
      </c>
      <c r="AP901" s="79"/>
      <c r="AQ901" s="243" t="str">
        <f>IF(MID(G901,1,15)="NAO ASSINADO","x","")</f>
        <v/>
      </c>
      <c r="AR901" s="242" t="b">
        <f>IF(AQ901="x",EOMONTH(I901,0))</f>
        <v>0</v>
      </c>
      <c r="AS901" s="79">
        <f>IF(AH901&lt;0,0,1)</f>
        <v>1</v>
      </c>
      <c r="AT901" s="79">
        <f>IF(AL901&lt;0,0,1)</f>
        <v>0</v>
      </c>
      <c r="AU901" s="79" t="str">
        <f>MID(E901,1,1)</f>
        <v>B</v>
      </c>
      <c r="AV901" s="79">
        <f>IF(AG901&lt;0,0,1)</f>
        <v>1</v>
      </c>
      <c r="AW901" s="79" t="str">
        <f>J901&amp;AU901</f>
        <v>4B</v>
      </c>
      <c r="AX901" s="79">
        <f>IF(COUNTIFS(J:J,"Integral",E:E,E901,H:H,"Ativo")=4,1/4,1/10)</f>
        <v>0.1</v>
      </c>
      <c r="AY901" s="79" t="s">
        <v>2133</v>
      </c>
      <c r="AZ901" s="79" t="b">
        <v>1</v>
      </c>
      <c r="BA901" s="87"/>
      <c r="BB901" s="87"/>
      <c r="BC901" s="87"/>
      <c r="BD901" s="87"/>
      <c r="BE901" s="87"/>
      <c r="BF901" s="87"/>
      <c r="BG901" s="87"/>
      <c r="BH901" s="87"/>
      <c r="BI901" s="87"/>
      <c r="BJ901" s="87"/>
      <c r="BK901" s="87"/>
      <c r="BL901" s="87"/>
      <c r="BM901" s="87"/>
      <c r="BN901" s="87"/>
      <c r="BO901" s="87"/>
      <c r="BP901" s="87"/>
      <c r="BQ901" s="87"/>
      <c r="BR901" s="87"/>
      <c r="BS901" s="87"/>
      <c r="BT901" s="87"/>
      <c r="BU901" s="87"/>
      <c r="BV901" s="87"/>
      <c r="BW901" s="87"/>
      <c r="BX901" s="87"/>
      <c r="BY901" s="87"/>
      <c r="BZ901" s="87"/>
      <c r="CA901" s="87"/>
    </row>
    <row r="902" spans="1:92" ht="15" customHeight="1">
      <c r="A902" s="54">
        <v>933</v>
      </c>
      <c r="B902" s="405">
        <v>45674</v>
      </c>
      <c r="C902" s="351" t="s">
        <v>2713</v>
      </c>
      <c r="D902" s="32" t="s">
        <v>2714</v>
      </c>
      <c r="E902" s="32" t="s">
        <v>2685</v>
      </c>
      <c r="F902" s="32" t="s">
        <v>2715</v>
      </c>
      <c r="G902" s="60" t="s">
        <v>243</v>
      </c>
      <c r="H902" s="33" t="s">
        <v>244</v>
      </c>
      <c r="I902" s="34">
        <v>45687</v>
      </c>
      <c r="J902" s="33">
        <v>4</v>
      </c>
      <c r="K902" s="56" t="s">
        <v>1512</v>
      </c>
      <c r="L902" s="56" t="s">
        <v>1512</v>
      </c>
      <c r="M902" s="67" t="s">
        <v>981</v>
      </c>
      <c r="N902" s="33" t="s">
        <v>68</v>
      </c>
      <c r="O902" s="33" t="s">
        <v>12</v>
      </c>
      <c r="P902" s="33" t="s">
        <v>1</v>
      </c>
      <c r="Q902" s="47"/>
      <c r="R902" s="47"/>
      <c r="S902" s="45" t="s">
        <v>147</v>
      </c>
      <c r="T902" s="389">
        <v>3</v>
      </c>
      <c r="U902" s="37">
        <v>45662</v>
      </c>
      <c r="V902" s="38">
        <f>B902</f>
        <v>45674</v>
      </c>
      <c r="W902" s="50">
        <f>V902-U902</f>
        <v>12</v>
      </c>
      <c r="X902" s="260">
        <v>391589.15</v>
      </c>
      <c r="Y902" s="260">
        <v>391589.15</v>
      </c>
      <c r="Z902" s="260">
        <v>373599.8</v>
      </c>
      <c r="AA902" s="56"/>
      <c r="AB902" s="43">
        <v>0.2029</v>
      </c>
      <c r="AC902" s="295">
        <v>0</v>
      </c>
      <c r="AD902" s="62">
        <v>5.0700000000000002E-2</v>
      </c>
      <c r="AE902" s="291"/>
      <c r="AF902" s="40"/>
      <c r="AG902" s="292"/>
      <c r="AH902" s="40">
        <f>Y902-Z902</f>
        <v>17989.350000000035</v>
      </c>
      <c r="AI902" s="66"/>
      <c r="AJ902" s="66"/>
      <c r="AK902" s="292">
        <v>16047.45</v>
      </c>
      <c r="AL902" s="40">
        <f>AH902-AK902</f>
        <v>1941.9000000000342</v>
      </c>
      <c r="AM902" s="242">
        <f>IFERROR(EOMONTH(B902,0),"Pendente")</f>
        <v>45688</v>
      </c>
      <c r="AN902" s="242" t="str">
        <f>IF(AQ902="x","",IF(AQ902="x",AM902,IF(EOMONTH(I902,0)=31,"",EOMONTH(I902,0))))</f>
        <v/>
      </c>
      <c r="AO902" s="79">
        <f>IFERROR(IF(VLOOKUP(C902,C903:C1503,1,0)=0,1,0),1)</f>
        <v>1</v>
      </c>
      <c r="AP902" s="79"/>
      <c r="AQ902" s="243" t="str">
        <f>IF(MID(G902,1,15)="NAO ASSINADO","x","")</f>
        <v>x</v>
      </c>
      <c r="AR902" s="242">
        <f>IF(AQ902="x",EOMONTH(I902,0))</f>
        <v>45688</v>
      </c>
      <c r="AS902" s="79">
        <f>IF(AH902&lt;0,0,1)</f>
        <v>1</v>
      </c>
      <c r="AT902" s="79">
        <f>IF(AL902&lt;0,0,1)</f>
        <v>1</v>
      </c>
      <c r="AU902" s="79" t="str">
        <f>MID(E902,1,1)</f>
        <v>B</v>
      </c>
      <c r="AV902" s="79">
        <f>IF(AG902&lt;0,0,1)</f>
        <v>1</v>
      </c>
      <c r="AW902" s="79" t="str">
        <f>J902&amp;AU902</f>
        <v>4B</v>
      </c>
      <c r="AX902" s="79">
        <f>IF(COUNTIFS(J:J,"Integral",E:E,E902,H:H,"Ativo")=4,1/4,1/10)</f>
        <v>0.1</v>
      </c>
      <c r="AY902" s="79" t="s">
        <v>2133</v>
      </c>
      <c r="AZ902" s="79" t="b">
        <v>1</v>
      </c>
    </row>
    <row r="903" spans="1:92" ht="15" customHeight="1">
      <c r="A903" s="54">
        <v>934</v>
      </c>
      <c r="B903" s="405">
        <v>45680</v>
      </c>
      <c r="C903" s="351" t="s">
        <v>2716</v>
      </c>
      <c r="D903" s="32" t="s">
        <v>2717</v>
      </c>
      <c r="E903" s="32" t="s">
        <v>2685</v>
      </c>
      <c r="F903" s="32" t="s">
        <v>2718</v>
      </c>
      <c r="G903" s="60" t="s">
        <v>220</v>
      </c>
      <c r="H903" s="33" t="s">
        <v>90</v>
      </c>
      <c r="I903" s="34"/>
      <c r="J903" s="33">
        <v>4</v>
      </c>
      <c r="K903" s="56" t="s">
        <v>1512</v>
      </c>
      <c r="L903" s="56" t="s">
        <v>1512</v>
      </c>
      <c r="M903" s="67" t="s">
        <v>981</v>
      </c>
      <c r="N903" s="33" t="s">
        <v>68</v>
      </c>
      <c r="O903" s="33" t="s">
        <v>12</v>
      </c>
      <c r="P903" s="33" t="s">
        <v>2</v>
      </c>
      <c r="Q903" s="47"/>
      <c r="R903" s="47"/>
      <c r="S903" s="45" t="s">
        <v>144</v>
      </c>
      <c r="T903" s="389">
        <v>2</v>
      </c>
      <c r="U903" s="37">
        <v>45651</v>
      </c>
      <c r="V903" s="38">
        <f>B903</f>
        <v>45680</v>
      </c>
      <c r="W903" s="50">
        <f>V903-U903</f>
        <v>29</v>
      </c>
      <c r="X903" s="260">
        <v>391589.15</v>
      </c>
      <c r="Y903" s="260">
        <v>391589.15</v>
      </c>
      <c r="Z903" s="260">
        <v>378999.8</v>
      </c>
      <c r="AA903" s="56"/>
      <c r="AB903" s="43">
        <v>0.2</v>
      </c>
      <c r="AC903" s="295">
        <v>0</v>
      </c>
      <c r="AD903" s="62">
        <v>4.1399999999999999E-2</v>
      </c>
      <c r="AE903" s="291"/>
      <c r="AF903" s="40"/>
      <c r="AG903" s="292"/>
      <c r="AH903" s="40">
        <f>Y903-Z903</f>
        <v>12589.350000000035</v>
      </c>
      <c r="AI903" s="66"/>
      <c r="AJ903" s="66"/>
      <c r="AK903" s="292">
        <v>13104.97</v>
      </c>
      <c r="AL903" s="40">
        <f>AH903-AK903</f>
        <v>-515.61999999996442</v>
      </c>
      <c r="AM903" s="242">
        <f>IFERROR(EOMONTH(B903,0),"Pendente")</f>
        <v>45688</v>
      </c>
      <c r="AN903" s="242" t="str">
        <f>IF(AQ903="x","",IF(AQ903="x",AM903,IF(EOMONTH(I903,0)=31,"",EOMONTH(I903,0))))</f>
        <v/>
      </c>
      <c r="AO903" s="79">
        <f>IFERROR(IF(VLOOKUP(C903,C904:C1504,1,0)=0,1,0),1)</f>
        <v>1</v>
      </c>
      <c r="AP903" s="79"/>
      <c r="AQ903" s="243" t="str">
        <f>IF(MID(G903,1,15)="NAO ASSINADO","x","")</f>
        <v/>
      </c>
      <c r="AR903" s="242" t="b">
        <f>IF(AQ903="x",EOMONTH(I903,0))</f>
        <v>0</v>
      </c>
      <c r="AS903" s="79">
        <f>IF(AH903&lt;0,0,1)</f>
        <v>1</v>
      </c>
      <c r="AT903" s="79">
        <f>IF(AL903&lt;0,0,1)</f>
        <v>0</v>
      </c>
      <c r="AU903" s="79" t="str">
        <f>MID(E903,1,1)</f>
        <v>B</v>
      </c>
      <c r="AV903" s="79">
        <f>IF(AG903&lt;0,0,1)</f>
        <v>1</v>
      </c>
      <c r="AW903" s="79" t="str">
        <f>J903&amp;AU903</f>
        <v>4B</v>
      </c>
      <c r="AX903" s="79">
        <f>IF(COUNTIFS(J:J,"Integral",E:E,E903,H:H,"Ativo")=4,1/4,1/10)</f>
        <v>0.1</v>
      </c>
      <c r="AY903" s="79" t="s">
        <v>2133</v>
      </c>
      <c r="AZ903" s="79" t="b">
        <v>1</v>
      </c>
    </row>
    <row r="904" spans="1:92" ht="15" customHeight="1">
      <c r="A904" s="54">
        <v>936</v>
      </c>
      <c r="B904" s="405">
        <v>45683</v>
      </c>
      <c r="C904" s="351" t="s">
        <v>2719</v>
      </c>
      <c r="D904" s="32" t="s">
        <v>2720</v>
      </c>
      <c r="E904" s="32" t="s">
        <v>2503</v>
      </c>
      <c r="F904" s="32" t="s">
        <v>2721</v>
      </c>
      <c r="G904" s="60" t="s">
        <v>220</v>
      </c>
      <c r="H904" s="33" t="s">
        <v>90</v>
      </c>
      <c r="I904" s="34"/>
      <c r="J904" s="33">
        <v>4</v>
      </c>
      <c r="K904" s="56" t="s">
        <v>1165</v>
      </c>
      <c r="L904" s="56" t="s">
        <v>1165</v>
      </c>
      <c r="M904" s="67" t="s">
        <v>981</v>
      </c>
      <c r="N904" s="33" t="s">
        <v>68</v>
      </c>
      <c r="O904" s="33" t="s">
        <v>12</v>
      </c>
      <c r="P904" s="33" t="s">
        <v>86</v>
      </c>
      <c r="Q904" s="47" t="s">
        <v>100</v>
      </c>
      <c r="R904" s="47"/>
      <c r="S904" s="45" t="s">
        <v>147</v>
      </c>
      <c r="T904" s="389">
        <v>6</v>
      </c>
      <c r="U904" s="37">
        <v>45612</v>
      </c>
      <c r="V904" s="38">
        <f>B904</f>
        <v>45683</v>
      </c>
      <c r="W904" s="50">
        <f>V904-U904</f>
        <v>71</v>
      </c>
      <c r="X904" s="260">
        <v>391589.15</v>
      </c>
      <c r="Y904" s="260">
        <v>391589.15</v>
      </c>
      <c r="Z904" s="260">
        <v>378840</v>
      </c>
      <c r="AA904" s="43"/>
      <c r="AB904" s="295">
        <v>0.2001</v>
      </c>
      <c r="AC904" s="295">
        <v>0</v>
      </c>
      <c r="AD904" s="62">
        <v>5.4699999999999999E-2</v>
      </c>
      <c r="AE904" s="40"/>
      <c r="AF904" s="292"/>
      <c r="AG904" s="292"/>
      <c r="AH904" s="40">
        <f>Y904-Z904</f>
        <v>12749.150000000023</v>
      </c>
      <c r="AI904" s="66"/>
      <c r="AJ904" s="66"/>
      <c r="AK904" s="292">
        <v>17300.36</v>
      </c>
      <c r="AL904" s="40">
        <f>AH904-AK904</f>
        <v>-4551.2099999999773</v>
      </c>
      <c r="AM904" s="76">
        <f>IFERROR(EOMONTH(B904,0),"Pendente")</f>
        <v>45688</v>
      </c>
      <c r="AN904" s="76" t="str">
        <f>IF(AQ904="x","",IF(AQ904="x",AM904,IF(EOMONTH(I904,0)=31,"",EOMONTH(I904,0))))</f>
        <v/>
      </c>
      <c r="AO904" s="74">
        <f>IFERROR(IF(VLOOKUP(C904,C905:C1506,1,0)=0,1,0),1)</f>
        <v>1</v>
      </c>
      <c r="AP904" s="74"/>
      <c r="AQ904" s="77" t="str">
        <f>IF(MID(G904,1,15)="NAO ASSINADO","x","")</f>
        <v/>
      </c>
      <c r="AR904" s="76" t="b">
        <f>IF(AQ904="x",EOMONTH(I904,0))</f>
        <v>0</v>
      </c>
      <c r="AS904" s="74">
        <f>IF(AH904&lt;0,0,1)</f>
        <v>1</v>
      </c>
      <c r="AT904" s="74">
        <f>IF(AL904&lt;0,0,1)</f>
        <v>0</v>
      </c>
      <c r="AU904" s="74" t="str">
        <f>MID(E904,1,1)</f>
        <v>B</v>
      </c>
      <c r="AV904" s="74">
        <f>IF(AG904&lt;0,0,1)</f>
        <v>1</v>
      </c>
      <c r="AW904" s="74" t="str">
        <f>J904&amp;AU904</f>
        <v>4B</v>
      </c>
      <c r="AX904" s="74">
        <f>IF(COUNTIFS(J:J,"Integral",E:E,E904,H:H,"Ativo")=4,1/4,1/10)</f>
        <v>0.1</v>
      </c>
      <c r="AY904" s="74" t="s">
        <v>2133</v>
      </c>
      <c r="AZ904" s="79" t="b">
        <v>1</v>
      </c>
      <c r="BA904" s="32"/>
      <c r="BB904" s="60"/>
      <c r="BC904" s="33"/>
      <c r="BD904" s="34"/>
      <c r="BE904" s="33"/>
      <c r="BF904" s="56"/>
      <c r="BG904" s="56"/>
      <c r="BH904" s="386"/>
      <c r="BI904" s="33"/>
      <c r="BJ904" s="33"/>
      <c r="BK904" s="33"/>
      <c r="BL904" s="47"/>
      <c r="BM904" s="45"/>
      <c r="BN904" s="389"/>
      <c r="BO904" s="37"/>
      <c r="BP904" s="38"/>
      <c r="BQ904" s="50"/>
      <c r="BR904" s="260"/>
      <c r="BS904" s="260"/>
      <c r="BT904" s="260"/>
      <c r="BU904" s="43"/>
      <c r="BV904" s="295"/>
      <c r="BW904" s="62"/>
      <c r="BX904" s="292"/>
      <c r="BY904" s="40"/>
      <c r="BZ904" s="292"/>
      <c r="CA904" s="40"/>
      <c r="CB904" s="76"/>
      <c r="CC904" s="76"/>
      <c r="CD904" s="77"/>
      <c r="CE904" s="76"/>
      <c r="CF904" s="74"/>
      <c r="CG904" s="74"/>
      <c r="CH904" s="74"/>
      <c r="CI904" s="74"/>
      <c r="CJ904" s="74"/>
      <c r="CK904" s="74"/>
      <c r="CL904" s="74"/>
      <c r="CM904" s="74"/>
      <c r="CN904" s="74"/>
    </row>
    <row r="905" spans="1:92" ht="14.25" customHeight="1">
      <c r="A905" s="54">
        <v>937</v>
      </c>
      <c r="B905" s="405">
        <v>45684</v>
      </c>
      <c r="C905" s="351" t="s">
        <v>939</v>
      </c>
      <c r="D905" s="32" t="s">
        <v>2722</v>
      </c>
      <c r="E905" s="32" t="s">
        <v>2723</v>
      </c>
      <c r="F905" s="32" t="s">
        <v>2724</v>
      </c>
      <c r="G905" s="60" t="s">
        <v>220</v>
      </c>
      <c r="H905" s="33" t="s">
        <v>90</v>
      </c>
      <c r="I905" s="34"/>
      <c r="J905" s="33">
        <v>6</v>
      </c>
      <c r="K905" s="35" t="s">
        <v>1101</v>
      </c>
      <c r="L905" s="35" t="s">
        <v>1101</v>
      </c>
      <c r="M905" s="67" t="s">
        <v>981</v>
      </c>
      <c r="N905" s="33" t="s">
        <v>68</v>
      </c>
      <c r="O905" s="33" t="s">
        <v>12</v>
      </c>
      <c r="P905" s="33" t="s">
        <v>2</v>
      </c>
      <c r="Q905" s="47" t="s">
        <v>99</v>
      </c>
      <c r="R905" s="47"/>
      <c r="S905" s="45" t="s">
        <v>147</v>
      </c>
      <c r="T905" s="392">
        <v>3</v>
      </c>
      <c r="U905" s="37">
        <v>44990</v>
      </c>
      <c r="V905" s="38">
        <f>B905</f>
        <v>45684</v>
      </c>
      <c r="W905" s="50">
        <f>V905-U905</f>
        <v>694</v>
      </c>
      <c r="X905" s="260">
        <v>407681.85</v>
      </c>
      <c r="Y905" s="260">
        <v>407681.85</v>
      </c>
      <c r="Z905" s="260">
        <v>395000</v>
      </c>
      <c r="AA905" s="43"/>
      <c r="AB905" s="295">
        <v>0.18990000000000001</v>
      </c>
      <c r="AC905" s="295">
        <v>0</v>
      </c>
      <c r="AD905" s="62">
        <v>4.1399999999999999E-2</v>
      </c>
      <c r="AE905" s="40"/>
      <c r="AF905" s="292"/>
      <c r="AG905" s="292"/>
      <c r="AH905" s="40">
        <f>Y905-Z905</f>
        <v>12681.849999999977</v>
      </c>
      <c r="AI905" s="66"/>
      <c r="AJ905" s="66"/>
      <c r="AK905" s="292">
        <v>13636.32</v>
      </c>
      <c r="AL905" s="40">
        <f>AH905-AK905</f>
        <v>-954.47000000002299</v>
      </c>
      <c r="AM905" s="242">
        <f>IFERROR(EOMONTH(B905,0),"Pendente")</f>
        <v>45688</v>
      </c>
      <c r="AN905" s="242" t="str">
        <f>IF(AQ905="x","",IF(AQ905="x",AM905,IF(EOMONTH(I905,0)=31,"",EOMONTH(I905,0))))</f>
        <v/>
      </c>
      <c r="AO905" s="79">
        <f>IFERROR(IF(VLOOKUP(C905,C906:C1507,1,0)=0,1,0),1)</f>
        <v>0</v>
      </c>
      <c r="AP905" s="79"/>
      <c r="AQ905" s="243" t="str">
        <f>IF(MID(G905,1,15)="NAO ASSINADO","x","")</f>
        <v/>
      </c>
      <c r="AR905" s="242" t="b">
        <f>IF(AQ905="x",EOMONTH(I905,0))</f>
        <v>0</v>
      </c>
      <c r="AS905" s="79">
        <f>IF(AH905&lt;0,0,1)</f>
        <v>1</v>
      </c>
      <c r="AT905" s="79">
        <f>IF(AL905&lt;0,0,1)</f>
        <v>0</v>
      </c>
      <c r="AU905" s="79" t="str">
        <f>MID(E905,1,1)</f>
        <v>B</v>
      </c>
      <c r="AV905" s="79">
        <f>IF(AG905&lt;0,0,1)</f>
        <v>1</v>
      </c>
      <c r="AW905" s="79" t="str">
        <f>J905&amp;AU905</f>
        <v>6B</v>
      </c>
      <c r="AX905" s="79">
        <f>IF(COUNTIFS(J:J,"Integral",E:E,E905,H:H,"Ativo")=4,1/4,1/10)</f>
        <v>0.1</v>
      </c>
      <c r="AY905" s="79" t="s">
        <v>2133</v>
      </c>
      <c r="AZ905" s="79" t="b">
        <v>1</v>
      </c>
      <c r="BA905" s="32"/>
      <c r="BB905" s="60"/>
      <c r="BC905" s="33"/>
      <c r="BD905" s="34"/>
      <c r="BE905" s="33"/>
      <c r="BF905" s="56"/>
      <c r="BG905" s="56"/>
      <c r="BH905" s="386"/>
      <c r="BI905" s="33"/>
      <c r="BJ905" s="33"/>
      <c r="BK905" s="33"/>
      <c r="BL905" s="47"/>
      <c r="BM905" s="45"/>
      <c r="BN905" s="392"/>
      <c r="BO905" s="37"/>
      <c r="BP905" s="38"/>
      <c r="BQ905" s="50"/>
      <c r="BR905" s="260"/>
      <c r="BS905" s="260"/>
      <c r="BT905" s="260"/>
      <c r="BU905" s="43"/>
      <c r="BV905" s="295"/>
      <c r="BW905" s="62"/>
      <c r="BX905" s="292"/>
      <c r="BY905" s="40"/>
      <c r="BZ905" s="292"/>
      <c r="CA905" s="40"/>
      <c r="CB905" s="76"/>
      <c r="CC905" s="76"/>
      <c r="CD905" s="77"/>
      <c r="CE905" s="76"/>
      <c r="CF905" s="74"/>
      <c r="CG905" s="74"/>
      <c r="CH905" s="74"/>
      <c r="CI905" s="74"/>
      <c r="CJ905" s="74"/>
      <c r="CK905" s="74"/>
      <c r="CL905" s="74"/>
      <c r="CM905" s="74"/>
      <c r="CN905" s="74"/>
    </row>
    <row r="906" spans="1:92" ht="16.5" customHeight="1">
      <c r="A906" s="54">
        <v>938</v>
      </c>
      <c r="B906" s="405">
        <v>45684</v>
      </c>
      <c r="C906" s="351" t="s">
        <v>939</v>
      </c>
      <c r="D906" s="32" t="s">
        <v>2725</v>
      </c>
      <c r="E906" s="32" t="s">
        <v>2723</v>
      </c>
      <c r="F906" s="32" t="s">
        <v>2726</v>
      </c>
      <c r="G906" s="60" t="s">
        <v>220</v>
      </c>
      <c r="H906" s="33" t="s">
        <v>90</v>
      </c>
      <c r="I906" s="34"/>
      <c r="J906" s="33">
        <v>6</v>
      </c>
      <c r="K906" s="35" t="s">
        <v>1101</v>
      </c>
      <c r="L906" s="35" t="s">
        <v>1101</v>
      </c>
      <c r="M906" s="67" t="s">
        <v>981</v>
      </c>
      <c r="N906" s="33" t="s">
        <v>68</v>
      </c>
      <c r="O906" s="33" t="s">
        <v>12</v>
      </c>
      <c r="P906" s="33" t="s">
        <v>2</v>
      </c>
      <c r="Q906" s="47" t="s">
        <v>99</v>
      </c>
      <c r="R906" s="47"/>
      <c r="S906" s="45" t="s">
        <v>147</v>
      </c>
      <c r="T906" s="392">
        <v>3</v>
      </c>
      <c r="U906" s="37">
        <v>44990</v>
      </c>
      <c r="V906" s="38">
        <f>B906</f>
        <v>45684</v>
      </c>
      <c r="W906" s="50">
        <f>V906-U906</f>
        <v>694</v>
      </c>
      <c r="X906" s="260">
        <v>407681.86</v>
      </c>
      <c r="Y906" s="260">
        <v>407681.86</v>
      </c>
      <c r="Z906" s="260">
        <v>395000</v>
      </c>
      <c r="AA906" s="43"/>
      <c r="AB906" s="295">
        <v>0.18990000000000001</v>
      </c>
      <c r="AC906" s="295">
        <v>0</v>
      </c>
      <c r="AD906" s="62">
        <v>4.1399999999999999E-2</v>
      </c>
      <c r="AE906" s="40"/>
      <c r="AF906" s="292"/>
      <c r="AG906" s="292"/>
      <c r="AH906" s="40">
        <f>Y906-Z906</f>
        <v>12681.859999999986</v>
      </c>
      <c r="AI906" s="66"/>
      <c r="AJ906" s="66"/>
      <c r="AK906" s="292">
        <v>13636.32</v>
      </c>
      <c r="AL906" s="40">
        <f>AH906-AK906</f>
        <v>-954.46000000001368</v>
      </c>
      <c r="AM906" s="76">
        <f>IFERROR(EOMONTH(B906,0),"Pendente")</f>
        <v>45688</v>
      </c>
      <c r="AN906" s="76" t="str">
        <f>IF(AQ906="x","",IF(AQ906="x",AM906,IF(EOMONTH(I906,0)=31,"",EOMONTH(I906,0))))</f>
        <v/>
      </c>
      <c r="AO906" s="74">
        <f>IFERROR(IF(VLOOKUP(C906,C907:C1508,1,0)=0,1,0),1)</f>
        <v>1</v>
      </c>
      <c r="AP906" s="74"/>
      <c r="AQ906" s="77" t="str">
        <f>IF(MID(G906,1,15)="NAO ASSINADO","x","")</f>
        <v/>
      </c>
      <c r="AR906" s="76" t="b">
        <f>IF(AQ906="x",EOMONTH(I906,0))</f>
        <v>0</v>
      </c>
      <c r="AS906" s="74">
        <f>IF(AH906&lt;0,0,1)</f>
        <v>1</v>
      </c>
      <c r="AT906" s="74">
        <f>IF(AL906&lt;0,0,1)</f>
        <v>0</v>
      </c>
      <c r="AU906" s="74" t="str">
        <f>MID(E906,1,1)</f>
        <v>B</v>
      </c>
      <c r="AV906" s="74">
        <f>IF(AG906&lt;0,0,1)</f>
        <v>1</v>
      </c>
      <c r="AW906" s="74" t="str">
        <f>J906&amp;AU906</f>
        <v>6B</v>
      </c>
      <c r="AX906" s="74">
        <f>IF(COUNTIFS(J:J,"Integral",E:E,E906,H:H,"Ativo")=4,1/4,1/10)</f>
        <v>0.1</v>
      </c>
      <c r="AY906" s="74" t="s">
        <v>2133</v>
      </c>
      <c r="AZ906" s="79" t="b">
        <v>1</v>
      </c>
      <c r="BA906" s="32"/>
      <c r="BB906" s="60"/>
      <c r="BC906" s="33"/>
      <c r="BD906" s="34"/>
      <c r="BE906" s="33"/>
      <c r="BF906" s="56"/>
      <c r="BG906" s="56"/>
      <c r="BH906" s="386"/>
      <c r="BI906" s="33"/>
      <c r="BJ906" s="33"/>
      <c r="BK906" s="33"/>
      <c r="BL906" s="47"/>
      <c r="BM906" s="45"/>
      <c r="BN906" s="392"/>
      <c r="BO906" s="37"/>
      <c r="BP906" s="38"/>
      <c r="BQ906" s="50"/>
      <c r="BR906" s="260"/>
      <c r="BS906" s="260"/>
      <c r="BT906" s="260"/>
      <c r="BU906" s="43"/>
      <c r="BV906" s="295"/>
      <c r="BW906" s="62"/>
      <c r="BX906" s="292"/>
      <c r="BY906" s="40"/>
      <c r="BZ906" s="292"/>
      <c r="CA906" s="40"/>
      <c r="CB906" s="76"/>
      <c r="CC906" s="76"/>
      <c r="CD906" s="77"/>
      <c r="CE906" s="76"/>
      <c r="CF906" s="74"/>
      <c r="CG906" s="74"/>
      <c r="CH906" s="74"/>
      <c r="CI906" s="74"/>
      <c r="CJ906" s="74"/>
      <c r="CK906" s="74"/>
      <c r="CL906" s="74"/>
      <c r="CM906" s="74"/>
      <c r="CN906" s="74"/>
    </row>
    <row r="907" spans="1:92" ht="15" customHeight="1">
      <c r="A907" s="54">
        <v>939</v>
      </c>
      <c r="B907" s="405">
        <v>45685</v>
      </c>
      <c r="C907" s="351" t="s">
        <v>2727</v>
      </c>
      <c r="D907" s="32" t="s">
        <v>2728</v>
      </c>
      <c r="E907" s="32" t="s">
        <v>2685</v>
      </c>
      <c r="F907" s="32" t="s">
        <v>2729</v>
      </c>
      <c r="G907" s="60" t="s">
        <v>220</v>
      </c>
      <c r="H907" s="33" t="s">
        <v>90</v>
      </c>
      <c r="I907" s="34"/>
      <c r="J907" s="33">
        <v>6</v>
      </c>
      <c r="K907" s="56" t="s">
        <v>1154</v>
      </c>
      <c r="L907" s="56" t="s">
        <v>1154</v>
      </c>
      <c r="M907" s="386" t="s">
        <v>246</v>
      </c>
      <c r="N907" s="33" t="s">
        <v>68</v>
      </c>
      <c r="O907" s="33" t="s">
        <v>12</v>
      </c>
      <c r="P907" s="33" t="s">
        <v>2</v>
      </c>
      <c r="Q907" s="387" t="s">
        <v>103</v>
      </c>
      <c r="R907" s="387"/>
      <c r="S907" s="45" t="s">
        <v>147</v>
      </c>
      <c r="T907" s="392">
        <v>1</v>
      </c>
      <c r="U907" s="37">
        <v>45685</v>
      </c>
      <c r="V907" s="38">
        <f>B907</f>
        <v>45685</v>
      </c>
      <c r="W907" s="50">
        <f>V907-U907</f>
        <v>0</v>
      </c>
      <c r="X907" s="260">
        <v>407681.85</v>
      </c>
      <c r="Y907" s="260">
        <v>407681.85</v>
      </c>
      <c r="Z907" s="260">
        <v>379000</v>
      </c>
      <c r="AA907" s="43"/>
      <c r="AB907" s="295">
        <v>0.2084</v>
      </c>
      <c r="AC907" s="295">
        <v>0</v>
      </c>
      <c r="AD907" s="62">
        <v>2.3699999999999999E-2</v>
      </c>
      <c r="AE907" s="40"/>
      <c r="AF907" s="292"/>
      <c r="AG907" s="292"/>
      <c r="AH907" s="40">
        <f>Y907-Z907</f>
        <v>28681.849999999977</v>
      </c>
      <c r="AI907" s="66"/>
      <c r="AJ907" s="66"/>
      <c r="AK907" s="292">
        <v>7815.72</v>
      </c>
      <c r="AL907" s="40">
        <f>AH907-AK907</f>
        <v>20866.129999999976</v>
      </c>
      <c r="AM907" s="76">
        <f>IFERROR(EOMONTH(B907,0),"Pendente")</f>
        <v>45688</v>
      </c>
      <c r="AN907" s="76" t="str">
        <f>IF(AQ907="x","",IF(AQ907="x",AM907,IF(EOMONTH(I907,0)=31,"",EOMONTH(I907,0))))</f>
        <v/>
      </c>
      <c r="AO907" s="74">
        <f>IFERROR(IF(VLOOKUP(C907,C908:C1509,1,0)=0,1,0),1)</f>
        <v>0</v>
      </c>
      <c r="AP907" s="74"/>
      <c r="AQ907" s="77" t="str">
        <f>IF(MID(G907,1,15)="NAO ASSINADO","x","")</f>
        <v/>
      </c>
      <c r="AR907" s="76" t="b">
        <f>IF(AQ907="x",EOMONTH(I907,0))</f>
        <v>0</v>
      </c>
      <c r="AS907" s="74">
        <f>IF(AH907&lt;0,0,1)</f>
        <v>1</v>
      </c>
      <c r="AT907" s="74">
        <f>IF(AL907&lt;0,0,1)</f>
        <v>1</v>
      </c>
      <c r="AU907" s="74" t="str">
        <f>MID(E907,1,1)</f>
        <v>B</v>
      </c>
      <c r="AV907" s="74">
        <f>IF(AG907&lt;0,0,1)</f>
        <v>1</v>
      </c>
      <c r="AW907" s="74" t="str">
        <f>J907&amp;AU907</f>
        <v>6B</v>
      </c>
      <c r="AX907" s="74">
        <f>IF(COUNTIFS(J:J,"Integral",E:E,E907,H:H,"Ativo")=4,1/4,1/10)</f>
        <v>0.1</v>
      </c>
      <c r="AY907" s="74" t="s">
        <v>1332</v>
      </c>
      <c r="AZ907" s="79" t="b">
        <v>1</v>
      </c>
      <c r="BA907" s="32"/>
      <c r="BB907" s="60"/>
      <c r="BC907" s="33"/>
      <c r="BD907" s="34"/>
      <c r="BE907" s="33"/>
      <c r="BF907" s="56"/>
      <c r="BG907" s="56"/>
      <c r="BH907" s="386"/>
      <c r="BI907" s="33"/>
      <c r="BJ907" s="33"/>
      <c r="BK907" s="33"/>
      <c r="BL907" s="47"/>
      <c r="BM907" s="45"/>
      <c r="BN907" s="392"/>
      <c r="BO907" s="37"/>
      <c r="BP907" s="38"/>
      <c r="BQ907" s="50"/>
      <c r="BR907" s="260"/>
      <c r="BS907" s="260"/>
      <c r="BT907" s="260"/>
      <c r="BU907" s="43"/>
      <c r="BV907" s="295"/>
      <c r="BW907" s="62"/>
      <c r="BX907" s="292"/>
      <c r="BY907" s="40"/>
      <c r="BZ907" s="292"/>
      <c r="CA907" s="40"/>
      <c r="CB907" s="76"/>
      <c r="CC907" s="76"/>
      <c r="CD907" s="77"/>
      <c r="CE907" s="76"/>
      <c r="CF907" s="74"/>
      <c r="CG907" s="74"/>
      <c r="CH907" s="74"/>
      <c r="CI907" s="74"/>
      <c r="CJ907" s="74"/>
      <c r="CK907" s="74"/>
      <c r="CL907" s="74"/>
      <c r="CM907" s="74"/>
      <c r="CN907" s="74"/>
    </row>
    <row r="908" spans="1:92" ht="15" customHeight="1">
      <c r="A908" s="54">
        <v>940</v>
      </c>
      <c r="B908" s="405">
        <v>45685</v>
      </c>
      <c r="C908" s="351" t="s">
        <v>2727</v>
      </c>
      <c r="D908" s="32" t="s">
        <v>2730</v>
      </c>
      <c r="E908" s="32" t="s">
        <v>2685</v>
      </c>
      <c r="F908" s="32" t="s">
        <v>2731</v>
      </c>
      <c r="G908" s="60" t="s">
        <v>220</v>
      </c>
      <c r="H908" s="33" t="s">
        <v>90</v>
      </c>
      <c r="I908" s="34"/>
      <c r="J908" s="33">
        <v>6</v>
      </c>
      <c r="K908" s="35" t="s">
        <v>1724</v>
      </c>
      <c r="L908" s="35" t="s">
        <v>1724</v>
      </c>
      <c r="M908" s="67" t="s">
        <v>981</v>
      </c>
      <c r="N908" s="33" t="s">
        <v>68</v>
      </c>
      <c r="O908" s="33" t="s">
        <v>12</v>
      </c>
      <c r="P908" s="33" t="s">
        <v>2</v>
      </c>
      <c r="Q908" s="387" t="s">
        <v>103</v>
      </c>
      <c r="R908" s="387"/>
      <c r="S908" s="45" t="s">
        <v>147</v>
      </c>
      <c r="T908" s="392">
        <v>1</v>
      </c>
      <c r="U908" s="37">
        <v>45685</v>
      </c>
      <c r="V908" s="38">
        <f>B908</f>
        <v>45685</v>
      </c>
      <c r="W908" s="50">
        <f>V908-U908</f>
        <v>0</v>
      </c>
      <c r="X908" s="260">
        <v>407681.86</v>
      </c>
      <c r="Y908" s="260">
        <v>407681.86</v>
      </c>
      <c r="Z908" s="260">
        <v>379000</v>
      </c>
      <c r="AA908" s="43"/>
      <c r="AB908" s="295">
        <v>0.2084</v>
      </c>
      <c r="AC908" s="295">
        <v>0</v>
      </c>
      <c r="AD908" s="62">
        <v>2.3699999999999999E-2</v>
      </c>
      <c r="AE908" s="40"/>
      <c r="AF908" s="292"/>
      <c r="AG908" s="292"/>
      <c r="AH908" s="40">
        <f>Y908-Z908</f>
        <v>28681.859999999986</v>
      </c>
      <c r="AI908" s="66"/>
      <c r="AJ908" s="66"/>
      <c r="AK908" s="292">
        <v>7815.71</v>
      </c>
      <c r="AL908" s="40">
        <f>AH908-AK908</f>
        <v>20866.149999999987</v>
      </c>
      <c r="AM908" s="76">
        <f>IFERROR(EOMONTH(B908,0),"Pendente")</f>
        <v>45688</v>
      </c>
      <c r="AN908" s="76" t="str">
        <f>IF(AQ908="x","",IF(AQ908="x",AM908,IF(EOMONTH(I908,0)=31,"",EOMONTH(I908,0))))</f>
        <v/>
      </c>
      <c r="AO908" s="74">
        <f>IFERROR(IF(VLOOKUP(C908,C909:C1510,1,0)=0,1,0),1)</f>
        <v>1</v>
      </c>
      <c r="AP908" s="74"/>
      <c r="AQ908" s="77" t="str">
        <f>IF(MID(G908,1,15)="NAO ASSINADO","x","")</f>
        <v/>
      </c>
      <c r="AR908" s="76" t="b">
        <f>IF(AQ908="x",EOMONTH(I908,0))</f>
        <v>0</v>
      </c>
      <c r="AS908" s="74">
        <f>IF(AH908&lt;0,0,1)</f>
        <v>1</v>
      </c>
      <c r="AT908" s="74">
        <f>IF(AL908&lt;0,0,1)</f>
        <v>1</v>
      </c>
      <c r="AU908" s="74" t="str">
        <f>MID(E908,1,1)</f>
        <v>B</v>
      </c>
      <c r="AV908" s="74">
        <f>IF(AG908&lt;0,0,1)</f>
        <v>1</v>
      </c>
      <c r="AW908" s="74" t="str">
        <f>J908&amp;AU908</f>
        <v>6B</v>
      </c>
      <c r="AX908" s="74">
        <f>IF(COUNTIFS(J:J,"Integral",E:E,E908,H:H,"Ativo")=4,1/4,1/10)</f>
        <v>0.1</v>
      </c>
      <c r="AY908" s="74" t="s">
        <v>1332</v>
      </c>
      <c r="AZ908" s="79" t="b">
        <v>1</v>
      </c>
      <c r="BA908" s="32"/>
      <c r="BB908" s="60"/>
      <c r="BC908" s="33"/>
      <c r="BD908" s="34"/>
      <c r="BE908" s="33"/>
      <c r="BF908" s="56"/>
      <c r="BG908" s="56"/>
      <c r="BH908" s="386"/>
      <c r="BI908" s="33"/>
      <c r="BJ908" s="33"/>
      <c r="BK908" s="33"/>
      <c r="BL908" s="47"/>
      <c r="BM908" s="45"/>
      <c r="BN908" s="392"/>
      <c r="BO908" s="37"/>
      <c r="BP908" s="38"/>
      <c r="BQ908" s="50"/>
      <c r="BR908" s="260"/>
      <c r="BS908" s="260"/>
      <c r="BT908" s="260"/>
      <c r="BU908" s="43"/>
      <c r="BV908" s="295"/>
      <c r="BW908" s="62"/>
      <c r="BX908" s="292"/>
      <c r="BY908" s="40"/>
      <c r="BZ908" s="292"/>
      <c r="CA908" s="40"/>
      <c r="CB908" s="76"/>
      <c r="CC908" s="76"/>
      <c r="CD908" s="77"/>
      <c r="CE908" s="76"/>
      <c r="CF908" s="74"/>
      <c r="CG908" s="74"/>
      <c r="CH908" s="74"/>
      <c r="CI908" s="74"/>
      <c r="CJ908" s="74"/>
      <c r="CK908" s="74"/>
      <c r="CL908" s="74"/>
      <c r="CM908" s="74"/>
      <c r="CN908" s="74"/>
    </row>
    <row r="909" spans="1:92" ht="15" customHeight="1">
      <c r="A909" s="54">
        <v>941</v>
      </c>
      <c r="B909" s="405">
        <v>45688</v>
      </c>
      <c r="C909" s="351" t="s">
        <v>2732</v>
      </c>
      <c r="D909" s="32" t="s">
        <v>2733</v>
      </c>
      <c r="E909" s="32" t="s">
        <v>2503</v>
      </c>
      <c r="F909" s="32" t="s">
        <v>2734</v>
      </c>
      <c r="G909" s="60" t="s">
        <v>220</v>
      </c>
      <c r="H909" s="33" t="s">
        <v>90</v>
      </c>
      <c r="I909" s="34"/>
      <c r="J909" s="33">
        <v>4</v>
      </c>
      <c r="K909" s="35" t="s">
        <v>1724</v>
      </c>
      <c r="L909" s="35" t="s">
        <v>1724</v>
      </c>
      <c r="M909" s="67" t="s">
        <v>981</v>
      </c>
      <c r="N909" s="33" t="s">
        <v>68</v>
      </c>
      <c r="O909" s="33" t="s">
        <v>10</v>
      </c>
      <c r="P909" s="33" t="s">
        <v>2</v>
      </c>
      <c r="Q909" s="47"/>
      <c r="R909" s="47"/>
      <c r="S909" s="45" t="s">
        <v>158</v>
      </c>
      <c r="T909" s="392">
        <v>1</v>
      </c>
      <c r="U909" s="37">
        <v>45676</v>
      </c>
      <c r="V909" s="38">
        <f>B909</f>
        <v>45688</v>
      </c>
      <c r="W909" s="50">
        <f>V909-U909</f>
        <v>12</v>
      </c>
      <c r="X909" s="260">
        <v>391589.15</v>
      </c>
      <c r="Y909" s="260">
        <v>391589.15</v>
      </c>
      <c r="Z909" s="260">
        <v>306000</v>
      </c>
      <c r="AA909" s="43"/>
      <c r="AB909" s="295">
        <v>1</v>
      </c>
      <c r="AC909" s="295">
        <v>0</v>
      </c>
      <c r="AD909" s="62">
        <v>4.1300000000000003E-2</v>
      </c>
      <c r="AE909" s="40"/>
      <c r="AF909" s="292"/>
      <c r="AG909" s="292"/>
      <c r="AH909" s="40">
        <f>Y909-Z909</f>
        <v>85589.150000000023</v>
      </c>
      <c r="AI909" s="66"/>
      <c r="AJ909" s="66"/>
      <c r="AK909" s="292">
        <v>13061.69</v>
      </c>
      <c r="AL909" s="40">
        <f>AH909-AK909</f>
        <v>72527.460000000021</v>
      </c>
      <c r="AM909" s="242">
        <f>IFERROR(EOMONTH(B909,0),"Pendente")</f>
        <v>45688</v>
      </c>
      <c r="AN909" s="242" t="str">
        <f>IF(AQ909="x","",IF(AQ909="x",AM909,IF(EOMONTH(I909,0)=31,"",EOMONTH(I909,0))))</f>
        <v/>
      </c>
      <c r="AO909" s="79">
        <f>IFERROR(IF(VLOOKUP(C909,C910:C1511,1,0)=0,1,0),1)</f>
        <v>1</v>
      </c>
      <c r="AP909" s="79"/>
      <c r="AQ909" s="243" t="str">
        <f>IF(MID(G909,1,15)="NAO ASSINADO","x","")</f>
        <v/>
      </c>
      <c r="AR909" s="242" t="b">
        <f>IF(AQ909="x",EOMONTH(I909,0))</f>
        <v>0</v>
      </c>
      <c r="AS909" s="79">
        <f>IF(AH909&lt;0,0,1)</f>
        <v>1</v>
      </c>
      <c r="AT909" s="79">
        <f>IF(AL909&lt;0,0,1)</f>
        <v>1</v>
      </c>
      <c r="AU909" s="79" t="str">
        <f>MID(E909,1,1)</f>
        <v>B</v>
      </c>
      <c r="AV909" s="79">
        <f>IF(AG909&lt;0,0,1)</f>
        <v>1</v>
      </c>
      <c r="AW909" s="79" t="str">
        <f>J909&amp;AU909</f>
        <v>4B</v>
      </c>
      <c r="AX909" s="79">
        <f>IF(COUNTIFS(J:J,"Integral",E:E,E909,H:H,"Ativo")=4,1/4,1/10)</f>
        <v>0.1</v>
      </c>
      <c r="AY909" s="79" t="s">
        <v>2133</v>
      </c>
      <c r="AZ909" s="79" t="b">
        <v>1</v>
      </c>
      <c r="BA909" s="32"/>
      <c r="BB909" s="60"/>
      <c r="BC909" s="33"/>
      <c r="BD909" s="34"/>
      <c r="BE909" s="33"/>
      <c r="BF909" s="56"/>
      <c r="BG909" s="56"/>
      <c r="BH909" s="386"/>
      <c r="BI909" s="33"/>
      <c r="BJ909" s="33"/>
      <c r="BK909" s="33"/>
      <c r="BL909" s="47"/>
      <c r="BM909" s="45"/>
      <c r="BN909" s="392"/>
      <c r="BO909" s="37"/>
      <c r="BP909" s="38"/>
      <c r="BQ909" s="50"/>
      <c r="BR909" s="260"/>
      <c r="BS909" s="260"/>
      <c r="BT909" s="260"/>
      <c r="BU909" s="43"/>
      <c r="BV909" s="295"/>
      <c r="BW909" s="62"/>
      <c r="BX909" s="292"/>
      <c r="BY909" s="40"/>
      <c r="BZ909" s="292"/>
      <c r="CA909" s="40"/>
      <c r="CB909" s="76"/>
      <c r="CC909" s="76"/>
      <c r="CD909" s="77"/>
      <c r="CE909" s="76"/>
      <c r="CF909" s="74"/>
      <c r="CG909" s="74"/>
      <c r="CH909" s="74"/>
      <c r="CI909" s="74"/>
      <c r="CJ909" s="74"/>
      <c r="CK909" s="74"/>
      <c r="CL909" s="74"/>
      <c r="CM909" s="74"/>
      <c r="CN909" s="74"/>
    </row>
    <row r="910" spans="1:92" ht="15" customHeight="1">
      <c r="A910" s="54">
        <v>942</v>
      </c>
      <c r="B910" s="405">
        <v>45688</v>
      </c>
      <c r="C910" s="351" t="s">
        <v>2735</v>
      </c>
      <c r="D910" s="32" t="s">
        <v>2736</v>
      </c>
      <c r="E910" s="32" t="s">
        <v>2439</v>
      </c>
      <c r="F910" s="32" t="s">
        <v>2737</v>
      </c>
      <c r="G910" s="60" t="s">
        <v>220</v>
      </c>
      <c r="H910" s="33" t="s">
        <v>90</v>
      </c>
      <c r="I910" s="34"/>
      <c r="J910" s="33">
        <v>13</v>
      </c>
      <c r="K910" s="56" t="s">
        <v>1512</v>
      </c>
      <c r="L910" s="56" t="s">
        <v>1512</v>
      </c>
      <c r="M910" s="67" t="s">
        <v>981</v>
      </c>
      <c r="N910" s="33" t="s">
        <v>68</v>
      </c>
      <c r="O910" s="33" t="s">
        <v>12</v>
      </c>
      <c r="P910" s="33" t="s">
        <v>2</v>
      </c>
      <c r="Q910" s="47"/>
      <c r="R910" s="47"/>
      <c r="S910" s="45" t="s">
        <v>147</v>
      </c>
      <c r="T910" s="392">
        <v>1</v>
      </c>
      <c r="U910" s="37">
        <v>45669</v>
      </c>
      <c r="V910" s="38">
        <f>B910</f>
        <v>45688</v>
      </c>
      <c r="W910" s="50">
        <f>V910-U910</f>
        <v>19</v>
      </c>
      <c r="X910" s="260">
        <v>1042046.75</v>
      </c>
      <c r="Y910" s="260">
        <v>1097275.23</v>
      </c>
      <c r="Z910" s="260">
        <v>998000</v>
      </c>
      <c r="AA910" s="43"/>
      <c r="AB910" s="295">
        <v>0.2</v>
      </c>
      <c r="AC910" s="295">
        <v>0</v>
      </c>
      <c r="AD910" s="62">
        <v>0.1004</v>
      </c>
      <c r="AE910" s="40"/>
      <c r="AF910" s="292"/>
      <c r="AG910" s="292"/>
      <c r="AH910" s="40">
        <f>Y910-Z910</f>
        <v>99275.229999999981</v>
      </c>
      <c r="AI910" s="66"/>
      <c r="AJ910" s="66"/>
      <c r="AK910" s="292">
        <v>44352.11</v>
      </c>
      <c r="AL910" s="40">
        <f>AH910-AK910</f>
        <v>54923.119999999981</v>
      </c>
      <c r="AM910" s="76">
        <f>IFERROR(EOMONTH(B910,0),"Pendente")</f>
        <v>45688</v>
      </c>
      <c r="AN910" s="76" t="str">
        <f>IF(AQ910="x","",IF(AQ910="x",AM910,IF(EOMONTH(I910,0)=31,"",EOMONTH(I910,0))))</f>
        <v/>
      </c>
      <c r="AO910" s="74">
        <f>IFERROR(IF(VLOOKUP(C910,C911:C1512,1,0)=0,1,0),1)</f>
        <v>1</v>
      </c>
      <c r="AP910" s="74"/>
      <c r="AQ910" s="77" t="str">
        <f>IF(MID(G910,1,15)="NAO ASSINADO","x","")</f>
        <v/>
      </c>
      <c r="AR910" s="76" t="b">
        <f>IF(AQ910="x",EOMONTH(I910,0))</f>
        <v>0</v>
      </c>
      <c r="AS910" s="74">
        <f>IF(AH910&lt;0,0,1)</f>
        <v>1</v>
      </c>
      <c r="AT910" s="74">
        <f>IF(AL910&lt;0,0,1)</f>
        <v>1</v>
      </c>
      <c r="AU910" s="74" t="str">
        <f>MID(E910,1,1)</f>
        <v>C</v>
      </c>
      <c r="AV910" s="74">
        <f>IF(AG910&lt;0,0,1)</f>
        <v>1</v>
      </c>
      <c r="AW910" s="74" t="str">
        <f>J910&amp;AU910</f>
        <v>13C</v>
      </c>
      <c r="AX910" s="74">
        <f>IF(COUNTIFS(J:J,"Integral",E:E,E910,H:H,"Ativo")=4,1/4,1/10)</f>
        <v>0.1</v>
      </c>
      <c r="AY910" s="74" t="s">
        <v>2133</v>
      </c>
      <c r="AZ910" s="79" t="b">
        <v>1</v>
      </c>
      <c r="BA910" s="32"/>
      <c r="BB910" s="60"/>
      <c r="BC910" s="33"/>
      <c r="BD910" s="34"/>
      <c r="BE910" s="33"/>
      <c r="BF910" s="56"/>
      <c r="BG910" s="56"/>
      <c r="BH910" s="386"/>
      <c r="BI910" s="33"/>
      <c r="BJ910" s="33"/>
      <c r="BK910" s="33"/>
      <c r="BL910" s="47"/>
      <c r="BM910" s="45"/>
      <c r="BN910" s="392"/>
      <c r="BO910" s="37"/>
      <c r="BP910" s="38"/>
      <c r="BQ910" s="50"/>
      <c r="BR910" s="260"/>
      <c r="BS910" s="260"/>
      <c r="BT910" s="260"/>
      <c r="BU910" s="43"/>
      <c r="BV910" s="295"/>
      <c r="BW910" s="62"/>
      <c r="BX910" s="292"/>
      <c r="BY910" s="40"/>
      <c r="BZ910" s="292"/>
      <c r="CA910" s="40"/>
      <c r="CB910" s="76"/>
      <c r="CC910" s="76"/>
      <c r="CD910" s="77"/>
      <c r="CE910" s="76"/>
      <c r="CF910" s="74"/>
      <c r="CG910" s="74"/>
      <c r="CH910" s="74"/>
      <c r="CI910" s="74"/>
      <c r="CJ910" s="74"/>
      <c r="CK910" s="74"/>
      <c r="CL910" s="74"/>
      <c r="CM910" s="74"/>
      <c r="CN910" s="74"/>
    </row>
    <row r="911" spans="1:92" ht="15" customHeight="1">
      <c r="A911" s="54">
        <v>943</v>
      </c>
      <c r="B911" s="405">
        <v>45693</v>
      </c>
      <c r="C911" s="351" t="s">
        <v>2738</v>
      </c>
      <c r="D911" s="32" t="s">
        <v>2739</v>
      </c>
      <c r="E911" s="32" t="s">
        <v>2137</v>
      </c>
      <c r="F911" s="32" t="s">
        <v>2740</v>
      </c>
      <c r="G911" s="60" t="s">
        <v>220</v>
      </c>
      <c r="H911" s="33" t="s">
        <v>90</v>
      </c>
      <c r="I911" s="34"/>
      <c r="J911" s="33">
        <v>6</v>
      </c>
      <c r="K911" s="56" t="s">
        <v>1891</v>
      </c>
      <c r="L911" s="56" t="s">
        <v>1891</v>
      </c>
      <c r="M911" s="67" t="s">
        <v>981</v>
      </c>
      <c r="N911" s="33" t="s">
        <v>68</v>
      </c>
      <c r="O911" s="33" t="s">
        <v>12</v>
      </c>
      <c r="P911" s="33" t="s">
        <v>2</v>
      </c>
      <c r="Q911" s="47"/>
      <c r="R911" s="47" t="s">
        <v>2741</v>
      </c>
      <c r="S911" s="45" t="s">
        <v>147</v>
      </c>
      <c r="T911" s="392">
        <v>17</v>
      </c>
      <c r="U911" s="37">
        <v>45551</v>
      </c>
      <c r="V911" s="38">
        <f>B911</f>
        <v>45693</v>
      </c>
      <c r="W911" s="50">
        <f>V911-U911</f>
        <v>142</v>
      </c>
      <c r="X911" s="260">
        <v>410576.39</v>
      </c>
      <c r="Y911" s="260">
        <v>410576.39</v>
      </c>
      <c r="Z911" s="260">
        <v>410576.54</v>
      </c>
      <c r="AA911" s="43"/>
      <c r="AB911" s="295">
        <v>0.2</v>
      </c>
      <c r="AC911" s="295">
        <v>0</v>
      </c>
      <c r="AD911" s="62">
        <v>8.8000000000000005E-3</v>
      </c>
      <c r="AE911" s="40"/>
      <c r="AF911" s="292"/>
      <c r="AG911" s="292"/>
      <c r="AH911" s="40">
        <f>Y911-Z911</f>
        <v>-0.1499999999650754</v>
      </c>
      <c r="AI911" s="66"/>
      <c r="AJ911" s="66"/>
      <c r="AK911" s="292">
        <v>2930.3</v>
      </c>
      <c r="AL911" s="40">
        <f>AH911-AK911</f>
        <v>-2930.4499999999653</v>
      </c>
      <c r="AM911" s="76">
        <f>IFERROR(EOMONTH(B911,0),"Pendente")</f>
        <v>45716</v>
      </c>
      <c r="AN911" s="76" t="str">
        <f>IF(AQ911="x","",IF(AQ911="x",AM911,IF(EOMONTH(I911,0)=31,"",EOMONTH(I911,0))))</f>
        <v/>
      </c>
      <c r="AO911" s="74">
        <f>IFERROR(IF(VLOOKUP(C911,C912:C1513,1,0)=0,1,0),1)</f>
        <v>1</v>
      </c>
      <c r="AP911" s="74"/>
      <c r="AQ911" s="77" t="str">
        <f>IF(MID(G911,1,15)="NAO ASSINADO","x","")</f>
        <v/>
      </c>
      <c r="AR911" s="76" t="b">
        <f>IF(AQ911="x",EOMONTH(I911,0))</f>
        <v>0</v>
      </c>
      <c r="AS911" s="74">
        <f>IF(AH911&lt;0,0,1)</f>
        <v>0</v>
      </c>
      <c r="AT911" s="74">
        <f>IF(AL911&lt;0,0,1)</f>
        <v>0</v>
      </c>
      <c r="AU911" s="74" t="str">
        <f>MID(E911,1,1)</f>
        <v>B</v>
      </c>
      <c r="AV911" s="74">
        <f>IF(AG911&lt;0,0,1)</f>
        <v>1</v>
      </c>
      <c r="AW911" s="74" t="str">
        <f>J911&amp;AU911</f>
        <v>6B</v>
      </c>
      <c r="AX911" s="74">
        <f>IF(COUNTIFS(J:J,"Integral",E:E,E911,H:H,"Ativo")=4,1/4,1/10)</f>
        <v>0.1</v>
      </c>
      <c r="AY911" s="74" t="s">
        <v>2133</v>
      </c>
      <c r="AZ911" s="79" t="b">
        <v>1</v>
      </c>
      <c r="BA911" s="32"/>
      <c r="BB911" s="60"/>
      <c r="BC911" s="33"/>
      <c r="BD911" s="34"/>
      <c r="BE911" s="33"/>
      <c r="BF911" s="56"/>
      <c r="BG911" s="56"/>
      <c r="BH911" s="386"/>
      <c r="BI911" s="33"/>
      <c r="BJ911" s="33"/>
      <c r="BK911" s="33"/>
      <c r="BL911" s="47"/>
      <c r="BM911" s="45"/>
      <c r="BN911" s="392"/>
      <c r="BO911" s="37"/>
      <c r="BP911" s="38"/>
      <c r="BQ911" s="50"/>
      <c r="BR911" s="260"/>
      <c r="BS911" s="260"/>
      <c r="BT911" s="260"/>
      <c r="BU911" s="43"/>
      <c r="BV911" s="295"/>
      <c r="BW911" s="62"/>
      <c r="BX911" s="292"/>
      <c r="BY911" s="40"/>
      <c r="BZ911" s="292"/>
      <c r="CA911" s="40"/>
      <c r="CB911" s="76"/>
      <c r="CC911" s="76"/>
      <c r="CD911" s="77"/>
      <c r="CE911" s="76"/>
      <c r="CF911" s="74"/>
      <c r="CG911" s="74"/>
      <c r="CH911" s="74"/>
      <c r="CI911" s="74"/>
      <c r="CJ911" s="74"/>
      <c r="CK911" s="74"/>
      <c r="CL911" s="74"/>
      <c r="CM911" s="74"/>
      <c r="CN911" s="74"/>
    </row>
    <row r="912" spans="1:92" ht="15" customHeight="1">
      <c r="A912" s="54">
        <v>944</v>
      </c>
      <c r="B912" s="405">
        <v>45696</v>
      </c>
      <c r="C912" s="351" t="s">
        <v>2742</v>
      </c>
      <c r="D912" s="32" t="s">
        <v>683</v>
      </c>
      <c r="E912" s="32" t="s">
        <v>684</v>
      </c>
      <c r="F912" s="32" t="s">
        <v>2743</v>
      </c>
      <c r="G912" s="60" t="s">
        <v>220</v>
      </c>
      <c r="H912" s="33" t="s">
        <v>90</v>
      </c>
      <c r="I912" s="34"/>
      <c r="J912" s="33">
        <v>13</v>
      </c>
      <c r="K912" s="56" t="s">
        <v>2372</v>
      </c>
      <c r="L912" s="56" t="s">
        <v>2372</v>
      </c>
      <c r="M912" s="386" t="s">
        <v>246</v>
      </c>
      <c r="N912" s="33" t="s">
        <v>68</v>
      </c>
      <c r="O912" s="33" t="s">
        <v>11</v>
      </c>
      <c r="P912" s="33" t="s">
        <v>86</v>
      </c>
      <c r="Q912" s="47" t="s">
        <v>100</v>
      </c>
      <c r="R912" s="47" t="s">
        <v>2744</v>
      </c>
      <c r="S912" s="45" t="s">
        <v>143</v>
      </c>
      <c r="T912" s="392">
        <v>4</v>
      </c>
      <c r="U912" s="37">
        <v>45680</v>
      </c>
      <c r="V912" s="38">
        <f>B912</f>
        <v>45696</v>
      </c>
      <c r="W912" s="50">
        <f>V912-U912</f>
        <v>16</v>
      </c>
      <c r="X912" s="260">
        <v>837359.75</v>
      </c>
      <c r="Y912" s="260">
        <v>837359.75</v>
      </c>
      <c r="Z912" s="260">
        <v>735000</v>
      </c>
      <c r="AA912" s="43"/>
      <c r="AB912" s="295">
        <v>0.27210000000000001</v>
      </c>
      <c r="AC912" s="295">
        <v>0</v>
      </c>
      <c r="AD912" s="62">
        <v>-2.2000000000000001E-3</v>
      </c>
      <c r="AE912" s="40"/>
      <c r="AF912" s="292"/>
      <c r="AG912" s="292">
        <v>1458.89</v>
      </c>
      <c r="AH912" s="40">
        <f>Y912-Z912</f>
        <v>102359.75</v>
      </c>
      <c r="AI912" s="66"/>
      <c r="AJ912" s="66"/>
      <c r="AK912" s="292"/>
      <c r="AL912" s="40">
        <f>AH912-AK912</f>
        <v>102359.75</v>
      </c>
      <c r="AM912" s="76">
        <f t="shared" ref="AM912" si="168">IFERROR(EOMONTH(B912,0),"Pendente")</f>
        <v>45716</v>
      </c>
      <c r="AN912" s="76" t="str">
        <f>IF(AQ912="x","",IF(AQ912="x",AM912,IF(EOMONTH(I912,0)=31,"",EOMONTH(I912,0))))</f>
        <v/>
      </c>
      <c r="AO912" s="74">
        <f>IFERROR(IF(VLOOKUP(C912,C913:C1514,1,0)=0,1,0),1)</f>
        <v>1</v>
      </c>
      <c r="AP912" s="74"/>
      <c r="AQ912" s="77" t="str">
        <f t="shared" ref="AQ912" si="169">IF(MID(G912,1,15)="NAO ASSINADO","x","")</f>
        <v/>
      </c>
      <c r="AR912" s="76" t="b">
        <f>IF(AQ912="x",EOMONTH(I912,0))</f>
        <v>0</v>
      </c>
      <c r="AS912" s="74">
        <f t="shared" ref="AS912" si="170">IF(AH912&lt;0,0,1)</f>
        <v>1</v>
      </c>
      <c r="AT912" s="74">
        <f t="shared" ref="AT912" si="171">IF(AL912&lt;0,0,1)</f>
        <v>1</v>
      </c>
      <c r="AU912" s="74" t="str">
        <f t="shared" ref="AU912" si="172">MID(E912,1,1)</f>
        <v>B</v>
      </c>
      <c r="AV912" s="74">
        <f t="shared" ref="AV912" si="173">IF(AG912&lt;0,0,1)</f>
        <v>1</v>
      </c>
      <c r="AW912" s="74" t="str">
        <f>J912&amp;AU912</f>
        <v>13B</v>
      </c>
      <c r="AX912" s="74">
        <f>IF(COUNTIFS(J:J,"Integral",E:E,E912,H:H,"Ativo")=4,1/4,1/10)</f>
        <v>0.1</v>
      </c>
      <c r="AY912" s="74" t="s">
        <v>1535</v>
      </c>
      <c r="AZ912" s="79" t="b">
        <v>1</v>
      </c>
      <c r="BA912" s="32"/>
      <c r="BB912" s="60"/>
      <c r="BC912" s="33"/>
      <c r="BD912" s="34"/>
      <c r="BE912" s="33"/>
      <c r="BF912" s="56"/>
      <c r="BG912" s="56"/>
      <c r="BH912" s="386"/>
      <c r="BI912" s="33"/>
      <c r="BJ912" s="33"/>
      <c r="BK912" s="33"/>
      <c r="BL912" s="47"/>
      <c r="BM912" s="45"/>
      <c r="BN912" s="392"/>
      <c r="BO912" s="37"/>
      <c r="BP912" s="38"/>
      <c r="BQ912" s="50"/>
      <c r="BR912" s="260"/>
      <c r="BS912" s="260"/>
      <c r="BT912" s="260"/>
      <c r="BU912" s="43"/>
      <c r="BV912" s="295"/>
      <c r="BW912" s="62"/>
      <c r="BX912" s="292"/>
      <c r="BY912" s="40"/>
      <c r="BZ912" s="292"/>
      <c r="CA912" s="40"/>
      <c r="CB912" s="76"/>
      <c r="CC912" s="76"/>
      <c r="CD912" s="77"/>
      <c r="CE912" s="76"/>
      <c r="CF912" s="74"/>
      <c r="CG912" s="74"/>
      <c r="CH912" s="74"/>
      <c r="CI912" s="74"/>
      <c r="CJ912" s="74"/>
      <c r="CK912" s="74"/>
      <c r="CL912" s="74"/>
      <c r="CM912" s="74"/>
      <c r="CN912" s="74"/>
    </row>
    <row r="913" spans="1:96" ht="15" customHeight="1">
      <c r="A913" s="54">
        <v>945</v>
      </c>
      <c r="B913" s="405">
        <v>45697</v>
      </c>
      <c r="C913" s="351" t="s">
        <v>2745</v>
      </c>
      <c r="D913" s="32" t="s">
        <v>2746</v>
      </c>
      <c r="E913" s="32" t="s">
        <v>2747</v>
      </c>
      <c r="F913" s="32" t="s">
        <v>2748</v>
      </c>
      <c r="G913" s="60" t="s">
        <v>220</v>
      </c>
      <c r="H913" s="33" t="s">
        <v>90</v>
      </c>
      <c r="I913" s="34"/>
      <c r="J913" s="33">
        <v>13</v>
      </c>
      <c r="K913" s="56" t="s">
        <v>1149</v>
      </c>
      <c r="L913" s="56" t="s">
        <v>1149</v>
      </c>
      <c r="M913" s="67" t="s">
        <v>981</v>
      </c>
      <c r="N913" s="33" t="s">
        <v>68</v>
      </c>
      <c r="O913" s="33" t="s">
        <v>11</v>
      </c>
      <c r="P913" s="33" t="s">
        <v>2</v>
      </c>
      <c r="Q913" s="47"/>
      <c r="R913" s="47" t="s">
        <v>2741</v>
      </c>
      <c r="S913" s="45" t="s">
        <v>147</v>
      </c>
      <c r="T913" s="392">
        <v>2</v>
      </c>
      <c r="U913" s="37">
        <v>45681</v>
      </c>
      <c r="V913" s="38">
        <f>B913</f>
        <v>45697</v>
      </c>
      <c r="W913" s="50">
        <f>V913-U913</f>
        <v>16</v>
      </c>
      <c r="X913" s="260">
        <v>837359.75</v>
      </c>
      <c r="Y913" s="260">
        <v>837359.75</v>
      </c>
      <c r="Z913" s="260">
        <v>711000</v>
      </c>
      <c r="AA913" s="43"/>
      <c r="AB913" s="295">
        <v>0.3024</v>
      </c>
      <c r="AC913" s="295">
        <v>0</v>
      </c>
      <c r="AD913" s="62">
        <v>4.0399999999999998E-2</v>
      </c>
      <c r="AE913" s="40"/>
      <c r="AF913" s="292"/>
      <c r="AG913" s="292"/>
      <c r="AH913" s="40">
        <f>Y913-Z913</f>
        <v>126359.75</v>
      </c>
      <c r="AI913" s="66"/>
      <c r="AJ913" s="66"/>
      <c r="AK913" s="292">
        <v>23326.65</v>
      </c>
      <c r="AL913" s="40">
        <f>AH913-AK913</f>
        <v>103033.1</v>
      </c>
      <c r="AM913" s="76">
        <f t="shared" ref="AM913" si="174">IFERROR(EOMONTH(B913,0),"Pendente")</f>
        <v>45716</v>
      </c>
      <c r="AN913" s="76" t="str">
        <f>IF(AQ913="x","",IF(AQ913="x",AM913,IF(EOMONTH(I913,0)=31,"",EOMONTH(I913,0))))</f>
        <v/>
      </c>
      <c r="AO913" s="74">
        <f>IFERROR(IF(VLOOKUP(C913,C914:C1515,1,0)=0,1,0),1)</f>
        <v>1</v>
      </c>
      <c r="AP913" s="74"/>
      <c r="AQ913" s="77" t="str">
        <f t="shared" ref="AQ913" si="175">IF(MID(G913,1,15)="NAO ASSINADO","x","")</f>
        <v/>
      </c>
      <c r="AR913" s="76" t="b">
        <f>IF(AQ913="x",EOMONTH(I913,0))</f>
        <v>0</v>
      </c>
      <c r="AS913" s="74">
        <f t="shared" ref="AS913" si="176">IF(AH913&lt;0,0,1)</f>
        <v>1</v>
      </c>
      <c r="AT913" s="74">
        <f t="shared" ref="AT913" si="177">IF(AL913&lt;0,0,1)</f>
        <v>1</v>
      </c>
      <c r="AU913" s="74" t="str">
        <f t="shared" ref="AU913" si="178">MID(E913,1,1)</f>
        <v>B</v>
      </c>
      <c r="AV913" s="74">
        <f t="shared" ref="AV913" si="179">IF(AG913&lt;0,0,1)</f>
        <v>1</v>
      </c>
      <c r="AW913" s="74" t="str">
        <f>J913&amp;AU913</f>
        <v>13B</v>
      </c>
      <c r="AX913" s="74">
        <f>IF(COUNTIFS(J:J,"Integral",E:E,E913,H:H,"Ativo")=4,1/4,1/10)</f>
        <v>0.1</v>
      </c>
      <c r="AY913" s="74" t="s">
        <v>1332</v>
      </c>
      <c r="AZ913" s="79" t="b">
        <v>1</v>
      </c>
      <c r="BA913" s="32"/>
      <c r="BB913" s="60"/>
      <c r="BC913" s="33"/>
      <c r="BD913" s="34"/>
      <c r="BE913" s="33"/>
      <c r="BF913" s="56"/>
      <c r="BG913" s="56"/>
      <c r="BH913" s="386"/>
      <c r="BI913" s="33"/>
      <c r="BJ913" s="33"/>
      <c r="BK913" s="33"/>
      <c r="BL913" s="47"/>
      <c r="BM913" s="45"/>
      <c r="BN913" s="392"/>
      <c r="BO913" s="37"/>
      <c r="BP913" s="38"/>
      <c r="BQ913" s="50"/>
      <c r="BR913" s="260"/>
      <c r="BS913" s="260"/>
      <c r="BT913" s="260"/>
      <c r="BU913" s="43"/>
      <c r="BV913" s="295"/>
      <c r="BW913" s="62"/>
      <c r="BX913" s="292"/>
      <c r="BY913" s="40"/>
      <c r="BZ913" s="292"/>
      <c r="CA913" s="40"/>
      <c r="CB913" s="76"/>
      <c r="CC913" s="76"/>
      <c r="CD913" s="77"/>
      <c r="CE913" s="76"/>
      <c r="CF913" s="74"/>
      <c r="CG913" s="74"/>
      <c r="CH913" s="74"/>
      <c r="CI913" s="74"/>
      <c r="CJ913" s="74"/>
      <c r="CK913" s="74"/>
      <c r="CL913" s="74"/>
      <c r="CM913" s="74"/>
      <c r="CN913" s="74"/>
    </row>
    <row r="914" spans="1:96" ht="15" customHeight="1">
      <c r="A914" s="54">
        <v>946</v>
      </c>
      <c r="B914" s="406">
        <v>45699</v>
      </c>
      <c r="C914" s="351" t="s">
        <v>2749</v>
      </c>
      <c r="D914" s="32" t="s">
        <v>2750</v>
      </c>
      <c r="E914" s="32" t="s">
        <v>2183</v>
      </c>
      <c r="F914" s="32" t="s">
        <v>2751</v>
      </c>
      <c r="G914" s="60" t="s">
        <v>220</v>
      </c>
      <c r="H914" s="33" t="s">
        <v>90</v>
      </c>
      <c r="I914" s="34"/>
      <c r="J914" s="33">
        <v>6</v>
      </c>
      <c r="K914" s="35" t="s">
        <v>378</v>
      </c>
      <c r="L914" s="35" t="s">
        <v>378</v>
      </c>
      <c r="M914" s="386" t="s">
        <v>246</v>
      </c>
      <c r="N914" s="33" t="s">
        <v>68</v>
      </c>
      <c r="O914" s="33" t="s">
        <v>12</v>
      </c>
      <c r="P914" s="33" t="s">
        <v>1</v>
      </c>
      <c r="Q914" s="47"/>
      <c r="R914" s="47" t="s">
        <v>2744</v>
      </c>
      <c r="S914" s="45" t="s">
        <v>147</v>
      </c>
      <c r="T914" s="392">
        <v>3</v>
      </c>
      <c r="U914" s="37">
        <v>45660</v>
      </c>
      <c r="V914" s="38">
        <f>B914</f>
        <v>45699</v>
      </c>
      <c r="W914" s="50">
        <f>V914-U914</f>
        <v>39</v>
      </c>
      <c r="X914" s="260">
        <v>410576.39</v>
      </c>
      <c r="Y914" s="260">
        <v>410576.39</v>
      </c>
      <c r="Z914" s="260">
        <v>410576.52</v>
      </c>
      <c r="AA914" s="43"/>
      <c r="AB914" s="295">
        <v>0.2</v>
      </c>
      <c r="AC914" s="295">
        <v>0</v>
      </c>
      <c r="AD914" s="62">
        <v>0</v>
      </c>
      <c r="AE914" s="40"/>
      <c r="AF914" s="292"/>
      <c r="AG914" s="292">
        <v>0.1</v>
      </c>
      <c r="AH914" s="40">
        <f>Y914-Z914</f>
        <v>-0.13000000000465661</v>
      </c>
      <c r="AI914" s="66"/>
      <c r="AJ914" s="66"/>
      <c r="AK914" s="292"/>
      <c r="AL914" s="40">
        <f>AH914-AK914</f>
        <v>-0.13000000000465661</v>
      </c>
      <c r="AM914" s="76">
        <f t="shared" ref="AM914" si="180">IFERROR(EOMONTH(B914,0),"Pendente")</f>
        <v>45716</v>
      </c>
      <c r="AN914" s="76" t="str">
        <f>IF(AQ914="x","",IF(AQ914="x",AM914,IF(EOMONTH(I914,0)=31,"",EOMONTH(I914,0))))</f>
        <v/>
      </c>
      <c r="AO914" s="74">
        <f>IFERROR(IF(VLOOKUP(C914,C915:C1516,1,0)=0,1,0),1)</f>
        <v>1</v>
      </c>
      <c r="AP914" s="74"/>
      <c r="AQ914" s="77" t="str">
        <f t="shared" ref="AQ914" si="181">IF(MID(G914,1,15)="NAO ASSINADO","x","")</f>
        <v/>
      </c>
      <c r="AR914" s="76" t="b">
        <f>IF(AQ914="x",EOMONTH(I914,0))</f>
        <v>0</v>
      </c>
      <c r="AS914" s="74">
        <f t="shared" ref="AS914" si="182">IF(AH914&lt;0,0,1)</f>
        <v>0</v>
      </c>
      <c r="AT914" s="74">
        <f t="shared" ref="AT914" si="183">IF(AL914&lt;0,0,1)</f>
        <v>0</v>
      </c>
      <c r="AU914" s="74" t="str">
        <f t="shared" ref="AU914" si="184">MID(E914,1,1)</f>
        <v>B</v>
      </c>
      <c r="AV914" s="74">
        <f t="shared" ref="AV914" si="185">IF(AG914&lt;0,0,1)</f>
        <v>1</v>
      </c>
      <c r="AW914" s="74" t="str">
        <f>J914&amp;AU914</f>
        <v>6B</v>
      </c>
      <c r="AX914" s="74">
        <f>IF(COUNTIFS(J:J,"Integral",E:E,E914,H:H,"Ativo")=4,1/4,1/10)</f>
        <v>0.1</v>
      </c>
      <c r="AY914" s="74" t="s">
        <v>1535</v>
      </c>
      <c r="AZ914" s="79" t="b">
        <v>1</v>
      </c>
      <c r="BA914" s="32"/>
      <c r="BB914" s="60"/>
      <c r="BC914" s="33"/>
      <c r="BD914" s="34"/>
      <c r="BE914" s="33"/>
      <c r="BF914" s="56"/>
      <c r="BG914" s="56"/>
      <c r="BH914" s="386"/>
      <c r="BI914" s="33"/>
      <c r="BJ914" s="33"/>
      <c r="BK914" s="33"/>
      <c r="BL914" s="47"/>
      <c r="BM914" s="45"/>
      <c r="BN914" s="392"/>
      <c r="BO914" s="37"/>
      <c r="BP914" s="38"/>
      <c r="BQ914" s="50"/>
      <c r="BR914" s="260"/>
      <c r="BS914" s="260"/>
      <c r="BT914" s="260"/>
      <c r="BU914" s="43"/>
      <c r="BV914" s="295"/>
      <c r="BW914" s="62"/>
      <c r="BX914" s="292"/>
      <c r="BY914" s="40"/>
      <c r="BZ914" s="292"/>
      <c r="CA914" s="40"/>
      <c r="CB914" s="76"/>
      <c r="CC914" s="76"/>
      <c r="CD914" s="77"/>
      <c r="CE914" s="76"/>
      <c r="CF914" s="74"/>
      <c r="CG914" s="74"/>
      <c r="CH914" s="74"/>
      <c r="CI914" s="74"/>
      <c r="CJ914" s="74"/>
      <c r="CK914" s="74"/>
      <c r="CL914" s="74"/>
      <c r="CM914" s="74"/>
      <c r="CN914" s="74"/>
    </row>
    <row r="915" spans="1:96" ht="15" customHeight="1">
      <c r="A915" s="54">
        <v>947</v>
      </c>
      <c r="B915" s="405">
        <v>45699</v>
      </c>
      <c r="C915" s="351" t="s">
        <v>1283</v>
      </c>
      <c r="D915" s="32" t="s">
        <v>2752</v>
      </c>
      <c r="E915" s="32" t="s">
        <v>2753</v>
      </c>
      <c r="F915" s="32" t="s">
        <v>2754</v>
      </c>
      <c r="G915" s="60" t="s">
        <v>220</v>
      </c>
      <c r="H915" s="33" t="s">
        <v>90</v>
      </c>
      <c r="I915" s="34"/>
      <c r="J915" s="33">
        <v>13</v>
      </c>
      <c r="K915" s="56" t="s">
        <v>1165</v>
      </c>
      <c r="L915" s="56" t="s">
        <v>1165</v>
      </c>
      <c r="M915" s="67" t="s">
        <v>981</v>
      </c>
      <c r="N915" s="33" t="s">
        <v>68</v>
      </c>
      <c r="O915" s="33" t="s">
        <v>11</v>
      </c>
      <c r="P915" s="33" t="s">
        <v>2</v>
      </c>
      <c r="Q915" s="47" t="s">
        <v>99</v>
      </c>
      <c r="R915" s="47" t="s">
        <v>2744</v>
      </c>
      <c r="S915" s="45" t="s">
        <v>147</v>
      </c>
      <c r="T915" s="392">
        <v>2</v>
      </c>
      <c r="U915" s="37">
        <v>45154</v>
      </c>
      <c r="V915" s="38">
        <f t="shared" ref="V915:V916" si="186">B915</f>
        <v>45699</v>
      </c>
      <c r="W915" s="50">
        <f t="shared" ref="W915:W916" si="187">V915-U915</f>
        <v>545</v>
      </c>
      <c r="X915" s="260">
        <v>1049382.24</v>
      </c>
      <c r="Y915" s="260">
        <v>1104999.5</v>
      </c>
      <c r="Z915" s="260">
        <v>1060000</v>
      </c>
      <c r="AA915" s="43"/>
      <c r="AB915" s="295">
        <v>0.49059999999999998</v>
      </c>
      <c r="AC915" s="295">
        <v>0</v>
      </c>
      <c r="AD915" s="62">
        <v>-5.8999999999999997E-2</v>
      </c>
      <c r="AE915" s="40"/>
      <c r="AF915" s="292"/>
      <c r="AG915" s="292">
        <v>97535.12</v>
      </c>
      <c r="AH915" s="40">
        <f t="shared" ref="AH915:AH922" si="188">Y915-Z915</f>
        <v>44999.5</v>
      </c>
      <c r="AI915" s="66"/>
      <c r="AJ915" s="66"/>
      <c r="AK915" s="292"/>
      <c r="AL915" s="40">
        <f t="shared" ref="AL915:AL922" si="189">AH915-AK915</f>
        <v>44999.5</v>
      </c>
      <c r="AM915" s="76">
        <f t="shared" ref="AM915:AM916" si="190">IFERROR(EOMONTH(B915,0),"Pendente")</f>
        <v>45716</v>
      </c>
      <c r="AN915" s="76" t="str">
        <f>IF(AQ915="x","",IF(AQ915="x",AM915,IF(EOMONTH(I915,0)=31,"",EOMONTH(I915,0))))</f>
        <v/>
      </c>
      <c r="AO915" s="74">
        <f>IFERROR(IF(VLOOKUP(C915,C916:C1517,1,0)=0,1,0),1)</f>
        <v>1</v>
      </c>
      <c r="AP915" s="74"/>
      <c r="AQ915" s="77" t="str">
        <f t="shared" ref="AQ915:AQ916" si="191">IF(MID(G915,1,15)="NAO ASSINADO","x","")</f>
        <v/>
      </c>
      <c r="AR915" s="76" t="b">
        <f>IF(AQ915="x",EOMONTH(I915,0))</f>
        <v>0</v>
      </c>
      <c r="AS915" s="74">
        <f t="shared" ref="AS915:AS916" si="192">IF(AH915&lt;0,0,1)</f>
        <v>1</v>
      </c>
      <c r="AT915" s="74">
        <f t="shared" ref="AT915:AT916" si="193">IF(AL915&lt;0,0,1)</f>
        <v>1</v>
      </c>
      <c r="AU915" s="74" t="str">
        <f t="shared" ref="AU915:AU916" si="194">MID(E915,1,1)</f>
        <v>C</v>
      </c>
      <c r="AV915" s="74">
        <f t="shared" ref="AV915:AV916" si="195">IF(AG915&lt;0,0,1)</f>
        <v>1</v>
      </c>
      <c r="AW915" s="74" t="str">
        <f>J915&amp;AU915</f>
        <v>13C</v>
      </c>
      <c r="AX915" s="74">
        <f>IF(COUNTIFS(J:J,"Integral",E:E,E915,H:H,"Ativo")=4,1/4,1/10)</f>
        <v>0.1</v>
      </c>
      <c r="AY915" s="74" t="s">
        <v>2133</v>
      </c>
      <c r="AZ915" s="79" t="b">
        <v>1</v>
      </c>
      <c r="BA915" s="32"/>
      <c r="BB915" s="60"/>
      <c r="BC915" s="33"/>
      <c r="BD915" s="34"/>
      <c r="BE915" s="33"/>
      <c r="BF915" s="56"/>
      <c r="BG915" s="56"/>
      <c r="BH915" s="386"/>
      <c r="BI915" s="33"/>
      <c r="BJ915" s="33"/>
      <c r="BK915" s="33"/>
      <c r="BL915" s="47"/>
      <c r="BM915" s="45"/>
      <c r="BN915" s="392"/>
      <c r="BO915" s="37"/>
      <c r="BP915" s="38"/>
      <c r="BQ915" s="50"/>
      <c r="BR915" s="260"/>
      <c r="BS915" s="260"/>
      <c r="BT915" s="260"/>
      <c r="BU915" s="43"/>
      <c r="BV915" s="295"/>
      <c r="BW915" s="62"/>
      <c r="BX915" s="292"/>
      <c r="BY915" s="40"/>
      <c r="BZ915" s="292"/>
      <c r="CA915" s="40"/>
      <c r="CB915" s="76"/>
      <c r="CC915" s="76"/>
      <c r="CD915" s="77"/>
      <c r="CE915" s="76"/>
      <c r="CF915" s="74"/>
      <c r="CG915" s="74"/>
      <c r="CH915" s="74"/>
      <c r="CI915" s="74"/>
      <c r="CJ915" s="74"/>
      <c r="CK915" s="74"/>
      <c r="CL915" s="74"/>
      <c r="CM915" s="74"/>
      <c r="CN915" s="74"/>
    </row>
    <row r="916" spans="1:96" ht="15" customHeight="1">
      <c r="A916" s="54">
        <v>948</v>
      </c>
      <c r="B916" s="406">
        <v>45700</v>
      </c>
      <c r="C916" s="351" t="s">
        <v>2755</v>
      </c>
      <c r="D916" s="32" t="s">
        <v>2756</v>
      </c>
      <c r="E916" s="32" t="s">
        <v>2503</v>
      </c>
      <c r="F916" s="32" t="s">
        <v>2757</v>
      </c>
      <c r="G916" s="60" t="s">
        <v>220</v>
      </c>
      <c r="H916" s="33" t="s">
        <v>90</v>
      </c>
      <c r="I916" s="34"/>
      <c r="J916" s="33">
        <v>6</v>
      </c>
      <c r="K916" s="56" t="s">
        <v>1755</v>
      </c>
      <c r="L916" s="56" t="s">
        <v>1755</v>
      </c>
      <c r="M916" s="386" t="s">
        <v>1755</v>
      </c>
      <c r="N916" s="33" t="s">
        <v>73</v>
      </c>
      <c r="O916" s="33" t="s">
        <v>12</v>
      </c>
      <c r="P916" s="33" t="s">
        <v>85</v>
      </c>
      <c r="Q916" s="47" t="s">
        <v>99</v>
      </c>
      <c r="R916" s="47" t="s">
        <v>2744</v>
      </c>
      <c r="S916" s="45" t="s">
        <v>143</v>
      </c>
      <c r="T916" s="392">
        <v>1</v>
      </c>
      <c r="U916" s="37">
        <v>45490</v>
      </c>
      <c r="V916" s="38">
        <f t="shared" si="186"/>
        <v>45700</v>
      </c>
      <c r="W916" s="50">
        <f t="shared" si="187"/>
        <v>210</v>
      </c>
      <c r="X916" s="260">
        <v>410576.39</v>
      </c>
      <c r="Y916" s="260">
        <v>410576.39</v>
      </c>
      <c r="Z916" s="260">
        <v>410576.48</v>
      </c>
      <c r="AA916" s="43"/>
      <c r="AB916" s="295">
        <v>0.2</v>
      </c>
      <c r="AC916" s="295">
        <v>0</v>
      </c>
      <c r="AD916" s="62">
        <v>8.6999999999999994E-3</v>
      </c>
      <c r="AE916" s="40"/>
      <c r="AF916" s="292"/>
      <c r="AG916" s="292"/>
      <c r="AH916" s="40">
        <f t="shared" si="188"/>
        <v>-8.999999996740371E-2</v>
      </c>
      <c r="AI916" s="66"/>
      <c r="AJ916" s="66"/>
      <c r="AK916" s="292">
        <v>2893.34</v>
      </c>
      <c r="AL916" s="40">
        <f t="shared" si="189"/>
        <v>-2893.4299999999675</v>
      </c>
      <c r="AM916" s="76">
        <f t="shared" si="190"/>
        <v>45716</v>
      </c>
      <c r="AN916" s="76" t="str">
        <f>IF(AQ916="x","",IF(AQ916="x",AM916,IF(EOMONTH(I916,0)=31,"",EOMONTH(I916,0))))</f>
        <v/>
      </c>
      <c r="AO916" s="74">
        <f>IFERROR(IF(VLOOKUP(C916,C917:C1518,1,0)=0,1,0),1)</f>
        <v>1</v>
      </c>
      <c r="AP916" s="74"/>
      <c r="AQ916" s="77" t="str">
        <f t="shared" si="191"/>
        <v/>
      </c>
      <c r="AR916" s="76" t="b">
        <f>IF(AQ916="x",EOMONTH(I916,0))</f>
        <v>0</v>
      </c>
      <c r="AS916" s="74">
        <f t="shared" si="192"/>
        <v>0</v>
      </c>
      <c r="AT916" s="74">
        <f t="shared" si="193"/>
        <v>0</v>
      </c>
      <c r="AU916" s="74" t="str">
        <f t="shared" si="194"/>
        <v>B</v>
      </c>
      <c r="AV916" s="74">
        <f t="shared" si="195"/>
        <v>1</v>
      </c>
      <c r="AW916" s="74" t="str">
        <f>J916&amp;AU916</f>
        <v>6B</v>
      </c>
      <c r="AX916" s="74">
        <f>IF(COUNTIFS(J:J,"Integral",E:E,E916,H:H,"Ativo")=4,1/4,1/10)</f>
        <v>0.1</v>
      </c>
      <c r="AY916" s="74" t="s">
        <v>2133</v>
      </c>
      <c r="AZ916" s="79" t="b">
        <v>1</v>
      </c>
      <c r="BA916" s="32"/>
      <c r="BB916" s="60"/>
      <c r="BC916" s="33"/>
      <c r="BD916" s="34"/>
      <c r="BE916" s="33"/>
      <c r="BF916" s="56"/>
      <c r="BG916" s="56"/>
      <c r="BH916" s="386"/>
      <c r="BI916" s="33"/>
      <c r="BJ916" s="33"/>
      <c r="BK916" s="33"/>
      <c r="BL916" s="47"/>
      <c r="BM916" s="45"/>
      <c r="BN916" s="392"/>
      <c r="BO916" s="37"/>
      <c r="BP916" s="38"/>
      <c r="BQ916" s="50"/>
      <c r="BR916" s="260"/>
      <c r="BS916" s="260"/>
      <c r="BT916" s="260"/>
      <c r="BU916" s="43"/>
      <c r="BV916" s="295"/>
      <c r="BW916" s="62"/>
      <c r="BX916" s="292"/>
      <c r="BY916" s="40"/>
      <c r="BZ916" s="292"/>
      <c r="CA916" s="40"/>
      <c r="CB916" s="76"/>
      <c r="CC916" s="76"/>
      <c r="CD916" s="77"/>
      <c r="CE916" s="76"/>
      <c r="CF916" s="74"/>
      <c r="CG916" s="74"/>
      <c r="CH916" s="74"/>
      <c r="CI916" s="74"/>
      <c r="CJ916" s="74"/>
      <c r="CK916" s="74"/>
      <c r="CL916" s="74"/>
      <c r="CM916" s="74"/>
      <c r="CN916" s="74"/>
    </row>
    <row r="917" spans="1:96" ht="15.75" customHeight="1">
      <c r="A917" s="54">
        <v>949</v>
      </c>
      <c r="B917" s="407" t="s">
        <v>67</v>
      </c>
      <c r="C917" s="351" t="s">
        <v>2758</v>
      </c>
      <c r="D917" s="32" t="s">
        <v>2759</v>
      </c>
      <c r="E917" s="32" t="s">
        <v>2747</v>
      </c>
      <c r="F917" s="32" t="s">
        <v>2760</v>
      </c>
      <c r="G917" s="60" t="s">
        <v>2761</v>
      </c>
      <c r="H917" s="33" t="s">
        <v>90</v>
      </c>
      <c r="I917" s="34"/>
      <c r="J917" s="33">
        <v>13</v>
      </c>
      <c r="K917" s="56" t="s">
        <v>2762</v>
      </c>
      <c r="L917" s="56" t="s">
        <v>2762</v>
      </c>
      <c r="M917" s="386" t="s">
        <v>246</v>
      </c>
      <c r="N917" s="33" t="s">
        <v>68</v>
      </c>
      <c r="O917" s="33" t="s">
        <v>10</v>
      </c>
      <c r="P917" s="33" t="s">
        <v>1</v>
      </c>
      <c r="Q917" s="47"/>
      <c r="R917" s="47" t="s">
        <v>2744</v>
      </c>
      <c r="S917" s="45" t="s">
        <v>143</v>
      </c>
      <c r="T917" s="392">
        <v>2</v>
      </c>
      <c r="U917" s="37">
        <v>45699</v>
      </c>
      <c r="V917" s="38" t="str">
        <f t="shared" ref="V917" si="196">B917</f>
        <v>Pendente</v>
      </c>
      <c r="W917" s="50" t="e">
        <f t="shared" ref="W917" si="197">V917-U917</f>
        <v>#VALUE!</v>
      </c>
      <c r="X917" s="260">
        <v>837359.75</v>
      </c>
      <c r="Y917" s="260">
        <v>837359.75</v>
      </c>
      <c r="Z917" s="260">
        <v>676219.68</v>
      </c>
      <c r="AA917" s="43"/>
      <c r="AB917" s="295">
        <v>1</v>
      </c>
      <c r="AC917" s="295">
        <v>0</v>
      </c>
      <c r="AD917" s="62">
        <v>0</v>
      </c>
      <c r="AE917" s="40"/>
      <c r="AF917" s="292"/>
      <c r="AG917" s="292">
        <v>0</v>
      </c>
      <c r="AH917" s="40">
        <f t="shared" si="188"/>
        <v>161140.06999999995</v>
      </c>
      <c r="AI917" s="66"/>
      <c r="AJ917" s="66"/>
      <c r="AK917" s="292">
        <v>0</v>
      </c>
      <c r="AL917" s="40">
        <f t="shared" si="189"/>
        <v>161140.06999999995</v>
      </c>
      <c r="AM917" s="76" t="str">
        <f t="shared" ref="AM917" si="198">IFERROR(EOMONTH(B917,0),"Pendente")</f>
        <v>Pendente</v>
      </c>
      <c r="AN917" s="76" t="str">
        <f>IF(AQ917="x","",IF(AQ917="x",AM917,IF(EOMONTH(I917,0)=31,"",EOMONTH(I917,0))))</f>
        <v/>
      </c>
      <c r="AO917" s="74">
        <f>IFERROR(IF(VLOOKUP(C917,C918:C1519,1,0)=0,1,0),1)</f>
        <v>1</v>
      </c>
      <c r="AP917" s="74"/>
      <c r="AQ917" s="77" t="str">
        <f t="shared" ref="AQ917" si="199">IF(MID(G917,1,15)="NAO ASSINADO","x","")</f>
        <v/>
      </c>
      <c r="AR917" s="76" t="b">
        <f>IF(AQ917="x",EOMONTH(I917,0))</f>
        <v>0</v>
      </c>
      <c r="AS917" s="74">
        <f t="shared" ref="AS917" si="200">IF(AH917&lt;0,0,1)</f>
        <v>1</v>
      </c>
      <c r="AT917" s="74">
        <f t="shared" ref="AT917" si="201">IF(AL917&lt;0,0,1)</f>
        <v>1</v>
      </c>
      <c r="AU917" s="74" t="str">
        <f t="shared" ref="AU917" si="202">MID(E917,1,1)</f>
        <v>B</v>
      </c>
      <c r="AV917" s="74">
        <f t="shared" ref="AV917" si="203">IF(AG917&lt;0,0,1)</f>
        <v>1</v>
      </c>
      <c r="AW917" s="74" t="str">
        <f>J917&amp;AU917</f>
        <v>13B</v>
      </c>
      <c r="AX917" s="74">
        <f>IF(COUNTIFS(J:J,"Integral",E:E,E917,H:H,"Ativo")=4,1/4,1/10)</f>
        <v>0.1</v>
      </c>
      <c r="AY917" s="74" t="s">
        <v>1535</v>
      </c>
      <c r="AZ917" s="79" t="b">
        <v>1</v>
      </c>
      <c r="BA917" s="32"/>
      <c r="BB917" s="60"/>
      <c r="BC917" s="33"/>
      <c r="BD917" s="34"/>
      <c r="BE917" s="33"/>
      <c r="BF917" s="56"/>
      <c r="BG917" s="56"/>
      <c r="BH917" s="386"/>
      <c r="BI917" s="33"/>
      <c r="BJ917" s="33"/>
      <c r="BK917" s="33"/>
      <c r="BL917" s="47"/>
      <c r="BM917" s="45"/>
      <c r="BN917" s="392"/>
      <c r="BO917" s="37"/>
      <c r="BP917" s="38"/>
      <c r="BQ917" s="50"/>
      <c r="BR917" s="260"/>
      <c r="BS917" s="260"/>
      <c r="BT917" s="260"/>
      <c r="BU917" s="43"/>
      <c r="BV917" s="295"/>
      <c r="BW917" s="62"/>
      <c r="BX917" s="292"/>
      <c r="BY917" s="40"/>
      <c r="BZ917" s="292"/>
      <c r="CA917" s="40"/>
      <c r="CB917" s="76"/>
      <c r="CC917" s="76"/>
      <c r="CD917" s="77"/>
      <c r="CE917" s="76"/>
      <c r="CF917" s="74"/>
      <c r="CG917" s="74"/>
      <c r="CH917" s="74"/>
      <c r="CI917" s="74"/>
      <c r="CJ917" s="74"/>
      <c r="CK917" s="74"/>
      <c r="CL917" s="74"/>
      <c r="CM917" s="74"/>
      <c r="CN917" s="74"/>
    </row>
    <row r="918" spans="1:96" ht="15" customHeight="1">
      <c r="A918" s="54">
        <v>950</v>
      </c>
      <c r="B918" s="405">
        <v>45702</v>
      </c>
      <c r="C918" s="351" t="s">
        <v>2763</v>
      </c>
      <c r="D918" s="32" t="s">
        <v>2764</v>
      </c>
      <c r="E918" s="32" t="s">
        <v>431</v>
      </c>
      <c r="F918" s="32" t="s">
        <v>2765</v>
      </c>
      <c r="G918" s="60" t="s">
        <v>220</v>
      </c>
      <c r="H918" s="33" t="s">
        <v>90</v>
      </c>
      <c r="I918" s="34"/>
      <c r="J918" s="33">
        <v>6</v>
      </c>
      <c r="K918" s="56" t="s">
        <v>1165</v>
      </c>
      <c r="L918" s="56" t="s">
        <v>1165</v>
      </c>
      <c r="M918" s="67" t="s">
        <v>981</v>
      </c>
      <c r="N918" s="33" t="s">
        <v>68</v>
      </c>
      <c r="O918" s="33" t="s">
        <v>12</v>
      </c>
      <c r="P918" s="33" t="s">
        <v>2</v>
      </c>
      <c r="Q918" s="47"/>
      <c r="R918" s="47" t="s">
        <v>2741</v>
      </c>
      <c r="S918" s="45" t="s">
        <v>167</v>
      </c>
      <c r="T918" s="392">
        <v>1</v>
      </c>
      <c r="U918" s="37">
        <v>45690</v>
      </c>
      <c r="V918" s="38">
        <f t="shared" ref="V918" si="204">B918</f>
        <v>45702</v>
      </c>
      <c r="W918" s="50">
        <f t="shared" ref="W918" si="205">V918-U918</f>
        <v>12</v>
      </c>
      <c r="X918" s="260">
        <v>410576.39</v>
      </c>
      <c r="Y918" s="260">
        <v>410576.39</v>
      </c>
      <c r="Z918" s="260">
        <v>421000</v>
      </c>
      <c r="AA918" s="43"/>
      <c r="AB918" s="295">
        <v>0.15440000000000001</v>
      </c>
      <c r="AC918" s="295">
        <v>0</v>
      </c>
      <c r="AD918" s="62">
        <v>2.6599999999999999E-2</v>
      </c>
      <c r="AE918" s="40"/>
      <c r="AF918" s="292"/>
      <c r="AG918" s="292"/>
      <c r="AH918" s="40">
        <f t="shared" si="188"/>
        <v>-10423.609999999986</v>
      </c>
      <c r="AI918" s="66"/>
      <c r="AJ918" s="66"/>
      <c r="AK918" s="292">
        <v>8808.51</v>
      </c>
      <c r="AL918" s="40">
        <f t="shared" si="189"/>
        <v>-19232.119999999988</v>
      </c>
      <c r="AM918" s="76">
        <f t="shared" ref="AM918" si="206">IFERROR(EOMONTH(B918,0),"Pendente")</f>
        <v>45716</v>
      </c>
      <c r="AN918" s="76" t="str">
        <f>IF(AQ918="x","",IF(AQ918="x",AM918,IF(EOMONTH(I918,0)=31,"",EOMONTH(I918,0))))</f>
        <v/>
      </c>
      <c r="AO918" s="74">
        <f>IFERROR(IF(VLOOKUP(C918,C919:C1520,1,0)=0,1,0),1)</f>
        <v>1</v>
      </c>
      <c r="AP918" s="74"/>
      <c r="AQ918" s="77" t="str">
        <f t="shared" ref="AQ918" si="207">IF(MID(G918,1,15)="NAO ASSINADO","x","")</f>
        <v/>
      </c>
      <c r="AR918" s="76" t="b">
        <f>IF(AQ918="x",EOMONTH(I918,0))</f>
        <v>0</v>
      </c>
      <c r="AS918" s="74">
        <f t="shared" ref="AS918" si="208">IF(AH918&lt;0,0,1)</f>
        <v>0</v>
      </c>
      <c r="AT918" s="74">
        <f t="shared" ref="AT918" si="209">IF(AL918&lt;0,0,1)</f>
        <v>0</v>
      </c>
      <c r="AU918" s="74" t="str">
        <f t="shared" ref="AU918" si="210">MID(E918,1,1)</f>
        <v>B</v>
      </c>
      <c r="AV918" s="74">
        <f t="shared" ref="AV918" si="211">IF(AG918&lt;0,0,1)</f>
        <v>1</v>
      </c>
      <c r="AW918" s="74" t="str">
        <f>J918&amp;AU918</f>
        <v>6B</v>
      </c>
      <c r="AX918" s="74">
        <f>IF(COUNTIFS(J:J,"Integral",E:E,E918,H:H,"Ativo")=4,1/4,1/10)</f>
        <v>0.1</v>
      </c>
      <c r="AY918" s="74" t="s">
        <v>1535</v>
      </c>
      <c r="AZ918" s="79" t="b">
        <v>1</v>
      </c>
      <c r="BA918" s="32"/>
      <c r="BB918" s="60"/>
      <c r="BC918" s="33"/>
      <c r="BD918" s="34"/>
      <c r="BE918" s="33"/>
      <c r="BF918" s="56"/>
      <c r="BG918" s="56"/>
      <c r="BH918" s="386"/>
      <c r="BI918" s="33"/>
      <c r="BJ918" s="33"/>
      <c r="BK918" s="33"/>
      <c r="BL918" s="47"/>
      <c r="BM918" s="45"/>
      <c r="BN918" s="392"/>
      <c r="BO918" s="37"/>
      <c r="BP918" s="38"/>
      <c r="BQ918" s="50"/>
      <c r="BR918" s="260"/>
      <c r="BS918" s="260"/>
      <c r="BT918" s="260"/>
      <c r="BU918" s="43"/>
      <c r="BV918" s="295"/>
      <c r="BW918" s="62"/>
      <c r="BX918" s="292"/>
      <c r="BY918" s="40"/>
      <c r="BZ918" s="292"/>
      <c r="CA918" s="40"/>
      <c r="CB918" s="76"/>
      <c r="CC918" s="76"/>
      <c r="CD918" s="77"/>
      <c r="CE918" s="76"/>
      <c r="CF918" s="74"/>
      <c r="CG918" s="74"/>
      <c r="CH918" s="74"/>
      <c r="CI918" s="74"/>
      <c r="CJ918" s="74"/>
      <c r="CK918" s="74"/>
      <c r="CL918" s="74"/>
      <c r="CM918" s="74"/>
      <c r="CN918" s="74"/>
    </row>
    <row r="919" spans="1:96" ht="15" customHeight="1">
      <c r="A919" s="54">
        <v>951</v>
      </c>
      <c r="B919" s="405">
        <v>45708</v>
      </c>
      <c r="C919" s="351" t="s">
        <v>2707</v>
      </c>
      <c r="D919" s="32" t="s">
        <v>2766</v>
      </c>
      <c r="E919" s="32" t="s">
        <v>2323</v>
      </c>
      <c r="F919" s="32" t="s">
        <v>2767</v>
      </c>
      <c r="G919" s="60" t="s">
        <v>220</v>
      </c>
      <c r="H919" s="33" t="s">
        <v>90</v>
      </c>
      <c r="I919" s="34"/>
      <c r="J919" s="33">
        <v>6</v>
      </c>
      <c r="K919" s="56" t="s">
        <v>1165</v>
      </c>
      <c r="L919" s="56" t="s">
        <v>1165</v>
      </c>
      <c r="M919" s="67" t="s">
        <v>981</v>
      </c>
      <c r="N919" s="33" t="s">
        <v>68</v>
      </c>
      <c r="O919" s="33" t="s">
        <v>12</v>
      </c>
      <c r="P919" s="33" t="s">
        <v>86</v>
      </c>
      <c r="Q919" s="47" t="s">
        <v>99</v>
      </c>
      <c r="R919" s="47" t="s">
        <v>2744</v>
      </c>
      <c r="S919" s="45" t="s">
        <v>147</v>
      </c>
      <c r="T919" s="392">
        <v>1</v>
      </c>
      <c r="U919" s="37">
        <v>45670</v>
      </c>
      <c r="V919" s="38">
        <f t="shared" ref="V919" si="212">B919</f>
        <v>45708</v>
      </c>
      <c r="W919" s="50">
        <f t="shared" ref="W919" si="213">V919-U919</f>
        <v>38</v>
      </c>
      <c r="X919" s="260">
        <v>484283.26</v>
      </c>
      <c r="Y919" s="260">
        <v>509950.28</v>
      </c>
      <c r="Z919" s="260">
        <v>499000</v>
      </c>
      <c r="AA919" s="43"/>
      <c r="AB919" s="295">
        <v>0.20039999999999999</v>
      </c>
      <c r="AC919" s="295">
        <v>0</v>
      </c>
      <c r="AD919" s="62">
        <v>3.4700000000000002E-2</v>
      </c>
      <c r="AE919" s="292"/>
      <c r="AF919" s="40"/>
      <c r="AG919" s="292">
        <v>6456.89</v>
      </c>
      <c r="AH919" s="40">
        <f t="shared" si="188"/>
        <v>10950.280000000028</v>
      </c>
      <c r="AI919" s="76"/>
      <c r="AJ919" s="76"/>
      <c r="AK919" s="292"/>
      <c r="AL919" s="40">
        <f t="shared" si="189"/>
        <v>10950.280000000028</v>
      </c>
      <c r="AM919" s="76">
        <f t="shared" ref="AM919" si="214">IFERROR(EOMONTH(B919,0),"Pendente")</f>
        <v>45716</v>
      </c>
      <c r="AN919" s="76" t="str">
        <f>IF(AQ919="x","",IF(AQ919="x",AM919,IF(EOMONTH(I919,0)=31,"",EOMONTH(I919,0))))</f>
        <v/>
      </c>
      <c r="AO919" s="338">
        <f>IFERROR(IF(VLOOKUP(C919,C920:C1521,1,0)=0,1,0),1)</f>
        <v>1</v>
      </c>
      <c r="AP919" s="74"/>
      <c r="AQ919" s="77" t="str">
        <f t="shared" ref="AQ919" si="215">IF(MID(G919,1,15)="NAO ASSINADO","x","")</f>
        <v/>
      </c>
      <c r="AR919" s="76" t="b">
        <f>IF(AQ919="x",EOMONTH(I919,0))</f>
        <v>0</v>
      </c>
      <c r="AS919" s="74">
        <f t="shared" ref="AS919" si="216">IF(AH919&lt;0,0,1)</f>
        <v>1</v>
      </c>
      <c r="AT919" s="74">
        <f t="shared" ref="AT919" si="217">IF(AL919&lt;0,0,1)</f>
        <v>1</v>
      </c>
      <c r="AU919" s="74" t="str">
        <f t="shared" ref="AU919" si="218">MID(E919,1,1)</f>
        <v>C</v>
      </c>
      <c r="AV919" s="74">
        <f t="shared" ref="AV919" si="219">IF(AG919&lt;0,0,1)</f>
        <v>1</v>
      </c>
      <c r="AW919" s="74" t="str">
        <f>J919&amp;AU919</f>
        <v>6C</v>
      </c>
      <c r="AX919" s="74">
        <f>IF(COUNTIFS(J:J,"Integral",E:E,E919,H:H,"Ativo")=4,1/4,1/10)</f>
        <v>0.1</v>
      </c>
      <c r="AY919" s="74" t="s">
        <v>1535</v>
      </c>
      <c r="AZ919" s="79" t="b">
        <v>1</v>
      </c>
      <c r="BA919" s="32"/>
      <c r="BB919" s="32"/>
      <c r="BC919" s="60"/>
      <c r="BD919" s="33"/>
      <c r="BE919" s="34"/>
      <c r="BF919" s="33"/>
      <c r="BG919" s="56"/>
      <c r="BH919" s="56"/>
      <c r="BI919" s="386"/>
      <c r="BJ919" s="33"/>
      <c r="BK919" s="33"/>
      <c r="BL919" s="33"/>
      <c r="BM919" s="47"/>
      <c r="BN919" s="47"/>
      <c r="BO919" s="45"/>
      <c r="BP919" s="392"/>
      <c r="BQ919" s="37"/>
      <c r="BR919" s="38"/>
      <c r="BS919" s="50"/>
      <c r="BT919" s="260"/>
      <c r="BU919" s="260"/>
      <c r="BV919" s="260"/>
      <c r="BW919" s="43"/>
      <c r="BX919" s="295"/>
      <c r="BY919" s="295"/>
      <c r="BZ919" s="62"/>
      <c r="CA919" s="292"/>
      <c r="CB919" s="40"/>
      <c r="CC919" s="292"/>
      <c r="CD919" s="40"/>
      <c r="CE919" s="76"/>
      <c r="CF919" s="76"/>
      <c r="CG919" s="74"/>
      <c r="CH919" s="74"/>
      <c r="CI919" s="77"/>
      <c r="CJ919" s="76"/>
      <c r="CK919" s="74"/>
      <c r="CL919" s="74"/>
      <c r="CM919" s="74"/>
      <c r="CN919" s="74"/>
      <c r="CO919" s="74"/>
      <c r="CP919" s="74"/>
      <c r="CQ919" s="74"/>
      <c r="CR919" s="79"/>
    </row>
    <row r="920" spans="1:96" ht="15" customHeight="1">
      <c r="A920" s="54">
        <v>952</v>
      </c>
      <c r="B920" s="405">
        <v>45709</v>
      </c>
      <c r="C920" s="351" t="s">
        <v>2768</v>
      </c>
      <c r="D920" s="32" t="s">
        <v>2769</v>
      </c>
      <c r="E920" s="32" t="s">
        <v>2770</v>
      </c>
      <c r="F920" s="32" t="s">
        <v>2771</v>
      </c>
      <c r="G920" s="60" t="s">
        <v>220</v>
      </c>
      <c r="H920" s="33" t="s">
        <v>90</v>
      </c>
      <c r="I920" s="34"/>
      <c r="J920" s="33">
        <v>6</v>
      </c>
      <c r="K920" s="56" t="s">
        <v>1149</v>
      </c>
      <c r="L920" s="56" t="s">
        <v>1149</v>
      </c>
      <c r="M920" s="67" t="s">
        <v>981</v>
      </c>
      <c r="N920" s="33" t="s">
        <v>68</v>
      </c>
      <c r="O920" s="33" t="s">
        <v>12</v>
      </c>
      <c r="P920" s="33" t="s">
        <v>2</v>
      </c>
      <c r="Q920" s="47"/>
      <c r="R920" s="47" t="s">
        <v>2741</v>
      </c>
      <c r="S920" s="45" t="s">
        <v>145</v>
      </c>
      <c r="T920" s="392">
        <v>2</v>
      </c>
      <c r="U920" s="37">
        <v>45700</v>
      </c>
      <c r="V920" s="38">
        <f t="shared" ref="V920" si="220">B920</f>
        <v>45709</v>
      </c>
      <c r="W920" s="50">
        <f t="shared" ref="W920" si="221">V920-U920</f>
        <v>9</v>
      </c>
      <c r="X920" s="260">
        <v>410576.39</v>
      </c>
      <c r="Y920" s="260">
        <v>410576.39</v>
      </c>
      <c r="Z920" s="260">
        <v>410000</v>
      </c>
      <c r="AA920" s="43"/>
      <c r="AB920" s="295">
        <v>0.21149999999999999</v>
      </c>
      <c r="AC920" s="295">
        <v>0</v>
      </c>
      <c r="AD920" s="62">
        <v>1.5E-3</v>
      </c>
      <c r="AE920" s="292"/>
      <c r="AF920" s="40"/>
      <c r="AG920" s="292"/>
      <c r="AH920" s="40">
        <f t="shared" si="188"/>
        <v>576.39000000001397</v>
      </c>
      <c r="AI920" s="76"/>
      <c r="AJ920" s="76"/>
      <c r="AK920" s="292">
        <v>497.86</v>
      </c>
      <c r="AL920" s="40">
        <f t="shared" si="189"/>
        <v>78.530000000013956</v>
      </c>
      <c r="AM920" s="76">
        <f t="shared" ref="AM920" si="222">IFERROR(EOMONTH(B920,0),"Pendente")</f>
        <v>45716</v>
      </c>
      <c r="AN920" s="76" t="str">
        <f>IF(AQ920="x","",IF(AQ920="x",AM920,IF(EOMONTH(I920,0)=31,"",EOMONTH(I920,0))))</f>
        <v/>
      </c>
      <c r="AO920" s="74">
        <f>IFERROR(IF(VLOOKUP(C920,C921:C1522,1,0)=0,1,0),1)</f>
        <v>1</v>
      </c>
      <c r="AP920" s="74"/>
      <c r="AQ920" s="77" t="str">
        <f t="shared" ref="AQ920" si="223">IF(MID(G920,1,15)="NAO ASSINADO","x","")</f>
        <v/>
      </c>
      <c r="AR920" s="76" t="b">
        <f>IF(AQ920="x",EOMONTH(I920,0))</f>
        <v>0</v>
      </c>
      <c r="AS920" s="74">
        <f t="shared" ref="AS920" si="224">IF(AH920&lt;0,0,1)</f>
        <v>1</v>
      </c>
      <c r="AT920" s="74">
        <f t="shared" ref="AT920" si="225">IF(AL920&lt;0,0,1)</f>
        <v>1</v>
      </c>
      <c r="AU920" s="74" t="str">
        <f t="shared" ref="AU920" si="226">MID(E920,1,1)</f>
        <v>B</v>
      </c>
      <c r="AV920" s="74">
        <f t="shared" ref="AV920" si="227">IF(AG920&lt;0,0,1)</f>
        <v>1</v>
      </c>
      <c r="AW920" s="74" t="str">
        <f>J920&amp;AU920</f>
        <v>6B</v>
      </c>
      <c r="AX920" s="74">
        <f>IF(COUNTIFS(J:J,"Integral",E:E,E920,H:H,"Ativo")=4,1/4,1/10)</f>
        <v>0.1</v>
      </c>
      <c r="AY920" s="74" t="s">
        <v>1535</v>
      </c>
      <c r="AZ920" s="79" t="b">
        <v>1</v>
      </c>
      <c r="BA920" s="32"/>
      <c r="BB920" s="32"/>
      <c r="BC920" s="60"/>
      <c r="BD920" s="33"/>
      <c r="BE920" s="34"/>
      <c r="BF920" s="33"/>
      <c r="BG920" s="56"/>
      <c r="BH920" s="56"/>
      <c r="BI920" s="386"/>
      <c r="BJ920" s="33"/>
      <c r="BK920" s="33"/>
      <c r="BL920" s="33"/>
      <c r="BM920" s="47"/>
      <c r="BN920" s="47"/>
      <c r="BO920" s="45"/>
      <c r="BP920" s="392"/>
      <c r="BQ920" s="37"/>
      <c r="BR920" s="38"/>
      <c r="BS920" s="50"/>
      <c r="BT920" s="260"/>
      <c r="BU920" s="260"/>
      <c r="BV920" s="260"/>
      <c r="BW920" s="43"/>
      <c r="BX920" s="295"/>
      <c r="BY920" s="295"/>
      <c r="BZ920" s="62"/>
      <c r="CA920" s="292"/>
      <c r="CB920" s="40"/>
      <c r="CC920" s="292"/>
      <c r="CD920" s="40"/>
      <c r="CE920" s="76"/>
      <c r="CF920" s="76"/>
      <c r="CG920" s="74"/>
      <c r="CH920" s="74"/>
      <c r="CI920" s="77"/>
      <c r="CJ920" s="76"/>
      <c r="CK920" s="74"/>
      <c r="CL920" s="74"/>
      <c r="CM920" s="74"/>
      <c r="CN920" s="74"/>
      <c r="CO920" s="74"/>
      <c r="CP920" s="74"/>
      <c r="CQ920" s="74"/>
      <c r="CR920" s="79"/>
    </row>
    <row r="921" spans="1:96" ht="15" customHeight="1">
      <c r="A921" s="54">
        <v>953</v>
      </c>
      <c r="B921" s="405">
        <v>45709</v>
      </c>
      <c r="C921" s="351" t="s">
        <v>2772</v>
      </c>
      <c r="D921" s="32" t="s">
        <v>2773</v>
      </c>
      <c r="E921" s="32" t="s">
        <v>1330</v>
      </c>
      <c r="F921" s="32" t="s">
        <v>2774</v>
      </c>
      <c r="G921" s="60" t="s">
        <v>220</v>
      </c>
      <c r="H921" s="33" t="s">
        <v>90</v>
      </c>
      <c r="I921" s="34"/>
      <c r="J921" s="33">
        <v>6</v>
      </c>
      <c r="K921" s="56" t="s">
        <v>1891</v>
      </c>
      <c r="L921" s="56" t="s">
        <v>1891</v>
      </c>
      <c r="M921" s="67" t="s">
        <v>981</v>
      </c>
      <c r="N921" s="33" t="s">
        <v>68</v>
      </c>
      <c r="O921" s="33" t="s">
        <v>11</v>
      </c>
      <c r="P921" s="33" t="s">
        <v>2</v>
      </c>
      <c r="Q921" s="47"/>
      <c r="R921" s="47" t="s">
        <v>2741</v>
      </c>
      <c r="S921" s="45" t="s">
        <v>149</v>
      </c>
      <c r="T921" s="392">
        <v>7</v>
      </c>
      <c r="U921" s="37">
        <v>45468</v>
      </c>
      <c r="V921" s="38">
        <f t="shared" ref="V921" si="228">B921</f>
        <v>45709</v>
      </c>
      <c r="W921" s="50">
        <f t="shared" ref="W921" si="229">V921-U921</f>
        <v>241</v>
      </c>
      <c r="X921" s="260">
        <v>410576.39</v>
      </c>
      <c r="Y921" s="260">
        <v>410576.39</v>
      </c>
      <c r="Z921" s="260">
        <v>360000</v>
      </c>
      <c r="AA921" s="43"/>
      <c r="AB921" s="295">
        <v>0.2167</v>
      </c>
      <c r="AC921" s="295">
        <v>0</v>
      </c>
      <c r="AD921" s="62">
        <v>4.9000000000000002E-2</v>
      </c>
      <c r="AE921" s="292"/>
      <c r="AF921" s="40"/>
      <c r="AG921" s="292"/>
      <c r="AH921" s="40">
        <f t="shared" si="188"/>
        <v>50576.390000000014</v>
      </c>
      <c r="AI921" s="76"/>
      <c r="AJ921" s="76"/>
      <c r="AK921" s="292">
        <v>16260.27</v>
      </c>
      <c r="AL921" s="40">
        <f t="shared" si="189"/>
        <v>34316.12000000001</v>
      </c>
      <c r="AM921" s="76">
        <f t="shared" ref="AM921" si="230">IFERROR(EOMONTH(B921,0),"Pendente")</f>
        <v>45716</v>
      </c>
      <c r="AN921" s="76" t="str">
        <f>IF(AQ921="x","",IF(AQ921="x",AM921,IF(EOMONTH(I921,0)=31,"",EOMONTH(I921,0))))</f>
        <v/>
      </c>
      <c r="AO921" s="74">
        <f>IFERROR(IF(VLOOKUP(C921,C922:C1523,1,0)=0,1,0),1)</f>
        <v>1</v>
      </c>
      <c r="AP921" s="74"/>
      <c r="AQ921" s="77" t="str">
        <f t="shared" ref="AQ921" si="231">IF(MID(G921,1,15)="NAO ASSINADO","x","")</f>
        <v/>
      </c>
      <c r="AR921" s="76" t="b">
        <f>IF(AQ921="x",EOMONTH(I921,0))</f>
        <v>0</v>
      </c>
      <c r="AS921" s="74">
        <f t="shared" ref="AS921" si="232">IF(AH921&lt;0,0,1)</f>
        <v>1</v>
      </c>
      <c r="AT921" s="74">
        <f t="shared" ref="AT921" si="233">IF(AL921&lt;0,0,1)</f>
        <v>1</v>
      </c>
      <c r="AU921" s="74" t="str">
        <f t="shared" ref="AU921" si="234">MID(E921,1,1)</f>
        <v>B</v>
      </c>
      <c r="AV921" s="74">
        <f t="shared" ref="AV921" si="235">IF(AG921&lt;0,0,1)</f>
        <v>1</v>
      </c>
      <c r="AW921" s="74" t="str">
        <f>J921&amp;AU921</f>
        <v>6B</v>
      </c>
      <c r="AX921" s="74">
        <f>IF(COUNTIFS(J:J,"Integral",E:E,E921,H:H,"Ativo")=4,1/4,1/10)</f>
        <v>0.1</v>
      </c>
      <c r="AY921" s="74" t="s">
        <v>2775</v>
      </c>
      <c r="AZ921" s="79" t="b">
        <v>1</v>
      </c>
      <c r="BA921" s="32"/>
      <c r="BB921" s="32"/>
      <c r="BC921" s="60"/>
      <c r="BD921" s="33"/>
      <c r="BE921" s="34"/>
      <c r="BF921" s="33"/>
      <c r="BG921" s="56"/>
      <c r="BH921" s="56"/>
      <c r="BI921" s="386"/>
      <c r="BJ921" s="33"/>
      <c r="BK921" s="33"/>
      <c r="BL921" s="33"/>
      <c r="BM921" s="47"/>
      <c r="BN921" s="47"/>
      <c r="BO921" s="45"/>
      <c r="BP921" s="392"/>
      <c r="BQ921" s="37"/>
      <c r="BR921" s="38"/>
      <c r="BS921" s="50"/>
      <c r="BT921" s="260"/>
      <c r="BU921" s="260"/>
      <c r="BV921" s="260"/>
      <c r="BW921" s="43"/>
      <c r="BX921" s="295"/>
      <c r="BY921" s="295"/>
      <c r="BZ921" s="62"/>
      <c r="CA921" s="292"/>
      <c r="CB921" s="40"/>
      <c r="CC921" s="292"/>
      <c r="CD921" s="40"/>
      <c r="CE921" s="76"/>
      <c r="CF921" s="76"/>
      <c r="CG921" s="74"/>
      <c r="CH921" s="74"/>
      <c r="CI921" s="77"/>
      <c r="CJ921" s="76"/>
      <c r="CK921" s="74"/>
      <c r="CL921" s="74"/>
      <c r="CM921" s="74"/>
      <c r="CN921" s="74"/>
      <c r="CO921" s="74"/>
      <c r="CP921" s="74"/>
      <c r="CQ921" s="74"/>
      <c r="CR921" s="79"/>
    </row>
    <row r="922" spans="1:96" ht="15" customHeight="1">
      <c r="A922" s="54">
        <v>954</v>
      </c>
      <c r="B922" s="405">
        <v>45712</v>
      </c>
      <c r="C922" s="351" t="s">
        <v>2776</v>
      </c>
      <c r="D922" s="32" t="s">
        <v>1143</v>
      </c>
      <c r="E922" s="32" t="s">
        <v>1144</v>
      </c>
      <c r="F922" s="32" t="s">
        <v>2777</v>
      </c>
      <c r="G922" s="60" t="s">
        <v>220</v>
      </c>
      <c r="H922" s="33" t="s">
        <v>90</v>
      </c>
      <c r="I922" s="34"/>
      <c r="J922" s="33">
        <v>6</v>
      </c>
      <c r="K922" s="56" t="s">
        <v>1755</v>
      </c>
      <c r="L922" s="56" t="s">
        <v>1755</v>
      </c>
      <c r="M922" s="56" t="s">
        <v>1755</v>
      </c>
      <c r="N922" s="33" t="s">
        <v>73</v>
      </c>
      <c r="O922" s="33" t="s">
        <v>11</v>
      </c>
      <c r="P922" s="33" t="s">
        <v>85</v>
      </c>
      <c r="Q922" s="47"/>
      <c r="R922" s="47" t="s">
        <v>2741</v>
      </c>
      <c r="S922" s="45" t="s">
        <v>150</v>
      </c>
      <c r="T922" s="392">
        <v>3</v>
      </c>
      <c r="U922" s="37">
        <v>45705</v>
      </c>
      <c r="V922" s="38">
        <f t="shared" ref="V922" si="236">B922</f>
        <v>45712</v>
      </c>
      <c r="W922" s="50">
        <f t="shared" ref="W922" si="237">V922-U922</f>
        <v>7</v>
      </c>
      <c r="X922" s="260">
        <v>410576.39</v>
      </c>
      <c r="Y922" s="260">
        <v>410576.39</v>
      </c>
      <c r="Z922" s="260">
        <v>377000</v>
      </c>
      <c r="AA922" s="43"/>
      <c r="AB922" s="295">
        <v>0.2122</v>
      </c>
      <c r="AC922" s="295">
        <v>0</v>
      </c>
      <c r="AD922" s="62">
        <v>-4.6300000000000001E-2</v>
      </c>
      <c r="AE922" s="292"/>
      <c r="AF922" s="40"/>
      <c r="AG922" s="292">
        <v>15346.43</v>
      </c>
      <c r="AH922" s="40">
        <f t="shared" si="188"/>
        <v>33576.390000000014</v>
      </c>
      <c r="AI922" s="76"/>
      <c r="AJ922" s="76"/>
      <c r="AK922" s="292"/>
      <c r="AL922" s="40">
        <f t="shared" si="189"/>
        <v>33576.390000000014</v>
      </c>
      <c r="AM922" s="76">
        <f t="shared" ref="AM922" si="238">IFERROR(EOMONTH(B922,0),"Pendente")</f>
        <v>45716</v>
      </c>
      <c r="AN922" s="76" t="str">
        <f>IF(AQ922="x","",IF(AQ922="x",AM922,IF(EOMONTH(I922,0)=31,"",EOMONTH(I922,0))))</f>
        <v/>
      </c>
      <c r="AO922" s="74">
        <f>IFERROR(IF(VLOOKUP(C922,C923:C1524,1,0)=0,1,0),1)</f>
        <v>1</v>
      </c>
      <c r="AP922" s="74"/>
      <c r="AQ922" s="77" t="str">
        <f t="shared" ref="AQ922" si="239">IF(MID(G922,1,15)="NAO ASSINADO","x","")</f>
        <v/>
      </c>
      <c r="AR922" s="76" t="b">
        <f>IF(AQ922="x",EOMONTH(I922,0))</f>
        <v>0</v>
      </c>
      <c r="AS922" s="74">
        <f t="shared" ref="AS922" si="240">IF(AH922&lt;0,0,1)</f>
        <v>1</v>
      </c>
      <c r="AT922" s="74">
        <f t="shared" ref="AT922" si="241">IF(AL922&lt;0,0,1)</f>
        <v>1</v>
      </c>
      <c r="AU922" s="74" t="str">
        <f t="shared" ref="AU922" si="242">MID(E922,1,1)</f>
        <v>B</v>
      </c>
      <c r="AV922" s="74">
        <f t="shared" ref="AV922" si="243">IF(AG922&lt;0,0,1)</f>
        <v>1</v>
      </c>
      <c r="AW922" s="74" t="str">
        <f>J922&amp;AU922</f>
        <v>6B</v>
      </c>
      <c r="AX922" s="74">
        <f>IF(COUNTIFS(J:J,"Integral",E:E,E922,H:H,"Ativo")=4,1/4,1/10)</f>
        <v>0.1</v>
      </c>
      <c r="AY922" s="74" t="s">
        <v>1535</v>
      </c>
      <c r="AZ922" s="79" t="b">
        <v>1</v>
      </c>
      <c r="BA922" s="32"/>
      <c r="BB922" s="32"/>
      <c r="BC922" s="60"/>
      <c r="BD922" s="33"/>
      <c r="BE922" s="34"/>
      <c r="BF922" s="33"/>
      <c r="BG922" s="56"/>
      <c r="BH922" s="56"/>
      <c r="BI922" s="386"/>
      <c r="BJ922" s="33"/>
      <c r="BK922" s="33"/>
      <c r="BL922" s="33"/>
      <c r="BM922" s="47"/>
      <c r="BN922" s="47"/>
      <c r="BO922" s="45"/>
      <c r="BP922" s="392"/>
      <c r="BQ922" s="37"/>
      <c r="BR922" s="38"/>
      <c r="BS922" s="50"/>
      <c r="BT922" s="260"/>
      <c r="BU922" s="260"/>
      <c r="BV922" s="260"/>
      <c r="BW922" s="43"/>
      <c r="BX922" s="295"/>
      <c r="BY922" s="295"/>
      <c r="BZ922" s="62"/>
      <c r="CA922" s="292"/>
      <c r="CB922" s="40"/>
      <c r="CC922" s="292"/>
      <c r="CD922" s="40"/>
      <c r="CE922" s="76"/>
      <c r="CF922" s="76"/>
      <c r="CG922" s="74"/>
      <c r="CH922" s="74"/>
      <c r="CI922" s="77"/>
      <c r="CJ922" s="76"/>
      <c r="CK922" s="74"/>
      <c r="CL922" s="74"/>
      <c r="CM922" s="74"/>
      <c r="CN922" s="74"/>
      <c r="CO922" s="74"/>
      <c r="CP922" s="74"/>
      <c r="CQ922" s="74"/>
      <c r="CR922" s="79"/>
    </row>
    <row r="923" spans="1:96" ht="15" customHeight="1">
      <c r="A923" s="54">
        <v>955</v>
      </c>
      <c r="B923" s="406">
        <v>45716</v>
      </c>
      <c r="C923" s="351" t="s">
        <v>2778</v>
      </c>
      <c r="D923" s="32" t="s">
        <v>2779</v>
      </c>
      <c r="E923" s="32" t="s">
        <v>2770</v>
      </c>
      <c r="F923" s="32" t="s">
        <v>2780</v>
      </c>
      <c r="G923" s="60" t="s">
        <v>220</v>
      </c>
      <c r="H923" s="33" t="s">
        <v>90</v>
      </c>
      <c r="I923" s="34"/>
      <c r="J923" s="33">
        <v>6</v>
      </c>
      <c r="K923" s="56" t="s">
        <v>1149</v>
      </c>
      <c r="L923" s="56" t="s">
        <v>1149</v>
      </c>
      <c r="M923" s="67" t="s">
        <v>981</v>
      </c>
      <c r="N923" s="33" t="s">
        <v>68</v>
      </c>
      <c r="O923" s="33" t="s">
        <v>11</v>
      </c>
      <c r="P923" s="33" t="s">
        <v>2</v>
      </c>
      <c r="Q923" s="47"/>
      <c r="R923" s="47" t="s">
        <v>2741</v>
      </c>
      <c r="S923" s="45" t="s">
        <v>147</v>
      </c>
      <c r="T923" s="392">
        <v>2</v>
      </c>
      <c r="U923" s="37">
        <v>45662</v>
      </c>
      <c r="V923" s="38">
        <f>B923</f>
        <v>45716</v>
      </c>
      <c r="W923" s="50">
        <f>V923-U923</f>
        <v>54</v>
      </c>
      <c r="X923" s="260">
        <v>410576.39</v>
      </c>
      <c r="Y923" s="260">
        <v>410576.39</v>
      </c>
      <c r="Z923" s="260">
        <v>348000</v>
      </c>
      <c r="AA923" s="43"/>
      <c r="AB923" s="295">
        <v>0.33329999999999999</v>
      </c>
      <c r="AC923" s="295">
        <v>0</v>
      </c>
      <c r="AD923" s="62">
        <v>4.53E-2</v>
      </c>
      <c r="AE923" s="292"/>
      <c r="AF923" s="40"/>
      <c r="AG923" s="292"/>
      <c r="AH923" s="40">
        <f>Y923-Z923</f>
        <v>62576.390000000014</v>
      </c>
      <c r="AI923" s="76"/>
      <c r="AJ923" s="76"/>
      <c r="AK923" s="292">
        <v>15028.19</v>
      </c>
      <c r="AL923" s="40">
        <f>AH923-AK923</f>
        <v>47548.200000000012</v>
      </c>
      <c r="AM923" s="76">
        <f>IFERROR(EOMONTH(B923,0),"Pendente")</f>
        <v>45716</v>
      </c>
      <c r="AN923" s="76" t="str">
        <f>IF(AQ923="x","",IF(AQ923="x",AM923,IF(EOMONTH(I923,0)=31,"",EOMONTH(I923,0))))</f>
        <v/>
      </c>
      <c r="AO923" s="74">
        <f>IFERROR(IF(VLOOKUP(C923,C924:C1525,1,0)=0,1,0),1)</f>
        <v>1</v>
      </c>
      <c r="AP923" s="74"/>
      <c r="AQ923" s="77" t="str">
        <f>IF(MID(G923,1,15)="NAO ASSINADO","x","")</f>
        <v/>
      </c>
      <c r="AR923" s="76" t="b">
        <f>IF(AQ923="x",EOMONTH(I923,0))</f>
        <v>0</v>
      </c>
      <c r="AS923" s="74">
        <f>IF(AH923&lt;0,0,1)</f>
        <v>1</v>
      </c>
      <c r="AT923" s="74">
        <f>IF(AL923&lt;0,0,1)</f>
        <v>1</v>
      </c>
      <c r="AU923" s="74" t="str">
        <f>MID(E923,1,1)</f>
        <v>B</v>
      </c>
      <c r="AV923" s="74">
        <f>IF(AG923&lt;0,0,1)</f>
        <v>1</v>
      </c>
      <c r="AW923" s="74" t="str">
        <f>J923&amp;AU923</f>
        <v>6B</v>
      </c>
      <c r="AX923" s="74">
        <f>IF(COUNTIFS(J:J,"Integral",E:E,E923,H:H,"Ativo")=4,1/4,1/10)</f>
        <v>0.1</v>
      </c>
      <c r="AY923" s="74" t="s">
        <v>1535</v>
      </c>
      <c r="AZ923" s="79" t="b">
        <v>1</v>
      </c>
      <c r="BA923" s="32"/>
      <c r="BB923" s="32"/>
      <c r="BC923" s="60"/>
      <c r="BD923" s="33"/>
      <c r="BE923" s="34"/>
      <c r="BF923" s="33"/>
      <c r="BG923" s="56"/>
      <c r="BH923" s="56"/>
      <c r="BI923" s="386"/>
      <c r="BJ923" s="33"/>
      <c r="BK923" s="33"/>
      <c r="BL923" s="33"/>
      <c r="BM923" s="47"/>
      <c r="BN923" s="47"/>
      <c r="BO923" s="45"/>
      <c r="BP923" s="392"/>
      <c r="BQ923" s="37"/>
      <c r="BR923" s="38"/>
      <c r="BS923" s="50"/>
      <c r="BT923" s="260"/>
      <c r="BU923" s="260"/>
      <c r="BV923" s="260"/>
      <c r="BW923" s="43"/>
      <c r="BX923" s="295"/>
      <c r="BY923" s="295"/>
      <c r="BZ923" s="62"/>
      <c r="CA923" s="292"/>
      <c r="CB923" s="40"/>
      <c r="CC923" s="292"/>
      <c r="CD923" s="40"/>
      <c r="CE923" s="76"/>
      <c r="CF923" s="76"/>
      <c r="CG923" s="74"/>
      <c r="CH923" s="74"/>
      <c r="CI923" s="77"/>
      <c r="CJ923" s="76"/>
      <c r="CK923" s="74"/>
      <c r="CL923" s="74"/>
      <c r="CM923" s="74"/>
      <c r="CN923" s="74"/>
      <c r="CO923" s="74"/>
      <c r="CP923" s="74"/>
      <c r="CQ923" s="74"/>
      <c r="CR923" s="74"/>
    </row>
    <row r="924" spans="1:96" ht="15" customHeight="1">
      <c r="A924" s="54">
        <v>956</v>
      </c>
      <c r="B924" s="407" t="s">
        <v>67</v>
      </c>
      <c r="C924" s="351" t="s">
        <v>2781</v>
      </c>
      <c r="D924" s="32" t="s">
        <v>2782</v>
      </c>
      <c r="E924" s="32" t="s">
        <v>2137</v>
      </c>
      <c r="F924" s="32" t="s">
        <v>2783</v>
      </c>
      <c r="G924" s="60" t="s">
        <v>243</v>
      </c>
      <c r="H924" s="33" t="s">
        <v>90</v>
      </c>
      <c r="I924" s="34"/>
      <c r="J924" s="33">
        <v>6</v>
      </c>
      <c r="K924" s="56" t="s">
        <v>1165</v>
      </c>
      <c r="L924" s="56" t="s">
        <v>1165</v>
      </c>
      <c r="M924" s="67" t="s">
        <v>981</v>
      </c>
      <c r="N924" s="33" t="s">
        <v>68</v>
      </c>
      <c r="O924" s="33" t="s">
        <v>12</v>
      </c>
      <c r="P924" s="33" t="s">
        <v>2</v>
      </c>
      <c r="Q924" s="47"/>
      <c r="R924" s="47" t="s">
        <v>2741</v>
      </c>
      <c r="S924" s="45" t="s">
        <v>161</v>
      </c>
      <c r="T924" s="392">
        <v>1</v>
      </c>
      <c r="U924" s="37">
        <v>45703</v>
      </c>
      <c r="V924" s="38" t="str">
        <f>B924</f>
        <v>Pendente</v>
      </c>
      <c r="W924" s="50" t="e">
        <f>V924-U924</f>
        <v>#VALUE!</v>
      </c>
      <c r="X924" s="260">
        <v>410576.39</v>
      </c>
      <c r="Y924" s="260">
        <v>410576.39</v>
      </c>
      <c r="Z924" s="260">
        <v>410000</v>
      </c>
      <c r="AA924" s="43"/>
      <c r="AB924" s="295">
        <v>0.20030000000000001</v>
      </c>
      <c r="AC924" s="295">
        <v>0</v>
      </c>
      <c r="AD924" s="62">
        <v>1.2200000000000001E-2</v>
      </c>
      <c r="AE924" s="292"/>
      <c r="AF924" s="40"/>
      <c r="AG924" s="292"/>
      <c r="AH924" s="40">
        <f>Y924-Z924</f>
        <v>576.39000000001397</v>
      </c>
      <c r="AI924" s="76"/>
      <c r="AJ924" s="76"/>
      <c r="AK924" s="292">
        <v>4049.64</v>
      </c>
      <c r="AL924" s="40">
        <f>AH924-AK924</f>
        <v>-3473.2499999999859</v>
      </c>
      <c r="AM924" s="76" t="str">
        <f>IFERROR(EOMONTH(B924,0),"Pendente")</f>
        <v>Pendente</v>
      </c>
      <c r="AN924" s="76" t="str">
        <f>IF(AQ924="x","",IF(AQ924="x",AM924,IF(EOMONTH(I924,0)=31,"",EOMONTH(I924,0))))</f>
        <v/>
      </c>
      <c r="AO924" s="74">
        <f>IFERROR(IF(VLOOKUP(C924,C925:C1526,1,0)=0,1,0),1)</f>
        <v>1</v>
      </c>
      <c r="AP924" s="74"/>
      <c r="AQ924" s="77" t="str">
        <f>IF(MID(G924,1,15)="NAO ASSINADO","x","")</f>
        <v>x</v>
      </c>
      <c r="AR924" s="76">
        <f>IF(AQ924="x",EOMONTH(I924,0))</f>
        <v>31</v>
      </c>
      <c r="AS924" s="74">
        <f>IF(AH924&lt;0,0,1)</f>
        <v>1</v>
      </c>
      <c r="AT924" s="74">
        <f>IF(AL924&lt;0,0,1)</f>
        <v>0</v>
      </c>
      <c r="AU924" s="74" t="str">
        <f>MID(E924,1,1)</f>
        <v>B</v>
      </c>
      <c r="AV924" s="74">
        <f>IF(AG924&lt;0,0,1)</f>
        <v>1</v>
      </c>
      <c r="AW924" s="74" t="str">
        <f>J924&amp;AU924</f>
        <v>6B</v>
      </c>
      <c r="AX924" s="74">
        <f>IF(COUNTIFS(J:J,"Integral",E:E,E924,H:H,"Ativo")=4,1/4,1/10)</f>
        <v>0.1</v>
      </c>
      <c r="AY924" s="74" t="s">
        <v>1535</v>
      </c>
      <c r="AZ924" s="79" t="b">
        <v>1</v>
      </c>
      <c r="BA924" s="32"/>
      <c r="BB924" s="32"/>
      <c r="BC924" s="60"/>
      <c r="BD924" s="33"/>
      <c r="BE924" s="34"/>
      <c r="BF924" s="33"/>
      <c r="BG924" s="56"/>
      <c r="BH924" s="56"/>
      <c r="BI924" s="386"/>
      <c r="BJ924" s="33"/>
      <c r="BK924" s="33"/>
      <c r="BL924" s="33"/>
      <c r="BM924" s="47"/>
      <c r="BN924" s="47"/>
      <c r="BO924" s="45"/>
      <c r="BP924" s="392"/>
      <c r="BQ924" s="37"/>
      <c r="BR924" s="38"/>
      <c r="BS924" s="50"/>
      <c r="BT924" s="260"/>
      <c r="BU924" s="260"/>
      <c r="BV924" s="260"/>
      <c r="BW924" s="43"/>
      <c r="BX924" s="295"/>
      <c r="BY924" s="295"/>
      <c r="BZ924" s="62"/>
      <c r="CA924" s="292"/>
      <c r="CB924" s="40"/>
      <c r="CC924" s="292"/>
      <c r="CD924" s="40"/>
      <c r="CE924" s="76"/>
      <c r="CF924" s="76"/>
      <c r="CG924" s="74"/>
      <c r="CH924" s="74"/>
      <c r="CI924" s="77"/>
      <c r="CJ924" s="76"/>
      <c r="CK924" s="74"/>
      <c r="CL924" s="74"/>
      <c r="CM924" s="74"/>
      <c r="CN924" s="74"/>
      <c r="CO924" s="74"/>
      <c r="CP924" s="74"/>
      <c r="CQ924" s="74"/>
      <c r="CR924" s="74"/>
    </row>
    <row r="925" spans="1:96" ht="15" customHeight="1">
      <c r="A925" s="54">
        <v>957</v>
      </c>
      <c r="B925" s="406">
        <v>45716</v>
      </c>
      <c r="C925" s="351" t="s">
        <v>2784</v>
      </c>
      <c r="D925" s="32" t="s">
        <v>2785</v>
      </c>
      <c r="E925" s="32" t="s">
        <v>2770</v>
      </c>
      <c r="F925" s="32" t="s">
        <v>2786</v>
      </c>
      <c r="G925" s="60" t="s">
        <v>220</v>
      </c>
      <c r="H925" s="33" t="s">
        <v>90</v>
      </c>
      <c r="I925" s="34"/>
      <c r="J925" s="33">
        <v>6</v>
      </c>
      <c r="K925" s="35" t="s">
        <v>378</v>
      </c>
      <c r="L925" s="35" t="s">
        <v>378</v>
      </c>
      <c r="M925" s="386" t="s">
        <v>246</v>
      </c>
      <c r="N925" s="33" t="s">
        <v>68</v>
      </c>
      <c r="O925" s="33" t="s">
        <v>10</v>
      </c>
      <c r="P925" s="33" t="s">
        <v>1</v>
      </c>
      <c r="Q925" s="47"/>
      <c r="R925" s="47" t="s">
        <v>2744</v>
      </c>
      <c r="S925" s="45" t="s">
        <v>145</v>
      </c>
      <c r="T925" s="392">
        <v>30</v>
      </c>
      <c r="U925" s="37">
        <v>44986</v>
      </c>
      <c r="V925" s="38">
        <f>B925</f>
        <v>45716</v>
      </c>
      <c r="W925" s="50">
        <f>V925-U925</f>
        <v>730</v>
      </c>
      <c r="X925" s="260">
        <v>410576.39</v>
      </c>
      <c r="Y925" s="260">
        <v>410576.39</v>
      </c>
      <c r="Z925" s="260">
        <v>331565.77</v>
      </c>
      <c r="AA925" s="43"/>
      <c r="AB925" s="295">
        <v>1</v>
      </c>
      <c r="AC925" s="295">
        <v>0</v>
      </c>
      <c r="AD925" s="62">
        <v>9.2999999999999992E-3</v>
      </c>
      <c r="AE925" s="292"/>
      <c r="AF925" s="40"/>
      <c r="AG925" s="292"/>
      <c r="AH925" s="40">
        <f>Y925-Z925</f>
        <v>79010.62</v>
      </c>
      <c r="AI925" s="76"/>
      <c r="AJ925" s="76"/>
      <c r="AK925" s="292">
        <v>3069.59</v>
      </c>
      <c r="AL925" s="40">
        <f>AH925-AK925</f>
        <v>75941.03</v>
      </c>
      <c r="AM925" s="76">
        <f>IFERROR(EOMONTH(B925,0),"Pendente")</f>
        <v>45716</v>
      </c>
      <c r="AN925" s="76" t="str">
        <f>IF(AQ925="x","",IF(AQ925="x",AM925,IF(EOMONTH(I925,0)=31,"",EOMONTH(I925,0))))</f>
        <v/>
      </c>
      <c r="AO925" s="74">
        <f>IFERROR(IF(VLOOKUP(C925,C926:C1527,1,0)=0,1,0),1)</f>
        <v>1</v>
      </c>
      <c r="AP925" s="74"/>
      <c r="AQ925" s="77" t="str">
        <f>IF(MID(G925,1,15)="NAO ASSINADO","x","")</f>
        <v/>
      </c>
      <c r="AR925" s="76" t="b">
        <f>IF(AQ925="x",EOMONTH(I925,0))</f>
        <v>0</v>
      </c>
      <c r="AS925" s="74">
        <f>IF(AH925&lt;0,0,1)</f>
        <v>1</v>
      </c>
      <c r="AT925" s="74">
        <f>IF(AL925&lt;0,0,1)</f>
        <v>1</v>
      </c>
      <c r="AU925" s="74" t="str">
        <f>MID(E925,1,1)</f>
        <v>B</v>
      </c>
      <c r="AV925" s="74">
        <f>IF(AG925&lt;0,0,1)</f>
        <v>1</v>
      </c>
      <c r="AW925" s="74" t="str">
        <f>J925&amp;AU925</f>
        <v>6B</v>
      </c>
      <c r="AX925" s="74">
        <f>IF(COUNTIFS(J:J,"Integral",E:E,E925,H:H,"Ativo")=4,1/4,1/10)</f>
        <v>0.1</v>
      </c>
      <c r="AY925" s="74" t="s">
        <v>1535</v>
      </c>
      <c r="AZ925" s="79" t="b">
        <v>1</v>
      </c>
      <c r="BA925" s="32"/>
      <c r="BB925" s="32"/>
      <c r="BC925" s="60"/>
      <c r="BD925" s="33"/>
      <c r="BE925" s="34"/>
      <c r="BF925" s="33"/>
      <c r="BG925" s="56"/>
      <c r="BH925" s="56"/>
      <c r="BI925" s="386"/>
      <c r="BJ925" s="33"/>
      <c r="BK925" s="33"/>
      <c r="BL925" s="33"/>
      <c r="BM925" s="47"/>
      <c r="BN925" s="47"/>
      <c r="BO925" s="45"/>
      <c r="BP925" s="392"/>
      <c r="BQ925" s="37"/>
      <c r="BR925" s="38"/>
      <c r="BS925" s="50"/>
      <c r="BT925" s="260"/>
      <c r="BU925" s="260"/>
      <c r="BV925" s="260"/>
      <c r="BW925" s="43"/>
      <c r="BX925" s="295"/>
      <c r="BY925" s="295"/>
      <c r="BZ925" s="62"/>
      <c r="CA925" s="292"/>
      <c r="CB925" s="40"/>
      <c r="CC925" s="292"/>
      <c r="CD925" s="40"/>
      <c r="CE925" s="76"/>
      <c r="CF925" s="76"/>
      <c r="CG925" s="74"/>
      <c r="CH925" s="74"/>
      <c r="CI925" s="77"/>
      <c r="CJ925" s="76"/>
      <c r="CK925" s="74"/>
      <c r="CL925" s="74"/>
      <c r="CM925" s="74"/>
      <c r="CN925" s="74"/>
      <c r="CO925" s="74"/>
      <c r="CP925" s="74"/>
      <c r="CQ925" s="74"/>
      <c r="CR925" s="74"/>
    </row>
    <row r="926" spans="1:96" ht="15" customHeight="1">
      <c r="A926" s="54">
        <v>958</v>
      </c>
      <c r="B926" s="405">
        <v>45720</v>
      </c>
      <c r="C926" s="351" t="s">
        <v>2787</v>
      </c>
      <c r="D926" s="32" t="s">
        <v>2788</v>
      </c>
      <c r="E926" s="32" t="s">
        <v>2770</v>
      </c>
      <c r="F926" s="32" t="s">
        <v>2789</v>
      </c>
      <c r="G926" s="60" t="s">
        <v>220</v>
      </c>
      <c r="H926" s="33" t="s">
        <v>90</v>
      </c>
      <c r="I926" s="34"/>
      <c r="J926" s="33">
        <v>6</v>
      </c>
      <c r="K926" s="35" t="s">
        <v>378</v>
      </c>
      <c r="L926" s="56" t="s">
        <v>1512</v>
      </c>
      <c r="M926" s="67" t="s">
        <v>2790</v>
      </c>
      <c r="N926" s="33" t="s">
        <v>68</v>
      </c>
      <c r="O926" s="33" t="s">
        <v>10</v>
      </c>
      <c r="P926" s="33" t="s">
        <v>1</v>
      </c>
      <c r="Q926" s="47"/>
      <c r="R926" s="47" t="s">
        <v>2744</v>
      </c>
      <c r="S926" s="45" t="s">
        <v>143</v>
      </c>
      <c r="T926" s="392">
        <v>1</v>
      </c>
      <c r="U926" s="37">
        <v>45718</v>
      </c>
      <c r="V926" s="38">
        <f>B926</f>
        <v>45720</v>
      </c>
      <c r="W926" s="50">
        <f>V926-U926</f>
        <v>2</v>
      </c>
      <c r="X926" s="260">
        <v>412670.33</v>
      </c>
      <c r="Y926" s="260">
        <v>412670.33</v>
      </c>
      <c r="Z926" s="260">
        <v>328000</v>
      </c>
      <c r="AA926" s="43"/>
      <c r="AB926" s="295">
        <v>1</v>
      </c>
      <c r="AC926" s="295">
        <v>0</v>
      </c>
      <c r="AD926" s="62">
        <v>2.9600000000000001E-2</v>
      </c>
      <c r="AE926" s="292"/>
      <c r="AF926" s="40"/>
      <c r="AG926" s="292"/>
      <c r="AH926" s="40">
        <f>Y926-Z926</f>
        <v>84670.330000000016</v>
      </c>
      <c r="AI926" s="76"/>
      <c r="AJ926" s="76"/>
      <c r="AK926" s="292">
        <v>9852.4500000000007</v>
      </c>
      <c r="AL926" s="40">
        <f>AH926-AK926</f>
        <v>74817.880000000019</v>
      </c>
      <c r="AM926" s="76">
        <f>IFERROR(EOMONTH(B926,0),"Pendente")</f>
        <v>45747</v>
      </c>
      <c r="AN926" s="76" t="str">
        <f>IF(AQ926="x","",IF(AQ926="x",AM926,IF(EOMONTH(I926,0)=31,"",EOMONTH(I926,0))))</f>
        <v/>
      </c>
      <c r="AO926" s="74">
        <f>IFERROR(IF(VLOOKUP(C926,C927:C1528,1,0)=0,1,0),1)</f>
        <v>1</v>
      </c>
      <c r="AP926" s="74"/>
      <c r="AQ926" s="77" t="str">
        <f>IF(MID(G926,1,15)="NAO ASSINADO","x","")</f>
        <v/>
      </c>
      <c r="AR926" s="76" t="b">
        <f>IF(AQ926="x",EOMONTH(I926,0))</f>
        <v>0</v>
      </c>
      <c r="AS926" s="74">
        <f>IF(AH926&lt;0,0,1)</f>
        <v>1</v>
      </c>
      <c r="AT926" s="74">
        <f>IF(AL926&lt;0,0,1)</f>
        <v>1</v>
      </c>
      <c r="AU926" s="74" t="str">
        <f>MID(E926,1,1)</f>
        <v>B</v>
      </c>
      <c r="AV926" s="74">
        <f>IF(AG926&lt;0,0,1)</f>
        <v>1</v>
      </c>
      <c r="AW926" s="74" t="str">
        <f>J926&amp;AU926</f>
        <v>6B</v>
      </c>
      <c r="AX926" s="74">
        <f>IF(COUNTIFS(J:J,"Integral",E:E,E926,H:H,"Ativo")=4,1/4,1/10)</f>
        <v>0.1</v>
      </c>
      <c r="AY926" s="74" t="s">
        <v>1535</v>
      </c>
      <c r="AZ926" s="79" t="b">
        <v>0</v>
      </c>
      <c r="BA926" s="32"/>
      <c r="BB926" s="32"/>
      <c r="BC926" s="60"/>
      <c r="BD926" s="33"/>
      <c r="BE926" s="34"/>
      <c r="BF926" s="33"/>
      <c r="BG926" s="56"/>
      <c r="BH926" s="56"/>
      <c r="BI926" s="386"/>
      <c r="BJ926" s="33"/>
      <c r="BK926" s="33"/>
      <c r="BL926" s="33"/>
      <c r="BM926" s="47"/>
      <c r="BN926" s="47"/>
      <c r="BO926" s="45"/>
      <c r="BP926" s="392"/>
      <c r="BQ926" s="37"/>
      <c r="BR926" s="38"/>
      <c r="BS926" s="50"/>
      <c r="BT926" s="260"/>
      <c r="BU926" s="260"/>
      <c r="BV926" s="260"/>
      <c r="BW926" s="43"/>
      <c r="BX926" s="295"/>
      <c r="BY926" s="295"/>
      <c r="BZ926" s="62"/>
      <c r="CA926" s="292"/>
      <c r="CB926" s="40"/>
      <c r="CC926" s="292"/>
      <c r="CD926" s="40"/>
      <c r="CE926" s="76"/>
      <c r="CF926" s="76"/>
      <c r="CG926" s="74"/>
      <c r="CH926" s="74"/>
      <c r="CI926" s="77"/>
      <c r="CJ926" s="76"/>
      <c r="CK926" s="74"/>
      <c r="CL926" s="74"/>
      <c r="CM926" s="74"/>
      <c r="CN926" s="74"/>
      <c r="CO926" s="74"/>
      <c r="CP926" s="74"/>
      <c r="CQ926" s="74"/>
      <c r="CR926" s="74"/>
    </row>
    <row r="927" spans="1:96" ht="15" customHeight="1">
      <c r="A927" s="54">
        <v>959</v>
      </c>
      <c r="B927" s="407" t="s">
        <v>67</v>
      </c>
      <c r="C927" s="351" t="s">
        <v>2791</v>
      </c>
      <c r="D927" s="32" t="s">
        <v>2792</v>
      </c>
      <c r="E927" s="32" t="s">
        <v>2770</v>
      </c>
      <c r="F927" s="32" t="s">
        <v>2793</v>
      </c>
      <c r="G927" s="60" t="s">
        <v>243</v>
      </c>
      <c r="H927" s="33" t="s">
        <v>90</v>
      </c>
      <c r="I927" s="34"/>
      <c r="J927" s="33">
        <v>6</v>
      </c>
      <c r="K927" s="56" t="s">
        <v>1165</v>
      </c>
      <c r="L927" s="56" t="s">
        <v>1165</v>
      </c>
      <c r="M927" s="67" t="s">
        <v>981</v>
      </c>
      <c r="N927" s="33" t="s">
        <v>68</v>
      </c>
      <c r="O927" s="33" t="s">
        <v>12</v>
      </c>
      <c r="P927" s="33" t="s">
        <v>2</v>
      </c>
      <c r="Q927" s="47" t="s">
        <v>2794</v>
      </c>
      <c r="R927" s="47" t="s">
        <v>2744</v>
      </c>
      <c r="S927" s="45" t="s">
        <v>145</v>
      </c>
      <c r="T927" s="392">
        <v>5</v>
      </c>
      <c r="U927" s="37">
        <v>43874</v>
      </c>
      <c r="V927" s="38" t="str">
        <f>B927</f>
        <v>Pendente</v>
      </c>
      <c r="W927" s="50" t="e">
        <f>V927-U927</f>
        <v>#VALUE!</v>
      </c>
      <c r="X927" s="260">
        <v>412670.33</v>
      </c>
      <c r="Y927" s="260">
        <v>412670.33</v>
      </c>
      <c r="Z927" s="260">
        <v>412000</v>
      </c>
      <c r="AA927" s="43"/>
      <c r="AB927" s="295">
        <v>0.2039</v>
      </c>
      <c r="AC927" s="295">
        <v>0</v>
      </c>
      <c r="AD927" s="62">
        <v>5.0000000000000001E-4</v>
      </c>
      <c r="AE927" s="292"/>
      <c r="AF927" s="40"/>
      <c r="AG927" s="292"/>
      <c r="AH927" s="40">
        <f>Y927-Z927</f>
        <v>670.3300000000163</v>
      </c>
      <c r="AI927" s="76"/>
      <c r="AJ927" s="76"/>
      <c r="AK927" s="292">
        <v>156.09</v>
      </c>
      <c r="AL927" s="40">
        <f>AH927-AK927</f>
        <v>514.24000000001627</v>
      </c>
      <c r="AM927" s="76" t="str">
        <f>IFERROR(EOMONTH(B927,0),"Pendente")</f>
        <v>Pendente</v>
      </c>
      <c r="AN927" s="76" t="str">
        <f>IF(AQ927="x","",IF(AQ927="x",AM927,IF(EOMONTH(I927,0)=31,"",EOMONTH(I927,0))))</f>
        <v/>
      </c>
      <c r="AO927" s="74">
        <f>IFERROR(IF(VLOOKUP(C927,C928:C1529,1,0)=0,1,0),1)</f>
        <v>1</v>
      </c>
      <c r="AP927" s="74"/>
      <c r="AQ927" s="77" t="str">
        <f>IF(MID(G927,1,15)="NAO ASSINADO","x","")</f>
        <v>x</v>
      </c>
      <c r="AR927" s="76">
        <f>IF(AQ927="x",EOMONTH(I927,0))</f>
        <v>31</v>
      </c>
      <c r="AS927" s="74">
        <f>IF(AH927&lt;0,0,1)</f>
        <v>1</v>
      </c>
      <c r="AT927" s="74">
        <f>IF(AL927&lt;0,0,1)</f>
        <v>1</v>
      </c>
      <c r="AU927" s="74" t="str">
        <f>MID(E927,1,1)</f>
        <v>B</v>
      </c>
      <c r="AV927" s="74">
        <f>IF(AG927&lt;0,0,1)</f>
        <v>1</v>
      </c>
      <c r="AW927" s="74" t="str">
        <f>J927&amp;AU927</f>
        <v>6B</v>
      </c>
      <c r="AX927" s="74">
        <f>IF(COUNTIFS(J:J,"Integral",E:E,E927,H:H,"Ativo")=4,1/4,1/10)</f>
        <v>0.1</v>
      </c>
      <c r="AY927" s="74" t="s">
        <v>2133</v>
      </c>
      <c r="AZ927" s="79" t="b">
        <v>0</v>
      </c>
      <c r="BA927" s="32"/>
      <c r="BB927" s="32"/>
      <c r="BC927" s="60"/>
      <c r="BD927" s="33"/>
      <c r="BE927" s="34"/>
      <c r="BF927" s="33"/>
      <c r="BG927" s="56"/>
      <c r="BH927" s="56"/>
      <c r="BI927" s="386"/>
      <c r="BJ927" s="33"/>
      <c r="BK927" s="33"/>
      <c r="BL927" s="33"/>
      <c r="BM927" s="47"/>
      <c r="BN927" s="47"/>
      <c r="BO927" s="45"/>
      <c r="BP927" s="392"/>
      <c r="BQ927" s="37"/>
      <c r="BR927" s="38"/>
      <c r="BS927" s="50"/>
      <c r="BT927" s="260"/>
      <c r="BU927" s="260"/>
      <c r="BV927" s="260"/>
      <c r="BW927" s="43"/>
      <c r="BX927" s="295"/>
      <c r="BY927" s="295"/>
      <c r="BZ927" s="62"/>
      <c r="CA927" s="292"/>
      <c r="CB927" s="40"/>
      <c r="CC927" s="292"/>
      <c r="CD927" s="40"/>
      <c r="CE927" s="76"/>
      <c r="CF927" s="76"/>
      <c r="CG927" s="74"/>
      <c r="CH927" s="74"/>
      <c r="CI927" s="77"/>
      <c r="CJ927" s="76"/>
      <c r="CK927" s="74"/>
      <c r="CL927" s="74"/>
      <c r="CM927" s="74"/>
      <c r="CN927" s="74"/>
      <c r="CO927" s="74"/>
      <c r="CP927" s="74"/>
      <c r="CQ927" s="74"/>
      <c r="CR927" s="74"/>
    </row>
  </sheetData>
  <autoFilter ref="A1:AZ926" xr:uid="{00000000-0001-0000-0100-000000000000}"/>
  <customSheetViews>
    <customSheetView guid="{C2B9D816-58B9-4C5A-8DBE-5769D6A0DC3D}" filter="1" showAutoFilter="1">
      <pageMargins left="0" right="0" top="0" bottom="0" header="0" footer="0"/>
      <autoFilter ref="A1:BD612" xr:uid="{09E02407-436A-4B1E-94C8-49A0855E17E8}"/>
      <extLst>
        <ext uri="GoogleSheetsCustomDataVersion1">
          <go:sheetsCustomData xmlns:go="http://customooxmlschemas.google.com/" filterViewId="1354754514"/>
        </ext>
      </extLst>
    </customSheetView>
    <customSheetView guid="{6AAED790-FA67-4AED-8DD0-61FA1408D0D9}" filter="1" showAutoFilter="1">
      <pageMargins left="0" right="0" top="0" bottom="0" header="0" footer="0"/>
      <autoFilter ref="A1:BB612" xr:uid="{D9522A06-7914-42B9-BDD1-99652C46A2DF}"/>
      <extLst>
        <ext uri="GoogleSheetsCustomDataVersion1">
          <go:sheetsCustomData xmlns:go="http://customooxmlschemas.google.com/" filterViewId="34506776"/>
        </ext>
      </extLst>
    </customSheetView>
    <customSheetView guid="{60A56CFE-2910-4298-94B4-54F63BE2B52D}" filter="1" showAutoFilter="1">
      <pageMargins left="0" right="0" top="0" bottom="0" header="0" footer="0"/>
      <autoFilter ref="A1:BB612" xr:uid="{3BA36235-4512-419C-866F-58E39C334A57}"/>
      <extLst>
        <ext uri="GoogleSheetsCustomDataVersion1">
          <go:sheetsCustomData xmlns:go="http://customooxmlschemas.google.com/" filterViewId="686960550"/>
        </ext>
      </extLst>
    </customSheetView>
    <customSheetView guid="{1D6EDBD6-E6A6-4E74-B312-50E7B8177912}" filter="1" showAutoFilter="1">
      <pageMargins left="0" right="0" top="0" bottom="0" header="0" footer="0"/>
      <autoFilter ref="A1:BD633" xr:uid="{2B98F424-1C87-4205-A314-EA4F526D4138}"/>
      <extLst>
        <ext uri="GoogleSheetsCustomDataVersion1">
          <go:sheetsCustomData xmlns:go="http://customooxmlschemas.google.com/" filterViewId="806164712"/>
        </ext>
      </extLst>
    </customSheetView>
  </customSheetViews>
  <conditionalFormatting sqref="AC2:AD240 I2:J279 Z2:AB365 AE2:AE365 AG2:AL365 Y2:Y368 X2:X855 AD36:AD368 AC241:AC257 H258 AF258:AF368 I281:J365 AC293 BO694:BO695 DE694:DE695 EQ694:EQ695 BG705:BG734 CW705:CW734 EI705:EI734 FY705:FY734 HG705:HG734 IW705:IW734 KI705:KI734 J724:J726 Q724:U726 BG744:BG746 BO744:BO746 CW744:CW746 DE744:DE746 EI744:EI746 EQ744:EQ746 FY744:FY746 HG744:HG746 IW744:IW746 KI744:KI746 BW801:BW835 DQ801:DQ835 FK801:FK835 HE801:HE835 IY801:IY835 KS801:KS835 MM801:MM835 X928:X1599 Q400:R404 Q408:R409 Q439:R440 Q442:R442 Q444:R444 Q468:R468 Q614:R614 Q727:R729 Q849:R858 J2:W365">
    <cfRule type="cellIs" dxfId="19" priority="27" operator="equal">
      <formula>0</formula>
    </cfRule>
  </conditionalFormatting>
  <conditionalFormatting sqref="AF198:AF202">
    <cfRule type="cellIs" dxfId="18" priority="29" operator="equal">
      <formula>0</formula>
    </cfRule>
  </conditionalFormatting>
  <conditionalFormatting sqref="AG259:AH261">
    <cfRule type="cellIs" dxfId="17" priority="30" operator="equal">
      <formula>0</formula>
    </cfRule>
  </conditionalFormatting>
  <conditionalFormatting sqref="AH253">
    <cfRule type="cellIs" dxfId="16" priority="32" operator="equal">
      <formula>0</formula>
    </cfRule>
  </conditionalFormatting>
  <conditionalFormatting sqref="AH263:AH269">
    <cfRule type="cellIs" dxfId="15" priority="33" operator="equal">
      <formula>0</formula>
    </cfRule>
  </conditionalFormatting>
  <conditionalFormatting sqref="AH272:AH276">
    <cfRule type="cellIs" dxfId="14" priority="34" operator="equal">
      <formula>0</formula>
    </cfRule>
  </conditionalFormatting>
  <conditionalFormatting sqref="AH278:AH279">
    <cfRule type="cellIs" dxfId="13" priority="35" operator="equal">
      <formula>0</formula>
    </cfRule>
  </conditionalFormatting>
  <conditionalFormatting sqref="AH281:AH282">
    <cfRule type="cellIs" dxfId="12" priority="36" operator="equal">
      <formula>0</formula>
    </cfRule>
  </conditionalFormatting>
  <conditionalFormatting sqref="AH2:AL246 AF2:AG257 AK248:AL251 AG263:AK263">
    <cfRule type="cellIs" dxfId="11" priority="28" operator="equal">
      <formula>0</formula>
    </cfRule>
  </conditionalFormatting>
  <conditionalFormatting sqref="BC735:BC741 CS735:CS741 EE735:EE741 FU735:FU741 HC735:HC741 IS735:IS741 KE735:KE741">
    <cfRule type="cellIs" dxfId="10" priority="12" operator="equal">
      <formula>0</formula>
    </cfRule>
  </conditionalFormatting>
  <conditionalFormatting sqref="BK696:BK704 EM696:EM704 HK696:HK704 KM696:KM704">
    <cfRule type="cellIs" dxfId="9" priority="23" operator="equal">
      <formula>0</formula>
    </cfRule>
  </conditionalFormatting>
  <conditionalFormatting sqref="BS691:BS693">
    <cfRule type="cellIs" dxfId="8" priority="26" operator="equal">
      <formula>0</formula>
    </cfRule>
  </conditionalFormatting>
  <conditionalFormatting sqref="BT836:BT839 DK836:DK839 FB836:FB839 GS836:GS839 IJ836:IJ839 KA836:KA839 LR836:LR839">
    <cfRule type="cellIs" dxfId="7" priority="5" operator="equal">
      <formula>0</formula>
    </cfRule>
  </conditionalFormatting>
  <conditionalFormatting sqref="BU840:BU858 DM840:DM858 FE840:FE858 GW840:GW858 IO840:IO858 KG840:KG858 LY840:LY858">
    <cfRule type="cellIs" dxfId="6" priority="4" operator="equal">
      <formula>0</formula>
    </cfRule>
  </conditionalFormatting>
  <conditionalFormatting sqref="DA696:DA704 JA696:JA704">
    <cfRule type="cellIs" dxfId="5" priority="22" operator="equal">
      <formula>0</formula>
    </cfRule>
  </conditionalFormatting>
  <conditionalFormatting sqref="FO879 LA879">
    <cfRule type="cellIs" dxfId="4" priority="3" operator="equal">
      <formula>0</formula>
    </cfRule>
  </conditionalFormatting>
  <conditionalFormatting sqref="GC696:GC704">
    <cfRule type="cellIs" dxfId="3" priority="21" operator="equal">
      <formula>0</formula>
    </cfRule>
  </conditionalFormatting>
  <conditionalFormatting sqref="LJ742:LJ797 MJ742:MJ797">
    <cfRule type="cellIs" dxfId="2" priority="7" operator="equal">
      <formula>0</formula>
    </cfRule>
  </conditionalFormatting>
  <conditionalFormatting sqref="M366:M370">
    <cfRule type="cellIs" dxfId="1" priority="2" operator="equal">
      <formula>0</formula>
    </cfRule>
  </conditionalFormatting>
  <conditionalFormatting sqref="Q53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paperSize="9" fitToWidth="0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C0C9-6CFD-4B04-B734-044267BEA593}">
  <dimension ref="A1:O24"/>
  <sheetViews>
    <sheetView showGridLines="0" workbookViewId="0">
      <selection activeCell="E17" sqref="E17"/>
    </sheetView>
  </sheetViews>
  <sheetFormatPr defaultRowHeight="15"/>
  <cols>
    <col min="1" max="1" width="2.42578125" customWidth="1"/>
    <col min="4" max="4" width="12.140625" bestFit="1" customWidth="1"/>
    <col min="7" max="7" width="1.7109375" customWidth="1"/>
    <col min="11" max="11" width="0.85546875" customWidth="1"/>
  </cols>
  <sheetData>
    <row r="1" spans="1:15">
      <c r="B1" s="440"/>
      <c r="C1" s="440"/>
      <c r="D1" s="440"/>
      <c r="E1" s="440"/>
      <c r="F1" s="440"/>
      <c r="G1" s="412"/>
      <c r="H1" s="440"/>
      <c r="I1" s="440"/>
      <c r="J1" s="440"/>
      <c r="K1" s="412"/>
      <c r="L1" s="440"/>
      <c r="M1" s="440"/>
      <c r="N1" s="440"/>
      <c r="O1" s="412"/>
    </row>
    <row r="2" spans="1:15">
      <c r="A2" s="87"/>
      <c r="B2" s="522">
        <v>45658</v>
      </c>
      <c r="C2" s="523"/>
      <c r="D2" s="523"/>
      <c r="E2" s="523"/>
      <c r="F2" s="524"/>
      <c r="G2" s="413"/>
      <c r="H2" s="525" t="s">
        <v>2795</v>
      </c>
      <c r="I2" s="526"/>
      <c r="J2" s="527"/>
      <c r="K2" s="414"/>
      <c r="L2" s="525" t="s">
        <v>2796</v>
      </c>
      <c r="M2" s="526"/>
      <c r="N2" s="527"/>
      <c r="O2" s="440"/>
    </row>
    <row r="3" spans="1:15">
      <c r="A3" s="87"/>
      <c r="B3" s="428" t="s">
        <v>15</v>
      </c>
      <c r="C3" s="426" t="s">
        <v>2797</v>
      </c>
      <c r="D3" s="426" t="s">
        <v>2798</v>
      </c>
      <c r="E3" s="426" t="s">
        <v>2799</v>
      </c>
      <c r="F3" s="429" t="s">
        <v>15</v>
      </c>
      <c r="G3" s="413"/>
      <c r="H3" s="428" t="s">
        <v>23</v>
      </c>
      <c r="I3" s="426" t="s">
        <v>2</v>
      </c>
      <c r="J3" s="429" t="s">
        <v>2800</v>
      </c>
      <c r="K3" s="414"/>
      <c r="L3" s="428" t="s">
        <v>23</v>
      </c>
      <c r="M3" s="426" t="s">
        <v>2</v>
      </c>
      <c r="N3" s="429" t="s">
        <v>2800</v>
      </c>
      <c r="O3" s="440"/>
    </row>
    <row r="4" spans="1:15">
      <c r="A4" s="87"/>
      <c r="B4" s="430">
        <v>1</v>
      </c>
      <c r="C4" s="415">
        <v>73</v>
      </c>
      <c r="D4" s="415" t="s">
        <v>45</v>
      </c>
      <c r="E4" s="416">
        <v>1113</v>
      </c>
      <c r="F4" s="431">
        <v>1</v>
      </c>
      <c r="G4" s="413"/>
      <c r="H4" s="441" t="s">
        <v>2801</v>
      </c>
      <c r="I4" s="427">
        <v>2.92</v>
      </c>
      <c r="J4" s="442">
        <v>2.33</v>
      </c>
      <c r="K4" s="414"/>
      <c r="L4" s="441" t="s">
        <v>2801</v>
      </c>
      <c r="M4" s="425">
        <v>117</v>
      </c>
      <c r="N4" s="442">
        <v>5</v>
      </c>
      <c r="O4" s="440"/>
    </row>
    <row r="5" spans="1:15">
      <c r="A5" s="87"/>
      <c r="B5" s="432">
        <v>0</v>
      </c>
      <c r="C5" s="417">
        <v>0</v>
      </c>
      <c r="D5" s="415" t="s">
        <v>2802</v>
      </c>
      <c r="E5" s="418">
        <v>0</v>
      </c>
      <c r="F5" s="431">
        <v>0</v>
      </c>
      <c r="G5" s="413"/>
      <c r="H5" s="441" t="s">
        <v>2803</v>
      </c>
      <c r="I5" s="425">
        <v>4.71</v>
      </c>
      <c r="J5" s="442">
        <v>16.5</v>
      </c>
      <c r="K5" s="413"/>
      <c r="L5" s="441" t="s">
        <v>2803</v>
      </c>
      <c r="M5" s="425">
        <v>145.57</v>
      </c>
      <c r="N5" s="442">
        <v>384</v>
      </c>
      <c r="O5" s="440"/>
    </row>
    <row r="6" spans="1:15">
      <c r="A6" s="87"/>
      <c r="B6" s="432">
        <f>C6/C4</f>
        <v>0.41095890410958902</v>
      </c>
      <c r="C6" s="419">
        <v>30</v>
      </c>
      <c r="D6" s="417" t="s">
        <v>2804</v>
      </c>
      <c r="E6" s="418">
        <v>817</v>
      </c>
      <c r="F6" s="431">
        <f>E6/E4</f>
        <v>0.734052111410602</v>
      </c>
      <c r="G6" s="420"/>
      <c r="H6" s="441" t="s">
        <v>2805</v>
      </c>
      <c r="I6" s="415"/>
      <c r="J6" s="443"/>
      <c r="K6" s="413"/>
      <c r="L6" s="441" t="s">
        <v>2805</v>
      </c>
      <c r="M6" s="415"/>
      <c r="N6" s="443"/>
      <c r="O6" s="440"/>
    </row>
    <row r="7" spans="1:15">
      <c r="A7" s="87"/>
      <c r="B7" s="433">
        <f>C7/C4</f>
        <v>0.16438356164383561</v>
      </c>
      <c r="C7" s="421">
        <v>12</v>
      </c>
      <c r="D7" s="417" t="s">
        <v>2806</v>
      </c>
      <c r="E7" s="422">
        <v>269</v>
      </c>
      <c r="F7" s="431">
        <f>E7/E4</f>
        <v>0.24168912848158131</v>
      </c>
      <c r="G7" s="413"/>
      <c r="H7" s="441" t="s">
        <v>2807</v>
      </c>
      <c r="I7" s="415"/>
      <c r="J7" s="443"/>
      <c r="K7" s="413"/>
      <c r="L7" s="441" t="s">
        <v>2807</v>
      </c>
      <c r="M7" s="415"/>
      <c r="N7" s="443"/>
      <c r="O7" s="440"/>
    </row>
    <row r="8" spans="1:15">
      <c r="A8" s="87"/>
      <c r="B8" s="433">
        <f>C8/C4</f>
        <v>0.24657534246575341</v>
      </c>
      <c r="C8" s="421">
        <v>18</v>
      </c>
      <c r="D8" s="417" t="s">
        <v>2808</v>
      </c>
      <c r="E8" s="422">
        <v>24</v>
      </c>
      <c r="F8" s="431">
        <f>E8/E4</f>
        <v>2.15633423180593E-2</v>
      </c>
      <c r="G8" s="413"/>
      <c r="H8" s="441" t="s">
        <v>2809</v>
      </c>
      <c r="I8" s="415"/>
      <c r="J8" s="443"/>
      <c r="K8" s="413"/>
      <c r="L8" s="441" t="s">
        <v>2809</v>
      </c>
      <c r="M8" s="415"/>
      <c r="N8" s="443"/>
      <c r="O8" s="440"/>
    </row>
    <row r="9" spans="1:15">
      <c r="A9" s="87"/>
      <c r="B9" s="433">
        <f>C9/C4</f>
        <v>0.17808219178082191</v>
      </c>
      <c r="C9" s="421">
        <v>13</v>
      </c>
      <c r="D9" s="419" t="s">
        <v>2810</v>
      </c>
      <c r="E9" s="422">
        <v>3</v>
      </c>
      <c r="F9" s="434">
        <f>E9/E4</f>
        <v>2.6954177897574125E-3</v>
      </c>
      <c r="G9" s="413"/>
      <c r="H9" s="441" t="s">
        <v>2811</v>
      </c>
      <c r="I9" s="415"/>
      <c r="J9" s="443"/>
      <c r="K9" s="413"/>
      <c r="L9" s="441" t="s">
        <v>2811</v>
      </c>
      <c r="M9" s="415"/>
      <c r="N9" s="443"/>
      <c r="O9" s="440"/>
    </row>
    <row r="10" spans="1:15">
      <c r="A10" s="87"/>
      <c r="B10" s="435" cm="1">
        <f t="array" ref="B10:B12">C10/(C7:C9)</f>
        <v>0.16666666666666666</v>
      </c>
      <c r="C10" s="436">
        <v>2</v>
      </c>
      <c r="D10" s="437" t="s">
        <v>2812</v>
      </c>
      <c r="E10" s="438">
        <v>8</v>
      </c>
      <c r="F10" s="439" cm="1">
        <f t="array" ref="F10:F12">E10/(E7:E9)</f>
        <v>2.9739776951672861E-2</v>
      </c>
      <c r="G10" s="413"/>
      <c r="H10" s="441" t="s">
        <v>2813</v>
      </c>
      <c r="I10" s="415"/>
      <c r="J10" s="443"/>
      <c r="K10" s="413"/>
      <c r="L10" s="441" t="s">
        <v>2813</v>
      </c>
      <c r="M10" s="415"/>
      <c r="N10" s="443"/>
      <c r="O10" s="440"/>
    </row>
    <row r="11" spans="1:15">
      <c r="B11" s="420">
        <v>0.1111111111111111</v>
      </c>
      <c r="C11" s="413"/>
      <c r="D11" s="413"/>
      <c r="E11" s="413"/>
      <c r="F11" s="420">
        <v>0.33333333333333331</v>
      </c>
      <c r="G11" s="413"/>
      <c r="H11" s="441" t="s">
        <v>2814</v>
      </c>
      <c r="I11" s="415"/>
      <c r="J11" s="443"/>
      <c r="K11" s="413"/>
      <c r="L11" s="441" t="s">
        <v>2814</v>
      </c>
      <c r="M11" s="415"/>
      <c r="N11" s="443"/>
      <c r="O11" s="440"/>
    </row>
    <row r="12" spans="1:15">
      <c r="B12" s="420">
        <v>0.15384615384615385</v>
      </c>
      <c r="C12" s="413"/>
      <c r="D12" s="413"/>
      <c r="E12" s="413"/>
      <c r="F12" s="420">
        <v>2.6666666666666665</v>
      </c>
      <c r="G12" s="413"/>
      <c r="H12" s="441" t="s">
        <v>2815</v>
      </c>
      <c r="I12" s="415"/>
      <c r="J12" s="443"/>
      <c r="K12" s="413"/>
      <c r="L12" s="441" t="s">
        <v>2815</v>
      </c>
      <c r="M12" s="415"/>
      <c r="N12" s="443"/>
      <c r="O12" s="440"/>
    </row>
    <row r="13" spans="1:15">
      <c r="B13" s="87"/>
      <c r="C13" s="87"/>
      <c r="D13" s="87"/>
      <c r="E13" s="87"/>
      <c r="F13" s="87"/>
      <c r="G13" s="413"/>
      <c r="H13" s="441" t="s">
        <v>2816</v>
      </c>
      <c r="I13" s="415"/>
      <c r="J13" s="443"/>
      <c r="K13" s="413"/>
      <c r="L13" s="441" t="s">
        <v>2816</v>
      </c>
      <c r="M13" s="415"/>
      <c r="N13" s="443"/>
      <c r="O13" s="440"/>
    </row>
    <row r="14" spans="1:15">
      <c r="A14" s="87"/>
      <c r="B14" s="522">
        <v>45689</v>
      </c>
      <c r="C14" s="523"/>
      <c r="D14" s="523"/>
      <c r="E14" s="523"/>
      <c r="F14" s="524"/>
      <c r="G14" s="413"/>
      <c r="H14" s="441" t="s">
        <v>2817</v>
      </c>
      <c r="I14" s="415"/>
      <c r="J14" s="443"/>
      <c r="K14" s="413"/>
      <c r="L14" s="441" t="s">
        <v>2817</v>
      </c>
      <c r="M14" s="415"/>
      <c r="N14" s="443"/>
      <c r="O14" s="440"/>
    </row>
    <row r="15" spans="1:15">
      <c r="A15" s="87"/>
      <c r="B15" s="428" t="s">
        <v>15</v>
      </c>
      <c r="C15" s="426" t="s">
        <v>2797</v>
      </c>
      <c r="D15" s="426" t="s">
        <v>2798</v>
      </c>
      <c r="E15" s="426" t="s">
        <v>2799</v>
      </c>
      <c r="F15" s="429" t="s">
        <v>15</v>
      </c>
      <c r="G15" s="413"/>
      <c r="H15" s="444" t="s">
        <v>2818</v>
      </c>
      <c r="I15" s="445"/>
      <c r="J15" s="446"/>
      <c r="K15" s="413"/>
      <c r="L15" s="444" t="s">
        <v>2818</v>
      </c>
      <c r="M15" s="445"/>
      <c r="N15" s="446"/>
      <c r="O15" s="440"/>
    </row>
    <row r="16" spans="1:15">
      <c r="A16" s="87"/>
      <c r="B16" s="430">
        <v>1</v>
      </c>
      <c r="C16" s="415">
        <v>131</v>
      </c>
      <c r="D16" s="415" t="s">
        <v>45</v>
      </c>
      <c r="E16" s="416">
        <v>788</v>
      </c>
      <c r="F16" s="431">
        <v>1</v>
      </c>
      <c r="G16" s="413"/>
      <c r="H16" s="413"/>
      <c r="I16" s="413"/>
      <c r="J16" s="413"/>
      <c r="K16" s="413"/>
      <c r="L16" s="413"/>
      <c r="M16" s="414"/>
      <c r="N16" s="413"/>
      <c r="O16" s="412"/>
    </row>
    <row r="17" spans="1:7">
      <c r="A17" s="87"/>
      <c r="B17" s="432">
        <f>C17/C16</f>
        <v>0</v>
      </c>
      <c r="C17" s="417">
        <v>0</v>
      </c>
      <c r="D17" s="415" t="s">
        <v>2802</v>
      </c>
      <c r="E17" s="418">
        <v>0</v>
      </c>
      <c r="F17" s="431">
        <f>E17/E16</f>
        <v>0</v>
      </c>
      <c r="G17" s="87"/>
    </row>
    <row r="18" spans="1:7">
      <c r="A18" s="87"/>
      <c r="B18" s="432">
        <f>C18/C16</f>
        <v>0.65648854961832059</v>
      </c>
      <c r="C18" s="419">
        <v>86</v>
      </c>
      <c r="D18" s="417" t="s">
        <v>2804</v>
      </c>
      <c r="E18" s="418">
        <v>518</v>
      </c>
      <c r="F18" s="431">
        <f>E18/E16</f>
        <v>0.65736040609137059</v>
      </c>
      <c r="G18" s="87"/>
    </row>
    <row r="19" spans="1:7">
      <c r="A19" s="87"/>
      <c r="B19" s="433">
        <f>C19/C16</f>
        <v>0.11450381679389313</v>
      </c>
      <c r="C19" s="421">
        <v>15</v>
      </c>
      <c r="D19" s="417" t="s">
        <v>2806</v>
      </c>
      <c r="E19" s="422">
        <v>242</v>
      </c>
      <c r="F19" s="431">
        <f>E19/E16</f>
        <v>0.30710659898477155</v>
      </c>
      <c r="G19" s="87"/>
    </row>
    <row r="20" spans="1:7">
      <c r="A20" s="87"/>
      <c r="B20" s="433">
        <f>C20/C16</f>
        <v>0.19083969465648856</v>
      </c>
      <c r="C20" s="421">
        <v>25</v>
      </c>
      <c r="D20" s="417" t="s">
        <v>2808</v>
      </c>
      <c r="E20" s="422">
        <v>19</v>
      </c>
      <c r="F20" s="431">
        <f>E20/E16</f>
        <v>2.4111675126903553E-2</v>
      </c>
      <c r="G20" s="87"/>
    </row>
    <row r="21" spans="1:7">
      <c r="A21" s="87"/>
      <c r="B21" s="433">
        <f>C21/C16</f>
        <v>3.8167938931297711E-2</v>
      </c>
      <c r="C21" s="421">
        <v>5</v>
      </c>
      <c r="D21" s="419" t="s">
        <v>2810</v>
      </c>
      <c r="E21" s="422">
        <v>9</v>
      </c>
      <c r="F21" s="434">
        <f>E21/E16</f>
        <v>1.1421319796954314E-2</v>
      </c>
      <c r="G21" s="87"/>
    </row>
    <row r="22" spans="1:7">
      <c r="A22" s="87"/>
      <c r="B22" s="435" cm="1">
        <f t="array" ref="B22:B24">C22/(C19:C21)</f>
        <v>0.13333333333333333</v>
      </c>
      <c r="C22" s="436">
        <v>2</v>
      </c>
      <c r="D22" s="437" t="s">
        <v>2812</v>
      </c>
      <c r="E22" s="438">
        <v>7</v>
      </c>
      <c r="F22" s="439" cm="1">
        <f t="array" ref="F22:F24">E22/(E19:E21)</f>
        <v>2.8925619834710745E-2</v>
      </c>
      <c r="G22" s="87"/>
    </row>
    <row r="23" spans="1:7">
      <c r="B23" s="420">
        <v>0.08</v>
      </c>
      <c r="C23" s="413"/>
      <c r="D23" s="413"/>
      <c r="E23" s="413"/>
      <c r="F23" s="420">
        <v>0.36842105263157893</v>
      </c>
    </row>
    <row r="24" spans="1:7">
      <c r="B24" s="420">
        <v>0.4</v>
      </c>
      <c r="C24" s="413"/>
      <c r="D24" s="413"/>
      <c r="E24" s="413"/>
      <c r="F24" s="420">
        <v>0.77777777777777779</v>
      </c>
    </row>
  </sheetData>
  <mergeCells count="4">
    <mergeCell ref="B14:F14"/>
    <mergeCell ref="B2:F2"/>
    <mergeCell ref="H2:J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Priscila Soares</dc:creator>
  <cp:keywords/>
  <dc:description/>
  <cp:lastModifiedBy>Alessandra Espindola</cp:lastModifiedBy>
  <cp:revision/>
  <dcterms:created xsi:type="dcterms:W3CDTF">2024-01-04T20:33:12Z</dcterms:created>
  <dcterms:modified xsi:type="dcterms:W3CDTF">2025-03-06T21:36:58Z</dcterms:modified>
  <cp:category/>
  <cp:contentStatus/>
</cp:coreProperties>
</file>