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filterPrivacy="1" defaultThemeVersion="124226"/>
  <bookViews>
    <workbookView xWindow="0" yWindow="0" windowWidth="23040" windowHeight="9048" firstSheet="1" activeTab="3" xr2:uid="{00000000-000D-0000-FFFF-FFFF00000000}"/>
  </bookViews>
  <sheets>
    <sheet name="Movimento inercial" sheetId="3" r:id="rId1"/>
    <sheet name="Ciclostrófico" sheetId="4" r:id="rId2"/>
    <sheet name="Corrente geostrófica" sheetId="2" r:id="rId3"/>
    <sheet name="Espiral de Ekman" sheetId="1" r:id="rId4"/>
    <sheet name="Deriva de vento" sheetId="5" r:id="rId5"/>
  </sheets>
  <calcPr calcId="171027"/>
</workbook>
</file>

<file path=xl/calcChain.xml><?xml version="1.0" encoding="utf-8"?>
<calcChain xmlns="http://schemas.openxmlformats.org/spreadsheetml/2006/main">
  <c r="A28" i="1" l="1"/>
  <c r="C38" i="3" l="1"/>
  <c r="AJ10" i="5" l="1"/>
  <c r="AK10" i="5"/>
  <c r="AI10" i="5"/>
  <c r="AG10" i="5"/>
  <c r="AM10" i="5" s="1"/>
  <c r="AH10" i="5"/>
  <c r="AN10" i="5" s="1"/>
  <c r="AF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10" i="5"/>
  <c r="AL10" i="5" l="1"/>
  <c r="O11" i="5"/>
  <c r="P12" i="5" s="1"/>
  <c r="AA12" i="5" s="1"/>
  <c r="O12" i="5"/>
  <c r="P13" i="5" s="1"/>
  <c r="AB13" i="5" s="1"/>
  <c r="O13" i="5"/>
  <c r="P14" i="5" s="1"/>
  <c r="AA14" i="5" s="1"/>
  <c r="O14" i="5"/>
  <c r="P15" i="5" s="1"/>
  <c r="AB15" i="5" s="1"/>
  <c r="O15" i="5"/>
  <c r="P16" i="5" s="1"/>
  <c r="Z16" i="5" s="1"/>
  <c r="O16" i="5"/>
  <c r="P17" i="5" s="1"/>
  <c r="AB17" i="5" s="1"/>
  <c r="O17" i="5"/>
  <c r="P18" i="5" s="1"/>
  <c r="AA18" i="5" s="1"/>
  <c r="O18" i="5"/>
  <c r="P19" i="5" s="1"/>
  <c r="AB19" i="5" s="1"/>
  <c r="O19" i="5"/>
  <c r="P20" i="5" s="1"/>
  <c r="AA20" i="5" s="1"/>
  <c r="O20" i="5"/>
  <c r="P21" i="5" s="1"/>
  <c r="AB21" i="5" s="1"/>
  <c r="O21" i="5"/>
  <c r="P22" i="5" s="1"/>
  <c r="AA22" i="5" s="1"/>
  <c r="O22" i="5"/>
  <c r="P23" i="5" s="1"/>
  <c r="AB23" i="5" s="1"/>
  <c r="O23" i="5"/>
  <c r="P24" i="5" s="1"/>
  <c r="Z24" i="5" s="1"/>
  <c r="O24" i="5"/>
  <c r="P25" i="5" s="1"/>
  <c r="AB25" i="5" s="1"/>
  <c r="O25" i="5"/>
  <c r="P26" i="5" s="1"/>
  <c r="AA26" i="5" s="1"/>
  <c r="O26" i="5"/>
  <c r="P27" i="5" s="1"/>
  <c r="Z27" i="5" s="1"/>
  <c r="O27" i="5"/>
  <c r="P28" i="5" s="1"/>
  <c r="Z28" i="5" s="1"/>
  <c r="O28" i="5"/>
  <c r="P29" i="5" s="1"/>
  <c r="AB29" i="5" s="1"/>
  <c r="O29" i="5"/>
  <c r="P30" i="5" s="1"/>
  <c r="AA30" i="5" s="1"/>
  <c r="O30" i="5"/>
  <c r="P31" i="5" s="1"/>
  <c r="AB31" i="5" s="1"/>
  <c r="O31" i="5"/>
  <c r="P32" i="5" s="1"/>
  <c r="Z32" i="5" s="1"/>
  <c r="O32" i="5"/>
  <c r="P33" i="5" s="1"/>
  <c r="AB33" i="5" s="1"/>
  <c r="O33" i="5"/>
  <c r="P34" i="5" s="1"/>
  <c r="AA34" i="5" s="1"/>
  <c r="O34" i="5"/>
  <c r="O10" i="5"/>
  <c r="P11" i="5" s="1"/>
  <c r="Z11" i="5" s="1"/>
  <c r="Z25" i="5" l="1"/>
  <c r="AA17" i="5"/>
  <c r="AA25" i="5"/>
  <c r="AA33" i="5"/>
  <c r="AA13" i="5"/>
  <c r="AA21" i="5"/>
  <c r="AA29" i="5"/>
  <c r="Z13" i="5"/>
  <c r="Z12" i="5"/>
  <c r="Z20" i="5"/>
  <c r="AB18" i="5"/>
  <c r="AB26" i="5"/>
  <c r="AB34" i="5"/>
  <c r="Z31" i="5"/>
  <c r="Z14" i="5"/>
  <c r="Z18" i="5"/>
  <c r="Z22" i="5"/>
  <c r="Z26" i="5"/>
  <c r="Z30" i="5"/>
  <c r="Z34" i="5"/>
  <c r="AA15" i="5"/>
  <c r="AA19" i="5"/>
  <c r="AA23" i="5"/>
  <c r="AA27" i="5"/>
  <c r="AA31" i="5"/>
  <c r="AB12" i="5"/>
  <c r="AB16" i="5"/>
  <c r="AB20" i="5"/>
  <c r="AB24" i="5"/>
  <c r="AB28" i="5"/>
  <c r="AB32" i="5"/>
  <c r="AB11" i="5"/>
  <c r="AK11" i="5" s="1"/>
  <c r="AK12" i="5" s="1"/>
  <c r="Z15" i="5"/>
  <c r="Z19" i="5"/>
  <c r="Z23" i="5"/>
  <c r="Z29" i="5"/>
  <c r="AA16" i="5"/>
  <c r="AA24" i="5"/>
  <c r="AA28" i="5"/>
  <c r="AA32" i="5"/>
  <c r="AA11" i="5"/>
  <c r="AJ11" i="5" s="1"/>
  <c r="AB27" i="5"/>
  <c r="AB14" i="5"/>
  <c r="AB22" i="5"/>
  <c r="AB30" i="5"/>
  <c r="Z17" i="5"/>
  <c r="Z21" i="5"/>
  <c r="Z33" i="5"/>
  <c r="H6" i="5"/>
  <c r="V11" i="5" s="1"/>
  <c r="U11" i="5" l="1"/>
  <c r="AJ12" i="5"/>
  <c r="AJ13" i="5" s="1"/>
  <c r="T10" i="5"/>
  <c r="V10" i="5"/>
  <c r="Y11" i="5" s="1"/>
  <c r="AE11" i="5" s="1"/>
  <c r="U10" i="5"/>
  <c r="X11" i="5" s="1"/>
  <c r="AD11" i="5" s="1"/>
  <c r="U12" i="5"/>
  <c r="X12" i="5" s="1"/>
  <c r="AD12" i="5" s="1"/>
  <c r="V12" i="5"/>
  <c r="Y12" i="5" s="1"/>
  <c r="AE12" i="5" s="1"/>
  <c r="AK13" i="5"/>
  <c r="M10" i="5"/>
  <c r="L10" i="5"/>
  <c r="N10" i="5" s="1"/>
  <c r="AG11" i="5" l="1"/>
  <c r="AM11" i="5" s="1"/>
  <c r="AH11" i="5"/>
  <c r="AN11" i="5" s="1"/>
  <c r="AY10" i="5"/>
  <c r="AX10" i="5"/>
  <c r="BD10" i="5" s="1"/>
  <c r="AZ10" i="5"/>
  <c r="AW10" i="5"/>
  <c r="AV10" i="5"/>
  <c r="AU10" i="5"/>
  <c r="AG12" i="5"/>
  <c r="AH12" i="5"/>
  <c r="AN12" i="5" s="1"/>
  <c r="AK14" i="5"/>
  <c r="V13" i="5"/>
  <c r="Y13" i="5" s="1"/>
  <c r="AE13" i="5" s="1"/>
  <c r="U13" i="5"/>
  <c r="X13" i="5" s="1"/>
  <c r="AD13" i="5" s="1"/>
  <c r="AJ14" i="5"/>
  <c r="AM12" i="5"/>
  <c r="BB10" i="5"/>
  <c r="BA10" i="5"/>
  <c r="BG10" i="5"/>
  <c r="E10" i="5"/>
  <c r="D10" i="5"/>
  <c r="H10" i="5"/>
  <c r="BC10" i="5" l="1"/>
  <c r="AG13" i="5"/>
  <c r="AH13" i="5"/>
  <c r="AK15" i="5"/>
  <c r="V14" i="5"/>
  <c r="Y14" i="5" s="1"/>
  <c r="AE14" i="5" s="1"/>
  <c r="AH14" i="5" s="1"/>
  <c r="U14" i="5"/>
  <c r="X14" i="5" s="1"/>
  <c r="AD14" i="5" s="1"/>
  <c r="AG14" i="5" s="1"/>
  <c r="AJ15" i="5"/>
  <c r="AM13" i="5"/>
  <c r="AN13" i="5"/>
  <c r="F11" i="5"/>
  <c r="G11" i="5" s="1"/>
  <c r="F13" i="3"/>
  <c r="E13" i="3"/>
  <c r="J11" i="5" l="1"/>
  <c r="M11" i="5" s="1"/>
  <c r="E11" i="5" s="1"/>
  <c r="V15" i="5"/>
  <c r="Y15" i="5" s="1"/>
  <c r="AE15" i="5" s="1"/>
  <c r="AH15" i="5" s="1"/>
  <c r="AK16" i="5"/>
  <c r="U15" i="5"/>
  <c r="X15" i="5" s="1"/>
  <c r="AD15" i="5" s="1"/>
  <c r="AJ16" i="5"/>
  <c r="AN14" i="5"/>
  <c r="AM14" i="5"/>
  <c r="D6" i="3"/>
  <c r="H11" i="5" l="1"/>
  <c r="I11" i="5" s="1"/>
  <c r="K11" i="5" s="1"/>
  <c r="B39" i="3"/>
  <c r="C39" i="3" s="1"/>
  <c r="B45" i="3"/>
  <c r="C45" i="3" s="1"/>
  <c r="B30" i="3"/>
  <c r="C30" i="3" s="1"/>
  <c r="B32" i="3"/>
  <c r="C32" i="3" s="1"/>
  <c r="B34" i="3"/>
  <c r="C34" i="3" s="1"/>
  <c r="B36" i="3"/>
  <c r="C36" i="3" s="1"/>
  <c r="B38" i="3"/>
  <c r="B40" i="3"/>
  <c r="C40" i="3" s="1"/>
  <c r="B42" i="3"/>
  <c r="C42" i="3" s="1"/>
  <c r="B44" i="3"/>
  <c r="C44" i="3" s="1"/>
  <c r="B46" i="3"/>
  <c r="C46" i="3" s="1"/>
  <c r="B29" i="3"/>
  <c r="C29" i="3" s="1"/>
  <c r="B31" i="3"/>
  <c r="C31" i="3" s="1"/>
  <c r="B33" i="3"/>
  <c r="C33" i="3" s="1"/>
  <c r="B35" i="3"/>
  <c r="C35" i="3" s="1"/>
  <c r="B37" i="3"/>
  <c r="C37" i="3" s="1"/>
  <c r="B41" i="3"/>
  <c r="C41" i="3" s="1"/>
  <c r="B43" i="3"/>
  <c r="C43" i="3" s="1"/>
  <c r="B47" i="3"/>
  <c r="C47" i="3" s="1"/>
  <c r="AO11" i="5"/>
  <c r="AU11" i="5" s="1"/>
  <c r="BA11" i="5" s="1"/>
  <c r="AP11" i="5"/>
  <c r="AV11" i="5" s="1"/>
  <c r="AQ11" i="5"/>
  <c r="AW11" i="5" s="1"/>
  <c r="AG15" i="5"/>
  <c r="AM15" i="5" s="1"/>
  <c r="AJ17" i="5"/>
  <c r="U16" i="5"/>
  <c r="X16" i="5" s="1"/>
  <c r="AD16" i="5" s="1"/>
  <c r="V16" i="5"/>
  <c r="Y16" i="5" s="1"/>
  <c r="AE16" i="5" s="1"/>
  <c r="AH16" i="5" s="1"/>
  <c r="AK17" i="5"/>
  <c r="AN15" i="5"/>
  <c r="D11" i="5"/>
  <c r="F12" i="5" s="1"/>
  <c r="AI11" i="5"/>
  <c r="E11" i="1"/>
  <c r="BB11" i="5" l="1"/>
  <c r="L11" i="5"/>
  <c r="N11" i="5" s="1"/>
  <c r="AS11" i="5"/>
  <c r="AY11" i="5" s="1"/>
  <c r="AT11" i="5"/>
  <c r="AZ11" i="5" s="1"/>
  <c r="AG16" i="5"/>
  <c r="AM16" i="5" s="1"/>
  <c r="V17" i="5"/>
  <c r="Y17" i="5" s="1"/>
  <c r="AE17" i="5" s="1"/>
  <c r="AH17" i="5" s="1"/>
  <c r="AK18" i="5"/>
  <c r="U17" i="5"/>
  <c r="X17" i="5" s="1"/>
  <c r="AD17" i="5" s="1"/>
  <c r="AJ18" i="5"/>
  <c r="AN16" i="5"/>
  <c r="G12" i="5"/>
  <c r="J12" i="5"/>
  <c r="M12" i="5" s="1"/>
  <c r="E12" i="5" s="1"/>
  <c r="T11" i="5"/>
  <c r="W11" i="5" s="1"/>
  <c r="E20" i="1"/>
  <c r="E12" i="1"/>
  <c r="AO12" i="5" l="1"/>
  <c r="AU12" i="5" s="1"/>
  <c r="BA12" i="5" s="1"/>
  <c r="AP12" i="5"/>
  <c r="AV12" i="5" s="1"/>
  <c r="AQ12" i="5"/>
  <c r="AW12" i="5" s="1"/>
  <c r="AG17" i="5"/>
  <c r="AM17" i="5" s="1"/>
  <c r="AJ19" i="5"/>
  <c r="U18" i="5"/>
  <c r="X18" i="5" s="1"/>
  <c r="AD18" i="5" s="1"/>
  <c r="AG18" i="5" s="1"/>
  <c r="AK19" i="5"/>
  <c r="V18" i="5"/>
  <c r="Y18" i="5" s="1"/>
  <c r="AE18" i="5" s="1"/>
  <c r="AH18" i="5" s="1"/>
  <c r="AN17" i="5"/>
  <c r="D12" i="5"/>
  <c r="F13" i="5" s="1"/>
  <c r="AC11" i="5"/>
  <c r="H12" i="5"/>
  <c r="I12" i="5" s="1"/>
  <c r="K12" i="5" s="1"/>
  <c r="H13" i="1"/>
  <c r="BB12" i="5" l="1"/>
  <c r="L12" i="5"/>
  <c r="N12" i="5" s="1"/>
  <c r="AI12" i="5" s="1"/>
  <c r="T12" i="5" s="1"/>
  <c r="AS12" i="5"/>
  <c r="AY12" i="5" s="1"/>
  <c r="AT12" i="5"/>
  <c r="AZ12" i="5" s="1"/>
  <c r="AF11" i="5"/>
  <c r="AL11" i="5" s="1"/>
  <c r="AR11" i="5"/>
  <c r="AX11" i="5" s="1"/>
  <c r="V19" i="5"/>
  <c r="Y19" i="5" s="1"/>
  <c r="AE19" i="5" s="1"/>
  <c r="AH19" i="5" s="1"/>
  <c r="AK20" i="5"/>
  <c r="U19" i="5"/>
  <c r="X19" i="5" s="1"/>
  <c r="AD19" i="5" s="1"/>
  <c r="AG19" i="5" s="1"/>
  <c r="AJ20" i="5"/>
  <c r="AN18" i="5"/>
  <c r="AM18" i="5"/>
  <c r="BC11" i="5"/>
  <c r="BD11" i="5"/>
  <c r="J13" i="5"/>
  <c r="G13" i="5"/>
  <c r="BG11" i="5"/>
  <c r="BE11" i="5"/>
  <c r="BF11" i="5" s="1"/>
  <c r="E13" i="1"/>
  <c r="D14" i="1" s="1"/>
  <c r="AO13" i="5" l="1"/>
  <c r="AU13" i="5" s="1"/>
  <c r="BA13" i="5" s="1"/>
  <c r="AP13" i="5"/>
  <c r="AV13" i="5" s="1"/>
  <c r="AQ13" i="5"/>
  <c r="AW13" i="5" s="1"/>
  <c r="M13" i="5"/>
  <c r="E13" i="5" s="1"/>
  <c r="W12" i="5"/>
  <c r="AC12" i="5" s="1"/>
  <c r="U20" i="5"/>
  <c r="X20" i="5" s="1"/>
  <c r="AD20" i="5" s="1"/>
  <c r="AG20" i="5" s="1"/>
  <c r="AJ21" i="5"/>
  <c r="V20" i="5"/>
  <c r="Y20" i="5" s="1"/>
  <c r="AE20" i="5" s="1"/>
  <c r="AH20" i="5" s="1"/>
  <c r="AK21" i="5"/>
  <c r="AM19" i="5"/>
  <c r="AN19" i="5"/>
  <c r="D9" i="4"/>
  <c r="D10" i="4" s="1"/>
  <c r="D11" i="4" s="1"/>
  <c r="D13" i="5" l="1"/>
  <c r="F14" i="5" s="1"/>
  <c r="J14" i="5" s="1"/>
  <c r="BB13" i="5"/>
  <c r="H13" i="5"/>
  <c r="I13" i="5" s="1"/>
  <c r="K13" i="5" s="1"/>
  <c r="L13" i="5" s="1"/>
  <c r="N13" i="5" s="1"/>
  <c r="AI13" i="5" s="1"/>
  <c r="AR12" i="5"/>
  <c r="AX12" i="5" s="1"/>
  <c r="AF12" i="5"/>
  <c r="AL12" i="5" s="1"/>
  <c r="V21" i="5"/>
  <c r="Y21" i="5" s="1"/>
  <c r="AE21" i="5" s="1"/>
  <c r="AH21" i="5" s="1"/>
  <c r="AK22" i="5"/>
  <c r="U21" i="5"/>
  <c r="X21" i="5" s="1"/>
  <c r="AD21" i="5" s="1"/>
  <c r="AJ22" i="5"/>
  <c r="AN20" i="5"/>
  <c r="AM20" i="5"/>
  <c r="D7" i="3"/>
  <c r="E16" i="1"/>
  <c r="E17" i="1" s="1"/>
  <c r="AO14" i="5" l="1"/>
  <c r="AU14" i="5" s="1"/>
  <c r="M14" i="5"/>
  <c r="E14" i="5" s="1"/>
  <c r="AS13" i="5"/>
  <c r="AY13" i="5" s="1"/>
  <c r="G14" i="5"/>
  <c r="AQ14" i="5"/>
  <c r="AW14" i="5" s="1"/>
  <c r="AP14" i="5"/>
  <c r="AV14" i="5" s="1"/>
  <c r="T13" i="5"/>
  <c r="W13" i="5" s="1"/>
  <c r="AC13" i="5" s="1"/>
  <c r="AR13" i="5" s="1"/>
  <c r="AX13" i="5" s="1"/>
  <c r="BC13" i="5" s="1"/>
  <c r="AI14" i="5"/>
  <c r="AI15" i="5" s="1"/>
  <c r="AT13" i="5"/>
  <c r="AZ13" i="5" s="1"/>
  <c r="BC12" i="5"/>
  <c r="BG12" i="5"/>
  <c r="BE12" i="5"/>
  <c r="BF12" i="5" s="1"/>
  <c r="BD12" i="5"/>
  <c r="AG21" i="5"/>
  <c r="AM21" i="5" s="1"/>
  <c r="U22" i="5"/>
  <c r="X22" i="5" s="1"/>
  <c r="AD22" i="5" s="1"/>
  <c r="AJ23" i="5"/>
  <c r="V22" i="5"/>
  <c r="Y22" i="5" s="1"/>
  <c r="AE22" i="5" s="1"/>
  <c r="AK23" i="5"/>
  <c r="AN21" i="5"/>
  <c r="BA14" i="5"/>
  <c r="BB14" i="5"/>
  <c r="T14" i="5"/>
  <c r="C8" i="3"/>
  <c r="D10" i="3" s="1"/>
  <c r="E9" i="3"/>
  <c r="E15" i="1"/>
  <c r="D14" i="5" l="1"/>
  <c r="F15" i="5" s="1"/>
  <c r="G15" i="5" s="1"/>
  <c r="H14" i="5"/>
  <c r="I14" i="5" s="1"/>
  <c r="K14" i="5" s="1"/>
  <c r="AS14" i="5" s="1"/>
  <c r="AY14" i="5" s="1"/>
  <c r="AF13" i="5"/>
  <c r="AL13" i="5" s="1"/>
  <c r="L14" i="5"/>
  <c r="N14" i="5" s="1"/>
  <c r="AH22" i="5"/>
  <c r="AN22" i="5" s="1"/>
  <c r="AG22" i="5"/>
  <c r="AM22" i="5" s="1"/>
  <c r="V23" i="5"/>
  <c r="Y23" i="5" s="1"/>
  <c r="AE23" i="5" s="1"/>
  <c r="AH23" i="5" s="1"/>
  <c r="AK24" i="5"/>
  <c r="U23" i="5"/>
  <c r="X23" i="5" s="1"/>
  <c r="AD23" i="5" s="1"/>
  <c r="AJ24" i="5"/>
  <c r="BG13" i="5"/>
  <c r="BD13" i="5"/>
  <c r="BE13" i="5"/>
  <c r="BF13" i="5" s="1"/>
  <c r="W14" i="5"/>
  <c r="AC14" i="5" s="1"/>
  <c r="AR14" i="5" s="1"/>
  <c r="T15" i="5"/>
  <c r="E18" i="1"/>
  <c r="E19" i="1"/>
  <c r="F8" i="3"/>
  <c r="J4" i="2"/>
  <c r="R31" i="2"/>
  <c r="N12" i="2"/>
  <c r="O12" i="2" s="1"/>
  <c r="N14" i="2"/>
  <c r="O14" i="2" s="1"/>
  <c r="N16" i="2"/>
  <c r="O16" i="2" s="1"/>
  <c r="N18" i="2"/>
  <c r="O18" i="2" s="1"/>
  <c r="N20" i="2"/>
  <c r="O20" i="2" s="1"/>
  <c r="N22" i="2"/>
  <c r="O22" i="2" s="1"/>
  <c r="N24" i="2"/>
  <c r="O24" i="2" s="1"/>
  <c r="N26" i="2"/>
  <c r="O26" i="2" s="1"/>
  <c r="N28" i="2"/>
  <c r="O28" i="2" s="1"/>
  <c r="N30" i="2"/>
  <c r="O30" i="2" s="1"/>
  <c r="P29" i="2" s="1"/>
  <c r="N10" i="2"/>
  <c r="O10" i="2" s="1"/>
  <c r="F12" i="2"/>
  <c r="G12" i="2" s="1"/>
  <c r="F14" i="2"/>
  <c r="G14" i="2" s="1"/>
  <c r="F16" i="2"/>
  <c r="G16" i="2" s="1"/>
  <c r="F18" i="2"/>
  <c r="G18" i="2" s="1"/>
  <c r="F20" i="2"/>
  <c r="G20" i="2" s="1"/>
  <c r="F22" i="2"/>
  <c r="G22" i="2" s="1"/>
  <c r="F24" i="2"/>
  <c r="G24" i="2" s="1"/>
  <c r="F26" i="2"/>
  <c r="G26" i="2" s="1"/>
  <c r="F28" i="2"/>
  <c r="G28" i="2" s="1"/>
  <c r="F30" i="2"/>
  <c r="G30" i="2" s="1"/>
  <c r="H29" i="2" s="1"/>
  <c r="F10" i="2"/>
  <c r="G10" i="2" s="1"/>
  <c r="AT14" i="5" l="1"/>
  <c r="AZ14" i="5" s="1"/>
  <c r="J15" i="5"/>
  <c r="AQ15" i="5" s="1"/>
  <c r="AW15" i="5" s="1"/>
  <c r="AG23" i="5"/>
  <c r="H27" i="2"/>
  <c r="H25" i="2" s="1"/>
  <c r="H23" i="2" s="1"/>
  <c r="H21" i="2" s="1"/>
  <c r="H19" i="2" s="1"/>
  <c r="H17" i="2" s="1"/>
  <c r="H15" i="2" s="1"/>
  <c r="H13" i="2" s="1"/>
  <c r="H11" i="2" s="1"/>
  <c r="H9" i="2" s="1"/>
  <c r="S31" i="2"/>
  <c r="U24" i="5"/>
  <c r="X24" i="5" s="1"/>
  <c r="AD24" i="5" s="1"/>
  <c r="AJ25" i="5"/>
  <c r="V24" i="5"/>
  <c r="Y24" i="5" s="1"/>
  <c r="AE24" i="5" s="1"/>
  <c r="AH24" i="5" s="1"/>
  <c r="AK25" i="5"/>
  <c r="AX14" i="5"/>
  <c r="BD14" i="5" s="1"/>
  <c r="AF14" i="5"/>
  <c r="AL14" i="5" s="1"/>
  <c r="W15" i="5"/>
  <c r="AC15" i="5" s="1"/>
  <c r="AM23" i="5"/>
  <c r="AN23" i="5"/>
  <c r="C25" i="1"/>
  <c r="C27" i="1"/>
  <c r="C29" i="1"/>
  <c r="C31" i="1"/>
  <c r="C33" i="1"/>
  <c r="C35" i="1"/>
  <c r="C37" i="1"/>
  <c r="B25" i="1"/>
  <c r="B27" i="1"/>
  <c r="B29" i="1"/>
  <c r="B31" i="1"/>
  <c r="B33" i="1"/>
  <c r="B35" i="1"/>
  <c r="B37" i="1"/>
  <c r="C24" i="1"/>
  <c r="C26" i="1"/>
  <c r="C28" i="1"/>
  <c r="C30" i="1"/>
  <c r="C32" i="1"/>
  <c r="C34" i="1"/>
  <c r="C36" i="1"/>
  <c r="C38" i="1"/>
  <c r="B26" i="1"/>
  <c r="B28" i="1"/>
  <c r="B30" i="1"/>
  <c r="B32" i="1"/>
  <c r="B34" i="1"/>
  <c r="B36" i="1"/>
  <c r="B38" i="1"/>
  <c r="B24" i="1"/>
  <c r="B25" i="3"/>
  <c r="B14" i="3"/>
  <c r="B18" i="3"/>
  <c r="B22" i="3"/>
  <c r="B13" i="3"/>
  <c r="B17" i="3"/>
  <c r="B21" i="3"/>
  <c r="B16" i="3"/>
  <c r="B20" i="3"/>
  <c r="B24" i="3"/>
  <c r="B15" i="3"/>
  <c r="B19" i="3"/>
  <c r="B23" i="3"/>
  <c r="R29" i="2"/>
  <c r="S29" i="2" s="1"/>
  <c r="P27" i="2"/>
  <c r="AP15" i="5" l="1"/>
  <c r="AV15" i="5" s="1"/>
  <c r="AO15" i="5"/>
  <c r="AU15" i="5" s="1"/>
  <c r="M15" i="5"/>
  <c r="AG24" i="5"/>
  <c r="AF15" i="5"/>
  <c r="AL15" i="5" s="1"/>
  <c r="BC14" i="5"/>
  <c r="AK26" i="5"/>
  <c r="V25" i="5"/>
  <c r="Y25" i="5" s="1"/>
  <c r="AE25" i="5" s="1"/>
  <c r="AH25" i="5" s="1"/>
  <c r="U25" i="5"/>
  <c r="X25" i="5" s="1"/>
  <c r="AD25" i="5" s="1"/>
  <c r="AJ26" i="5"/>
  <c r="BE14" i="5"/>
  <c r="BF14" i="5" s="1"/>
  <c r="BG14" i="5"/>
  <c r="AN24" i="5"/>
  <c r="AM24" i="5"/>
  <c r="AI16" i="5"/>
  <c r="C23" i="3"/>
  <c r="D23" i="3"/>
  <c r="C15" i="3"/>
  <c r="D15" i="3"/>
  <c r="C20" i="3"/>
  <c r="D20" i="3"/>
  <c r="C21" i="3"/>
  <c r="D21" i="3"/>
  <c r="C13" i="3"/>
  <c r="E14" i="3" s="1"/>
  <c r="D13" i="3"/>
  <c r="F14" i="3" s="1"/>
  <c r="C18" i="3"/>
  <c r="D18" i="3"/>
  <c r="C25" i="3"/>
  <c r="D25" i="3"/>
  <c r="C19" i="3"/>
  <c r="D19" i="3"/>
  <c r="C24" i="3"/>
  <c r="D24" i="3"/>
  <c r="C16" i="3"/>
  <c r="D16" i="3"/>
  <c r="C17" i="3"/>
  <c r="D17" i="3"/>
  <c r="C22" i="3"/>
  <c r="D22" i="3"/>
  <c r="C14" i="3"/>
  <c r="D14" i="3"/>
  <c r="R27" i="2"/>
  <c r="S27" i="2" s="1"/>
  <c r="P25" i="2"/>
  <c r="E15" i="5" l="1"/>
  <c r="H15" i="5"/>
  <c r="I15" i="5" s="1"/>
  <c r="K15" i="5" s="1"/>
  <c r="D15" i="5"/>
  <c r="F16" i="5" s="1"/>
  <c r="BA15" i="5"/>
  <c r="BB15" i="5"/>
  <c r="AG25" i="5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15" i="3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AK27" i="5"/>
  <c r="V26" i="5"/>
  <c r="Y26" i="5" s="1"/>
  <c r="AE26" i="5" s="1"/>
  <c r="AH26" i="5" s="1"/>
  <c r="U26" i="5"/>
  <c r="X26" i="5" s="1"/>
  <c r="AD26" i="5" s="1"/>
  <c r="AG26" i="5" s="1"/>
  <c r="AJ27" i="5"/>
  <c r="AM25" i="5"/>
  <c r="AN25" i="5"/>
  <c r="T16" i="5"/>
  <c r="W16" i="5" s="1"/>
  <c r="R25" i="2"/>
  <c r="S25" i="2" s="1"/>
  <c r="P23" i="2"/>
  <c r="J16" i="5" l="1"/>
  <c r="G16" i="5"/>
  <c r="L15" i="5"/>
  <c r="N15" i="5" s="1"/>
  <c r="AT15" i="5"/>
  <c r="AZ15" i="5" s="1"/>
  <c r="AS15" i="5"/>
  <c r="AY15" i="5" s="1"/>
  <c r="AR15" i="5"/>
  <c r="AX15" i="5" s="1"/>
  <c r="V27" i="5"/>
  <c r="Y27" i="5" s="1"/>
  <c r="AE27" i="5" s="1"/>
  <c r="AH27" i="5" s="1"/>
  <c r="AK28" i="5"/>
  <c r="AJ28" i="5"/>
  <c r="U27" i="5"/>
  <c r="X27" i="5" s="1"/>
  <c r="AD27" i="5" s="1"/>
  <c r="AG27" i="5" s="1"/>
  <c r="AN26" i="5"/>
  <c r="AM26" i="5"/>
  <c r="AC16" i="5"/>
  <c r="R23" i="2"/>
  <c r="S23" i="2" s="1"/>
  <c r="P21" i="2"/>
  <c r="BD15" i="5" l="1"/>
  <c r="BG15" i="5"/>
  <c r="BE15" i="5"/>
  <c r="BF15" i="5" s="1"/>
  <c r="BC15" i="5"/>
  <c r="AP16" i="5"/>
  <c r="AV16" i="5" s="1"/>
  <c r="AQ16" i="5"/>
  <c r="AW16" i="5" s="1"/>
  <c r="M16" i="5"/>
  <c r="AO16" i="5"/>
  <c r="AU16" i="5" s="1"/>
  <c r="AF16" i="5"/>
  <c r="AL16" i="5" s="1"/>
  <c r="U28" i="5"/>
  <c r="X28" i="5" s="1"/>
  <c r="AD28" i="5" s="1"/>
  <c r="AJ29" i="5"/>
  <c r="V28" i="5"/>
  <c r="Y28" i="5" s="1"/>
  <c r="AE28" i="5" s="1"/>
  <c r="AK29" i="5"/>
  <c r="AM27" i="5"/>
  <c r="AN27" i="5"/>
  <c r="AI17" i="5"/>
  <c r="R21" i="2"/>
  <c r="S21" i="2" s="1"/>
  <c r="P19" i="2"/>
  <c r="BA16" i="5" l="1"/>
  <c r="BB16" i="5"/>
  <c r="E16" i="5"/>
  <c r="H16" i="5"/>
  <c r="I16" i="5" s="1"/>
  <c r="K16" i="5" s="1"/>
  <c r="D16" i="5"/>
  <c r="F17" i="5" s="1"/>
  <c r="AH28" i="5"/>
  <c r="AN28" i="5" s="1"/>
  <c r="AG28" i="5"/>
  <c r="AM28" i="5" s="1"/>
  <c r="V29" i="5"/>
  <c r="Y29" i="5" s="1"/>
  <c r="AE29" i="5" s="1"/>
  <c r="AH29" i="5" s="1"/>
  <c r="AK30" i="5"/>
  <c r="U29" i="5"/>
  <c r="X29" i="5" s="1"/>
  <c r="AD29" i="5" s="1"/>
  <c r="AJ30" i="5"/>
  <c r="AI18" i="5"/>
  <c r="T17" i="5"/>
  <c r="W17" i="5" s="1"/>
  <c r="R19" i="2"/>
  <c r="S19" i="2" s="1"/>
  <c r="P17" i="2"/>
  <c r="J17" i="5" l="1"/>
  <c r="G17" i="5"/>
  <c r="L16" i="5"/>
  <c r="N16" i="5" s="1"/>
  <c r="AT16" i="5"/>
  <c r="AZ16" i="5" s="1"/>
  <c r="AS16" i="5"/>
  <c r="AY16" i="5" s="1"/>
  <c r="AR16" i="5"/>
  <c r="AX16" i="5" s="1"/>
  <c r="AG29" i="5"/>
  <c r="AM29" i="5" s="1"/>
  <c r="U30" i="5"/>
  <c r="X30" i="5" s="1"/>
  <c r="AD30" i="5" s="1"/>
  <c r="AJ31" i="5"/>
  <c r="V30" i="5"/>
  <c r="Y30" i="5" s="1"/>
  <c r="AE30" i="5" s="1"/>
  <c r="AH30" i="5" s="1"/>
  <c r="AK31" i="5"/>
  <c r="AN29" i="5"/>
  <c r="AC17" i="5"/>
  <c r="T18" i="5"/>
  <c r="R17" i="2"/>
  <c r="S17" i="2" s="1"/>
  <c r="P15" i="2"/>
  <c r="BG16" i="5" l="1"/>
  <c r="BE16" i="5"/>
  <c r="BF16" i="5" s="1"/>
  <c r="BC16" i="5"/>
  <c r="BD16" i="5"/>
  <c r="M17" i="5"/>
  <c r="AO17" i="5"/>
  <c r="AU17" i="5" s="1"/>
  <c r="AP17" i="5"/>
  <c r="AV17" i="5" s="1"/>
  <c r="AQ17" i="5"/>
  <c r="AW17" i="5" s="1"/>
  <c r="AG30" i="5"/>
  <c r="AF17" i="5"/>
  <c r="AL17" i="5" s="1"/>
  <c r="V31" i="5"/>
  <c r="Y31" i="5" s="1"/>
  <c r="AE31" i="5" s="1"/>
  <c r="AH31" i="5" s="1"/>
  <c r="AK32" i="5"/>
  <c r="U31" i="5"/>
  <c r="X31" i="5" s="1"/>
  <c r="AD31" i="5" s="1"/>
  <c r="AG31" i="5" s="1"/>
  <c r="AJ32" i="5"/>
  <c r="W18" i="5"/>
  <c r="AC18" i="5" s="1"/>
  <c r="AN30" i="5"/>
  <c r="AM30" i="5"/>
  <c r="AI19" i="5"/>
  <c r="R15" i="2"/>
  <c r="S15" i="2" s="1"/>
  <c r="P13" i="2"/>
  <c r="BA17" i="5" l="1"/>
  <c r="BB17" i="5"/>
  <c r="D17" i="5"/>
  <c r="F18" i="5" s="1"/>
  <c r="E17" i="5"/>
  <c r="H17" i="5"/>
  <c r="I17" i="5" s="1"/>
  <c r="K17" i="5" s="1"/>
  <c r="AF18" i="5"/>
  <c r="AL18" i="5" s="1"/>
  <c r="U32" i="5"/>
  <c r="X32" i="5" s="1"/>
  <c r="AD32" i="5" s="1"/>
  <c r="AG32" i="5" s="1"/>
  <c r="AJ33" i="5"/>
  <c r="V32" i="5"/>
  <c r="Y32" i="5" s="1"/>
  <c r="AE32" i="5" s="1"/>
  <c r="AH32" i="5" s="1"/>
  <c r="AK33" i="5"/>
  <c r="AM31" i="5"/>
  <c r="AN31" i="5"/>
  <c r="T19" i="5"/>
  <c r="R13" i="2"/>
  <c r="S13" i="2" s="1"/>
  <c r="P11" i="2"/>
  <c r="L17" i="5" l="1"/>
  <c r="N17" i="5" s="1"/>
  <c r="AS17" i="5"/>
  <c r="AY17" i="5" s="1"/>
  <c r="AT17" i="5"/>
  <c r="AZ17" i="5" s="1"/>
  <c r="AR17" i="5"/>
  <c r="AX17" i="5" s="1"/>
  <c r="J18" i="5"/>
  <c r="G18" i="5"/>
  <c r="V33" i="5"/>
  <c r="Y33" i="5" s="1"/>
  <c r="AE33" i="5" s="1"/>
  <c r="AK34" i="5"/>
  <c r="V34" i="5" s="1"/>
  <c r="U33" i="5"/>
  <c r="X33" i="5" s="1"/>
  <c r="AD33" i="5" s="1"/>
  <c r="AJ34" i="5"/>
  <c r="U34" i="5" s="1"/>
  <c r="W19" i="5"/>
  <c r="AC19" i="5" s="1"/>
  <c r="AN32" i="5"/>
  <c r="AM32" i="5"/>
  <c r="AI20" i="5"/>
  <c r="R11" i="2"/>
  <c r="S11" i="2" s="1"/>
  <c r="P9" i="2"/>
  <c r="R9" i="2" s="1"/>
  <c r="S9" i="2" s="1"/>
  <c r="M18" i="5" l="1"/>
  <c r="AP18" i="5"/>
  <c r="AV18" i="5" s="1"/>
  <c r="AO18" i="5"/>
  <c r="AU18" i="5" s="1"/>
  <c r="AQ18" i="5"/>
  <c r="AW18" i="5" s="1"/>
  <c r="BD17" i="5"/>
  <c r="BG17" i="5"/>
  <c r="BE17" i="5"/>
  <c r="BF17" i="5" s="1"/>
  <c r="BC17" i="5"/>
  <c r="AF19" i="5"/>
  <c r="AL19" i="5" s="1"/>
  <c r="AG33" i="5"/>
  <c r="AM33" i="5" s="1"/>
  <c r="AH33" i="5"/>
  <c r="X34" i="5"/>
  <c r="AD34" i="5" s="1"/>
  <c r="Y34" i="5"/>
  <c r="AE34" i="5" s="1"/>
  <c r="T20" i="5"/>
  <c r="W20" i="5" s="1"/>
  <c r="D25" i="1"/>
  <c r="BA18" i="5" l="1"/>
  <c r="BB18" i="5"/>
  <c r="H18" i="5"/>
  <c r="I18" i="5" s="1"/>
  <c r="K18" i="5" s="1"/>
  <c r="D18" i="5"/>
  <c r="F19" i="5" s="1"/>
  <c r="E18" i="5"/>
  <c r="AH34" i="5"/>
  <c r="AN34" i="5" s="1"/>
  <c r="AN33" i="5"/>
  <c r="AG34" i="5"/>
  <c r="AM34" i="5" s="1"/>
  <c r="AC20" i="5"/>
  <c r="AI21" i="5"/>
  <c r="E24" i="1"/>
  <c r="E36" i="1"/>
  <c r="F36" i="1" s="1"/>
  <c r="E32" i="1"/>
  <c r="F32" i="1" s="1"/>
  <c r="E28" i="1"/>
  <c r="F28" i="1" s="1"/>
  <c r="E35" i="1"/>
  <c r="F35" i="1" s="1"/>
  <c r="E31" i="1"/>
  <c r="F31" i="1" s="1"/>
  <c r="E27" i="1"/>
  <c r="F27" i="1" s="1"/>
  <c r="E38" i="1"/>
  <c r="F38" i="1" s="1"/>
  <c r="E34" i="1"/>
  <c r="F34" i="1" s="1"/>
  <c r="E30" i="1"/>
  <c r="F30" i="1" s="1"/>
  <c r="E26" i="1"/>
  <c r="F26" i="1" s="1"/>
  <c r="E37" i="1"/>
  <c r="F37" i="1" s="1"/>
  <c r="E33" i="1"/>
  <c r="F33" i="1" s="1"/>
  <c r="E29" i="1"/>
  <c r="F29" i="1" s="1"/>
  <c r="E25" i="1"/>
  <c r="F25" i="1" s="1"/>
  <c r="D34" i="1"/>
  <c r="D33" i="1"/>
  <c r="D37" i="1"/>
  <c r="D31" i="1"/>
  <c r="D24" i="1"/>
  <c r="D28" i="1"/>
  <c r="D27" i="1"/>
  <c r="D35" i="1"/>
  <c r="D30" i="1"/>
  <c r="D29" i="1"/>
  <c r="D26" i="1"/>
  <c r="D38" i="1"/>
  <c r="D36" i="1"/>
  <c r="D32" i="1"/>
  <c r="G19" i="5" l="1"/>
  <c r="J19" i="5"/>
  <c r="AT18" i="5"/>
  <c r="AZ18" i="5" s="1"/>
  <c r="AS18" i="5"/>
  <c r="AY18" i="5" s="1"/>
  <c r="AR18" i="5"/>
  <c r="AX18" i="5" s="1"/>
  <c r="L18" i="5"/>
  <c r="N18" i="5" s="1"/>
  <c r="AF20" i="5"/>
  <c r="AL20" i="5" s="1"/>
  <c r="AI22" i="5"/>
  <c r="T21" i="5"/>
  <c r="W21" i="5" s="1"/>
  <c r="F24" i="1"/>
  <c r="G24" i="1" s="1"/>
  <c r="H24" i="1" s="1"/>
  <c r="G25" i="1"/>
  <c r="H25" i="1" s="1"/>
  <c r="G33" i="1"/>
  <c r="H33" i="1" s="1"/>
  <c r="G26" i="1"/>
  <c r="H26" i="1" s="1"/>
  <c r="G27" i="1"/>
  <c r="H27" i="1" s="1"/>
  <c r="G35" i="1"/>
  <c r="H35" i="1" s="1"/>
  <c r="G32" i="1"/>
  <c r="H32" i="1" s="1"/>
  <c r="G30" i="1"/>
  <c r="H30" i="1" s="1"/>
  <c r="G29" i="1"/>
  <c r="H29" i="1" s="1"/>
  <c r="G37" i="1"/>
  <c r="H37" i="1" s="1"/>
  <c r="G34" i="1"/>
  <c r="H34" i="1" s="1"/>
  <c r="G31" i="1"/>
  <c r="H31" i="1" s="1"/>
  <c r="G28" i="1"/>
  <c r="H28" i="1" s="1"/>
  <c r="G36" i="1"/>
  <c r="H36" i="1" s="1"/>
  <c r="G38" i="1"/>
  <c r="H38" i="1" s="1"/>
  <c r="BC18" i="5" l="1"/>
  <c r="BD18" i="5"/>
  <c r="BG18" i="5"/>
  <c r="BE18" i="5"/>
  <c r="BF18" i="5" s="1"/>
  <c r="AQ19" i="5"/>
  <c r="AW19" i="5" s="1"/>
  <c r="M19" i="5"/>
  <c r="AP19" i="5"/>
  <c r="AV19" i="5" s="1"/>
  <c r="AO19" i="5"/>
  <c r="AU19" i="5" s="1"/>
  <c r="AC21" i="5"/>
  <c r="AI23" i="5"/>
  <c r="T22" i="5"/>
  <c r="BB19" i="5" l="1"/>
  <c r="BA19" i="5"/>
  <c r="E19" i="5"/>
  <c r="D19" i="5"/>
  <c r="F20" i="5" s="1"/>
  <c r="H19" i="5"/>
  <c r="I19" i="5" s="1"/>
  <c r="K19" i="5" s="1"/>
  <c r="AF21" i="5"/>
  <c r="AL21" i="5" s="1"/>
  <c r="W22" i="5"/>
  <c r="AC22" i="5" s="1"/>
  <c r="AI24" i="5"/>
  <c r="T23" i="5"/>
  <c r="J20" i="5" l="1"/>
  <c r="G20" i="5"/>
  <c r="AS19" i="5"/>
  <c r="AY19" i="5" s="1"/>
  <c r="AR19" i="5"/>
  <c r="AX19" i="5" s="1"/>
  <c r="L19" i="5"/>
  <c r="N19" i="5" s="1"/>
  <c r="AT19" i="5"/>
  <c r="AZ19" i="5" s="1"/>
  <c r="AF22" i="5"/>
  <c r="AL22" i="5" s="1"/>
  <c r="W23" i="5"/>
  <c r="AC23" i="5" s="1"/>
  <c r="T24" i="5"/>
  <c r="BC19" i="5" l="1"/>
  <c r="BD19" i="5"/>
  <c r="BE19" i="5"/>
  <c r="BF19" i="5" s="1"/>
  <c r="BG19" i="5"/>
  <c r="AO20" i="5"/>
  <c r="AU20" i="5" s="1"/>
  <c r="AP20" i="5"/>
  <c r="AV20" i="5" s="1"/>
  <c r="M20" i="5"/>
  <c r="AQ20" i="5"/>
  <c r="AW20" i="5" s="1"/>
  <c r="AF23" i="5"/>
  <c r="AL23" i="5" s="1"/>
  <c r="W24" i="5"/>
  <c r="AC24" i="5" s="1"/>
  <c r="E20" i="5" l="1"/>
  <c r="H20" i="5"/>
  <c r="I20" i="5" s="1"/>
  <c r="K20" i="5" s="1"/>
  <c r="D20" i="5"/>
  <c r="F21" i="5" s="1"/>
  <c r="BA20" i="5"/>
  <c r="BB20" i="5"/>
  <c r="AF24" i="5"/>
  <c r="AL24" i="5" s="1"/>
  <c r="G21" i="5" l="1"/>
  <c r="J21" i="5"/>
  <c r="AT20" i="5"/>
  <c r="AZ20" i="5" s="1"/>
  <c r="AS20" i="5"/>
  <c r="AY20" i="5" s="1"/>
  <c r="AR20" i="5"/>
  <c r="AX20" i="5" s="1"/>
  <c r="L20" i="5"/>
  <c r="N20" i="5" s="1"/>
  <c r="AI25" i="5"/>
  <c r="BD20" i="5" l="1"/>
  <c r="BE20" i="5"/>
  <c r="BF20" i="5" s="1"/>
  <c r="BC20" i="5"/>
  <c r="BG20" i="5"/>
  <c r="AQ21" i="5"/>
  <c r="AW21" i="5" s="1"/>
  <c r="M21" i="5"/>
  <c r="AP21" i="5"/>
  <c r="AV21" i="5" s="1"/>
  <c r="AO21" i="5"/>
  <c r="AU21" i="5" s="1"/>
  <c r="AI26" i="5"/>
  <c r="T25" i="5"/>
  <c r="W25" i="5" s="1"/>
  <c r="BB21" i="5" l="1"/>
  <c r="BA21" i="5"/>
  <c r="E21" i="5"/>
  <c r="D21" i="5"/>
  <c r="F22" i="5" s="1"/>
  <c r="H21" i="5"/>
  <c r="I21" i="5" s="1"/>
  <c r="K21" i="5" s="1"/>
  <c r="AC25" i="5"/>
  <c r="T26" i="5"/>
  <c r="AT21" i="5" l="1"/>
  <c r="AZ21" i="5" s="1"/>
  <c r="AS21" i="5"/>
  <c r="AY21" i="5" s="1"/>
  <c r="AR21" i="5"/>
  <c r="AX21" i="5" s="1"/>
  <c r="L21" i="5"/>
  <c r="N21" i="5" s="1"/>
  <c r="G22" i="5"/>
  <c r="J22" i="5"/>
  <c r="AF25" i="5"/>
  <c r="AL25" i="5" s="1"/>
  <c r="W26" i="5"/>
  <c r="AC26" i="5" s="1"/>
  <c r="AI27" i="5"/>
  <c r="AO22" i="5" l="1"/>
  <c r="AU22" i="5" s="1"/>
  <c r="M22" i="5"/>
  <c r="AQ22" i="5"/>
  <c r="AW22" i="5" s="1"/>
  <c r="AP22" i="5"/>
  <c r="AV22" i="5" s="1"/>
  <c r="BC21" i="5"/>
  <c r="BD21" i="5"/>
  <c r="BG21" i="5"/>
  <c r="BE21" i="5"/>
  <c r="BF21" i="5" s="1"/>
  <c r="AF26" i="5"/>
  <c r="AL26" i="5" s="1"/>
  <c r="T27" i="5"/>
  <c r="W27" i="5" s="1"/>
  <c r="E22" i="5" l="1"/>
  <c r="D22" i="5"/>
  <c r="F23" i="5" s="1"/>
  <c r="H22" i="5"/>
  <c r="I22" i="5" s="1"/>
  <c r="K22" i="5" s="1"/>
  <c r="BA22" i="5"/>
  <c r="BB22" i="5"/>
  <c r="AC27" i="5"/>
  <c r="AI28" i="5"/>
  <c r="J23" i="5" l="1"/>
  <c r="G23" i="5"/>
  <c r="AT22" i="5"/>
  <c r="AZ22" i="5" s="1"/>
  <c r="AS22" i="5"/>
  <c r="AY22" i="5" s="1"/>
  <c r="L22" i="5"/>
  <c r="N22" i="5" s="1"/>
  <c r="AR22" i="5"/>
  <c r="AX22" i="5" s="1"/>
  <c r="AF27" i="5"/>
  <c r="AL27" i="5" s="1"/>
  <c r="T28" i="5"/>
  <c r="BC22" i="5" l="1"/>
  <c r="BD22" i="5"/>
  <c r="BG22" i="5"/>
  <c r="BE22" i="5"/>
  <c r="BF22" i="5" s="1"/>
  <c r="M23" i="5"/>
  <c r="AO23" i="5"/>
  <c r="AU23" i="5" s="1"/>
  <c r="AP23" i="5"/>
  <c r="AV23" i="5" s="1"/>
  <c r="AQ23" i="5"/>
  <c r="AW23" i="5" s="1"/>
  <c r="W28" i="5"/>
  <c r="AC28" i="5" s="1"/>
  <c r="AI29" i="5"/>
  <c r="BB23" i="5" l="1"/>
  <c r="BA23" i="5"/>
  <c r="E23" i="5"/>
  <c r="D23" i="5"/>
  <c r="F24" i="5" s="1"/>
  <c r="H23" i="5"/>
  <c r="I23" i="5" s="1"/>
  <c r="K23" i="5" s="1"/>
  <c r="AF28" i="5"/>
  <c r="AL28" i="5" s="1"/>
  <c r="T29" i="5"/>
  <c r="W29" i="5" s="1"/>
  <c r="G24" i="5" l="1"/>
  <c r="J24" i="5"/>
  <c r="AS23" i="5"/>
  <c r="AY23" i="5" s="1"/>
  <c r="AT23" i="5"/>
  <c r="AZ23" i="5" s="1"/>
  <c r="AR23" i="5"/>
  <c r="AX23" i="5" s="1"/>
  <c r="L23" i="5"/>
  <c r="N23" i="5" s="1"/>
  <c r="AC29" i="5"/>
  <c r="AI30" i="5"/>
  <c r="BG23" i="5" l="1"/>
  <c r="BC23" i="5"/>
  <c r="BD23" i="5"/>
  <c r="BE23" i="5"/>
  <c r="BF23" i="5" s="1"/>
  <c r="AO24" i="5"/>
  <c r="AU24" i="5" s="1"/>
  <c r="M24" i="5"/>
  <c r="AQ24" i="5"/>
  <c r="AW24" i="5" s="1"/>
  <c r="AP24" i="5"/>
  <c r="AV24" i="5" s="1"/>
  <c r="AF29" i="5"/>
  <c r="AL29" i="5" s="1"/>
  <c r="T30" i="5"/>
  <c r="D24" i="5" l="1"/>
  <c r="F25" i="5" s="1"/>
  <c r="H24" i="5"/>
  <c r="I24" i="5" s="1"/>
  <c r="K24" i="5" s="1"/>
  <c r="E24" i="5"/>
  <c r="BB24" i="5"/>
  <c r="BA24" i="5"/>
  <c r="W30" i="5"/>
  <c r="AC30" i="5" s="1"/>
  <c r="AI31" i="5"/>
  <c r="AT24" i="5" l="1"/>
  <c r="AZ24" i="5" s="1"/>
  <c r="L24" i="5"/>
  <c r="N24" i="5" s="1"/>
  <c r="AS24" i="5"/>
  <c r="AY24" i="5" s="1"/>
  <c r="AR24" i="5"/>
  <c r="AX24" i="5" s="1"/>
  <c r="G25" i="5"/>
  <c r="J25" i="5"/>
  <c r="AF30" i="5"/>
  <c r="AL30" i="5" s="1"/>
  <c r="T31" i="5"/>
  <c r="W31" i="5" s="1"/>
  <c r="AP25" i="5" l="1"/>
  <c r="AV25" i="5" s="1"/>
  <c r="AO25" i="5"/>
  <c r="AU25" i="5" s="1"/>
  <c r="AQ25" i="5"/>
  <c r="AW25" i="5" s="1"/>
  <c r="M25" i="5"/>
  <c r="BC24" i="5"/>
  <c r="BE24" i="5"/>
  <c r="BF24" i="5" s="1"/>
  <c r="BD24" i="5"/>
  <c r="BG24" i="5"/>
  <c r="AC31" i="5"/>
  <c r="AI32" i="5"/>
  <c r="D25" i="5" l="1"/>
  <c r="F26" i="5" s="1"/>
  <c r="E25" i="5"/>
  <c r="H25" i="5"/>
  <c r="I25" i="5" s="1"/>
  <c r="K25" i="5" s="1"/>
  <c r="BB25" i="5"/>
  <c r="BA25" i="5"/>
  <c r="AF31" i="5"/>
  <c r="AL31" i="5" s="1"/>
  <c r="T32" i="5"/>
  <c r="AS25" i="5" l="1"/>
  <c r="AY25" i="5" s="1"/>
  <c r="AT25" i="5"/>
  <c r="AZ25" i="5" s="1"/>
  <c r="AR25" i="5"/>
  <c r="AX25" i="5" s="1"/>
  <c r="L25" i="5"/>
  <c r="N25" i="5" s="1"/>
  <c r="G26" i="5"/>
  <c r="J26" i="5"/>
  <c r="W32" i="5"/>
  <c r="AC32" i="5" s="1"/>
  <c r="AI33" i="5"/>
  <c r="M26" i="5" l="1"/>
  <c r="AP26" i="5"/>
  <c r="AV26" i="5" s="1"/>
  <c r="AQ26" i="5"/>
  <c r="AW26" i="5" s="1"/>
  <c r="AO26" i="5"/>
  <c r="AU26" i="5" s="1"/>
  <c r="BD25" i="5"/>
  <c r="BC25" i="5"/>
  <c r="BG25" i="5"/>
  <c r="BE25" i="5"/>
  <c r="BF25" i="5" s="1"/>
  <c r="AF32" i="5"/>
  <c r="AL32" i="5" s="1"/>
  <c r="T33" i="5"/>
  <c r="BB26" i="5" l="1"/>
  <c r="BA26" i="5"/>
  <c r="H26" i="5"/>
  <c r="I26" i="5" s="1"/>
  <c r="K26" i="5" s="1"/>
  <c r="D26" i="5"/>
  <c r="F27" i="5" s="1"/>
  <c r="E26" i="5"/>
  <c r="W33" i="5"/>
  <c r="AC33" i="5" s="1"/>
  <c r="AI34" i="5"/>
  <c r="T34" i="5" s="1"/>
  <c r="AS26" i="5" l="1"/>
  <c r="AY26" i="5" s="1"/>
  <c r="L26" i="5"/>
  <c r="N26" i="5" s="1"/>
  <c r="AT26" i="5"/>
  <c r="AZ26" i="5" s="1"/>
  <c r="AR26" i="5"/>
  <c r="AX26" i="5" s="1"/>
  <c r="J27" i="5"/>
  <c r="G27" i="5"/>
  <c r="AF33" i="5"/>
  <c r="AL33" i="5" s="1"/>
  <c r="W34" i="5"/>
  <c r="AC34" i="5" s="1"/>
  <c r="AQ27" i="5" l="1"/>
  <c r="AW27" i="5" s="1"/>
  <c r="AP27" i="5"/>
  <c r="AV27" i="5" s="1"/>
  <c r="AO27" i="5"/>
  <c r="AU27" i="5" s="1"/>
  <c r="M27" i="5"/>
  <c r="BC26" i="5"/>
  <c r="BD26" i="5"/>
  <c r="BG26" i="5"/>
  <c r="BE26" i="5"/>
  <c r="BF26" i="5" s="1"/>
  <c r="AF34" i="5"/>
  <c r="AL34" i="5" s="1"/>
  <c r="E27" i="5" l="1"/>
  <c r="D27" i="5"/>
  <c r="F28" i="5" s="1"/>
  <c r="H27" i="5"/>
  <c r="I27" i="5" s="1"/>
  <c r="K27" i="5" s="1"/>
  <c r="BA27" i="5"/>
  <c r="BB27" i="5"/>
  <c r="J28" i="5" l="1"/>
  <c r="G28" i="5"/>
  <c r="AT27" i="5"/>
  <c r="AZ27" i="5" s="1"/>
  <c r="AS27" i="5"/>
  <c r="AY27" i="5" s="1"/>
  <c r="AR27" i="5"/>
  <c r="AX27" i="5" s="1"/>
  <c r="L27" i="5"/>
  <c r="N27" i="5" s="1"/>
  <c r="BC27" i="5" l="1"/>
  <c r="BD27" i="5"/>
  <c r="BG27" i="5"/>
  <c r="BE27" i="5"/>
  <c r="BF27" i="5" s="1"/>
  <c r="M28" i="5"/>
  <c r="AQ28" i="5"/>
  <c r="AW28" i="5" s="1"/>
  <c r="AO28" i="5"/>
  <c r="AU28" i="5" s="1"/>
  <c r="AP28" i="5"/>
  <c r="AV28" i="5" s="1"/>
  <c r="BA28" i="5" l="1"/>
  <c r="BB28" i="5"/>
  <c r="D28" i="5"/>
  <c r="F29" i="5" s="1"/>
  <c r="E28" i="5"/>
  <c r="H28" i="5"/>
  <c r="I28" i="5" s="1"/>
  <c r="K28" i="5" s="1"/>
  <c r="AT28" i="5" l="1"/>
  <c r="AZ28" i="5" s="1"/>
  <c r="AR28" i="5"/>
  <c r="AX28" i="5" s="1"/>
  <c r="AS28" i="5"/>
  <c r="AY28" i="5" s="1"/>
  <c r="L28" i="5"/>
  <c r="N28" i="5" s="1"/>
  <c r="J29" i="5"/>
  <c r="G29" i="5"/>
  <c r="AP29" i="5" l="1"/>
  <c r="AV29" i="5" s="1"/>
  <c r="AO29" i="5"/>
  <c r="AU29" i="5" s="1"/>
  <c r="M29" i="5"/>
  <c r="AQ29" i="5"/>
  <c r="AW29" i="5" s="1"/>
  <c r="BC28" i="5"/>
  <c r="BD28" i="5"/>
  <c r="BE28" i="5"/>
  <c r="BF28" i="5" s="1"/>
  <c r="BG28" i="5"/>
  <c r="BB29" i="5" l="1"/>
  <c r="BA29" i="5"/>
  <c r="H29" i="5"/>
  <c r="I29" i="5" s="1"/>
  <c r="K29" i="5" s="1"/>
  <c r="E29" i="5"/>
  <c r="D29" i="5"/>
  <c r="F30" i="5" s="1"/>
  <c r="G30" i="5" l="1"/>
  <c r="J30" i="5"/>
  <c r="AS29" i="5"/>
  <c r="AY29" i="5" s="1"/>
  <c r="AT29" i="5"/>
  <c r="AZ29" i="5" s="1"/>
  <c r="AR29" i="5"/>
  <c r="AX29" i="5" s="1"/>
  <c r="L29" i="5"/>
  <c r="N29" i="5" s="1"/>
  <c r="M30" i="5" l="1"/>
  <c r="AO30" i="5"/>
  <c r="AU30" i="5" s="1"/>
  <c r="AP30" i="5"/>
  <c r="AV30" i="5" s="1"/>
  <c r="AQ30" i="5"/>
  <c r="AW30" i="5" s="1"/>
  <c r="BC29" i="5"/>
  <c r="BD29" i="5"/>
  <c r="BE29" i="5"/>
  <c r="BF29" i="5" s="1"/>
  <c r="BG29" i="5"/>
  <c r="BA30" i="5" l="1"/>
  <c r="BB30" i="5"/>
  <c r="D30" i="5"/>
  <c r="F31" i="5" s="1"/>
  <c r="E30" i="5"/>
  <c r="H30" i="5"/>
  <c r="I30" i="5" s="1"/>
  <c r="K30" i="5" s="1"/>
  <c r="AT30" i="5" l="1"/>
  <c r="AZ30" i="5" s="1"/>
  <c r="AS30" i="5"/>
  <c r="AY30" i="5" s="1"/>
  <c r="AR30" i="5"/>
  <c r="AX30" i="5" s="1"/>
  <c r="L30" i="5"/>
  <c r="N30" i="5" s="1"/>
  <c r="G31" i="5"/>
  <c r="J31" i="5"/>
  <c r="M31" i="5" l="1"/>
  <c r="AO31" i="5"/>
  <c r="AU31" i="5" s="1"/>
  <c r="AP31" i="5"/>
  <c r="AV31" i="5" s="1"/>
  <c r="AQ31" i="5"/>
  <c r="AW31" i="5" s="1"/>
  <c r="BC30" i="5"/>
  <c r="BD30" i="5"/>
  <c r="BE30" i="5"/>
  <c r="BF30" i="5" s="1"/>
  <c r="BG30" i="5"/>
  <c r="BA31" i="5" l="1"/>
  <c r="BB31" i="5"/>
  <c r="H31" i="5"/>
  <c r="I31" i="5" s="1"/>
  <c r="K31" i="5" s="1"/>
  <c r="E31" i="5"/>
  <c r="D31" i="5"/>
  <c r="F32" i="5" s="1"/>
  <c r="J32" i="5" l="1"/>
  <c r="G32" i="5"/>
  <c r="AS31" i="5"/>
  <c r="AY31" i="5" s="1"/>
  <c r="AT31" i="5"/>
  <c r="AZ31" i="5" s="1"/>
  <c r="AR31" i="5"/>
  <c r="AX31" i="5" s="1"/>
  <c r="L31" i="5"/>
  <c r="N31" i="5" s="1"/>
  <c r="BC31" i="5" l="1"/>
  <c r="BD31" i="5"/>
  <c r="BG31" i="5"/>
  <c r="BE31" i="5"/>
  <c r="BF31" i="5" s="1"/>
  <c r="M32" i="5"/>
  <c r="AQ32" i="5"/>
  <c r="AW32" i="5" s="1"/>
  <c r="AO32" i="5"/>
  <c r="AU32" i="5" s="1"/>
  <c r="AP32" i="5"/>
  <c r="AV32" i="5" s="1"/>
  <c r="BA32" i="5" l="1"/>
  <c r="BB32" i="5"/>
  <c r="D32" i="5"/>
  <c r="F33" i="5" s="1"/>
  <c r="E32" i="5"/>
  <c r="H32" i="5"/>
  <c r="I32" i="5" s="1"/>
  <c r="K32" i="5" s="1"/>
  <c r="AT32" i="5" l="1"/>
  <c r="AZ32" i="5" s="1"/>
  <c r="AS32" i="5"/>
  <c r="AY32" i="5" s="1"/>
  <c r="AR32" i="5"/>
  <c r="AX32" i="5" s="1"/>
  <c r="L32" i="5"/>
  <c r="N32" i="5" s="1"/>
  <c r="G33" i="5"/>
  <c r="J33" i="5"/>
  <c r="AO33" i="5" l="1"/>
  <c r="AU33" i="5" s="1"/>
  <c r="AQ33" i="5"/>
  <c r="AW33" i="5" s="1"/>
  <c r="M33" i="5"/>
  <c r="AP33" i="5"/>
  <c r="AV33" i="5" s="1"/>
  <c r="BC32" i="5"/>
  <c r="BD32" i="5"/>
  <c r="BG32" i="5"/>
  <c r="BE32" i="5"/>
  <c r="BF32" i="5" s="1"/>
  <c r="E33" i="5" l="1"/>
  <c r="D33" i="5"/>
  <c r="F34" i="5" s="1"/>
  <c r="H33" i="5"/>
  <c r="I33" i="5" s="1"/>
  <c r="K33" i="5" s="1"/>
  <c r="BA33" i="5"/>
  <c r="BB33" i="5"/>
  <c r="J34" i="5" l="1"/>
  <c r="G34" i="5"/>
  <c r="AS33" i="5"/>
  <c r="AY33" i="5" s="1"/>
  <c r="AT33" i="5"/>
  <c r="AZ33" i="5" s="1"/>
  <c r="L33" i="5"/>
  <c r="N33" i="5" s="1"/>
  <c r="AR33" i="5"/>
  <c r="AX33" i="5" s="1"/>
  <c r="BC33" i="5" l="1"/>
  <c r="BD33" i="5"/>
  <c r="BG33" i="5"/>
  <c r="BE33" i="5"/>
  <c r="BF33" i="5" s="1"/>
  <c r="AO34" i="5"/>
  <c r="AU34" i="5" s="1"/>
  <c r="M34" i="5"/>
  <c r="AP34" i="5"/>
  <c r="AV34" i="5" s="1"/>
  <c r="AQ34" i="5"/>
  <c r="AW34" i="5" s="1"/>
  <c r="D34" i="5" l="1"/>
  <c r="E34" i="5"/>
  <c r="H34" i="5"/>
  <c r="I34" i="5" s="1"/>
  <c r="K34" i="5" s="1"/>
  <c r="BA34" i="5"/>
  <c r="BB34" i="5"/>
  <c r="AS34" i="5" l="1"/>
  <c r="AY34" i="5" s="1"/>
  <c r="AT34" i="5"/>
  <c r="AZ34" i="5" s="1"/>
  <c r="AR34" i="5"/>
  <c r="AX34" i="5" s="1"/>
  <c r="L34" i="5"/>
  <c r="N34" i="5" s="1"/>
  <c r="BE34" i="5" l="1"/>
  <c r="BF34" i="5" s="1"/>
  <c r="BG34" i="5"/>
  <c r="BC34" i="5"/>
  <c r="BD34" i="5"/>
</calcChain>
</file>

<file path=xl/sharedStrings.xml><?xml version="1.0" encoding="utf-8"?>
<sst xmlns="http://schemas.openxmlformats.org/spreadsheetml/2006/main" count="241" uniqueCount="197">
  <si>
    <t>Entrada de dados:</t>
  </si>
  <si>
    <t>Cálculos intermédios:</t>
  </si>
  <si>
    <r>
      <t>Coeficiente de arrasto do vento, 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</t>
    </r>
  </si>
  <si>
    <t>Espiral de Ekman:</t>
  </si>
  <si>
    <t xml:space="preserve"> </t>
  </si>
  <si>
    <t>Cálculo de corrente geostrófica</t>
  </si>
  <si>
    <t>Estação A</t>
  </si>
  <si>
    <t>z (m)</t>
  </si>
  <si>
    <r>
      <t>T (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C)</t>
    </r>
  </si>
  <si>
    <t>S (ppm)</t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</si>
  <si>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t</t>
    </r>
  </si>
  <si>
    <r>
      <rPr>
        <sz val="11"/>
        <color theme="1"/>
        <rFont val="Calibri"/>
        <family val="2"/>
      </rPr>
      <t>Δφ</t>
    </r>
    <r>
      <rPr>
        <vertAlign val="subscript"/>
        <sz val="11"/>
        <color theme="1"/>
        <rFont val="Calibri"/>
        <family val="2"/>
      </rPr>
      <t>A</t>
    </r>
  </si>
  <si>
    <t>Estação B</t>
  </si>
  <si>
    <r>
      <rPr>
        <sz val="11"/>
        <color theme="1"/>
        <rFont val="Calibri"/>
        <family val="2"/>
      </rPr>
      <t>Δφ</t>
    </r>
    <r>
      <rPr>
        <vertAlign val="subscript"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>-Δφ</t>
    </r>
    <r>
      <rPr>
        <vertAlign val="subscript"/>
        <sz val="11"/>
        <color theme="1"/>
        <rFont val="Calibri"/>
        <family val="2"/>
      </rPr>
      <t>A</t>
    </r>
  </si>
  <si>
    <r>
      <t>Δφ</t>
    </r>
    <r>
      <rPr>
        <vertAlign val="subscript"/>
        <sz val="11"/>
        <color theme="1"/>
        <rFont val="Calibri"/>
        <family val="2"/>
      </rPr>
      <t>B</t>
    </r>
  </si>
  <si>
    <t>Vrel (m/s)</t>
  </si>
  <si>
    <t>Distância entre estações (m) =</t>
  </si>
  <si>
    <t>f=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</si>
  <si>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-2</t>
    </r>
  </si>
  <si>
    <t>Latitude média (graus) =</t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</si>
  <si>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e δ são calculados em folha de cálculo separada</t>
    </r>
  </si>
  <si>
    <t>Anomalia de geopotencial na estação A:</t>
  </si>
  <si>
    <t>Anomalia de geopotencial na estação B:</t>
  </si>
  <si>
    <r>
      <t xml:space="preserve">     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Pa =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</si>
  <si>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 xml:space="preserve"> 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Pa =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</si>
  <si>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Dados e problema nas pp. 75-78 do livro de Pond &amp; Pickard</t>
  </si>
  <si>
    <t>Cálculo da Espiral de Ekman</t>
  </si>
  <si>
    <t>fórmula 1:</t>
  </si>
  <si>
    <t>fórmula 2:</t>
  </si>
  <si>
    <r>
      <t xml:space="preserve">Densidade do ar, </t>
    </r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  <scheme val="minor"/>
      </rPr>
      <t xml:space="preserve">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 =</t>
    </r>
  </si>
  <si>
    <r>
      <t xml:space="preserve">Densidade da água, 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 xml:space="preserve">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 =</t>
    </r>
  </si>
  <si>
    <r>
      <t xml:space="preserve">Tensão do vento, </t>
    </r>
    <r>
      <rPr>
        <sz val="11"/>
        <color theme="1"/>
        <rFont val="Calibri"/>
        <family val="2"/>
      </rPr>
      <t>τ</t>
    </r>
    <r>
      <rPr>
        <vertAlign val="subscript"/>
        <sz val="11"/>
        <color theme="1"/>
        <rFont val="Calibri"/>
        <family val="2"/>
      </rPr>
      <t>η</t>
    </r>
    <r>
      <rPr>
        <sz val="11"/>
        <color theme="1"/>
        <rFont val="Calibri"/>
        <family val="2"/>
        <scheme val="minor"/>
      </rPr>
      <t xml:space="preserve"> (N/m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</t>
    </r>
  </si>
  <si>
    <r>
      <t>Espessura da camada de Ekman, D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(m) =</t>
    </r>
  </si>
  <si>
    <t>A variação de valores da corrente com a alteração do vento</t>
  </si>
  <si>
    <t>O decaimento da corrente com a profundidade</t>
  </si>
  <si>
    <t>A rotação da corrente com a profundidade</t>
  </si>
  <si>
    <t>fórmula 3:</t>
  </si>
  <si>
    <r>
      <t>1- Magnitude da corrente à superfície, V</t>
    </r>
    <r>
      <rPr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(m/s) =</t>
    </r>
  </si>
  <si>
    <r>
      <t>2- Magnitude da corrente à superfície, V</t>
    </r>
    <r>
      <rPr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(m/s) =</t>
    </r>
  </si>
  <si>
    <r>
      <t>3- Magnitude da corrente à superfície, V</t>
    </r>
    <r>
      <rPr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(m/s) =</t>
    </r>
  </si>
  <si>
    <r>
      <t>Velocidade do vento, W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 xml:space="preserve"> (m/s) =</t>
    </r>
  </si>
  <si>
    <r>
      <t>θ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vertAlign val="super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</si>
  <si>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r>
      <t>u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= segundo a perpendicular à direcção do vento</t>
    </r>
  </si>
  <si>
    <r>
      <t>v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= segundo a direcção do vento</t>
    </r>
  </si>
  <si>
    <t>(+) hemisfério norte; (-) hemisfério sul</t>
  </si>
  <si>
    <t xml:space="preserve">Note-se: </t>
  </si>
  <si>
    <r>
      <t xml:space="preserve">Velocidade rotação da Terra, </t>
    </r>
    <r>
      <rPr>
        <sz val="11"/>
        <color theme="1"/>
        <rFont val="Calibri"/>
        <family val="2"/>
      </rPr>
      <t>ω (rad/s)=</t>
    </r>
  </si>
  <si>
    <r>
      <t xml:space="preserve">Origem de </t>
    </r>
    <r>
      <rPr>
        <sz val="11"/>
        <color theme="1"/>
        <rFont val="Calibri"/>
        <family val="2"/>
      </rPr>
      <t>θ</t>
    </r>
    <r>
      <rPr>
        <vertAlign val="sub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 xml:space="preserve"> 90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para direita da direccção para onde sopra o vento</t>
    </r>
  </si>
  <si>
    <t>Movimento inercial</t>
  </si>
  <si>
    <t>Entradas:</t>
  </si>
  <si>
    <r>
      <t xml:space="preserve">Latitude, </t>
    </r>
    <r>
      <rPr>
        <sz val="11"/>
        <color theme="1"/>
        <rFont val="Calibri"/>
        <family val="2"/>
      </rPr>
      <t>ϕ =</t>
    </r>
  </si>
  <si>
    <t>graus</t>
  </si>
  <si>
    <t>m/s</t>
  </si>
  <si>
    <t>Cálculos:</t>
  </si>
  <si>
    <t>Parâmetro de Coriolis, f =</t>
  </si>
  <si>
    <r>
      <t>Período inercial, 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=</t>
    </r>
  </si>
  <si>
    <r>
      <t>Diâmetro do movimento inercial, 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</t>
    </r>
  </si>
  <si>
    <t>v(t)</t>
  </si>
  <si>
    <t>u(t)</t>
  </si>
  <si>
    <r>
      <t xml:space="preserve">Velocidade angular da Terra, </t>
    </r>
    <r>
      <rPr>
        <sz val="10"/>
        <color theme="1"/>
        <rFont val="Calibri"/>
        <family val="2"/>
      </rPr>
      <t>ω =</t>
    </r>
  </si>
  <si>
    <t>s</t>
  </si>
  <si>
    <r>
      <t>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(horas)=</t>
    </r>
  </si>
  <si>
    <t>m</t>
  </si>
  <si>
    <r>
      <t>Incremento de tempo (T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/12)=</t>
    </r>
  </si>
  <si>
    <t>Fracção de ciclo</t>
  </si>
  <si>
    <t>Tempo, t (horas)</t>
  </si>
  <si>
    <t>Tabela de valores do movimento inercial:</t>
  </si>
  <si>
    <t>Fórmulas:</t>
  </si>
  <si>
    <r>
      <t>Velocidade, V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</t>
    </r>
  </si>
  <si>
    <t>Movimento ciclostrófico</t>
  </si>
  <si>
    <r>
      <t xml:space="preserve">Densidade do ar, </t>
    </r>
    <r>
      <rPr>
        <sz val="10"/>
        <color theme="1"/>
        <rFont val="Calibri"/>
        <family val="2"/>
      </rPr>
      <t>ρ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  <scheme val="minor"/>
      </rPr>
      <t xml:space="preserve"> =</t>
    </r>
  </si>
  <si>
    <t>Gradiente de pressão, dp/dn =</t>
  </si>
  <si>
    <t>Raio das isóbaras, R =</t>
  </si>
  <si>
    <t>mb/km</t>
  </si>
  <si>
    <t>Conversão de mb/km para Pa/m:</t>
  </si>
  <si>
    <t>km/h</t>
  </si>
  <si>
    <t>Pa/m</t>
  </si>
  <si>
    <t>Fórmula:</t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</si>
  <si>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~</t>
    </r>
  </si>
  <si>
    <r>
      <t>Transporte de massa de Ekman, M</t>
    </r>
    <r>
      <rPr>
        <vertAlign val="subscript"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 xml:space="preserve"> (kg m</t>
    </r>
    <r>
      <rPr>
        <vertAlign val="superscript"/>
        <sz val="10"/>
        <color theme="1"/>
        <rFont val="Calibri"/>
        <family val="2"/>
        <scheme val="minor"/>
      </rPr>
      <t>-1</t>
    </r>
    <r>
      <rPr>
        <sz val="10"/>
        <color theme="1"/>
        <rFont val="Calibri"/>
        <family val="2"/>
        <scheme val="minor"/>
      </rPr>
      <t xml:space="preserve"> s</t>
    </r>
    <r>
      <rPr>
        <vertAlign val="superscript"/>
        <sz val="10"/>
        <color theme="1"/>
        <rFont val="Calibri"/>
        <family val="2"/>
        <scheme val="minor"/>
      </rPr>
      <t>-1</t>
    </r>
    <r>
      <rPr>
        <sz val="10"/>
        <color theme="1"/>
        <rFont val="Calibri"/>
        <family val="2"/>
        <scheme val="minor"/>
      </rPr>
      <t>) =</t>
    </r>
  </si>
  <si>
    <r>
      <t>Transporte de volume, Q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 =</t>
    </r>
  </si>
  <si>
    <r>
      <t>Transportes M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e Q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são a 90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do vento</t>
    </r>
  </si>
  <si>
    <r>
      <t>θ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(0-360</t>
    </r>
    <r>
      <rPr>
        <b/>
        <vertAlign val="super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</si>
  <si>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r>
      <t>Rumo do vento (0-360</t>
    </r>
    <r>
      <rPr>
        <vertAlign val="super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)=</t>
    </r>
  </si>
  <si>
    <t>Auxiliar</t>
  </si>
  <si>
    <t>CMG Carlos Lopes da Costa, EN, 2011</t>
  </si>
  <si>
    <t>x(t)</t>
  </si>
  <si>
    <t>y(t)</t>
  </si>
  <si>
    <t>Latitudes</t>
  </si>
  <si>
    <r>
      <t>f (rad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</si>
  <si>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(h)</t>
    </r>
  </si>
  <si>
    <t>Rel. N:</t>
  </si>
  <si>
    <t>Rel. vento:</t>
  </si>
  <si>
    <t>Loxodromia:</t>
  </si>
  <si>
    <t>Corrente de Ekman:</t>
  </si>
  <si>
    <t>minutos</t>
  </si>
  <si>
    <t>λ</t>
  </si>
  <si>
    <t>ϕ</t>
  </si>
  <si>
    <t>Δλ</t>
  </si>
  <si>
    <t>|Δλ|</t>
  </si>
  <si>
    <r>
      <t>Ψ</t>
    </r>
    <r>
      <rPr>
        <vertAlign val="superscript"/>
        <sz val="11"/>
        <color theme="1"/>
        <rFont val="Calibri"/>
        <family val="2"/>
      </rPr>
      <t>'</t>
    </r>
    <r>
      <rPr>
        <sz val="11"/>
        <color theme="1"/>
        <rFont val="Calibri"/>
        <family val="2"/>
      </rPr>
      <t xml:space="preserve"> </t>
    </r>
  </si>
  <si>
    <t>Δϕ</t>
  </si>
  <si>
    <t>Dist. (mi)</t>
  </si>
  <si>
    <t>Direcção</t>
  </si>
  <si>
    <t>Vel. (nós)</t>
  </si>
  <si>
    <t>Hora</t>
  </si>
  <si>
    <t>Longitudes:</t>
  </si>
  <si>
    <t>Latitudes:</t>
  </si>
  <si>
    <t>Deriva de Ekman:</t>
  </si>
  <si>
    <t>Ventos horários:</t>
  </si>
  <si>
    <t>Elipsóide Internacional (1924)</t>
  </si>
  <si>
    <t>Excentricidade, e =</t>
  </si>
  <si>
    <t>W&gt;0 E&lt;0</t>
  </si>
  <si>
    <t>Longitude</t>
  </si>
  <si>
    <t>N&gt;0 S&lt;0</t>
  </si>
  <si>
    <t>Latitude</t>
  </si>
  <si>
    <t>Minutos</t>
  </si>
  <si>
    <t>Graus</t>
  </si>
  <si>
    <t>Posição inicial:</t>
  </si>
  <si>
    <t>Rumo</t>
  </si>
  <si>
    <t>De onde sopra o vento</t>
  </si>
  <si>
    <r>
      <t>λ</t>
    </r>
    <r>
      <rPr>
        <vertAlign val="subscript"/>
        <sz val="11"/>
        <color theme="1"/>
        <rFont val="Calibri"/>
        <family val="2"/>
        <scheme val="minor"/>
      </rPr>
      <t>aux</t>
    </r>
  </si>
  <si>
    <t>CMG Carlos Lopes da Costa, EN, 2012</t>
  </si>
  <si>
    <r>
      <rPr>
        <sz val="11"/>
        <color theme="1"/>
        <rFont val="Calibri"/>
        <family val="2"/>
      </rPr>
      <t>Δ d</t>
    </r>
    <r>
      <rPr>
        <sz val="11"/>
        <color theme="1"/>
        <rFont val="Calibri"/>
        <family val="2"/>
        <scheme val="minor"/>
      </rPr>
      <t>ist. (mi)</t>
    </r>
  </si>
  <si>
    <t>NIL</t>
  </si>
  <si>
    <t>Azimute</t>
  </si>
  <si>
    <t>Distância</t>
  </si>
  <si>
    <t>Fórmulas da lei esférica dos cosenos para ortodrómia:</t>
  </si>
  <si>
    <t>Loxodrómias:</t>
  </si>
  <si>
    <t>Ortodrómias:</t>
  </si>
  <si>
    <t>Deriva do objecto relativa à corrente, pelo vento:</t>
  </si>
  <si>
    <t>Deriva resultante da corrente mais vento:</t>
  </si>
  <si>
    <t>Percentagem da velocidade do vento para deriva do objecto =</t>
  </si>
  <si>
    <t>Ajustar, consoante o tipo de objecto</t>
  </si>
  <si>
    <t>Modelo para calcular a deriva de vento a partir de posição inicial</t>
  </si>
  <si>
    <t>Tipo de objectos</t>
  </si>
  <si>
    <t>% vel. Deriva</t>
  </si>
  <si>
    <t>Máx. Âng. Div.</t>
  </si>
  <si>
    <t>Pequenas embarcações cabinadas</t>
  </si>
  <si>
    <t>Foras de borda</t>
  </si>
  <si>
    <t>Jangadas sem drogue</t>
  </si>
  <si>
    <t>As 3 acima com drogue</t>
  </si>
  <si>
    <t>Grandes embarcações cabinadas</t>
  </si>
  <si>
    <t>Veleiros de deslocamento médio</t>
  </si>
  <si>
    <t>Embarcações de pesca</t>
  </si>
  <si>
    <t>Veleiros grandes</t>
  </si>
  <si>
    <t>Pranchas de surf</t>
  </si>
  <si>
    <t>Homem ao mar</t>
  </si>
  <si>
    <t>+/- 35</t>
  </si>
  <si>
    <t>+/- 60</t>
  </si>
  <si>
    <t>+/- 45</t>
  </si>
  <si>
    <t>Consultar tabela no fundo da folha para os factores de deriva do vento, consoante o tipo de objectos</t>
  </si>
  <si>
    <t>R. rel. esq.</t>
  </si>
  <si>
    <t>R. rel. dir.</t>
  </si>
  <si>
    <t>Ângulo máx. de deriva do objecto, relativa vento =</t>
  </si>
  <si>
    <t>|Δλ| esq.</t>
  </si>
  <si>
    <t>|Δλ| dir.</t>
  </si>
  <si>
    <t>Δϕ esq.</t>
  </si>
  <si>
    <t>Δϕ dir.</t>
  </si>
  <si>
    <t>Δλ esq.</t>
  </si>
  <si>
    <t>Δλ dir.</t>
  </si>
  <si>
    <t>ϕ esq.</t>
  </si>
  <si>
    <t>Posição na deriva (centro):</t>
  </si>
  <si>
    <t>Para cada tipo de objecto ajustar as entradas nas duas linhas acima, consultando a tabela abaixo</t>
  </si>
  <si>
    <t>Tabela com valores para a deriva devida ao vento, por tipo de objectos, consoante ATP 10:</t>
  </si>
  <si>
    <t>Vel. rel.</t>
  </si>
  <si>
    <t>Dist. rel.</t>
  </si>
  <si>
    <t>R. rel. cent.</t>
  </si>
  <si>
    <t>Azi. e dist. da pos. inicial ao centro da deriva</t>
  </si>
  <si>
    <r>
      <t>Ψ</t>
    </r>
    <r>
      <rPr>
        <vertAlign val="superscript"/>
        <sz val="11"/>
        <color theme="1"/>
        <rFont val="Calibri"/>
        <family val="2"/>
      </rPr>
      <t>'</t>
    </r>
    <r>
      <rPr>
        <sz val="11"/>
        <color theme="1"/>
        <rFont val="Calibri"/>
        <family val="2"/>
      </rPr>
      <t xml:space="preserve">  cent.</t>
    </r>
  </si>
  <si>
    <r>
      <t>Ψ</t>
    </r>
    <r>
      <rPr>
        <vertAlign val="superscript"/>
        <sz val="11"/>
        <color theme="1"/>
        <rFont val="Calibri"/>
        <family val="2"/>
      </rPr>
      <t>'</t>
    </r>
    <r>
      <rPr>
        <sz val="11"/>
        <color theme="1"/>
        <rFont val="Calibri"/>
        <family val="2"/>
      </rPr>
      <t xml:space="preserve"> esq.</t>
    </r>
  </si>
  <si>
    <r>
      <t>Ψ</t>
    </r>
    <r>
      <rPr>
        <vertAlign val="superscript"/>
        <sz val="11"/>
        <color theme="1"/>
        <rFont val="Calibri"/>
        <family val="2"/>
      </rPr>
      <t>'</t>
    </r>
    <r>
      <rPr>
        <sz val="11"/>
        <color theme="1"/>
        <rFont val="Calibri"/>
        <family val="2"/>
      </rPr>
      <t xml:space="preserve"> dir.</t>
    </r>
  </si>
  <si>
    <t>|Δλ| cent.</t>
  </si>
  <si>
    <t>Δϕ cent.</t>
  </si>
  <si>
    <t>Δλ cent.</t>
  </si>
  <si>
    <r>
      <t>λ</t>
    </r>
    <r>
      <rPr>
        <vertAlign val="subscript"/>
        <sz val="11"/>
        <color theme="1"/>
        <rFont val="Calibri"/>
        <family val="2"/>
        <scheme val="minor"/>
      </rPr>
      <t>aux cent.</t>
    </r>
  </si>
  <si>
    <r>
      <t>λ</t>
    </r>
    <r>
      <rPr>
        <vertAlign val="subscript"/>
        <sz val="11"/>
        <color theme="1"/>
        <rFont val="Calibri"/>
        <family val="2"/>
        <scheme val="minor"/>
      </rPr>
      <t>aux esq.</t>
    </r>
  </si>
  <si>
    <r>
      <t>λ</t>
    </r>
    <r>
      <rPr>
        <vertAlign val="subscript"/>
        <sz val="11"/>
        <color theme="1"/>
        <rFont val="Calibri"/>
        <family val="2"/>
        <scheme val="minor"/>
      </rPr>
      <t>aux dir.</t>
    </r>
  </si>
  <si>
    <t>ϕ  cent.</t>
  </si>
  <si>
    <t>ϕ dir.</t>
  </si>
  <si>
    <t>λ cent.</t>
  </si>
  <si>
    <t>λ esq.</t>
  </si>
  <si>
    <t>λ dir.</t>
  </si>
  <si>
    <t>ϕ cent.</t>
  </si>
  <si>
    <r>
      <t>Azi.</t>
    </r>
    <r>
      <rPr>
        <b/>
        <vertAlign val="subscript"/>
        <sz val="11"/>
        <color rgb="FF3F3F3F"/>
        <rFont val="Calibri"/>
        <family val="2"/>
        <scheme val="minor"/>
      </rPr>
      <t>aux.</t>
    </r>
  </si>
  <si>
    <t>ϕ&gt;0 se N, ϕ&lt;0 se S</t>
  </si>
  <si>
    <r>
      <t>rad/s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</si>
  <si>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s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</si>
  <si>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</si>
  <si>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 xml:space="preserve">Latitude, </t>
    </r>
    <r>
      <rPr>
        <sz val="11"/>
        <color theme="1"/>
        <rFont val="Calibri"/>
        <family val="2"/>
      </rPr>
      <t>ϕ</t>
    </r>
    <r>
      <rPr>
        <sz val="11"/>
        <color theme="1"/>
        <rFont val="Calibri"/>
        <family val="2"/>
        <scheme val="minor"/>
      </rPr>
      <t xml:space="preserve"> (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,&gt;0 se N, &lt;0 se S) =</t>
    </r>
  </si>
  <si>
    <r>
      <t>Magnitude do parâmetro de Coriolis, f (s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 =</t>
    </r>
  </si>
  <si>
    <t>Imersão, z (m)</t>
  </si>
  <si>
    <r>
      <t>u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(m/s)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</si>
  <si>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(m/s)</t>
    </r>
  </si>
  <si>
    <r>
      <t>V</t>
    </r>
    <r>
      <rPr>
        <b/>
        <vertAlign val="subscript"/>
        <sz val="11"/>
        <color theme="1"/>
        <rFont val="Calibri"/>
        <family val="2"/>
      </rPr>
      <t>E</t>
    </r>
    <r>
      <rPr>
        <b/>
        <sz val="11"/>
        <color theme="1"/>
        <rFont val="Calibri"/>
        <family val="2"/>
      </rPr>
      <t xml:space="preserve"> (m/s)</t>
    </r>
  </si>
  <si>
    <r>
      <t>Velocidade do vento, V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</t>
    </r>
  </si>
  <si>
    <r>
      <t>δ (10</t>
    </r>
    <r>
      <rPr>
        <vertAlign val="superscript"/>
        <sz val="11"/>
        <color theme="1"/>
        <rFont val="Calibri"/>
        <family val="2"/>
      </rPr>
      <t>-8</t>
    </r>
    <r>
      <rPr>
        <sz val="11"/>
        <color theme="1"/>
        <rFont val="Calibri"/>
        <family val="2"/>
      </rPr>
      <t>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kg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</si>
</sst>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"/>
    <numFmt numFmtId="166" formatCode="0.0000"/>
    <numFmt numFmtId="167" formatCode="#,##0.0000"/>
    <numFmt numFmtId="168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vertAlign val="superscript"/>
      <sz val="10"/>
      <color theme="1"/>
      <name val="Calibri"/>
      <family val="2"/>
      <scheme val="minor"/>
    </font>
    <font>
      <b/>
      <vertAlign val="subscript"/>
      <sz val="11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9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3F3F3F"/>
      </right>
      <top/>
      <bottom/>
      <diagonal/>
    </border>
  </borders>
  <cellStyleXfs count="5">
    <xf numFmtId="0" fontId="0" fillId="0" borderId="0"/>
    <xf numFmtId="0" fontId="13" fillId="5" borderId="1" applyNumberFormat="0" applyAlignment="0" applyProtection="0"/>
    <xf numFmtId="0" fontId="14" fillId="6" borderId="2" applyNumberFormat="0" applyAlignment="0" applyProtection="0"/>
    <xf numFmtId="0" fontId="15" fillId="6" borderId="1" applyNumberFormat="0" applyAlignment="0" applyProtection="0"/>
    <xf numFmtId="0" fontId="12" fillId="7" borderId="3" applyNumberFormat="0" applyFont="0" applyAlignment="0" applyProtection="0"/>
  </cellStyleXfs>
  <cellXfs count="63">
    <xf numFmtId="0" fontId="0" fillId="0" borderId="0" xfId="0"/>
    <xf numFmtId="4" fontId="0" fillId="0" borderId="0" xfId="0" applyNumberFormat="1"/>
    <xf numFmtId="0" fontId="0" fillId="2" borderId="0" xfId="0" applyFill="1"/>
    <xf numFmtId="0" fontId="1" fillId="0" borderId="0" xfId="0" applyFont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0" fillId="3" borderId="0" xfId="0" applyFill="1" applyAlignment="1">
      <alignment horizontal="right"/>
    </xf>
    <xf numFmtId="0" fontId="0" fillId="4" borderId="0" xfId="0" applyFill="1"/>
    <xf numFmtId="164" fontId="0" fillId="3" borderId="0" xfId="0" applyNumberFormat="1" applyFill="1"/>
    <xf numFmtId="4" fontId="0" fillId="3" borderId="0" xfId="0" applyNumberFormat="1" applyFill="1"/>
    <xf numFmtId="4" fontId="0" fillId="0" borderId="0" xfId="0" applyNumberFormat="1" applyAlignment="1">
      <alignment horizontal="center"/>
    </xf>
    <xf numFmtId="0" fontId="9" fillId="0" borderId="0" xfId="0" applyFont="1"/>
    <xf numFmtId="165" fontId="0" fillId="0" borderId="0" xfId="0" applyNumberFormat="1"/>
    <xf numFmtId="166" fontId="0" fillId="3" borderId="0" xfId="0" applyNumberFormat="1" applyFill="1"/>
    <xf numFmtId="0" fontId="13" fillId="5" borderId="1" xfId="1"/>
    <xf numFmtId="0" fontId="15" fillId="6" borderId="1" xfId="3"/>
    <xf numFmtId="0" fontId="1" fillId="0" borderId="0" xfId="0" applyFont="1" applyAlignment="1">
      <alignment horizontal="center"/>
    </xf>
    <xf numFmtId="166" fontId="0" fillId="3" borderId="0" xfId="0" applyNumberFormat="1" applyFill="1" applyAlignment="1">
      <alignment horizontal="left"/>
    </xf>
    <xf numFmtId="13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9" fillId="3" borderId="0" xfId="0" applyFont="1" applyFill="1"/>
    <xf numFmtId="3" fontId="0" fillId="3" borderId="0" xfId="0" applyNumberFormat="1" applyFill="1"/>
    <xf numFmtId="0" fontId="0" fillId="7" borderId="3" xfId="4" applyFont="1"/>
    <xf numFmtId="0" fontId="14" fillId="3" borderId="2" xfId="2" applyFill="1"/>
    <xf numFmtId="0" fontId="0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left"/>
    </xf>
    <xf numFmtId="164" fontId="9" fillId="3" borderId="0" xfId="0" applyNumberFormat="1" applyFont="1" applyFill="1"/>
    <xf numFmtId="1" fontId="0" fillId="0" borderId="0" xfId="0" applyNumberFormat="1"/>
    <xf numFmtId="0" fontId="6" fillId="0" borderId="0" xfId="0" applyFont="1" applyAlignment="1">
      <alignment horizontal="center"/>
    </xf>
    <xf numFmtId="0" fontId="14" fillId="6" borderId="2" xfId="2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165" fontId="0" fillId="3" borderId="0" xfId="0" applyNumberFormat="1" applyFill="1"/>
    <xf numFmtId="0" fontId="0" fillId="7" borderId="3" xfId="4" applyFont="1" applyAlignment="1">
      <alignment horizontal="center"/>
    </xf>
    <xf numFmtId="168" fontId="0" fillId="0" borderId="0" xfId="0" applyNumberFormat="1"/>
    <xf numFmtId="0" fontId="13" fillId="5" borderId="1" xfId="1" applyAlignment="1">
      <alignment horizontal="center"/>
    </xf>
    <xf numFmtId="0" fontId="14" fillId="6" borderId="2" xfId="2" applyAlignment="1">
      <alignment horizontal="center"/>
    </xf>
    <xf numFmtId="0" fontId="14" fillId="6" borderId="4" xfId="2" applyBorder="1" applyAlignment="1">
      <alignment horizontal="center"/>
    </xf>
    <xf numFmtId="164" fontId="0" fillId="0" borderId="0" xfId="0" applyNumberFormat="1" applyFill="1"/>
    <xf numFmtId="2" fontId="0" fillId="3" borderId="0" xfId="0" applyNumberFormat="1" applyFill="1"/>
    <xf numFmtId="0" fontId="0" fillId="7" borderId="3" xfId="4" applyFont="1" applyAlignment="1">
      <alignment horizontal="left"/>
    </xf>
    <xf numFmtId="0" fontId="0" fillId="4" borderId="3" xfId="4" applyFont="1" applyFill="1"/>
    <xf numFmtId="0" fontId="0" fillId="4" borderId="3" xfId="4" applyFont="1" applyFill="1" applyAlignment="1">
      <alignment horizontal="center"/>
    </xf>
    <xf numFmtId="0" fontId="20" fillId="6" borderId="2" xfId="2" applyFont="1"/>
    <xf numFmtId="0" fontId="0" fillId="4" borderId="3" xfId="4" applyFont="1" applyFill="1" applyAlignment="1">
      <alignment horizontal="left"/>
    </xf>
    <xf numFmtId="0" fontId="0" fillId="8" borderId="0" xfId="0" applyFill="1"/>
    <xf numFmtId="0" fontId="0" fillId="0" borderId="0" xfId="0" quotePrefix="1"/>
    <xf numFmtId="0" fontId="21" fillId="7" borderId="3" xfId="4" applyFont="1" applyAlignment="1">
      <alignment horizontal="center"/>
    </xf>
    <xf numFmtId="0" fontId="0" fillId="3" borderId="3" xfId="4" applyFont="1" applyFill="1" applyAlignment="1">
      <alignment horizontal="center"/>
    </xf>
    <xf numFmtId="0" fontId="6" fillId="3" borderId="3" xfId="4" applyFont="1" applyFill="1" applyAlignment="1">
      <alignment horizontal="center"/>
    </xf>
    <xf numFmtId="0" fontId="0" fillId="3" borderId="3" xfId="4" applyFont="1" applyFill="1" applyAlignment="1">
      <alignment horizontal="left"/>
    </xf>
    <xf numFmtId="0" fontId="6" fillId="0" borderId="0" xfId="0" applyFont="1"/>
    <xf numFmtId="0" fontId="0" fillId="9" borderId="3" xfId="4" applyFont="1" applyFill="1" applyAlignment="1">
      <alignment horizontal="center"/>
    </xf>
    <xf numFmtId="0" fontId="6" fillId="9" borderId="3" xfId="4" applyFont="1" applyFill="1" applyAlignment="1">
      <alignment horizontal="center"/>
    </xf>
    <xf numFmtId="0" fontId="14" fillId="10" borderId="2" xfId="2" applyFill="1" applyAlignment="1">
      <alignment horizontal="center"/>
    </xf>
  </cellXfs>
  <cellStyles count="5">
    <cellStyle name="Cálculo" xfId="3" builtinId="22"/>
    <cellStyle name="Entrada" xfId="1" builtinId="20"/>
    <cellStyle name="Normal" xfId="0" builtinId="0"/>
    <cellStyle name="Nota" xfId="4" builtinId="10"/>
    <cellStyle name="Saída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Componentes da velocidade no ciclo inercial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'Movimento inercial'!$C$12</c:f>
              <c:strCache>
                <c:ptCount val="1"/>
                <c:pt idx="0">
                  <c:v>u(t)</c:v>
                </c:pt>
              </c:strCache>
            </c:strRef>
          </c:tx>
          <c:marker>
            <c:symbol val="none"/>
          </c:marker>
          <c:cat>
            <c:numRef>
              <c:f>'Movimento inercial'!$A$13:$A$25</c:f>
              <c:numCache>
                <c:formatCode>#\ ??/??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</c:numCache>
            </c:numRef>
          </c:cat>
          <c:val>
            <c:numRef>
              <c:f>'Movimento inercial'!$C$13:$C$25</c:f>
              <c:numCache>
                <c:formatCode>#,##0.00</c:formatCode>
                <c:ptCount val="13"/>
                <c:pt idx="0">
                  <c:v>0</c:v>
                </c:pt>
                <c:pt idx="1">
                  <c:v>-0.49999999999999983</c:v>
                </c:pt>
                <c:pt idx="2">
                  <c:v>-0.86602540378443849</c:v>
                </c:pt>
                <c:pt idx="3">
                  <c:v>-1</c:v>
                </c:pt>
                <c:pt idx="4">
                  <c:v>-0.86602540378443893</c:v>
                </c:pt>
                <c:pt idx="5">
                  <c:v>-0.50000000000000078</c:v>
                </c:pt>
                <c:pt idx="6">
                  <c:v>-5.6660405534092462E-16</c:v>
                </c:pt>
                <c:pt idx="7">
                  <c:v>0.49999999999999939</c:v>
                </c:pt>
                <c:pt idx="8">
                  <c:v>0.86602540378443793</c:v>
                </c:pt>
                <c:pt idx="9">
                  <c:v>1</c:v>
                </c:pt>
                <c:pt idx="10">
                  <c:v>0.86602540378443948</c:v>
                </c:pt>
                <c:pt idx="11">
                  <c:v>0.50000000000000122</c:v>
                </c:pt>
                <c:pt idx="12">
                  <c:v>1.1332081106818492E-15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3-4039-92C4-AA8FD29BF326}"/>
            </c:ext>
          </c:extLst>
        </c:ser>
        <c:ser>
          <c:idx val="1"/>
          <c:order val="1"/>
          <c:tx>
            <c:strRef>
              <c:f>'Movimento inercial'!$D$12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cat>
            <c:numRef>
              <c:f>'Movimento inercial'!$A$13:$A$25</c:f>
              <c:numCache>
                <c:formatCode>#\ ??/??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</c:numCache>
            </c:numRef>
          </c:cat>
          <c:val>
            <c:numRef>
              <c:f>'Movimento inercial'!$D$13:$D$25</c:f>
              <c:numCache>
                <c:formatCode>#,##0.00</c:formatCode>
                <c:ptCount val="13"/>
                <c:pt idx="0">
                  <c:v>1</c:v>
                </c:pt>
                <c:pt idx="1">
                  <c:v>0.86602540378443871</c:v>
                </c:pt>
                <c:pt idx="2">
                  <c:v>0.50000000000000033</c:v>
                </c:pt>
                <c:pt idx="3">
                  <c:v>2.8330202767046231E-16</c:v>
                </c:pt>
                <c:pt idx="4">
                  <c:v>-0.49999999999999939</c:v>
                </c:pt>
                <c:pt idx="5">
                  <c:v>-0.86602540378443826</c:v>
                </c:pt>
                <c:pt idx="6">
                  <c:v>-1</c:v>
                </c:pt>
                <c:pt idx="7">
                  <c:v>-0.86602540378443904</c:v>
                </c:pt>
                <c:pt idx="8">
                  <c:v>-0.50000000000000122</c:v>
                </c:pt>
                <c:pt idx="9">
                  <c:v>-1.83772268236293E-16</c:v>
                </c:pt>
                <c:pt idx="10">
                  <c:v>0.49999999999999856</c:v>
                </c:pt>
                <c:pt idx="11">
                  <c:v>0.86602540378443793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3-4039-92C4-AA8FD29BF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418064"/>
        <c:axId val="271416104"/>
      </c:lineChart>
      <c:catAx>
        <c:axId val="271418064"/>
        <c:scaling>
          <c:orientation val="minMax"/>
        </c:scaling>
        <c:delete val="0"/>
        <c:axPos val="b"/>
        <c:numFmt formatCode="#\ ??/??" sourceLinked="1"/>
        <c:majorTickMark val="none"/>
        <c:minorTickMark val="none"/>
        <c:tickLblPos val="nextTo"/>
        <c:crossAx val="271416104"/>
        <c:crosses val="autoZero"/>
        <c:auto val="1"/>
        <c:lblAlgn val="ctr"/>
        <c:lblOffset val="100"/>
        <c:noMultiLvlLbl val="0"/>
      </c:catAx>
      <c:valAx>
        <c:axId val="27141610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9525">
            <a:noFill/>
          </a:ln>
        </c:spPr>
        <c:crossAx val="271418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Longitude da deriva de vento, relativa à corrente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'Deriva de vento'!$AL$9</c:f>
              <c:strCache>
                <c:ptCount val="1"/>
                <c:pt idx="0">
                  <c:v>λ cent.</c:v>
                </c:pt>
              </c:strCache>
            </c:strRef>
          </c:tx>
          <c:cat>
            <c:numRef>
              <c:f>'Deriva de vento'!$A$10:$A$34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'Deriva de vento'!$AL$10:$AL$34</c:f>
              <c:numCache>
                <c:formatCode>0.000</c:formatCode>
                <c:ptCount val="25"/>
                <c:pt idx="0">
                  <c:v>9</c:v>
                </c:pt>
                <c:pt idx="1">
                  <c:v>8.9947104852980964</c:v>
                </c:pt>
                <c:pt idx="2">
                  <c:v>8.9894215016112007</c:v>
                </c:pt>
                <c:pt idx="3">
                  <c:v>8.9841330487494186</c:v>
                </c:pt>
                <c:pt idx="4">
                  <c:v>8.974973904597201</c:v>
                </c:pt>
                <c:pt idx="5">
                  <c:v>8.9658152909707489</c:v>
                </c:pt>
                <c:pt idx="6">
                  <c:v>8.9566572077604611</c:v>
                </c:pt>
                <c:pt idx="7">
                  <c:v>8.9483238744271283</c:v>
                </c:pt>
                <c:pt idx="8">
                  <c:v>8.9399905410937954</c:v>
                </c:pt>
                <c:pt idx="9">
                  <c:v>8.9316572077604626</c:v>
                </c:pt>
                <c:pt idx="10">
                  <c:v>8.9224991245501748</c:v>
                </c:pt>
                <c:pt idx="11">
                  <c:v>8.9133405109237227</c:v>
                </c:pt>
                <c:pt idx="12">
                  <c:v>8.9041813667715051</c:v>
                </c:pt>
                <c:pt idx="13">
                  <c:v>8.898892913909723</c:v>
                </c:pt>
                <c:pt idx="14">
                  <c:v>8.8936039302228274</c:v>
                </c:pt>
                <c:pt idx="15">
                  <c:v>8.8883144155209237</c:v>
                </c:pt>
                <c:pt idx="16">
                  <c:v>8.8883144155209237</c:v>
                </c:pt>
                <c:pt idx="17">
                  <c:v>8.8883144155209237</c:v>
                </c:pt>
                <c:pt idx="18">
                  <c:v>8.8883144155209237</c:v>
                </c:pt>
                <c:pt idx="19">
                  <c:v>8.8936063030456847</c:v>
                </c:pt>
                <c:pt idx="20">
                  <c:v>8.8988987226243257</c:v>
                </c:pt>
                <c:pt idx="21">
                  <c:v>8.9041916744472704</c:v>
                </c:pt>
                <c:pt idx="22">
                  <c:v>8.9133600632092627</c:v>
                </c:pt>
                <c:pt idx="23">
                  <c:v>8.9225289845159921</c:v>
                </c:pt>
                <c:pt idx="24">
                  <c:v>8.9316984384774525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8-44D6-830C-644246A3596D}"/>
            </c:ext>
          </c:extLst>
        </c:ser>
        <c:ser>
          <c:idx val="1"/>
          <c:order val="1"/>
          <c:tx>
            <c:strRef>
              <c:f>'Deriva de vento'!$AM$9</c:f>
              <c:strCache>
                <c:ptCount val="1"/>
                <c:pt idx="0">
                  <c:v>λ esq.</c:v>
                </c:pt>
              </c:strCache>
            </c:strRef>
          </c:tx>
          <c:val>
            <c:numRef>
              <c:f>'Deriva de vento'!$AM$10:$AM$34</c:f>
              <c:numCache>
                <c:formatCode>0.000</c:formatCode>
                <c:ptCount val="25"/>
                <c:pt idx="0">
                  <c:v>9</c:v>
                </c:pt>
                <c:pt idx="1">
                  <c:v>8.9925194276577827</c:v>
                </c:pt>
                <c:pt idx="2">
                  <c:v>8.9850394685191688</c:v>
                </c:pt>
                <c:pt idx="3">
                  <c:v>8.9775601224050625</c:v>
                </c:pt>
                <c:pt idx="4">
                  <c:v>8.9673437174374389</c:v>
                </c:pt>
                <c:pt idx="5">
                  <c:v>8.957127618859742</c:v>
                </c:pt>
                <c:pt idx="6">
                  <c:v>8.9469118266394734</c:v>
                </c:pt>
                <c:pt idx="7">
                  <c:v>8.9366960344192048</c:v>
                </c:pt>
                <c:pt idx="8">
                  <c:v>8.9264799358415079</c:v>
                </c:pt>
                <c:pt idx="9">
                  <c:v>8.9162635308738842</c:v>
                </c:pt>
                <c:pt idx="10">
                  <c:v>8.908784184759778</c:v>
                </c:pt>
                <c:pt idx="11">
                  <c:v>8.9013042256211641</c:v>
                </c:pt>
                <c:pt idx="12">
                  <c:v>8.8938236532789468</c:v>
                </c:pt>
                <c:pt idx="13">
                  <c:v>8.8910853081549099</c:v>
                </c:pt>
                <c:pt idx="14">
                  <c:v>8.8883466562171591</c:v>
                </c:pt>
                <c:pt idx="15">
                  <c:v>8.8856076973432589</c:v>
                </c:pt>
                <c:pt idx="16">
                  <c:v>8.8883469632757883</c:v>
                </c:pt>
                <c:pt idx="17">
                  <c:v>8.8910865363895031</c:v>
                </c:pt>
                <c:pt idx="18">
                  <c:v>8.893826416806963</c:v>
                </c:pt>
                <c:pt idx="19">
                  <c:v>8.9013126366668764</c:v>
                </c:pt>
                <c:pt idx="20">
                  <c:v>8.9087994715592504</c:v>
                </c:pt>
                <c:pt idx="21">
                  <c:v>8.9162869216637866</c:v>
                </c:pt>
                <c:pt idx="22">
                  <c:v>8.9265155428488594</c:v>
                </c:pt>
                <c:pt idx="23">
                  <c:v>8.936744471763129</c:v>
                </c:pt>
                <c:pt idx="24">
                  <c:v>8.946973708439069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8-44D6-830C-644246A3596D}"/>
            </c:ext>
          </c:extLst>
        </c:ser>
        <c:ser>
          <c:idx val="2"/>
          <c:order val="2"/>
          <c:tx>
            <c:strRef>
              <c:f>'Deriva de vento'!$AN$9</c:f>
              <c:strCache>
                <c:ptCount val="1"/>
                <c:pt idx="0">
                  <c:v>λ dir.</c:v>
                </c:pt>
              </c:strCache>
            </c:strRef>
          </c:tx>
          <c:val>
            <c:numRef>
              <c:f>'Deriva de vento'!$AN$10:$AN$34</c:f>
              <c:numCache>
                <c:formatCode>0.000</c:formatCode>
                <c:ptCount val="25"/>
                <c:pt idx="0">
                  <c:v>9</c:v>
                </c:pt>
                <c:pt idx="1">
                  <c:v>8.9972619615672986</c:v>
                </c:pt>
                <c:pt idx="2">
                  <c:v>8.9945242297036057</c:v>
                </c:pt>
                <c:pt idx="3">
                  <c:v>8.9917868042866544</c:v>
                </c:pt>
                <c:pt idx="4">
                  <c:v>8.9843087437630142</c:v>
                </c:pt>
                <c:pt idx="5">
                  <c:v>8.9768312957094931</c:v>
                </c:pt>
                <c:pt idx="6">
                  <c:v>8.9693544599473523</c:v>
                </c:pt>
                <c:pt idx="7">
                  <c:v>8.9591414835002503</c:v>
                </c:pt>
                <c:pt idx="8">
                  <c:v>8.9489288130769467</c:v>
                </c:pt>
                <c:pt idx="9">
                  <c:v>8.9387164486442625</c:v>
                </c:pt>
                <c:pt idx="10">
                  <c:v>8.9285040842115784</c:v>
                </c:pt>
                <c:pt idx="11">
                  <c:v>8.9182914137882747</c:v>
                </c:pt>
                <c:pt idx="12">
                  <c:v>8.9080784373411728</c:v>
                </c:pt>
                <c:pt idx="13">
                  <c:v>8.9006016015790319</c:v>
                </c:pt>
                <c:pt idx="14">
                  <c:v>8.8931241535255108</c:v>
                </c:pt>
                <c:pt idx="15">
                  <c:v>8.8856460930018706</c:v>
                </c:pt>
                <c:pt idx="16">
                  <c:v>8.8829086675849194</c:v>
                </c:pt>
                <c:pt idx="17">
                  <c:v>8.8801709357212264</c:v>
                </c:pt>
                <c:pt idx="18">
                  <c:v>8.877432897288525</c:v>
                </c:pt>
                <c:pt idx="19">
                  <c:v>8.8801712424125618</c:v>
                </c:pt>
                <c:pt idx="20">
                  <c:v>8.8829098943503126</c:v>
                </c:pt>
                <c:pt idx="21">
                  <c:v>8.8856488532242128</c:v>
                </c:pt>
                <c:pt idx="22">
                  <c:v>8.8931325545101938</c:v>
                </c:pt>
                <c:pt idx="23">
                  <c:v>8.9006168700927848</c:v>
                </c:pt>
                <c:pt idx="24">
                  <c:v>8.9081018001515293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8-44D6-830C-644246A35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57592"/>
        <c:axId val="274257984"/>
      </c:lineChart>
      <c:catAx>
        <c:axId val="27425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257984"/>
        <c:crosses val="autoZero"/>
        <c:auto val="1"/>
        <c:lblAlgn val="ctr"/>
        <c:lblOffset val="100"/>
        <c:noMultiLvlLbl val="0"/>
      </c:catAx>
      <c:valAx>
        <c:axId val="2742579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7425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Latitude da deriva</a:t>
            </a:r>
            <a:r>
              <a:rPr lang="pt-PT" baseline="0"/>
              <a:t> resultante, da corrente e vento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'Deriva de vento'!$AU$9</c:f>
              <c:strCache>
                <c:ptCount val="1"/>
                <c:pt idx="0">
                  <c:v>ϕ cent.</c:v>
                </c:pt>
              </c:strCache>
            </c:strRef>
          </c:tx>
          <c:cat>
            <c:numRef>
              <c:f>'Deriva de vento'!$A$10:$A$34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'Deriva de vento'!$AU$10:$AU$34</c:f>
              <c:numCache>
                <c:formatCode>0.000</c:formatCode>
                <c:ptCount val="25"/>
                <c:pt idx="0" formatCode="General">
                  <c:v>38.333333333333336</c:v>
                </c:pt>
                <c:pt idx="1">
                  <c:v>38.32352037574379</c:v>
                </c:pt>
                <c:pt idx="2">
                  <c:v>38.31370734376685</c:v>
                </c:pt>
                <c:pt idx="3">
                  <c:v>38.303894237391326</c:v>
                </c:pt>
                <c:pt idx="4">
                  <c:v>38.297131268304227</c:v>
                </c:pt>
                <c:pt idx="5">
                  <c:v>38.290368224796147</c:v>
                </c:pt>
                <c:pt idx="6">
                  <c:v>38.283605106855894</c:v>
                </c:pt>
                <c:pt idx="7">
                  <c:v>38.281704318107913</c:v>
                </c:pt>
                <c:pt idx="8">
                  <c:v>38.279803489460498</c:v>
                </c:pt>
                <c:pt idx="9">
                  <c:v>38.277902620909245</c:v>
                </c:pt>
                <c:pt idx="10">
                  <c:v>38.281373506789471</c:v>
                </c:pt>
                <c:pt idx="11">
                  <c:v>38.284844387322572</c:v>
                </c:pt>
                <c:pt idx="12">
                  <c:v>38.288315262508327</c:v>
                </c:pt>
                <c:pt idx="13">
                  <c:v>38.296227937701666</c:v>
                </c:pt>
                <c:pt idx="14">
                  <c:v>38.30414060754741</c:v>
                </c:pt>
                <c:pt idx="15">
                  <c:v>38.312053272045766</c:v>
                </c:pt>
                <c:pt idx="16">
                  <c:v>38.322287513838248</c:v>
                </c:pt>
                <c:pt idx="17">
                  <c:v>38.332521715721661</c:v>
                </c:pt>
                <c:pt idx="18">
                  <c:v>38.342755877700398</c:v>
                </c:pt>
                <c:pt idx="19">
                  <c:v>38.352569281778344</c:v>
                </c:pt>
                <c:pt idx="20">
                  <c:v>38.362382611410773</c:v>
                </c:pt>
                <c:pt idx="21">
                  <c:v>38.372195866608898</c:v>
                </c:pt>
                <c:pt idx="22">
                  <c:v>38.378958835685708</c:v>
                </c:pt>
                <c:pt idx="23">
                  <c:v>38.385721730350603</c:v>
                </c:pt>
                <c:pt idx="24">
                  <c:v>38.392484550614782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3-4863-AD4A-0621630637C7}"/>
            </c:ext>
          </c:extLst>
        </c:ser>
        <c:ser>
          <c:idx val="1"/>
          <c:order val="1"/>
          <c:tx>
            <c:strRef>
              <c:f>'Deriva de vento'!$AJ$9</c:f>
              <c:strCache>
                <c:ptCount val="1"/>
                <c:pt idx="0">
                  <c:v>ϕ esq.</c:v>
                </c:pt>
              </c:strCache>
            </c:strRef>
          </c:tx>
          <c:val>
            <c:numRef>
              <c:f>'Deriva de vento'!$AJ$10:$AJ$34</c:f>
              <c:numCache>
                <c:formatCode>0.000</c:formatCode>
                <c:ptCount val="25"/>
                <c:pt idx="0">
                  <c:v>38.333333333333336</c:v>
                </c:pt>
                <c:pt idx="1">
                  <c:v>38.327440776823451</c:v>
                </c:pt>
                <c:pt idx="2">
                  <c:v>38.321548220313566</c:v>
                </c:pt>
                <c:pt idx="3">
                  <c:v>38.315655663803682</c:v>
                </c:pt>
                <c:pt idx="4">
                  <c:v>38.313498838427826</c:v>
                </c:pt>
                <c:pt idx="5">
                  <c:v>38.31134201305197</c:v>
                </c:pt>
                <c:pt idx="6">
                  <c:v>38.309185187676114</c:v>
                </c:pt>
                <c:pt idx="7">
                  <c:v>38.31134201305197</c:v>
                </c:pt>
                <c:pt idx="8">
                  <c:v>38.313498838427826</c:v>
                </c:pt>
                <c:pt idx="9">
                  <c:v>38.315655663803682</c:v>
                </c:pt>
                <c:pt idx="10">
                  <c:v>38.321548220313566</c:v>
                </c:pt>
                <c:pt idx="11">
                  <c:v>38.327440776823451</c:v>
                </c:pt>
                <c:pt idx="12">
                  <c:v>38.333333333333336</c:v>
                </c:pt>
                <c:pt idx="13">
                  <c:v>38.341382715219076</c:v>
                </c:pt>
                <c:pt idx="14">
                  <c:v>38.349432097104817</c:v>
                </c:pt>
                <c:pt idx="15">
                  <c:v>38.357481478990557</c:v>
                </c:pt>
                <c:pt idx="16">
                  <c:v>38.365530860876298</c:v>
                </c:pt>
                <c:pt idx="17">
                  <c:v>38.373580242762038</c:v>
                </c:pt>
                <c:pt idx="18">
                  <c:v>38.381629624647779</c:v>
                </c:pt>
                <c:pt idx="19">
                  <c:v>38.387522181157664</c:v>
                </c:pt>
                <c:pt idx="20">
                  <c:v>38.393414737667548</c:v>
                </c:pt>
                <c:pt idx="21">
                  <c:v>38.399307294177433</c:v>
                </c:pt>
                <c:pt idx="22">
                  <c:v>38.401464119553289</c:v>
                </c:pt>
                <c:pt idx="23">
                  <c:v>38.403620944929145</c:v>
                </c:pt>
                <c:pt idx="24">
                  <c:v>38.405777770305001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3-4863-AD4A-0621630637C7}"/>
            </c:ext>
          </c:extLst>
        </c:ser>
        <c:ser>
          <c:idx val="2"/>
          <c:order val="2"/>
          <c:tx>
            <c:strRef>
              <c:f>'Deriva de vento'!$AK$9</c:f>
              <c:strCache>
                <c:ptCount val="1"/>
                <c:pt idx="0">
                  <c:v>ϕ dir.</c:v>
                </c:pt>
              </c:strCache>
            </c:strRef>
          </c:tx>
          <c:val>
            <c:numRef>
              <c:f>'Deriva de vento'!$AK$10:$AK$34</c:f>
              <c:numCache>
                <c:formatCode>0.000</c:formatCode>
                <c:ptCount val="25"/>
                <c:pt idx="0">
                  <c:v>38.333333333333336</c:v>
                </c:pt>
                <c:pt idx="1">
                  <c:v>38.325283951447595</c:v>
                </c:pt>
                <c:pt idx="2">
                  <c:v>38.317234569561855</c:v>
                </c:pt>
                <c:pt idx="3">
                  <c:v>38.309185187676114</c:v>
                </c:pt>
                <c:pt idx="4">
                  <c:v>38.303292631166229</c:v>
                </c:pt>
                <c:pt idx="5">
                  <c:v>38.297400074656345</c:v>
                </c:pt>
                <c:pt idx="6">
                  <c:v>38.29150751814646</c:v>
                </c:pt>
                <c:pt idx="7">
                  <c:v>38.289350692770604</c:v>
                </c:pt>
                <c:pt idx="8">
                  <c:v>38.287193867394748</c:v>
                </c:pt>
                <c:pt idx="9">
                  <c:v>38.285037042018892</c:v>
                </c:pt>
                <c:pt idx="10">
                  <c:v>38.287193867394748</c:v>
                </c:pt>
                <c:pt idx="11">
                  <c:v>38.289350692770604</c:v>
                </c:pt>
                <c:pt idx="12">
                  <c:v>38.29150751814646</c:v>
                </c:pt>
                <c:pt idx="13">
                  <c:v>38.297400074656345</c:v>
                </c:pt>
                <c:pt idx="14">
                  <c:v>38.303292631166229</c:v>
                </c:pt>
                <c:pt idx="15">
                  <c:v>38.309185187676114</c:v>
                </c:pt>
                <c:pt idx="16">
                  <c:v>38.317234569561855</c:v>
                </c:pt>
                <c:pt idx="17">
                  <c:v>38.325283951447595</c:v>
                </c:pt>
                <c:pt idx="18">
                  <c:v>38.333333333333336</c:v>
                </c:pt>
                <c:pt idx="19">
                  <c:v>38.341382715219076</c:v>
                </c:pt>
                <c:pt idx="20">
                  <c:v>38.349432097104817</c:v>
                </c:pt>
                <c:pt idx="21">
                  <c:v>38.357481478990557</c:v>
                </c:pt>
                <c:pt idx="22">
                  <c:v>38.363374035500442</c:v>
                </c:pt>
                <c:pt idx="23">
                  <c:v>38.369266592010327</c:v>
                </c:pt>
                <c:pt idx="24">
                  <c:v>38.375159148520211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33-4863-AD4A-06216306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53672"/>
        <c:axId val="274254848"/>
      </c:lineChart>
      <c:catAx>
        <c:axId val="27425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254848"/>
        <c:crosses val="autoZero"/>
        <c:auto val="1"/>
        <c:lblAlgn val="ctr"/>
        <c:lblOffset val="100"/>
        <c:noMultiLvlLbl val="0"/>
      </c:catAx>
      <c:valAx>
        <c:axId val="27425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25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Longitude da deriva resultante, da corrente e vento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'Deriva de vento'!$AX$9</c:f>
              <c:strCache>
                <c:ptCount val="1"/>
                <c:pt idx="0">
                  <c:v>λ cent.</c:v>
                </c:pt>
              </c:strCache>
            </c:strRef>
          </c:tx>
          <c:cat>
            <c:numRef>
              <c:f>'Deriva de vento'!$A$10:$A$34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'Deriva de vento'!$AX$10:$AX$34</c:f>
              <c:numCache>
                <c:formatCode>0.000</c:formatCode>
                <c:ptCount val="25"/>
                <c:pt idx="0">
                  <c:v>9</c:v>
                </c:pt>
                <c:pt idx="1">
                  <c:v>8.9955935884292941</c:v>
                </c:pt>
                <c:pt idx="2">
                  <c:v>8.9911877012789567</c:v>
                </c:pt>
                <c:pt idx="3">
                  <c:v>8.9867823383642644</c:v>
                </c:pt>
                <c:pt idx="4">
                  <c:v>8.9767401108492741</c:v>
                </c:pt>
                <c:pt idx="5">
                  <c:v>8.966698420439176</c:v>
                </c:pt>
                <c:pt idx="6">
                  <c:v>8.9566572670192173</c:v>
                </c:pt>
                <c:pt idx="7">
                  <c:v>8.9459113472817329</c:v>
                </c:pt>
                <c:pt idx="8">
                  <c:v>8.935165440673531</c:v>
                </c:pt>
                <c:pt idx="9">
                  <c:v>8.9244195471870817</c:v>
                </c:pt>
                <c:pt idx="10">
                  <c:v>8.9119658358235458</c:v>
                </c:pt>
                <c:pt idx="11">
                  <c:v>8.899511600598812</c:v>
                </c:pt>
                <c:pt idx="12">
                  <c:v>8.8870568414020301</c:v>
                </c:pt>
                <c:pt idx="13">
                  <c:v>8.8784727481667716</c:v>
                </c:pt>
                <c:pt idx="14">
                  <c:v>8.8698881175536481</c:v>
                </c:pt>
                <c:pt idx="15">
                  <c:v>8.8613029493709732</c:v>
                </c:pt>
                <c:pt idx="16">
                  <c:v>8.8588903385659972</c:v>
                </c:pt>
                <c:pt idx="17">
                  <c:v>8.856477714643276</c:v>
                </c:pt>
                <c:pt idx="18">
                  <c:v>8.854065077595255</c:v>
                </c:pt>
                <c:pt idx="19">
                  <c:v>8.8584738695908527</c:v>
                </c:pt>
                <c:pt idx="20">
                  <c:v>8.8628831870690643</c:v>
                </c:pt>
                <c:pt idx="21">
                  <c:v>8.8672930302151585</c:v>
                </c:pt>
                <c:pt idx="22">
                  <c:v>8.8773445342355899</c:v>
                </c:pt>
                <c:pt idx="23">
                  <c:v>8.8873965773875359</c:v>
                </c:pt>
                <c:pt idx="24">
                  <c:v>8.8974491597861594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6-4A76-B6D4-798FE606C360}"/>
            </c:ext>
          </c:extLst>
        </c:ser>
        <c:ser>
          <c:idx val="1"/>
          <c:order val="1"/>
          <c:tx>
            <c:strRef>
              <c:f>'Deriva de vento'!$AY$9</c:f>
              <c:strCache>
                <c:ptCount val="1"/>
                <c:pt idx="0">
                  <c:v>λ esq.</c:v>
                </c:pt>
              </c:strCache>
            </c:strRef>
          </c:tx>
          <c:val>
            <c:numRef>
              <c:f>'Deriva de vento'!$AY$10:$AY$34</c:f>
              <c:numCache>
                <c:formatCode>0.000</c:formatCode>
                <c:ptCount val="25"/>
                <c:pt idx="0">
                  <c:v>9</c:v>
                </c:pt>
                <c:pt idx="1">
                  <c:v>8.9934025307889804</c:v>
                </c:pt>
                <c:pt idx="2">
                  <c:v>8.9868056681869231</c:v>
                </c:pt>
                <c:pt idx="3">
                  <c:v>8.9802094120199047</c:v>
                </c:pt>
                <c:pt idx="4">
                  <c:v>8.9691099236895084</c:v>
                </c:pt>
                <c:pt idx="5">
                  <c:v>8.9580107483281672</c:v>
                </c:pt>
                <c:pt idx="6">
                  <c:v>8.9469118858982259</c:v>
                </c:pt>
                <c:pt idx="7">
                  <c:v>8.9342835072738058</c:v>
                </c:pt>
                <c:pt idx="8">
                  <c:v>8.9216548354212399</c:v>
                </c:pt>
                <c:pt idx="9">
                  <c:v>8.9090258703004999</c:v>
                </c:pt>
                <c:pt idx="10">
                  <c:v>8.8982508960331437</c:v>
                </c:pt>
                <c:pt idx="11">
                  <c:v>8.887475315296248</c:v>
                </c:pt>
                <c:pt idx="12">
                  <c:v>8.8766991279094665</c:v>
                </c:pt>
                <c:pt idx="13">
                  <c:v>8.8706651424119531</c:v>
                </c:pt>
                <c:pt idx="14">
                  <c:v>8.8646308435479746</c:v>
                </c:pt>
                <c:pt idx="15">
                  <c:v>8.8585962311933031</c:v>
                </c:pt>
                <c:pt idx="16">
                  <c:v>8.8589228863208564</c:v>
                </c:pt>
                <c:pt idx="17">
                  <c:v>8.8592498355118501</c:v>
                </c:pt>
                <c:pt idx="18">
                  <c:v>8.8595770788812889</c:v>
                </c:pt>
                <c:pt idx="19">
                  <c:v>8.8661802032120409</c:v>
                </c:pt>
                <c:pt idx="20">
                  <c:v>8.8727839360039837</c:v>
                </c:pt>
                <c:pt idx="21">
                  <c:v>8.8793882774316693</c:v>
                </c:pt>
                <c:pt idx="22">
                  <c:v>8.8905000138751813</c:v>
                </c:pt>
                <c:pt idx="23">
                  <c:v>8.9016120646346675</c:v>
                </c:pt>
                <c:pt idx="24">
                  <c:v>8.9127244297477706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6-4A76-B6D4-798FE606C360}"/>
            </c:ext>
          </c:extLst>
        </c:ser>
        <c:ser>
          <c:idx val="2"/>
          <c:order val="2"/>
          <c:tx>
            <c:strRef>
              <c:f>'Deriva de vento'!$AZ$9</c:f>
              <c:strCache>
                <c:ptCount val="1"/>
                <c:pt idx="0">
                  <c:v>λ dir.</c:v>
                </c:pt>
              </c:strCache>
            </c:strRef>
          </c:tx>
          <c:val>
            <c:numRef>
              <c:f>'Deriva de vento'!$AZ$10:$AZ$34</c:f>
              <c:numCache>
                <c:formatCode>0.000</c:formatCode>
                <c:ptCount val="25"/>
                <c:pt idx="0">
                  <c:v>9</c:v>
                </c:pt>
                <c:pt idx="1">
                  <c:v>8.9981450646984964</c:v>
                </c:pt>
                <c:pt idx="2">
                  <c:v>8.9962904293713617</c:v>
                </c:pt>
                <c:pt idx="3">
                  <c:v>8.9944360939014985</c:v>
                </c:pt>
                <c:pt idx="4">
                  <c:v>8.9860749500150874</c:v>
                </c:pt>
                <c:pt idx="5">
                  <c:v>8.9777144251779202</c:v>
                </c:pt>
                <c:pt idx="6">
                  <c:v>8.9693545192061066</c:v>
                </c:pt>
                <c:pt idx="7">
                  <c:v>8.9567289563548531</c:v>
                </c:pt>
                <c:pt idx="8">
                  <c:v>8.9441037126566822</c:v>
                </c:pt>
                <c:pt idx="9">
                  <c:v>8.9314787880708835</c:v>
                </c:pt>
                <c:pt idx="10">
                  <c:v>8.9179707954849512</c:v>
                </c:pt>
                <c:pt idx="11">
                  <c:v>8.9044625034633675</c:v>
                </c:pt>
                <c:pt idx="12">
                  <c:v>8.8909539119717014</c:v>
                </c:pt>
                <c:pt idx="13">
                  <c:v>8.8801814358360822</c:v>
                </c:pt>
                <c:pt idx="14">
                  <c:v>8.8694083408563333</c:v>
                </c:pt>
                <c:pt idx="15">
                  <c:v>8.8586346268519218</c:v>
                </c:pt>
                <c:pt idx="16">
                  <c:v>8.8534845906299928</c:v>
                </c:pt>
                <c:pt idx="17">
                  <c:v>8.8483342348435787</c:v>
                </c:pt>
                <c:pt idx="18">
                  <c:v>8.8431835593628545</c:v>
                </c:pt>
                <c:pt idx="19">
                  <c:v>8.8450388089577299</c:v>
                </c:pt>
                <c:pt idx="20">
                  <c:v>8.8468943587950513</c:v>
                </c:pt>
                <c:pt idx="21">
                  <c:v>8.8487502089921009</c:v>
                </c:pt>
                <c:pt idx="22">
                  <c:v>8.8571170255365228</c:v>
                </c:pt>
                <c:pt idx="23">
                  <c:v>8.8654844629643303</c:v>
                </c:pt>
                <c:pt idx="24">
                  <c:v>8.8738525214602362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6-4A76-B6D4-798FE606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54064"/>
        <c:axId val="274254456"/>
      </c:lineChart>
      <c:catAx>
        <c:axId val="27425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254456"/>
        <c:crosses val="autoZero"/>
        <c:auto val="1"/>
        <c:lblAlgn val="ctr"/>
        <c:lblOffset val="100"/>
        <c:noMultiLvlLbl val="0"/>
      </c:catAx>
      <c:valAx>
        <c:axId val="2742544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7425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400"/>
              <a:t>Movimento no ciclo inercial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'Movimento inercial'!$E$12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cat>
            <c:numRef>
              <c:f>'Movimento inercial'!$A$13:$A$25</c:f>
              <c:numCache>
                <c:formatCode>#\ ??/??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</c:numCache>
            </c:numRef>
          </c:cat>
          <c:val>
            <c:numRef>
              <c:f>'Movimento inercial'!$E$13:$E$25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-2073.6978293618372</c:v>
                </c:pt>
                <c:pt idx="3">
                  <c:v>-5665.4478293618358</c:v>
                </c:pt>
                <c:pt idx="4">
                  <c:v>-9812.8434880855129</c:v>
                </c:pt>
                <c:pt idx="5">
                  <c:v>-13404.593488085513</c:v>
                </c:pt>
                <c:pt idx="6">
                  <c:v>-15478.291317447354</c:v>
                </c:pt>
                <c:pt idx="7">
                  <c:v>-15478.291317447356</c:v>
                </c:pt>
                <c:pt idx="8">
                  <c:v>-13404.59348808552</c:v>
                </c:pt>
                <c:pt idx="9">
                  <c:v>-9812.8434880855239</c:v>
                </c:pt>
                <c:pt idx="10">
                  <c:v>-5665.4478293618477</c:v>
                </c:pt>
                <c:pt idx="11">
                  <c:v>-2073.6978293618445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5-4D0A-B462-240557429B1F}"/>
            </c:ext>
          </c:extLst>
        </c:ser>
        <c:ser>
          <c:idx val="1"/>
          <c:order val="1"/>
          <c:tx>
            <c:strRef>
              <c:f>'Movimento inercial'!$F$12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cat>
            <c:numRef>
              <c:f>'Movimento inercial'!$A$13:$A$25</c:f>
              <c:numCache>
                <c:formatCode>#\ ??/??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</c:numCache>
            </c:numRef>
          </c:cat>
          <c:val>
            <c:numRef>
              <c:f>'Movimento inercial'!$F$13:$F$25</c:f>
              <c:numCache>
                <c:formatCode>General</c:formatCode>
                <c:ptCount val="13"/>
                <c:pt idx="0">
                  <c:v>0</c:v>
                </c:pt>
                <c:pt idx="1">
                  <c:v>4147.3956587236762</c:v>
                </c:pt>
                <c:pt idx="2">
                  <c:v>7739.1456587236762</c:v>
                </c:pt>
                <c:pt idx="3">
                  <c:v>9812.8434880855166</c:v>
                </c:pt>
                <c:pt idx="4">
                  <c:v>9812.8434880855184</c:v>
                </c:pt>
                <c:pt idx="5">
                  <c:v>7739.1456587236826</c:v>
                </c:pt>
                <c:pt idx="6">
                  <c:v>4147.3956587236844</c:v>
                </c:pt>
                <c:pt idx="7">
                  <c:v>8.1854523159563541E-12</c:v>
                </c:pt>
                <c:pt idx="8">
                  <c:v>-3591.7499999999932</c:v>
                </c:pt>
                <c:pt idx="9">
                  <c:v>-5665.4478293618358</c:v>
                </c:pt>
                <c:pt idx="10">
                  <c:v>-5665.4478293618367</c:v>
                </c:pt>
                <c:pt idx="11">
                  <c:v>-3591.7500000000045</c:v>
                </c:pt>
                <c:pt idx="12">
                  <c:v>-7.73070496506989E-12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5-4D0A-B462-240557429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943920"/>
        <c:axId val="273943528"/>
      </c:lineChart>
      <c:catAx>
        <c:axId val="273943920"/>
        <c:scaling>
          <c:orientation val="minMax"/>
        </c:scaling>
        <c:delete val="0"/>
        <c:axPos val="b"/>
        <c:numFmt formatCode="#\ ??/??" sourceLinked="1"/>
        <c:majorTickMark val="none"/>
        <c:minorTickMark val="none"/>
        <c:tickLblPos val="nextTo"/>
        <c:crossAx val="273943528"/>
        <c:crosses val="autoZero"/>
        <c:auto val="1"/>
        <c:lblAlgn val="ctr"/>
        <c:lblOffset val="100"/>
        <c:noMultiLvlLbl val="0"/>
      </c:catAx>
      <c:valAx>
        <c:axId val="273943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73943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Parâmetro de Coriolis vs latitudes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'Movimento inercial'!$B$28</c:f>
              <c:strCache>
                <c:ptCount val="1"/>
                <c:pt idx="0">
                  <c:v>f (rad s-1)</c:v>
                </c:pt>
              </c:strCache>
            </c:strRef>
          </c:tx>
          <c:marker>
            <c:symbol val="none"/>
          </c:marker>
          <c:cat>
            <c:numRef>
              <c:f>'Movimento inercial'!$A$29:$A$47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cat>
          <c:val>
            <c:numRef>
              <c:f>'Movimento inercial'!$B$29:$B$47</c:f>
              <c:numCache>
                <c:formatCode>General</c:formatCode>
                <c:ptCount val="19"/>
                <c:pt idx="0">
                  <c:v>-1.4577817932715219E-4</c:v>
                </c:pt>
                <c:pt idx="1">
                  <c:v>-1.4356348122138347E-4</c:v>
                </c:pt>
                <c:pt idx="2">
                  <c:v>-1.3698667938532978E-4</c:v>
                </c:pt>
                <c:pt idx="3">
                  <c:v>-1.2624760661475727E-4</c:v>
                </c:pt>
                <c:pt idx="4">
                  <c:v>-1.1167256420156681E-4</c:v>
                </c:pt>
                <c:pt idx="5">
                  <c:v>-9.3704407434155827E-5</c:v>
                </c:pt>
                <c:pt idx="6">
                  <c:v>-7.2889089663576083E-5</c:v>
                </c:pt>
                <c:pt idx="7">
                  <c:v>-4.9859073787227628E-5</c:v>
                </c:pt>
                <c:pt idx="8">
                  <c:v>-2.5314115183762954E-5</c:v>
                </c:pt>
                <c:pt idx="9">
                  <c:v>0</c:v>
                </c:pt>
                <c:pt idx="10">
                  <c:v>2.5314115183762954E-5</c:v>
                </c:pt>
                <c:pt idx="11">
                  <c:v>4.9859073787227628E-5</c:v>
                </c:pt>
                <c:pt idx="12">
                  <c:v>7.2889089663576083E-5</c:v>
                </c:pt>
                <c:pt idx="13">
                  <c:v>9.3704407434155827E-5</c:v>
                </c:pt>
                <c:pt idx="14">
                  <c:v>1.1167256420156681E-4</c:v>
                </c:pt>
                <c:pt idx="15">
                  <c:v>1.2624760661475727E-4</c:v>
                </c:pt>
                <c:pt idx="16">
                  <c:v>1.3698667938532978E-4</c:v>
                </c:pt>
                <c:pt idx="17">
                  <c:v>1.4356348122138347E-4</c:v>
                </c:pt>
                <c:pt idx="18">
                  <c:v>1.4577817932715219E-4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3-490C-AAD4-E7FC1CD47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940000"/>
        <c:axId val="273939216"/>
      </c:lineChart>
      <c:catAx>
        <c:axId val="27394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939216"/>
        <c:crosses val="autoZero"/>
        <c:auto val="1"/>
        <c:lblAlgn val="ctr"/>
        <c:lblOffset val="100"/>
        <c:noMultiLvlLbl val="0"/>
      </c:catAx>
      <c:valAx>
        <c:axId val="27393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Periodos inerciais (h) versus latitudes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'Movimento inercial'!$C$28</c:f>
              <c:strCache>
                <c:ptCount val="1"/>
                <c:pt idx="0">
                  <c:v>Ti (h)</c:v>
                </c:pt>
              </c:strCache>
            </c:strRef>
          </c:tx>
          <c:marker>
            <c:symbol val="none"/>
          </c:marker>
          <c:cat>
            <c:numRef>
              <c:f>'Movimento inercial'!$A$29:$A$47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cat>
          <c:val>
            <c:numRef>
              <c:f>'Movimento inercial'!$C$29:$C$47</c:f>
              <c:numCache>
                <c:formatCode>General</c:formatCode>
                <c:ptCount val="19"/>
                <c:pt idx="0">
                  <c:v>11.9725</c:v>
                </c:pt>
                <c:pt idx="1">
                  <c:v>12.15719511080208</c:v>
                </c:pt>
                <c:pt idx="2">
                  <c:v>12.740868380967857</c:v>
                </c:pt>
                <c:pt idx="3">
                  <c:v>13.824652195745589</c:v>
                </c:pt>
                <c:pt idx="4">
                  <c:v>15.628988771530706</c:v>
                </c:pt>
                <c:pt idx="5">
                  <c:v>18.625903517086286</c:v>
                </c:pt>
                <c:pt idx="6">
                  <c:v>23.945000000000004</c:v>
                </c:pt>
                <c:pt idx="7">
                  <c:v>35.005248180952563</c:v>
                </c:pt>
                <c:pt idx="8">
                  <c:v>68.946879609437161</c:v>
                </c:pt>
                <c:pt idx="9">
                  <c:v>0</c:v>
                </c:pt>
                <c:pt idx="10">
                  <c:v>68.946879609437161</c:v>
                </c:pt>
                <c:pt idx="11">
                  <c:v>35.005248180952563</c:v>
                </c:pt>
                <c:pt idx="12">
                  <c:v>23.945000000000004</c:v>
                </c:pt>
                <c:pt idx="13">
                  <c:v>18.625903517086286</c:v>
                </c:pt>
                <c:pt idx="14">
                  <c:v>15.628988771530706</c:v>
                </c:pt>
                <c:pt idx="15">
                  <c:v>13.824652195745589</c:v>
                </c:pt>
                <c:pt idx="16">
                  <c:v>12.740868380967857</c:v>
                </c:pt>
                <c:pt idx="17">
                  <c:v>12.15719511080208</c:v>
                </c:pt>
                <c:pt idx="18">
                  <c:v>11.9725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F-4A21-9B79-80A74711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945488"/>
        <c:axId val="273941960"/>
      </c:lineChart>
      <c:catAx>
        <c:axId val="27394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941960"/>
        <c:crosses val="autoZero"/>
        <c:auto val="1"/>
        <c:lblAlgn val="ctr"/>
        <c:lblOffset val="100"/>
        <c:noMultiLvlLbl val="0"/>
      </c:catAx>
      <c:valAx>
        <c:axId val="27394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4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Latitude</a:t>
            </a:r>
            <a:r>
              <a:rPr lang="en-US" baseline="0"/>
              <a:t> da deriva da corrente de Ekman</a:t>
            </a:r>
            <a:endParaRPr lang="el-GR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'Deriva de vento'!$M$9</c:f>
              <c:strCache>
                <c:ptCount val="1"/>
                <c:pt idx="0">
                  <c:v>ϕ</c:v>
                </c:pt>
              </c:strCache>
            </c:strRef>
          </c:tx>
          <c:cat>
            <c:numRef>
              <c:f>'Deriva de vento'!$A$10:$A$34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'Deriva de vento'!$M$10:$M$34</c:f>
              <c:numCache>
                <c:formatCode>0.000</c:formatCode>
                <c:ptCount val="25"/>
                <c:pt idx="0" formatCode="General">
                  <c:v>38.333333333333336</c:v>
                </c:pt>
                <c:pt idx="1">
                  <c:v>38.330737254108662</c:v>
                </c:pt>
                <c:pt idx="2">
                  <c:v>38.328141100496595</c:v>
                </c:pt>
                <c:pt idx="3">
                  <c:v>38.325544872485942</c:v>
                </c:pt>
                <c:pt idx="4">
                  <c:v>38.322948570065506</c:v>
                </c:pt>
                <c:pt idx="5">
                  <c:v>38.320352193224096</c:v>
                </c:pt>
                <c:pt idx="6">
                  <c:v>38.317755741950506</c:v>
                </c:pt>
                <c:pt idx="7">
                  <c:v>38.315854953202525</c:v>
                </c:pt>
                <c:pt idx="8">
                  <c:v>38.31395412455511</c:v>
                </c:pt>
                <c:pt idx="9">
                  <c:v>38.312053256003857</c:v>
                </c:pt>
                <c:pt idx="10">
                  <c:v>38.311357475217413</c:v>
                </c:pt>
                <c:pt idx="11">
                  <c:v>38.310661689083844</c:v>
                </c:pt>
                <c:pt idx="12">
                  <c:v>38.309965897602929</c:v>
                </c:pt>
                <c:pt idx="13">
                  <c:v>38.310661694431403</c:v>
                </c:pt>
                <c:pt idx="14">
                  <c:v>38.311357485912275</c:v>
                </c:pt>
                <c:pt idx="15">
                  <c:v>38.312053272045759</c:v>
                </c:pt>
                <c:pt idx="16">
                  <c:v>38.313954180504908</c:v>
                </c:pt>
                <c:pt idx="17">
                  <c:v>38.315855049054989</c:v>
                </c:pt>
                <c:pt idx="18">
                  <c:v>38.317755877700392</c:v>
                </c:pt>
                <c:pt idx="19">
                  <c:v>38.320352403413466</c:v>
                </c:pt>
                <c:pt idx="20">
                  <c:v>38.32294885468103</c:v>
                </c:pt>
                <c:pt idx="21">
                  <c:v>38.325545231514283</c:v>
                </c:pt>
                <c:pt idx="22">
                  <c:v>38.328141533924423</c:v>
                </c:pt>
                <c:pt idx="23">
                  <c:v>38.330737761922656</c:v>
                </c:pt>
                <c:pt idx="24">
                  <c:v>38.333333915520171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A-441D-979F-520CDB1D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939608"/>
        <c:axId val="273942744"/>
      </c:lineChart>
      <c:catAx>
        <c:axId val="27393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942744"/>
        <c:crosses val="autoZero"/>
        <c:auto val="1"/>
        <c:lblAlgn val="ctr"/>
        <c:lblOffset val="100"/>
        <c:noMultiLvlLbl val="0"/>
      </c:catAx>
      <c:valAx>
        <c:axId val="27394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396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Longitude da deriva da corrente de Ekman</a:t>
            </a:r>
            <a:endParaRPr lang="el-GR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Longitudes da deriva</c:v>
          </c:tx>
          <c:cat>
            <c:numRef>
              <c:f>'Deriva de vento'!$A$10:$A$34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'Deriva de vento'!$N$10:$N$34</c:f>
              <c:numCache>
                <c:formatCode>0.000</c:formatCode>
                <c:ptCount val="25"/>
                <c:pt idx="0" formatCode="General">
                  <c:v>9</c:v>
                </c:pt>
                <c:pt idx="1">
                  <c:v>9.0008831031311978</c:v>
                </c:pt>
                <c:pt idx="2">
                  <c:v>9.001766199667756</c:v>
                </c:pt>
                <c:pt idx="3">
                  <c:v>9.002649289614844</c:v>
                </c:pt>
                <c:pt idx="4">
                  <c:v>9.0017662062520731</c:v>
                </c:pt>
                <c:pt idx="5">
                  <c:v>9.0008831294684271</c:v>
                </c:pt>
                <c:pt idx="6">
                  <c:v>9.0000000592587543</c:v>
                </c:pt>
                <c:pt idx="7">
                  <c:v>8.9975874728546028</c:v>
                </c:pt>
                <c:pt idx="8">
                  <c:v>8.9951748995797338</c:v>
                </c:pt>
                <c:pt idx="9">
                  <c:v>8.9927623394266174</c:v>
                </c:pt>
                <c:pt idx="10">
                  <c:v>8.9894667112733675</c:v>
                </c:pt>
                <c:pt idx="11">
                  <c:v>8.9861710896750857</c:v>
                </c:pt>
                <c:pt idx="12">
                  <c:v>8.9828754746305215</c:v>
                </c:pt>
                <c:pt idx="13">
                  <c:v>8.979579834257045</c:v>
                </c:pt>
                <c:pt idx="14">
                  <c:v>8.9762841873308172</c:v>
                </c:pt>
                <c:pt idx="15">
                  <c:v>8.9729885338500459</c:v>
                </c:pt>
                <c:pt idx="16">
                  <c:v>8.9705759230450699</c:v>
                </c:pt>
                <c:pt idx="17">
                  <c:v>8.9681632991223488</c:v>
                </c:pt>
                <c:pt idx="18">
                  <c:v>8.9657506620743277</c:v>
                </c:pt>
                <c:pt idx="19">
                  <c:v>8.9648675665451663</c:v>
                </c:pt>
                <c:pt idx="20">
                  <c:v>8.9639844644447351</c:v>
                </c:pt>
                <c:pt idx="21">
                  <c:v>8.9631013557678845</c:v>
                </c:pt>
                <c:pt idx="22">
                  <c:v>8.9639844710263255</c:v>
                </c:pt>
                <c:pt idx="23">
                  <c:v>8.964867592871542</c:v>
                </c:pt>
                <c:pt idx="24">
                  <c:v>8.9657507213087033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3-4269-B256-8F4F6922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945096"/>
        <c:axId val="273940392"/>
      </c:lineChart>
      <c:catAx>
        <c:axId val="27394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940392"/>
        <c:crosses val="autoZero"/>
        <c:auto val="1"/>
        <c:lblAlgn val="ctr"/>
        <c:lblOffset val="100"/>
        <c:noMultiLvlLbl val="0"/>
      </c:catAx>
      <c:valAx>
        <c:axId val="27394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450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Vel. do vento (nós)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'Deriva de vento'!$B$9</c:f>
              <c:strCache>
                <c:ptCount val="1"/>
                <c:pt idx="0">
                  <c:v>Vel. (nós)</c:v>
                </c:pt>
              </c:strCache>
            </c:strRef>
          </c:tx>
          <c:cat>
            <c:numRef>
              <c:f>'Deriva de vento'!$A$10:$A$34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'Deriva de vento'!$B$10:$B$34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6-4575-9B39-76CB2A23A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59160"/>
        <c:axId val="274256808"/>
      </c:lineChart>
      <c:catAx>
        <c:axId val="27425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256808"/>
        <c:crosses val="autoZero"/>
        <c:auto val="1"/>
        <c:lblAlgn val="ctr"/>
        <c:lblOffset val="100"/>
        <c:noMultiLvlLbl val="0"/>
      </c:catAx>
      <c:valAx>
        <c:axId val="274256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25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Direcção do vento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'Deriva de vento'!$C$9</c:f>
              <c:strCache>
                <c:ptCount val="1"/>
                <c:pt idx="0">
                  <c:v>Direcção</c:v>
                </c:pt>
              </c:strCache>
            </c:strRef>
          </c:tx>
          <c:cat>
            <c:numRef>
              <c:f>'Deriva de vento'!$A$10:$A$34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'Deriva de vento'!$C$10:$C$34</c:f>
              <c:numCache>
                <c:formatCode>General</c:formatCode>
                <c:ptCount val="25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E-4BAA-8517-9FB93E08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52888"/>
        <c:axId val="274259552"/>
      </c:lineChart>
      <c:catAx>
        <c:axId val="27425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259552"/>
        <c:crosses val="autoZero"/>
        <c:auto val="1"/>
        <c:lblAlgn val="ctr"/>
        <c:lblOffset val="100"/>
        <c:noMultiLvlLbl val="0"/>
      </c:catAx>
      <c:valAx>
        <c:axId val="27425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25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Latitude da deriva de vento, relativa à corrente</a:t>
            </a:r>
          </a:p>
          <a:p>
            <a:pPr>
              <a:defRPr/>
            </a:pPr>
            <a:endParaRPr lang="el-GR"/>
          </a:p>
        </c:rich>
      </c:tx>
      <c:layout>
        <c:manualLayout>
          <c:xMode val="edge"/>
          <c:yMode val="edge"/>
          <c:x val="0.11511811023622047"/>
          <c:y val="1.851851851851851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'Deriva de vento'!$AI$9</c:f>
              <c:strCache>
                <c:ptCount val="1"/>
                <c:pt idx="0">
                  <c:v>ϕ  cent.</c:v>
                </c:pt>
              </c:strCache>
            </c:strRef>
          </c:tx>
          <c:cat>
            <c:numRef>
              <c:f>'Deriva de vento'!$A$10:$A$34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'Deriva de vento'!$AI$10:$AI$34</c:f>
              <c:numCache>
                <c:formatCode>0.000</c:formatCode>
                <c:ptCount val="25"/>
                <c:pt idx="0">
                  <c:v>38.333333333333336</c:v>
                </c:pt>
                <c:pt idx="1">
                  <c:v>38.326116454968464</c:v>
                </c:pt>
                <c:pt idx="2">
                  <c:v>38.318899576603592</c:v>
                </c:pt>
                <c:pt idx="3">
                  <c:v>38.31168269823872</c:v>
                </c:pt>
                <c:pt idx="4">
                  <c:v>38.30751603157205</c:v>
                </c:pt>
                <c:pt idx="5">
                  <c:v>38.30334936490538</c:v>
                </c:pt>
                <c:pt idx="6">
                  <c:v>38.29918269823871</c:v>
                </c:pt>
                <c:pt idx="7">
                  <c:v>38.29918269823871</c:v>
                </c:pt>
                <c:pt idx="8">
                  <c:v>38.29918269823871</c:v>
                </c:pt>
                <c:pt idx="9">
                  <c:v>38.29918269823871</c:v>
                </c:pt>
                <c:pt idx="10">
                  <c:v>38.30334936490538</c:v>
                </c:pt>
                <c:pt idx="11">
                  <c:v>38.30751603157205</c:v>
                </c:pt>
                <c:pt idx="12">
                  <c:v>38.31168269823872</c:v>
                </c:pt>
                <c:pt idx="13">
                  <c:v>38.318899576603592</c:v>
                </c:pt>
                <c:pt idx="14">
                  <c:v>38.326116454968464</c:v>
                </c:pt>
                <c:pt idx="15">
                  <c:v>38.333333333333336</c:v>
                </c:pt>
                <c:pt idx="16">
                  <c:v>38.341666666666669</c:v>
                </c:pt>
                <c:pt idx="17">
                  <c:v>38.35</c:v>
                </c:pt>
                <c:pt idx="18">
                  <c:v>38.358333333333334</c:v>
                </c:pt>
                <c:pt idx="19">
                  <c:v>38.365550211698206</c:v>
                </c:pt>
                <c:pt idx="20">
                  <c:v>38.372767090063078</c:v>
                </c:pt>
                <c:pt idx="21">
                  <c:v>38.37998396842795</c:v>
                </c:pt>
                <c:pt idx="22">
                  <c:v>38.38415063509462</c:v>
                </c:pt>
                <c:pt idx="23">
                  <c:v>38.38831730176129</c:v>
                </c:pt>
                <c:pt idx="24">
                  <c:v>38.39248396842796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42B2-9528-E0FE4C248507}"/>
            </c:ext>
          </c:extLst>
        </c:ser>
        <c:ser>
          <c:idx val="1"/>
          <c:order val="1"/>
          <c:tx>
            <c:strRef>
              <c:f>'Deriva de vento'!$AJ$9</c:f>
              <c:strCache>
                <c:ptCount val="1"/>
                <c:pt idx="0">
                  <c:v>ϕ esq.</c:v>
                </c:pt>
              </c:strCache>
            </c:strRef>
          </c:tx>
          <c:val>
            <c:numRef>
              <c:f>'Deriva de vento'!$AJ$10:$AJ$34</c:f>
              <c:numCache>
                <c:formatCode>0.000</c:formatCode>
                <c:ptCount val="25"/>
                <c:pt idx="0">
                  <c:v>38.333333333333336</c:v>
                </c:pt>
                <c:pt idx="1">
                  <c:v>38.327440776823451</c:v>
                </c:pt>
                <c:pt idx="2">
                  <c:v>38.321548220313566</c:v>
                </c:pt>
                <c:pt idx="3">
                  <c:v>38.315655663803682</c:v>
                </c:pt>
                <c:pt idx="4">
                  <c:v>38.313498838427826</c:v>
                </c:pt>
                <c:pt idx="5">
                  <c:v>38.31134201305197</c:v>
                </c:pt>
                <c:pt idx="6">
                  <c:v>38.309185187676114</c:v>
                </c:pt>
                <c:pt idx="7">
                  <c:v>38.31134201305197</c:v>
                </c:pt>
                <c:pt idx="8">
                  <c:v>38.313498838427826</c:v>
                </c:pt>
                <c:pt idx="9">
                  <c:v>38.315655663803682</c:v>
                </c:pt>
                <c:pt idx="10">
                  <c:v>38.321548220313566</c:v>
                </c:pt>
                <c:pt idx="11">
                  <c:v>38.327440776823451</c:v>
                </c:pt>
                <c:pt idx="12">
                  <c:v>38.333333333333336</c:v>
                </c:pt>
                <c:pt idx="13">
                  <c:v>38.341382715219076</c:v>
                </c:pt>
                <c:pt idx="14">
                  <c:v>38.349432097104817</c:v>
                </c:pt>
                <c:pt idx="15">
                  <c:v>38.357481478990557</c:v>
                </c:pt>
                <c:pt idx="16">
                  <c:v>38.365530860876298</c:v>
                </c:pt>
                <c:pt idx="17">
                  <c:v>38.373580242762038</c:v>
                </c:pt>
                <c:pt idx="18">
                  <c:v>38.381629624647779</c:v>
                </c:pt>
                <c:pt idx="19">
                  <c:v>38.387522181157664</c:v>
                </c:pt>
                <c:pt idx="20">
                  <c:v>38.393414737667548</c:v>
                </c:pt>
                <c:pt idx="21">
                  <c:v>38.399307294177433</c:v>
                </c:pt>
                <c:pt idx="22">
                  <c:v>38.401464119553289</c:v>
                </c:pt>
                <c:pt idx="23">
                  <c:v>38.403620944929145</c:v>
                </c:pt>
                <c:pt idx="24">
                  <c:v>38.405777770305001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1-42B2-9528-E0FE4C248507}"/>
            </c:ext>
          </c:extLst>
        </c:ser>
        <c:ser>
          <c:idx val="2"/>
          <c:order val="2"/>
          <c:tx>
            <c:strRef>
              <c:f>'Deriva de vento'!$AK$9</c:f>
              <c:strCache>
                <c:ptCount val="1"/>
                <c:pt idx="0">
                  <c:v>ϕ dir.</c:v>
                </c:pt>
              </c:strCache>
            </c:strRef>
          </c:tx>
          <c:val>
            <c:numRef>
              <c:f>'Deriva de vento'!$AK$10:$AK$34</c:f>
              <c:numCache>
                <c:formatCode>0.000</c:formatCode>
                <c:ptCount val="25"/>
                <c:pt idx="0">
                  <c:v>38.333333333333336</c:v>
                </c:pt>
                <c:pt idx="1">
                  <c:v>38.325283951447595</c:v>
                </c:pt>
                <c:pt idx="2">
                  <c:v>38.317234569561855</c:v>
                </c:pt>
                <c:pt idx="3">
                  <c:v>38.309185187676114</c:v>
                </c:pt>
                <c:pt idx="4">
                  <c:v>38.303292631166229</c:v>
                </c:pt>
                <c:pt idx="5">
                  <c:v>38.297400074656345</c:v>
                </c:pt>
                <c:pt idx="6">
                  <c:v>38.29150751814646</c:v>
                </c:pt>
                <c:pt idx="7">
                  <c:v>38.289350692770604</c:v>
                </c:pt>
                <c:pt idx="8">
                  <c:v>38.287193867394748</c:v>
                </c:pt>
                <c:pt idx="9">
                  <c:v>38.285037042018892</c:v>
                </c:pt>
                <c:pt idx="10">
                  <c:v>38.287193867394748</c:v>
                </c:pt>
                <c:pt idx="11">
                  <c:v>38.289350692770604</c:v>
                </c:pt>
                <c:pt idx="12">
                  <c:v>38.29150751814646</c:v>
                </c:pt>
                <c:pt idx="13">
                  <c:v>38.297400074656345</c:v>
                </c:pt>
                <c:pt idx="14">
                  <c:v>38.303292631166229</c:v>
                </c:pt>
                <c:pt idx="15">
                  <c:v>38.309185187676114</c:v>
                </c:pt>
                <c:pt idx="16">
                  <c:v>38.317234569561855</c:v>
                </c:pt>
                <c:pt idx="17">
                  <c:v>38.325283951447595</c:v>
                </c:pt>
                <c:pt idx="18">
                  <c:v>38.333333333333336</c:v>
                </c:pt>
                <c:pt idx="19">
                  <c:v>38.341382715219076</c:v>
                </c:pt>
                <c:pt idx="20">
                  <c:v>38.349432097104817</c:v>
                </c:pt>
                <c:pt idx="21">
                  <c:v>38.357481478990557</c:v>
                </c:pt>
                <c:pt idx="22">
                  <c:v>38.363374035500442</c:v>
                </c:pt>
                <c:pt idx="23">
                  <c:v>38.369266592010327</c:v>
                </c:pt>
                <c:pt idx="24">
                  <c:v>38.375159148520211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1-42B2-9528-E0FE4C248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59944"/>
        <c:axId val="274256416"/>
      </c:lineChart>
      <c:catAx>
        <c:axId val="27425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256416"/>
        <c:crosses val="autoZero"/>
        <c:auto val="1"/>
        <c:lblAlgn val="ctr"/>
        <c:lblOffset val="100"/>
        <c:noMultiLvlLbl val="0"/>
      </c:catAx>
      <c:valAx>
        <c:axId val="2742564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7425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4</xdr:row>
      <xdr:rowOff>90487</xdr:rowOff>
    </xdr:from>
    <xdr:ext cx="914400" cy="423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619625" y="1233487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/>
                      </a:rPr>
                      <m:t>ω</m:t>
                    </m:r>
                    <m:r>
                      <a:rPr lang="el-GR" sz="110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𝜋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86202</m:t>
                        </m:r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619625" y="1233487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l-GR" sz="1100" i="0">
                  <a:latin typeface="Cambria Math"/>
                </a:rPr>
                <a:t>ω</a:t>
              </a:r>
              <a:r>
                <a:rPr lang="el-GR" sz="1100" i="0">
                  <a:latin typeface="Cambria Math"/>
                  <a:ea typeface="Cambria Math"/>
                </a:rPr>
                <a:t>=</a:t>
              </a:r>
              <a:r>
                <a:rPr lang="en-US" sz="1100" b="0" i="0">
                  <a:latin typeface="Cambria Math"/>
                  <a:ea typeface="Cambria Math"/>
                </a:rPr>
                <a:t>2𝜋</a:t>
              </a:r>
              <a:r>
                <a:rPr lang="el-GR" sz="1100" b="0" i="0">
                  <a:latin typeface="Cambria Math"/>
                  <a:ea typeface="Cambria Math"/>
                </a:rPr>
                <a:t>/</a:t>
              </a:r>
              <a:r>
                <a:rPr lang="en-US" sz="1100" b="0" i="0">
                  <a:latin typeface="Cambria Math"/>
                  <a:ea typeface="Cambria Math"/>
                </a:rPr>
                <a:t>86202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85725</xdr:colOff>
      <xdr:row>4</xdr:row>
      <xdr:rowOff>185737</xdr:rowOff>
    </xdr:from>
    <xdr:ext cx="11049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886450" y="1328737"/>
              <a:ext cx="11049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𝑓</m:t>
                    </m:r>
                    <m:r>
                      <a:rPr lang="en-US" sz="1100" b="0" i="1">
                        <a:latin typeface="Cambria Math"/>
                      </a:rPr>
                      <m:t>=2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/>
                      </a:rPr>
                      <m:t>ω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𝑠𝑒𝑛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/>
                      </a:rPr>
                      <m:t>ϕ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886450" y="1328737"/>
              <a:ext cx="11049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𝑓=2</a:t>
              </a:r>
              <a:r>
                <a:rPr lang="el-GR" sz="1100" b="0" i="0">
                  <a:latin typeface="Cambria Math"/>
                </a:rPr>
                <a:t>ω</a:t>
              </a:r>
              <a:r>
                <a:rPr lang="en-US" sz="1100" b="0" i="0">
                  <a:latin typeface="Cambria Math"/>
                </a:rPr>
                <a:t> 𝑠𝑒𝑛 </a:t>
              </a:r>
              <a:r>
                <a:rPr lang="el-GR" sz="1100" b="0" i="0">
                  <a:latin typeface="Cambria Math"/>
                </a:rPr>
                <a:t>ϕ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209550</xdr:colOff>
      <xdr:row>7</xdr:row>
      <xdr:rowOff>61912</xdr:rowOff>
    </xdr:from>
    <xdr:ext cx="914400" cy="4399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791075" y="1776412"/>
              <a:ext cx="914400" cy="439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𝜋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𝑓</m:t>
                        </m:r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791075" y="1776412"/>
              <a:ext cx="914400" cy="439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𝑇</a:t>
              </a:r>
              <a:r>
                <a:rPr lang="pt-PT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𝑖=2</a:t>
              </a:r>
              <a:r>
                <a:rPr lang="en-US" sz="1100" b="0" i="0">
                  <a:latin typeface="Cambria Math"/>
                  <a:ea typeface="Cambria Math"/>
                </a:rPr>
                <a:t>𝜋/</a:t>
              </a:r>
              <a:r>
                <a:rPr lang="en-US" sz="1100" b="0" i="0">
                  <a:latin typeface="Cambria Math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180975</xdr:colOff>
      <xdr:row>7</xdr:row>
      <xdr:rowOff>80962</xdr:rowOff>
    </xdr:from>
    <xdr:ext cx="914400" cy="4546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981700" y="1452562"/>
              <a:ext cx="914400" cy="454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𝐻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𝑓</m:t>
                        </m:r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981700" y="1452562"/>
              <a:ext cx="914400" cy="454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𝐷</a:t>
              </a:r>
              <a:r>
                <a:rPr lang="pt-PT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𝑖=(2𝑉_𝐻)/𝑓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295275</xdr:colOff>
      <xdr:row>9</xdr:row>
      <xdr:rowOff>138112</xdr:rowOff>
    </xdr:from>
    <xdr:ext cx="15049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876800" y="1928812"/>
              <a:ext cx="15049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𝐻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𝑠𝑒𝑛</m:t>
                    </m:r>
                    <m:r>
                      <a:rPr lang="en-US" sz="1100" b="0" i="1">
                        <a:latin typeface="Cambria Math"/>
                      </a:rPr>
                      <m:t> (</m:t>
                    </m:r>
                    <m:r>
                      <a:rPr lang="en-US" sz="1100" b="0" i="1">
                        <a:latin typeface="Cambria Math"/>
                      </a:rPr>
                      <m:t>𝑓𝑡</m:t>
                    </m:r>
                    <m:r>
                      <a:rPr lang="en-US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876800" y="1928812"/>
              <a:ext cx="15049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𝑢(𝑡)=𝑉_𝐻  𝑠𝑒𝑛 (𝑓𝑡)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476249</xdr:colOff>
      <xdr:row>11</xdr:row>
      <xdr:rowOff>52387</xdr:rowOff>
    </xdr:from>
    <xdr:ext cx="126682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057774" y="2300287"/>
              <a:ext cx="12668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𝑣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𝐻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/>
                          </a:rPr>
                          <m:t>(</m:t>
                        </m:r>
                        <m:r>
                          <a:rPr lang="en-US" sz="1100" b="0" i="1">
                            <a:latin typeface="Cambria Math"/>
                          </a:rPr>
                          <m:t>𝑓𝑡</m:t>
                        </m:r>
                        <m:r>
                          <a:rPr lang="en-US" sz="1100" b="0" i="1">
                            <a:latin typeface="Cambria Math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057774" y="2300287"/>
              <a:ext cx="12668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𝑣(𝑡)=𝑉_𝐻  cos⁡〖(𝑓𝑡)〗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7</xdr:col>
      <xdr:colOff>85725</xdr:colOff>
      <xdr:row>12</xdr:row>
      <xdr:rowOff>14287</xdr:rowOff>
    </xdr:from>
    <xdr:to>
      <xdr:col>14</xdr:col>
      <xdr:colOff>390525</xdr:colOff>
      <xdr:row>26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26</xdr:row>
      <xdr:rowOff>157162</xdr:rowOff>
    </xdr:from>
    <xdr:to>
      <xdr:col>14</xdr:col>
      <xdr:colOff>381000</xdr:colOff>
      <xdr:row>41</xdr:row>
      <xdr:rowOff>42862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361950</xdr:colOff>
      <xdr:row>42</xdr:row>
      <xdr:rowOff>138112</xdr:rowOff>
    </xdr:from>
    <xdr:to>
      <xdr:col>10</xdr:col>
      <xdr:colOff>495300</xdr:colOff>
      <xdr:row>57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42</xdr:row>
      <xdr:rowOff>157162</xdr:rowOff>
    </xdr:from>
    <xdr:to>
      <xdr:col>18</xdr:col>
      <xdr:colOff>390525</xdr:colOff>
      <xdr:row>57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54</xdr:row>
      <xdr:rowOff>161925</xdr:rowOff>
    </xdr:from>
    <xdr:to>
      <xdr:col>14</xdr:col>
      <xdr:colOff>371475</xdr:colOff>
      <xdr:row>55</xdr:row>
      <xdr:rowOff>152400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9001125" y="10896600"/>
          <a:ext cx="219075" cy="1809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54</xdr:row>
      <xdr:rowOff>171450</xdr:rowOff>
    </xdr:from>
    <xdr:to>
      <xdr:col>14</xdr:col>
      <xdr:colOff>381000</xdr:colOff>
      <xdr:row>55</xdr:row>
      <xdr:rowOff>152400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9020175" y="10906125"/>
          <a:ext cx="209550" cy="1714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28574</xdr:colOff>
      <xdr:row>8</xdr:row>
      <xdr:rowOff>71437</xdr:rowOff>
    </xdr:from>
    <xdr:ext cx="1095375" cy="5924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3876674" y="1624012"/>
              <a:ext cx="1095375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𝐻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/>
                              </a:rPr>
                              <m:t>ρ</m:t>
                            </m:r>
                          </m:den>
                        </m:f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𝜕</m:t>
                            </m:r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𝑝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𝜕</m:t>
                            </m:r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876674" y="1624012"/>
              <a:ext cx="1095375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𝑉</a:t>
              </a:r>
              <a:r>
                <a:rPr lang="pt-PT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𝐻=√(𝑅/</a:t>
              </a:r>
              <a:r>
                <a:rPr lang="el-GR" sz="1100" b="0" i="0">
                  <a:latin typeface="Cambria Math"/>
                </a:rPr>
                <a:t>ρ</a:t>
              </a:r>
              <a:r>
                <a:rPr lang="en-US" sz="1100" b="0" i="0">
                  <a:latin typeface="Cambria Math"/>
                </a:rPr>
                <a:t> </a:t>
              </a:r>
              <a:r>
                <a:rPr lang="en-US" sz="1100" b="0" i="0">
                  <a:latin typeface="Cambria Math"/>
                  <a:ea typeface="Cambria Math"/>
                </a:rPr>
                <a:t> 𝜕𝑝/𝜕𝑛)</a:t>
              </a:r>
              <a:endParaRPr lang="pt-PT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761999</xdr:colOff>
      <xdr:row>7</xdr:row>
      <xdr:rowOff>33337</xdr:rowOff>
    </xdr:from>
    <xdr:ext cx="866776" cy="2428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200399" y="985837"/>
              <a:ext cx="866776" cy="242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/>
                          </a:rPr>
                          <m:t>δ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200399" y="985837"/>
              <a:ext cx="866776" cy="242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l-GR" sz="1100" i="0">
                  <a:latin typeface="Cambria Math"/>
                </a:rPr>
                <a:t>δ</a:t>
              </a:r>
              <a:r>
                <a:rPr lang="pt-PT" sz="1100" i="0">
                  <a:latin typeface="Cambria Math"/>
                </a:rPr>
                <a:t>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9525</xdr:colOff>
      <xdr:row>7</xdr:row>
      <xdr:rowOff>4763</xdr:rowOff>
    </xdr:from>
    <xdr:ext cx="609600" cy="3190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3667125" y="576263"/>
              <a:ext cx="609600" cy="319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pt-PT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m:rPr>
                          <m:sty m:val="p"/>
                        </m:r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δ</m:t>
                      </m:r>
                    </m:e>
                  </m:acc>
                </m:oMath>
              </a14:m>
              <a:r>
                <a:rPr lang="pt-PT">
                  <a:effectLst/>
                </a:rPr>
                <a:t> *</a:t>
              </a:r>
              <a:r>
                <a:rPr lang="pt-PT" baseline="0">
                  <a:effectLst/>
                </a:rPr>
                <a:t> </a:t>
              </a:r>
              <a:r>
                <a:rPr lang="el-GR" baseline="0">
                  <a:effectLst/>
                  <a:latin typeface="Calibri"/>
                  <a:cs typeface="Calibri"/>
                </a:rPr>
                <a:t>Δ</a:t>
              </a:r>
              <a:r>
                <a:rPr lang="en-US" baseline="0">
                  <a:effectLst/>
                  <a:latin typeface="Calibri"/>
                  <a:cs typeface="Calibri"/>
                </a:rPr>
                <a:t>p</a:t>
              </a:r>
              <a:endParaRPr lang="pt-PT">
                <a:effectLst/>
              </a:endParaRPr>
            </a:p>
            <a:p>
              <a:endParaRPr lang="pt-PT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667125" y="576263"/>
              <a:ext cx="609600" cy="319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t-PT">
                  <a:effectLst/>
                </a:rPr>
                <a:t> *</a:t>
              </a:r>
              <a:r>
                <a:rPr lang="pt-PT" baseline="0">
                  <a:effectLst/>
                </a:rPr>
                <a:t> </a:t>
              </a:r>
              <a:r>
                <a:rPr lang="el-GR" baseline="0">
                  <a:effectLst/>
                  <a:latin typeface="Calibri"/>
                  <a:cs typeface="Calibri"/>
                </a:rPr>
                <a:t>Δ</a:t>
              </a:r>
              <a:r>
                <a:rPr lang="en-US" baseline="0">
                  <a:effectLst/>
                  <a:latin typeface="Calibri"/>
                  <a:cs typeface="Calibri"/>
                </a:rPr>
                <a:t>p</a:t>
              </a:r>
              <a:endParaRPr lang="pt-PT">
                <a:effectLst/>
              </a:endParaRPr>
            </a:p>
            <a:p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133350</xdr:colOff>
      <xdr:row>7</xdr:row>
      <xdr:rowOff>33337</xdr:rowOff>
    </xdr:from>
    <xdr:ext cx="295276" cy="2428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3181350" y="604837"/>
              <a:ext cx="295276" cy="242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/>
                          </a:rPr>
                          <m:t>δ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181350" y="604837"/>
              <a:ext cx="295276" cy="242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l-GR" sz="1100" i="0">
                  <a:latin typeface="Cambria Math"/>
                </a:rPr>
                <a:t>δ</a:t>
              </a:r>
              <a:r>
                <a:rPr lang="pt-PT" sz="1100" i="0">
                  <a:latin typeface="Cambria Math"/>
                </a:rPr>
                <a:t>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9525</xdr:colOff>
      <xdr:row>7</xdr:row>
      <xdr:rowOff>4763</xdr:rowOff>
    </xdr:from>
    <xdr:ext cx="609600" cy="3190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3667125" y="576263"/>
              <a:ext cx="609600" cy="319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pt-PT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m:rPr>
                          <m:sty m:val="p"/>
                        </m:r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δ</m:t>
                      </m:r>
                    </m:e>
                  </m:acc>
                </m:oMath>
              </a14:m>
              <a:r>
                <a:rPr lang="pt-PT">
                  <a:effectLst/>
                </a:rPr>
                <a:t> *</a:t>
              </a:r>
              <a:r>
                <a:rPr lang="pt-PT" baseline="0">
                  <a:effectLst/>
                </a:rPr>
                <a:t> </a:t>
              </a:r>
              <a:r>
                <a:rPr lang="el-GR" baseline="0">
                  <a:effectLst/>
                  <a:latin typeface="Calibri"/>
                  <a:cs typeface="Calibri"/>
                </a:rPr>
                <a:t>Δ</a:t>
              </a:r>
              <a:r>
                <a:rPr lang="en-US" baseline="0">
                  <a:effectLst/>
                  <a:latin typeface="Calibri"/>
                  <a:cs typeface="Calibri"/>
                </a:rPr>
                <a:t>p</a:t>
              </a:r>
              <a:endParaRPr lang="pt-PT">
                <a:effectLst/>
              </a:endParaRPr>
            </a:p>
            <a:p>
              <a:endParaRPr lang="pt-PT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667125" y="576263"/>
              <a:ext cx="609600" cy="319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t-PT">
                  <a:effectLst/>
                </a:rPr>
                <a:t> *</a:t>
              </a:r>
              <a:r>
                <a:rPr lang="pt-PT" baseline="0">
                  <a:effectLst/>
                </a:rPr>
                <a:t> </a:t>
              </a:r>
              <a:r>
                <a:rPr lang="el-GR" baseline="0">
                  <a:effectLst/>
                  <a:latin typeface="Calibri"/>
                  <a:cs typeface="Calibri"/>
                </a:rPr>
                <a:t>Δ</a:t>
              </a:r>
              <a:r>
                <a:rPr lang="en-US" baseline="0">
                  <a:effectLst/>
                  <a:latin typeface="Calibri"/>
                  <a:cs typeface="Calibri"/>
                </a:rPr>
                <a:t>p</a:t>
              </a:r>
              <a:endParaRPr lang="pt-PT">
                <a:effectLst/>
              </a:endParaRPr>
            </a:p>
            <a:p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428624</xdr:colOff>
      <xdr:row>0</xdr:row>
      <xdr:rowOff>147637</xdr:rowOff>
    </xdr:from>
    <xdr:ext cx="3362326" cy="500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8286749" y="147637"/>
              <a:ext cx="3362326" cy="500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 </m:t>
                        </m:r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2 </m:t>
                        </m:r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ω</m:t>
                        </m:r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𝑠𝑒𝑛</m:t>
                        </m:r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𝜙</m:t>
                        </m:r>
                      </m:den>
                    </m:f>
                    <m:d>
                      <m:d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𝛥</m:t>
                        </m:r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𝛥</m:t>
                        </m:r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</m:e>
                    </m:d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       </m:t>
                    </m:r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𝑒𝑚</m:t>
                    </m:r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𝑆𝐼</m:t>
                    </m:r>
                  </m:oMath>
                </m:oMathPara>
              </a14:m>
              <a:endParaRPr lang="pt-PT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39034840-194E-4814-B48C-743B15C9E7E5}" type="mathplaceholder">
                      <a:rPr lang="pt-PT" sz="1100" i="1">
                        <a:latin typeface="Cambria Math"/>
                      </a:rPr>
                      <a:t>Type equation here.</a:t>
                    </a:fld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286749" y="147637"/>
              <a:ext cx="3362326" cy="500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(𝑉_1− 𝑉_2 )=  1/(𝐿 2 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ω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𝑠𝑒𝑛 𝜙) (𝛥𝜙_𝐵−𝛥𝜙_𝐴 )         𝑒𝑚 𝑆𝐼</a:t>
              </a:r>
              <a:endParaRPr lang="pt-PT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pt-PT" sz="1100" i="0">
                  <a:latin typeface="Cambria Math"/>
                </a:rPr>
                <a:t>"Type equation here."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552449</xdr:colOff>
      <xdr:row>3</xdr:row>
      <xdr:rowOff>157162</xdr:rowOff>
    </xdr:from>
    <xdr:ext cx="1362075" cy="627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2381249" y="347662"/>
              <a:ext cx="1362075" cy="627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𝛥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𝜙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limLoc m:val="undOvr"/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p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p</m:t>
                        </m:r>
                        <m: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) </m:t>
                        </m:r>
                        <m:r>
                          <m:rPr>
                            <m:sty m:val="p"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dp</m:t>
                        </m:r>
                      </m:e>
                    </m:nary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381249" y="347662"/>
              <a:ext cx="1362075" cy="627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𝛥𝜙_𝐴=∫1_𝑝1^𝑝2▒〖𝛿_𝐴 (p) dp〗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361950</xdr:colOff>
      <xdr:row>4</xdr:row>
      <xdr:rowOff>4762</xdr:rowOff>
    </xdr:from>
    <xdr:ext cx="1466849" cy="627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7000875" y="804862"/>
              <a:ext cx="1466849" cy="627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𝛥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𝜙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limLoc m:val="undOvr"/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p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  <m: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p</m:t>
                        </m:r>
                        <m: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) </m:t>
                        </m:r>
                        <m:r>
                          <m:rPr>
                            <m:sty m:val="p"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dp</m:t>
                        </m:r>
                      </m:e>
                    </m:nary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000875" y="804862"/>
              <a:ext cx="1466849" cy="627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PT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𝛥𝜙_𝐵=∫1_𝑝1^𝑝2▒〖𝛿_𝐵 (p) dp〗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13</xdr:col>
      <xdr:colOff>590550</xdr:colOff>
      <xdr:row>2</xdr:row>
      <xdr:rowOff>38100</xdr:rowOff>
    </xdr:from>
    <xdr:to>
      <xdr:col>18</xdr:col>
      <xdr:colOff>219075</xdr:colOff>
      <xdr:row>6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9220200" y="457200"/>
          <a:ext cx="2676525" cy="828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10</xdr:row>
      <xdr:rowOff>90487</xdr:rowOff>
    </xdr:from>
    <xdr:ext cx="13525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3686175" y="2109787"/>
              <a:ext cx="13525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𝑓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=2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/>
                      </a:rPr>
                      <m:t>ω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𝑠𝑒𝑛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/>
                      </a:rPr>
                      <m:t>φ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686175" y="2109787"/>
              <a:ext cx="13525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PT" sz="1100" i="0">
                  <a:latin typeface="Cambria Math"/>
                </a:rPr>
                <a:t>|</a:t>
              </a:r>
              <a:r>
                <a:rPr lang="en-US" sz="1100" b="0" i="0">
                  <a:latin typeface="Cambria Math"/>
                </a:rPr>
                <a:t>𝑓|=2</a:t>
              </a:r>
              <a:r>
                <a:rPr lang="el-GR" sz="1100" b="0" i="0">
                  <a:latin typeface="Cambria Math"/>
                </a:rPr>
                <a:t>ω</a:t>
              </a:r>
              <a:r>
                <a:rPr lang="en-US" sz="1100" b="0" i="0">
                  <a:latin typeface="Cambria Math"/>
                </a:rPr>
                <a:t> 𝑠𝑒𝑛 </a:t>
              </a:r>
              <a:r>
                <a:rPr lang="el-GR" sz="1100" b="0" i="0">
                  <a:latin typeface="Cambria Math"/>
                </a:rPr>
                <a:t>φ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333375</xdr:colOff>
      <xdr:row>13</xdr:row>
      <xdr:rowOff>42862</xdr:rowOff>
    </xdr:from>
    <xdr:ext cx="1276350" cy="280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4343400" y="2043112"/>
              <a:ext cx="1276350" cy="280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1">
                            <a:latin typeface="Cambria Math"/>
                          </a:rPr>
                          <m:t>τ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l-GR" sz="1100" b="0" i="1">
                            <a:latin typeface="Cambria Math"/>
                          </a:rPr>
                          <m:t>η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1">
                            <a:latin typeface="Cambria Math"/>
                          </a:rPr>
                          <m:t>ρ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𝑎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𝐷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</a:rPr>
                          <m:t>𝑊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343400" y="2043112"/>
              <a:ext cx="1276350" cy="280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l-GR" sz="1100" b="0" i="0">
                  <a:latin typeface="Cambria Math"/>
                </a:rPr>
                <a:t>τ</a:t>
              </a:r>
              <a:r>
                <a:rPr lang="en-US" sz="1100" b="0" i="0">
                  <a:latin typeface="Cambria Math"/>
                </a:rPr>
                <a:t>_</a:t>
              </a:r>
              <a:r>
                <a:rPr lang="el-GR" sz="1100" b="0" i="0">
                  <a:latin typeface="Cambria Math"/>
                </a:rPr>
                <a:t>η</a:t>
              </a:r>
              <a:r>
                <a:rPr lang="en-US" sz="1100" b="0" i="0">
                  <a:latin typeface="Cambria Math"/>
                </a:rPr>
                <a:t>=</a:t>
              </a:r>
              <a:r>
                <a:rPr lang="el-GR" sz="1100" b="0" i="0">
                  <a:latin typeface="Cambria Math"/>
                </a:rPr>
                <a:t>ρ</a:t>
              </a:r>
              <a:r>
                <a:rPr lang="en-US" sz="1100" b="0" i="0">
                  <a:latin typeface="Cambria Math"/>
                </a:rPr>
                <a:t>_𝑎 𝐶_𝐷 𝑊^2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57149</xdr:colOff>
      <xdr:row>12</xdr:row>
      <xdr:rowOff>195262</xdr:rowOff>
    </xdr:from>
    <xdr:ext cx="1266825" cy="4814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5648324" y="2366962"/>
              <a:ext cx="1266825" cy="481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𝐸</m:t>
                        </m:r>
                      </m:sub>
                    </m:sSub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4,3 </m:t>
                        </m:r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𝑊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𝑠𝑒𝑛</m:t>
                            </m:r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d>
                              <m:dPr>
                                <m:begChr m:val="|"/>
                                <m:endChr m:val="|"/>
                                <m:ctrlPr>
                                  <a:rPr lang="pt-PT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PT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𝜙</m:t>
                                </m:r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648324" y="2366962"/>
              <a:ext cx="1266825" cy="481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PT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𝐷_𝐸=  (4,3 𝑊)/√(𝑠𝑒𝑛 |𝜙|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47624</xdr:colOff>
      <xdr:row>17</xdr:row>
      <xdr:rowOff>61912</xdr:rowOff>
    </xdr:from>
    <xdr:ext cx="1847851" cy="476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4667249" y="2852737"/>
              <a:ext cx="1847851" cy="476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=0,79∗</m:t>
                    </m:r>
                    <m:sSup>
                      <m:sSup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p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  <m:d>
                          <m:dPr>
                            <m:begChr m:val="|"/>
                            <m:endChr m:val="|"/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667249" y="2852737"/>
              <a:ext cx="1847851" cy="476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PT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𝑉_0=0,79∗〖10〗^(−5)   𝑊^2/(𝐷_𝐸 |𝑓|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123824</xdr:colOff>
      <xdr:row>17</xdr:row>
      <xdr:rowOff>166687</xdr:rowOff>
    </xdr:from>
    <xdr:ext cx="1857375" cy="3011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7791449" y="2957512"/>
              <a:ext cx="1857375" cy="3011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=(</m:t>
                    </m:r>
                    <m:rad>
                      <m:radPr>
                        <m:degHide m:val="on"/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𝜋</m:t>
                    </m:r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𝜏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ɳ</m:t>
                        </m:r>
                      </m:sub>
                    </m:sSub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)/(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𝐸</m:t>
                        </m:r>
                      </m:sub>
                    </m:sSub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𝜌</m:t>
                    </m:r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|"/>
                        <m:endChr m:val="|"/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</m:e>
                    </m:d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) </m:t>
                    </m:r>
                  </m:oMath>
                </m:oMathPara>
              </a14:m>
              <a:endParaRPr lang="pt-PT">
                <a:effectLst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791449" y="2957512"/>
              <a:ext cx="1857375" cy="3011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𝑉_0=(√2  𝜋 𝜏_𝑦ɳ)/(𝐷_𝐸 𝜌 |𝑓|) </a:t>
              </a:r>
              <a:endParaRPr lang="pt-PT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104774</xdr:colOff>
      <xdr:row>23</xdr:row>
      <xdr:rowOff>14287</xdr:rowOff>
    </xdr:from>
    <xdr:ext cx="2600325" cy="1025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4724399" y="3414712"/>
              <a:ext cx="2600325" cy="1025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𝐸</m:t>
                        </m:r>
                      </m:sub>
                    </m:sSub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</m:num>
                          <m:den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</m:den>
                        </m:f>
                      </m:e>
                    </m:d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PT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PT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num>
                              <m:den>
                                <m:r>
                                  <a:rPr lang="pt-PT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den>
                            </m:f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pt-PT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PT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PT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pt-PT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</m:d>
                        <m:sSup>
                          <m:sSup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pt-PT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PT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PT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pt-PT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𝑧</m:t>
                            </m:r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)</m:t>
                            </m:r>
                          </m:sup>
                        </m:sSup>
                      </m:e>
                    </m:func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pt-PT" sz="11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𝐸</m:t>
                        </m:r>
                      </m:sub>
                    </m:sSub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sen</m:t>
                        </m:r>
                      </m:fName>
                      <m:e>
                        <m:d>
                          <m:d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PT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PT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num>
                              <m:den>
                                <m:r>
                                  <a:rPr lang="pt-PT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den>
                            </m:f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pt-PT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PT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PT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pt-PT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</m:d>
                        <m:sSup>
                          <m:sSup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pt-PT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PT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PT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pt-PT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𝑧</m:t>
                            </m:r>
                            <m: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)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pt-PT">
                <a:effectLst/>
              </a:endParaRPr>
            </a:p>
            <a:p>
              <a:endParaRPr lang="pt-PT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724399" y="3414712"/>
              <a:ext cx="2600325" cy="1025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rtl="0" eaLnBrk="1" latinLnBrk="0" hangingPunct="1"/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𝑢_𝐸=(+⁄−)  𝑉_0  cos⁡〖(𝜋/4+𝜋/𝐷_𝐸  𝑧) 𝑒^((𝜋/𝐷_𝐸  𝑧)) 〗  </a:t>
              </a:r>
              <a:endParaRPr lang="pt-PT" sz="1100">
                <a:effectLst/>
              </a:endParaRPr>
            </a:p>
            <a:p>
              <a:pPr rtl="0" eaLnBrk="1" latinLnBrk="0" hangingPunct="1"/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𝑣_𝐸=𝑉_0  sen⁡〖(𝜋/4+𝜋/𝐷_𝐸  𝑧) 𝑒^((𝜋/𝐷_𝐸  𝑧)) 〗</a:t>
              </a:r>
              <a:endParaRPr lang="pt-PT">
                <a:effectLst/>
              </a:endParaRPr>
            </a:p>
            <a:p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400048</xdr:colOff>
      <xdr:row>26</xdr:row>
      <xdr:rowOff>100012</xdr:rowOff>
    </xdr:from>
    <xdr:ext cx="2305051" cy="4905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8067673" y="4071937"/>
              <a:ext cx="2305051" cy="490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𝐼𝑛𝑡𝑒𝑛𝑠𝑖𝑑𝑎𝑑𝑒</m:t>
                    </m:r>
                    <m:r>
                      <a:rPr lang="en-US" sz="1100" b="0" i="1">
                        <a:latin typeface="Cambria Math"/>
                      </a:rPr>
                      <m:t> ,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𝐸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(</m:t>
                    </m:r>
                    <m:r>
                      <a:rPr lang="en-US" sz="1100" b="0" i="1">
                        <a:latin typeface="Cambria Math"/>
                      </a:rPr>
                      <m:t>𝑧</m:t>
                    </m:r>
                    <m:r>
                      <a:rPr lang="en-US" sz="1100" b="0" i="1">
                        <a:latin typeface="Cambria Math"/>
                      </a:rPr>
                      <m:t>)=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𝐸</m:t>
                                </m:r>
                              </m:sub>
                            </m:sSub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/>
                          </a:rPr>
                          <m:t>+ 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𝐸</m:t>
                                </m:r>
                              </m:sub>
                            </m:sSub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8067673" y="4071937"/>
              <a:ext cx="2305051" cy="490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𝐼𝑛𝑡𝑒𝑛𝑠𝑖𝑑𝑎𝑑𝑒 , 𝑉_𝐸 (𝑧)= √(〖𝑣_𝐸〗^2+ 〖𝑢_𝐸〗^2 )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247650</xdr:colOff>
      <xdr:row>20</xdr:row>
      <xdr:rowOff>128587</xdr:rowOff>
    </xdr:from>
    <xdr:ext cx="1619250" cy="368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5895975" y="4243387"/>
              <a:ext cx="1619250" cy="368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PT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0,0127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/>
                            </a:rPr>
                            <m:t>|</m:t>
                          </m:r>
                          <m:r>
                            <a:rPr lang="en-US" sz="1100" b="0" i="1">
                              <a:latin typeface="Cambria Math"/>
                            </a:rPr>
                            <m:t>𝑠𝑒𝑛</m:t>
                          </m:r>
                          <m:r>
                            <a:rPr lang="en-US" sz="1100" b="0" i="1">
                              <a:latin typeface="Cambria Math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/>
                            </a:rPr>
                            <m:t>ϕ</m:t>
                          </m:r>
                          <m:r>
                            <a:rPr lang="en-US" sz="1100" b="0" i="1">
                              <a:latin typeface="Cambria Math"/>
                            </a:rPr>
                            <m:t>|</m:t>
                          </m:r>
                        </m:e>
                      </m:rad>
                    </m:den>
                  </m:f>
                  <m:r>
                    <a:rPr lang="en-US" sz="1100" b="0" i="1">
                      <a:latin typeface="Cambria Math"/>
                    </a:rPr>
                    <m:t>𝑊</m:t>
                  </m:r>
                </m:oMath>
              </a14:m>
              <a:r>
                <a:rPr lang="pt-PT" sz="1100"/>
                <a:t> ;  </a:t>
              </a:r>
              <a:r>
                <a:rPr lang="el-GR" sz="1100">
                  <a:latin typeface="Calibri"/>
                  <a:cs typeface="Calibri"/>
                </a:rPr>
                <a:t>ϕ</a:t>
              </a:r>
              <a14:m>
                <m:oMath xmlns:m="http://schemas.openxmlformats.org/officeDocument/2006/math">
                  <m:r>
                    <a:rPr lang="el-GR" sz="1100" i="1">
                      <a:latin typeface="Cambria Math"/>
                      <a:ea typeface="Cambria Math"/>
                      <a:cs typeface="Calibri"/>
                    </a:rPr>
                    <m:t>≥</m:t>
                  </m:r>
                  <m:r>
                    <a:rPr lang="en-US" sz="1100" b="0" i="1">
                      <a:latin typeface="Cambria Math"/>
                      <a:ea typeface="Cambria Math"/>
                      <a:cs typeface="Calibri"/>
                    </a:rPr>
                    <m:t>10</m:t>
                  </m:r>
                </m:oMath>
              </a14:m>
              <a:endParaRPr lang="pt-PT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895975" y="4243387"/>
              <a:ext cx="1619250" cy="368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𝑉</a:t>
              </a:r>
              <a:r>
                <a:rPr lang="pt-PT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0=0,0127/√(|𝑠𝑒𝑛 </a:t>
              </a:r>
              <a:r>
                <a:rPr lang="el-GR" sz="1100" b="0" i="0">
                  <a:latin typeface="Cambria Math"/>
                </a:rPr>
                <a:t>ϕ</a:t>
              </a:r>
              <a:r>
                <a:rPr lang="en-US" sz="1100" b="0" i="0">
                  <a:latin typeface="Cambria Math"/>
                </a:rPr>
                <a:t>|) 𝑊</a:t>
              </a:r>
              <a:r>
                <a:rPr lang="pt-PT" sz="1100"/>
                <a:t> ;  </a:t>
              </a:r>
              <a:r>
                <a:rPr lang="el-GR" sz="1100">
                  <a:latin typeface="Calibri"/>
                  <a:cs typeface="Calibri"/>
                </a:rPr>
                <a:t>ϕ</a:t>
              </a:r>
              <a:r>
                <a:rPr lang="el-GR" sz="1100" i="0">
                  <a:latin typeface="Cambria Math"/>
                  <a:ea typeface="Cambria Math"/>
                  <a:cs typeface="Calibri"/>
                </a:rPr>
                <a:t>≥</a:t>
              </a:r>
              <a:r>
                <a:rPr lang="en-US" sz="1100" b="0" i="0">
                  <a:latin typeface="Cambria Math"/>
                  <a:ea typeface="Cambria Math"/>
                  <a:cs typeface="Calibri"/>
                </a:rPr>
                <a:t>10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333375</xdr:colOff>
      <xdr:row>8</xdr:row>
      <xdr:rowOff>166687</xdr:rowOff>
    </xdr:from>
    <xdr:ext cx="914400" cy="423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5314950" y="1804987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/>
                      </a:rPr>
                      <m:t>ω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𝜋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86202</m:t>
                        </m:r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314950" y="1804987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l-GR" sz="1100" i="0">
                  <a:latin typeface="Cambria Math"/>
                </a:rPr>
                <a:t>ω</a:t>
              </a:r>
              <a:r>
                <a:rPr lang="en-US" sz="1100" b="0" i="0">
                  <a:latin typeface="Cambria Math"/>
                </a:rPr>
                <a:t>=2</a:t>
              </a:r>
              <a:r>
                <a:rPr lang="en-US" sz="1100" b="0" i="0">
                  <a:latin typeface="Cambria Math"/>
                  <a:ea typeface="Cambria Math"/>
                </a:rPr>
                <a:t>𝜋/</a:t>
              </a:r>
              <a:r>
                <a:rPr lang="en-US" sz="1100" b="0" i="0">
                  <a:latin typeface="Cambria Math"/>
                </a:rPr>
                <a:t>86202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257175</xdr:colOff>
      <xdr:row>11</xdr:row>
      <xdr:rowOff>100012</xdr:rowOff>
    </xdr:from>
    <xdr:ext cx="2057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5238750" y="2081212"/>
              <a:ext cx="2057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𝐷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=0,001(1,1+0,035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𝑊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10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238750" y="2081212"/>
              <a:ext cx="2057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𝐶</a:t>
              </a:r>
              <a:r>
                <a:rPr lang="pt-PT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𝐷=0,001(1,1+0,035 𝑊_10)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542925</xdr:colOff>
      <xdr:row>15</xdr:row>
      <xdr:rowOff>52387</xdr:rowOff>
    </xdr:from>
    <xdr:ext cx="914400" cy="4171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4305300" y="2919412"/>
              <a:ext cx="914400" cy="417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𝐸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/>
                              </a:rPr>
                              <m:t>τ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/>
                              </a:rPr>
                              <m:t>η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𝑓</m:t>
                        </m:r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305300" y="2919412"/>
              <a:ext cx="914400" cy="417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𝑀</a:t>
              </a:r>
              <a:r>
                <a:rPr lang="pt-PT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𝐸=</a:t>
              </a:r>
              <a:r>
                <a:rPr lang="el-GR" sz="1100" b="0" i="0">
                  <a:latin typeface="Cambria Math"/>
                </a:rPr>
                <a:t>τ</a:t>
              </a:r>
              <a:r>
                <a:rPr lang="en-US" sz="1100" b="0" i="0">
                  <a:latin typeface="Cambria Math"/>
                </a:rPr>
                <a:t>_</a:t>
              </a:r>
              <a:r>
                <a:rPr lang="el-GR" sz="1100" b="0" i="0">
                  <a:latin typeface="Cambria Math"/>
                </a:rPr>
                <a:t>η</a:t>
              </a:r>
              <a:r>
                <a:rPr lang="en-US" sz="1100" b="0" i="0">
                  <a:latin typeface="Cambria Math"/>
                </a:rPr>
                <a:t>/𝑓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276225</xdr:colOff>
      <xdr:row>15</xdr:row>
      <xdr:rowOff>23812</xdr:rowOff>
    </xdr:from>
    <xdr:ext cx="914400" cy="4378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5867400" y="2890837"/>
              <a:ext cx="914400" cy="4378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𝐸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𝐸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l-GR" sz="1100" b="0" i="1">
                            <a:latin typeface="Cambria Math"/>
                          </a:rPr>
                          <m:t>ρ</m:t>
                        </m:r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5867400" y="2890837"/>
              <a:ext cx="914400" cy="4378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𝑄</a:t>
              </a:r>
              <a:r>
                <a:rPr lang="pt-PT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𝐸=𝑀_𝐸/</a:t>
              </a:r>
              <a:r>
                <a:rPr lang="el-GR" sz="1100" b="0" i="0">
                  <a:latin typeface="Cambria Math"/>
                </a:rPr>
                <a:t>ρ</a:t>
              </a:r>
              <a:endParaRPr lang="pt-PT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66</xdr:row>
      <xdr:rowOff>95250</xdr:rowOff>
    </xdr:from>
    <xdr:ext cx="1619250" cy="368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4200525" y="6953250"/>
              <a:ext cx="1619250" cy="368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PT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0,0127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/>
                            </a:rPr>
                            <m:t>|</m:t>
                          </m:r>
                          <m:r>
                            <a:rPr lang="en-US" sz="1100" b="0" i="1">
                              <a:latin typeface="Cambria Math"/>
                            </a:rPr>
                            <m:t>𝑠𝑒𝑛</m:t>
                          </m:r>
                          <m:r>
                            <a:rPr lang="en-US" sz="1100" b="0" i="1">
                              <a:latin typeface="Cambria Math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/>
                            </a:rPr>
                            <m:t>ϕ</m:t>
                          </m:r>
                          <m:r>
                            <a:rPr lang="en-US" sz="1100" b="0" i="1">
                              <a:latin typeface="Cambria Math"/>
                            </a:rPr>
                            <m:t>|</m:t>
                          </m:r>
                        </m:e>
                      </m:rad>
                    </m:den>
                  </m:f>
                  <m:r>
                    <a:rPr lang="en-US" sz="1100" b="0" i="1">
                      <a:latin typeface="Cambria Math"/>
                    </a:rPr>
                    <m:t>𝑊</m:t>
                  </m:r>
                </m:oMath>
              </a14:m>
              <a:r>
                <a:rPr lang="pt-PT" sz="1100"/>
                <a:t> ;  </a:t>
              </a:r>
              <a:r>
                <a:rPr lang="el-GR" sz="1100">
                  <a:latin typeface="Calibri"/>
                  <a:cs typeface="Calibri"/>
                </a:rPr>
                <a:t>ϕ</a:t>
              </a:r>
              <a14:m>
                <m:oMath xmlns:m="http://schemas.openxmlformats.org/officeDocument/2006/math">
                  <m:r>
                    <a:rPr lang="el-GR" sz="1100" i="1">
                      <a:latin typeface="Cambria Math"/>
                      <a:ea typeface="Cambria Math"/>
                      <a:cs typeface="Calibri"/>
                    </a:rPr>
                    <m:t>≥</m:t>
                  </m:r>
                  <m:r>
                    <a:rPr lang="en-US" sz="1100" b="0" i="1">
                      <a:latin typeface="Cambria Math"/>
                      <a:ea typeface="Cambria Math"/>
                      <a:cs typeface="Calibri"/>
                    </a:rPr>
                    <m:t>10</m:t>
                  </m:r>
                </m:oMath>
              </a14:m>
              <a:endParaRPr lang="pt-PT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200525" y="6953250"/>
              <a:ext cx="1619250" cy="368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𝑉</a:t>
              </a:r>
              <a:r>
                <a:rPr lang="pt-PT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0=0,0127/√(|𝑠𝑒𝑛 </a:t>
              </a:r>
              <a:r>
                <a:rPr lang="el-GR" sz="1100" b="0" i="0">
                  <a:latin typeface="Cambria Math"/>
                </a:rPr>
                <a:t>ϕ</a:t>
              </a:r>
              <a:r>
                <a:rPr lang="en-US" sz="1100" b="0" i="0">
                  <a:latin typeface="Cambria Math"/>
                </a:rPr>
                <a:t>|) 𝑊</a:t>
              </a:r>
              <a:r>
                <a:rPr lang="pt-PT" sz="1100"/>
                <a:t> ;  </a:t>
              </a:r>
              <a:r>
                <a:rPr lang="el-GR" sz="1100">
                  <a:latin typeface="Calibri"/>
                  <a:cs typeface="Calibri"/>
                </a:rPr>
                <a:t>ϕ</a:t>
              </a:r>
              <a:r>
                <a:rPr lang="el-GR" sz="1100" i="0">
                  <a:latin typeface="Cambria Math"/>
                  <a:ea typeface="Cambria Math"/>
                  <a:cs typeface="Calibri"/>
                </a:rPr>
                <a:t>≥</a:t>
              </a:r>
              <a:r>
                <a:rPr lang="en-US" sz="1100" b="0" i="0">
                  <a:latin typeface="Cambria Math"/>
                  <a:ea typeface="Cambria Math"/>
                  <a:cs typeface="Calibri"/>
                </a:rPr>
                <a:t>10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514350</xdr:colOff>
      <xdr:row>71</xdr:row>
      <xdr:rowOff>38100</xdr:rowOff>
    </xdr:from>
    <xdr:ext cx="141922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2343150" y="7848600"/>
              <a:ext cx="14192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/>
                          </a:rPr>
                          <m:t>ϕ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1">
                            <a:latin typeface="Cambria Math"/>
                          </a:rPr>
                          <m:t>ϕ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r>
                      <a:rPr lang="en-US" sz="1100" b="0" i="1">
                        <a:latin typeface="Cambria Math"/>
                      </a:rPr>
                      <m:t>𝐷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/>
                          </a:rPr>
                          <m:t>𝑅</m:t>
                        </m:r>
                      </m:e>
                    </m:fun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43150" y="7848600"/>
              <a:ext cx="14192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l-GR" sz="1100" i="0">
                  <a:latin typeface="Cambria Math"/>
                </a:rPr>
                <a:t>ϕ</a:t>
              </a:r>
              <a:r>
                <a:rPr lang="pt-PT" sz="110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2−</a:t>
              </a:r>
              <a:r>
                <a:rPr lang="el-GR" sz="1100" b="0" i="0">
                  <a:latin typeface="Cambria Math"/>
                </a:rPr>
                <a:t>ϕ</a:t>
              </a:r>
              <a:r>
                <a:rPr lang="en-US" sz="1100" b="0" i="0">
                  <a:latin typeface="Cambria Math"/>
                </a:rPr>
                <a:t>_1=𝐷 cos⁡𝑅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70</xdr:row>
      <xdr:rowOff>133350</xdr:rowOff>
    </xdr:from>
    <xdr:ext cx="3238501" cy="4377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3962400" y="7753350"/>
              <a:ext cx="3238501" cy="4377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/>
                          </a:rPr>
                          <m:t>λ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1">
                            <a:latin typeface="Cambria Math"/>
                          </a:rPr>
                          <m:t>λ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r>
                      <a:rPr lang="en-US" sz="1100" b="0" i="1">
                        <a:latin typeface="Cambria Math"/>
                      </a:rPr>
                      <m:t>𝐷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𝑠𝑒𝑛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𝑅</m:t>
                        </m:r>
                      </m:e>
                    </m:d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/>
                              </a:rPr>
                              <m:t>Ψ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/>
                              </a:rPr>
                              <m:t>Ψ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/>
                              </a:rPr>
                              <m:t>ϕ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/>
                              </a:rPr>
                              <m:t>ϕ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/>
                      </a:rPr>
                      <m:t> , </m:t>
                    </m:r>
                    <m:r>
                      <a:rPr lang="en-US" sz="1100" b="0" i="1">
                        <a:latin typeface="Cambria Math"/>
                      </a:rPr>
                      <m:t>𝑠𝑒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𝑅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≠90 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𝑜𝑢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 270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962400" y="7753350"/>
              <a:ext cx="3238501" cy="4377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l-GR" sz="1100" i="0">
                  <a:latin typeface="Cambria Math"/>
                </a:rPr>
                <a:t>λ</a:t>
              </a:r>
              <a:r>
                <a:rPr lang="pt-PT" sz="110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2−</a:t>
              </a:r>
              <a:r>
                <a:rPr lang="el-GR" sz="1100" b="0" i="0">
                  <a:latin typeface="Cambria Math"/>
                </a:rPr>
                <a:t>λ</a:t>
              </a:r>
              <a:r>
                <a:rPr lang="en-US" sz="1100" b="0" i="0">
                  <a:latin typeface="Cambria Math"/>
                </a:rPr>
                <a:t>_1=𝐷 𝑠𝑒𝑛 (𝑅)  (</a:t>
              </a:r>
              <a:r>
                <a:rPr lang="el-GR" sz="1100" b="0" i="0">
                  <a:latin typeface="Cambria Math"/>
                </a:rPr>
                <a:t>Ψ</a:t>
              </a:r>
              <a:r>
                <a:rPr lang="en-US" sz="1100" b="0" i="0">
                  <a:latin typeface="Cambria Math"/>
                </a:rPr>
                <a:t>_2−</a:t>
              </a:r>
              <a:r>
                <a:rPr lang="el-GR" sz="1100" b="0" i="0">
                  <a:latin typeface="Cambria Math"/>
                </a:rPr>
                <a:t>Ψ</a:t>
              </a:r>
              <a:r>
                <a:rPr lang="en-US" sz="1100" b="0" i="0">
                  <a:latin typeface="Cambria Math"/>
                </a:rPr>
                <a:t>_1)/(</a:t>
              </a:r>
              <a:r>
                <a:rPr lang="el-GR" sz="1100" b="0" i="0">
                  <a:latin typeface="Cambria Math"/>
                </a:rPr>
                <a:t>ϕ</a:t>
              </a:r>
              <a:r>
                <a:rPr lang="en-US" sz="1100" b="0" i="0">
                  <a:latin typeface="Cambria Math"/>
                </a:rPr>
                <a:t>_2−</a:t>
              </a:r>
              <a:r>
                <a:rPr lang="el-GR" sz="1100" b="0" i="0">
                  <a:latin typeface="Cambria Math"/>
                </a:rPr>
                <a:t>ϕ</a:t>
              </a:r>
              <a:r>
                <a:rPr lang="en-US" sz="1100" b="0" i="0">
                  <a:latin typeface="Cambria Math"/>
                </a:rPr>
                <a:t>_1 )  , 𝑠𝑒 𝑅</a:t>
              </a:r>
              <a:r>
                <a:rPr lang="en-US" sz="1100" b="0" i="0">
                  <a:latin typeface="Cambria Math"/>
                  <a:ea typeface="Cambria Math"/>
                </a:rPr>
                <a:t>≠90 𝑜𝑢 270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419100</xdr:colOff>
      <xdr:row>70</xdr:row>
      <xdr:rowOff>123825</xdr:rowOff>
    </xdr:from>
    <xdr:ext cx="2028825" cy="4092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7734300" y="7743825"/>
              <a:ext cx="2028825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latin typeface="Cambria Math"/>
                        <a:ea typeface="Cambria Math"/>
                      </a:rPr>
                      <m:t>∆</m:t>
                    </m:r>
                    <m:r>
                      <m:rPr>
                        <m:sty m:val="p"/>
                      </m:rPr>
                      <a:rPr lang="el-GR" sz="1100" i="1">
                        <a:latin typeface="Cambria Math"/>
                        <a:ea typeface="Cambria Math"/>
                      </a:rPr>
                      <m:t>λ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𝐷</m:t>
                        </m:r>
                      </m:num>
                      <m:den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sen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𝑅</m:t>
                            </m:r>
                          </m:e>
                        </m:func>
                      </m:den>
                    </m:f>
                    <m:r>
                      <a:rPr lang="en-US" sz="1100" b="0" i="1">
                        <a:latin typeface="Cambria Math"/>
                        <a:ea typeface="Cambria Math"/>
                      </a:rPr>
                      <m:t>  , 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𝑠𝑒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𝑅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=90 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𝑜𝑢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 270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734300" y="7743825"/>
              <a:ext cx="2028825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PT" sz="1100" i="0">
                  <a:latin typeface="Cambria Math"/>
                  <a:ea typeface="Cambria Math"/>
                </a:rPr>
                <a:t>∆</a:t>
              </a:r>
              <a:r>
                <a:rPr lang="el-GR" sz="1100" i="0">
                  <a:latin typeface="Cambria Math"/>
                  <a:ea typeface="Cambria Math"/>
                </a:rPr>
                <a:t>λ</a:t>
              </a:r>
              <a:r>
                <a:rPr lang="en-US" sz="1100" b="0" i="0">
                  <a:latin typeface="Cambria Math"/>
                  <a:ea typeface="Cambria Math"/>
                </a:rPr>
                <a:t>=𝐷/sen⁡𝑅    , 𝑠𝑒 𝑅=90 𝑜𝑢 270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73</xdr:row>
      <xdr:rowOff>161925</xdr:rowOff>
    </xdr:from>
    <xdr:ext cx="3648076" cy="496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3695700" y="8353425"/>
              <a:ext cx="3648076" cy="496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Ψ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𝑙𝑛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⁡[</m:t>
                    </m:r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tan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45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ϕ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𝑠𝑒𝑛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ϕ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𝑠𝑒𝑛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ϕ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/2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]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180×60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𝜋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</m:e>
                    </m:fun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695700" y="8353425"/>
              <a:ext cx="3648076" cy="496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^′=𝑙𝑛⁡[tan⁡〖(〖45〗^0+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/2) 〖((1−𝑒 𝑠𝑒𝑛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)/(1+𝑒 𝑠𝑒𝑛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))〗^(𝑒/2)](180×60)/𝜋  〗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2</xdr:col>
      <xdr:colOff>419100</xdr:colOff>
      <xdr:row>6</xdr:row>
      <xdr:rowOff>171450</xdr:rowOff>
    </xdr:from>
    <xdr:to>
      <xdr:col>2</xdr:col>
      <xdr:colOff>428625</xdr:colOff>
      <xdr:row>8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flipH="1">
          <a:off x="1638300" y="1314450"/>
          <a:ext cx="9525" cy="219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35</xdr:row>
      <xdr:rowOff>157162</xdr:rowOff>
    </xdr:from>
    <xdr:to>
      <xdr:col>15</xdr:col>
      <xdr:colOff>114300</xdr:colOff>
      <xdr:row>50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51</xdr:row>
      <xdr:rowOff>71437</xdr:rowOff>
    </xdr:from>
    <xdr:to>
      <xdr:col>15</xdr:col>
      <xdr:colOff>133350</xdr:colOff>
      <xdr:row>65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342901</xdr:colOff>
      <xdr:row>35</xdr:row>
      <xdr:rowOff>119062</xdr:rowOff>
    </xdr:from>
    <xdr:to>
      <xdr:col>7</xdr:col>
      <xdr:colOff>38101</xdr:colOff>
      <xdr:row>50</xdr:row>
      <xdr:rowOff>4762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381000</xdr:colOff>
      <xdr:row>51</xdr:row>
      <xdr:rowOff>14287</xdr:rowOff>
    </xdr:from>
    <xdr:to>
      <xdr:col>7</xdr:col>
      <xdr:colOff>95250</xdr:colOff>
      <xdr:row>65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0</xdr:colOff>
      <xdr:row>78</xdr:row>
      <xdr:rowOff>0</xdr:rowOff>
    </xdr:from>
    <xdr:ext cx="410527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 txBox="1"/>
          </xdr:nvSpPr>
          <xdr:spPr>
            <a:xfrm>
              <a:off x="6191250" y="14906625"/>
              <a:ext cx="410527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𝑑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acos</m:t>
                        </m:r>
                      </m:fName>
                      <m:e>
                        <m:r>
                          <a:rPr lang="en-US" sz="1100" b="0" i="1">
                            <a:latin typeface="Cambria Math"/>
                          </a:rPr>
                          <m:t>(</m:t>
                        </m:r>
                        <m:r>
                          <a:rPr lang="en-US" sz="1100" b="0" i="1">
                            <a:latin typeface="Cambria Math"/>
                          </a:rPr>
                          <m:t>𝑠𝑒𝑛</m:t>
                        </m:r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/>
                              </a:rPr>
                              <m:t>ϕ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</a:rPr>
                          <m:t>𝑠𝑒𝑛</m:t>
                        </m:r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/>
                              </a:rPr>
                              <m:t>ϕ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latin typeface="Cambria Math"/>
                                  </a:rPr>
                                  <m:t>ϕ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1</m:t>
                                </m:r>
                              </m:sub>
                            </m:sSub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/>
                                  </a:rPr>
                                  <m:t>cos</m:t>
                                </m:r>
                              </m:fName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latin typeface="Cambria Math"/>
                                      </a:rPr>
                                      <m:t>ϕ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b>
                                </m:sSub>
                                <m:func>
                                  <m:func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latin typeface="Cambria Math"/>
                                      </a:rPr>
                                      <m:t>cos</m:t>
                                    </m:r>
                                  </m:fName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latin typeface="Cambria Math"/>
                                          </a:rPr>
                                          <m:t>λ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latin typeface="Cambria Math"/>
                                          </a:rPr>
                                          <m:t>λ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))</m:t>
                                    </m:r>
                                  </m:e>
                                </m:func>
                              </m:e>
                            </m:func>
                          </m:e>
                        </m:func>
                      </m:e>
                    </m:fun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4" name="TextBox 1"/>
            <xdr:cNvSpPr txBox="1"/>
          </xdr:nvSpPr>
          <xdr:spPr>
            <a:xfrm>
              <a:off x="6191250" y="14906625"/>
              <a:ext cx="410527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𝑑=acos⁡〖(𝑠𝑒𝑛 </a:t>
              </a:r>
              <a:r>
                <a:rPr lang="el-GR" sz="1100" b="0" i="0">
                  <a:latin typeface="Cambria Math"/>
                </a:rPr>
                <a:t>ϕ</a:t>
              </a:r>
              <a:r>
                <a:rPr lang="en-US" sz="1100" b="0" i="0">
                  <a:latin typeface="Cambria Math"/>
                </a:rPr>
                <a:t>_1 𝑠𝑒𝑛 </a:t>
              </a:r>
              <a:r>
                <a:rPr lang="el-GR" sz="1100" b="0" i="0">
                  <a:latin typeface="Cambria Math"/>
                </a:rPr>
                <a:t>ϕ</a:t>
              </a:r>
              <a:r>
                <a:rPr lang="en-US" sz="1100" b="0" i="0">
                  <a:latin typeface="Cambria Math"/>
                </a:rPr>
                <a:t>_2+cos⁡〖</a:t>
              </a:r>
              <a:r>
                <a:rPr lang="el-GR" sz="1100" b="0" i="0">
                  <a:latin typeface="Cambria Math"/>
                </a:rPr>
                <a:t>ϕ</a:t>
              </a:r>
              <a:r>
                <a:rPr lang="en-US" sz="1100" b="0" i="0">
                  <a:latin typeface="Cambria Math"/>
                </a:rPr>
                <a:t>_1  cos⁡〖</a:t>
              </a:r>
              <a:r>
                <a:rPr lang="el-GR" sz="1100" b="0" i="0">
                  <a:latin typeface="Cambria Math"/>
                </a:rPr>
                <a:t>ϕ</a:t>
              </a:r>
              <a:r>
                <a:rPr lang="en-US" sz="1100" b="0" i="0">
                  <a:latin typeface="Cambria Math"/>
                </a:rPr>
                <a:t>_2  cos⁡〖(</a:t>
              </a:r>
              <a:r>
                <a:rPr lang="el-GR" sz="1100" b="0" i="0">
                  <a:latin typeface="Cambria Math"/>
                </a:rPr>
                <a:t>λ</a:t>
              </a:r>
              <a:r>
                <a:rPr lang="en-US" sz="1100" b="0" i="0">
                  <a:latin typeface="Cambria Math"/>
                </a:rPr>
                <a:t>_2−</a:t>
              </a:r>
              <a:r>
                <a:rPr lang="el-GR" sz="1100" b="0" i="0">
                  <a:latin typeface="Cambria Math"/>
                </a:rPr>
                <a:t>λ</a:t>
              </a:r>
              <a:r>
                <a:rPr lang="en-US" sz="1100" b="0" i="0">
                  <a:latin typeface="Cambria Math"/>
                </a:rPr>
                <a:t>_1))〗 〗 〗 〗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80</xdr:row>
      <xdr:rowOff>0</xdr:rowOff>
    </xdr:from>
    <xdr:ext cx="489585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2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 txBox="1"/>
          </xdr:nvSpPr>
          <xdr:spPr>
            <a:xfrm>
              <a:off x="6191250" y="15287625"/>
              <a:ext cx="489585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/>
                      </a:rPr>
                      <m:t>θ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r>
                      <a:rPr lang="en-US" sz="1100" b="0" i="1">
                        <a:latin typeface="Cambria Math"/>
                      </a:rPr>
                      <m:t>𝑎𝑡𝑎𝑛</m:t>
                    </m:r>
                    <m:r>
                      <a:rPr lang="en-US" sz="1100" b="0" i="1">
                        <a:latin typeface="Cambria Math"/>
                      </a:rPr>
                      <m:t>2 </m:t>
                    </m:r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/>
                      <m:e>
                        <m:r>
                          <a:rPr lang="pt-PT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( </m:t>
                        </m:r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ϕ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𝑠𝑒𝑛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ϕ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𝑠𝑒𝑛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ϕ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func>
                              <m:func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ϕ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func>
                                  <m:func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cos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l-G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λ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l-G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λ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  <m:r>
                                      <a:rPr lang="pt-P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;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𝑠𝑒𝑛</m:t>
                                    </m:r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l-G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λ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l-G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λ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  <m:func>
                                      <m:funcPr>
                                        <m:ctrlPr>
                                          <a:rPr lang="pt-P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m:rPr>
                                            <m:sty m:val="p"/>
                                          </m:rPr>
                                          <a:rPr lang="pt-P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cos</m:t>
                                        </m:r>
                                      </m:fName>
                                      <m:e>
                                        <m:sSub>
                                          <m:sSubPr>
                                            <m:ctrlPr>
                                              <a:rPr lang="pt-P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l-G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Φ</m:t>
                                            </m:r>
                                          </m:e>
                                          <m:sub>
                                            <m:r>
                                              <a:rPr lang="pt-P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</m:e>
                                    </m:func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</m:func>
                              </m:e>
                            </m:func>
                          </m:e>
                        </m:func>
                      </m:e>
                    </m:fun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5" name="TextBox 2"/>
            <xdr:cNvSpPr txBox="1"/>
          </xdr:nvSpPr>
          <xdr:spPr>
            <a:xfrm>
              <a:off x="6191250" y="15287625"/>
              <a:ext cx="489585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l-GR" sz="1100" i="0">
                  <a:latin typeface="Cambria Math"/>
                </a:rPr>
                <a:t>θ</a:t>
              </a:r>
              <a:r>
                <a:rPr lang="en-US" sz="1100" b="0" i="0">
                  <a:latin typeface="Cambria Math"/>
                </a:rPr>
                <a:t>=𝑎𝑡𝑎𝑛2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⁡〖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cos⁡〖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_1 𝑠𝑒𝑛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_2−𝑠𝑒𝑛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_1  cos⁡〖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_2  cos⁡〖(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_2−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_1 )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𝑠𝑒𝑛(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_2−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_1 )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 cos⁡〖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Φ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_2 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)〗 〗 〗 〗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15</xdr:col>
      <xdr:colOff>561976</xdr:colOff>
      <xdr:row>36</xdr:row>
      <xdr:rowOff>52387</xdr:rowOff>
    </xdr:from>
    <xdr:to>
      <xdr:col>23</xdr:col>
      <xdr:colOff>28575</xdr:colOff>
      <xdr:row>50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581025</xdr:colOff>
      <xdr:row>51</xdr:row>
      <xdr:rowOff>185737</xdr:rowOff>
    </xdr:from>
    <xdr:to>
      <xdr:col>23</xdr:col>
      <xdr:colOff>219075</xdr:colOff>
      <xdr:row>66</xdr:row>
      <xdr:rowOff>71437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123825</xdr:colOff>
      <xdr:row>36</xdr:row>
      <xdr:rowOff>90487</xdr:rowOff>
    </xdr:from>
    <xdr:to>
      <xdr:col>31</xdr:col>
      <xdr:colOff>180975</xdr:colOff>
      <xdr:row>50</xdr:row>
      <xdr:rowOff>166687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171449</xdr:colOff>
      <xdr:row>52</xdr:row>
      <xdr:rowOff>109537</xdr:rowOff>
    </xdr:from>
    <xdr:to>
      <xdr:col>31</xdr:col>
      <xdr:colOff>190499</xdr:colOff>
      <xdr:row>66</xdr:row>
      <xdr:rowOff>185737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opLeftCell="A7" workbookViewId="0">
      <selection activeCell="C4" sqref="C4"/>
    </sheetView>
  </sheetViews>
  <sheetFormatPr defaultRowHeight="14.4" x14ac:dyDescent="0.3"/>
  <cols>
    <col min="1" max="1" width="11.33203125" bestFit="1" customWidth="1"/>
    <col min="4" max="4" width="11.6640625" bestFit="1" customWidth="1"/>
  </cols>
  <sheetData>
    <row r="1" spans="1:8" x14ac:dyDescent="0.3">
      <c r="A1" s="3" t="s">
        <v>48</v>
      </c>
      <c r="B1" s="3"/>
    </row>
    <row r="2" spans="1:8" x14ac:dyDescent="0.3">
      <c r="A2" s="15" t="s">
        <v>49</v>
      </c>
      <c r="E2" t="s">
        <v>85</v>
      </c>
    </row>
    <row r="3" spans="1:8" x14ac:dyDescent="0.3">
      <c r="A3" t="s">
        <v>50</v>
      </c>
      <c r="C3" s="38">
        <v>-60</v>
      </c>
      <c r="D3" t="s">
        <v>51</v>
      </c>
      <c r="E3" s="59" t="s">
        <v>185</v>
      </c>
    </row>
    <row r="4" spans="1:8" ht="15.6" x14ac:dyDescent="0.35">
      <c r="A4" t="s">
        <v>68</v>
      </c>
      <c r="C4" s="38">
        <v>1</v>
      </c>
      <c r="D4" t="s">
        <v>52</v>
      </c>
      <c r="H4" s="23" t="s">
        <v>67</v>
      </c>
    </row>
    <row r="5" spans="1:8" x14ac:dyDescent="0.3">
      <c r="A5" s="16" t="s">
        <v>53</v>
      </c>
    </row>
    <row r="6" spans="1:8" ht="16.2" x14ac:dyDescent="0.3">
      <c r="A6" s="12" t="s">
        <v>59</v>
      </c>
      <c r="B6" s="12"/>
      <c r="C6" s="12"/>
      <c r="D6" s="21">
        <f>2*PI()/86202</f>
        <v>7.2889089663576097E-5</v>
      </c>
      <c r="E6" t="s">
        <v>186</v>
      </c>
    </row>
    <row r="7" spans="1:8" ht="16.2" x14ac:dyDescent="0.3">
      <c r="A7" t="s">
        <v>54</v>
      </c>
      <c r="D7" s="5">
        <f>2*D6*SIN(RADIANS(C3))</f>
        <v>-1.2624760661475727E-4</v>
      </c>
      <c r="E7" t="s">
        <v>187</v>
      </c>
    </row>
    <row r="8" spans="1:8" ht="15.6" x14ac:dyDescent="0.35">
      <c r="A8" t="s">
        <v>55</v>
      </c>
      <c r="C8" s="22">
        <f>2*PI()/ABS(D7)</f>
        <v>49768.747904684118</v>
      </c>
      <c r="D8" t="s">
        <v>60</v>
      </c>
      <c r="E8" t="s">
        <v>61</v>
      </c>
      <c r="F8" s="10">
        <f>C8/3600</f>
        <v>13.824652195745589</v>
      </c>
    </row>
    <row r="9" spans="1:8" ht="15.6" x14ac:dyDescent="0.35">
      <c r="A9" t="s">
        <v>56</v>
      </c>
      <c r="E9" s="22">
        <f>2*C4/ABS(D7)</f>
        <v>15841.884481049774</v>
      </c>
      <c r="F9" t="s">
        <v>62</v>
      </c>
    </row>
    <row r="10" spans="1:8" ht="15.6" x14ac:dyDescent="0.35">
      <c r="A10" t="s">
        <v>63</v>
      </c>
      <c r="D10">
        <f>C8/12</f>
        <v>4147.3956587236762</v>
      </c>
      <c r="E10" t="s">
        <v>60</v>
      </c>
    </row>
    <row r="11" spans="1:8" x14ac:dyDescent="0.3">
      <c r="A11" s="24" t="s">
        <v>66</v>
      </c>
      <c r="B11" s="24"/>
      <c r="C11" s="24"/>
      <c r="D11" s="24"/>
    </row>
    <row r="12" spans="1:8" ht="28.8" x14ac:dyDescent="0.3">
      <c r="A12" s="20" t="s">
        <v>64</v>
      </c>
      <c r="B12" s="20" t="s">
        <v>65</v>
      </c>
      <c r="C12" s="17" t="s">
        <v>58</v>
      </c>
      <c r="D12" s="17" t="s">
        <v>57</v>
      </c>
      <c r="E12" s="3" t="s">
        <v>86</v>
      </c>
      <c r="F12" s="3" t="s">
        <v>87</v>
      </c>
    </row>
    <row r="13" spans="1:8" x14ac:dyDescent="0.3">
      <c r="A13" s="19">
        <v>0</v>
      </c>
      <c r="B13" s="13">
        <f>0*D10/3600</f>
        <v>0</v>
      </c>
      <c r="C13" s="11">
        <f t="shared" ref="C13:C25" si="0">C$4*SIN(D$7*B13*3600)</f>
        <v>0</v>
      </c>
      <c r="D13" s="11">
        <f t="shared" ref="D13:D25" si="1">C$4*COS(D$7*B13*3600)</f>
        <v>1</v>
      </c>
      <c r="E13">
        <f>0</f>
        <v>0</v>
      </c>
      <c r="F13">
        <f>0</f>
        <v>0</v>
      </c>
    </row>
    <row r="14" spans="1:8" x14ac:dyDescent="0.3">
      <c r="A14" s="19">
        <v>8.3333333333333329E-2</v>
      </c>
      <c r="B14" s="13">
        <f>1*D10/3600</f>
        <v>1.1520543496454656</v>
      </c>
      <c r="C14" s="11">
        <f t="shared" si="0"/>
        <v>-0.49999999999999983</v>
      </c>
      <c r="D14" s="11">
        <f t="shared" si="1"/>
        <v>0.86602540378443871</v>
      </c>
      <c r="E14">
        <f>E13+C13*$D$10</f>
        <v>0</v>
      </c>
      <c r="F14">
        <f>F13+D13*$D$10</f>
        <v>4147.3956587236762</v>
      </c>
    </row>
    <row r="15" spans="1:8" x14ac:dyDescent="0.3">
      <c r="A15" s="19">
        <v>0.16666666666666666</v>
      </c>
      <c r="B15" s="13">
        <f>2*D10/3600</f>
        <v>2.3041086992909312</v>
      </c>
      <c r="C15" s="11">
        <f t="shared" si="0"/>
        <v>-0.86602540378443849</v>
      </c>
      <c r="D15" s="11">
        <f t="shared" si="1"/>
        <v>0.50000000000000033</v>
      </c>
      <c r="E15">
        <f t="shared" ref="E15:E25" si="2">E14+C14*$D$10</f>
        <v>-2073.6978293618372</v>
      </c>
      <c r="F15">
        <f t="shared" ref="F15:F25" si="3">F14+D14*$D$10</f>
        <v>7739.1456587236762</v>
      </c>
    </row>
    <row r="16" spans="1:8" x14ac:dyDescent="0.3">
      <c r="A16" s="19">
        <v>0.25</v>
      </c>
      <c r="B16" s="13">
        <f>3*D10/3600</f>
        <v>3.4561630489363973</v>
      </c>
      <c r="C16" s="11">
        <f t="shared" si="0"/>
        <v>-1</v>
      </c>
      <c r="D16" s="11">
        <f t="shared" si="1"/>
        <v>2.8330202767046231E-16</v>
      </c>
      <c r="E16">
        <f t="shared" si="2"/>
        <v>-5665.4478293618358</v>
      </c>
      <c r="F16">
        <f t="shared" si="3"/>
        <v>9812.8434880855166</v>
      </c>
    </row>
    <row r="17" spans="1:6" x14ac:dyDescent="0.3">
      <c r="A17" s="19">
        <v>0.33333333333333331</v>
      </c>
      <c r="B17" s="13">
        <f>4*D10/3600</f>
        <v>4.6082173985818624</v>
      </c>
      <c r="C17" s="11">
        <f t="shared" si="0"/>
        <v>-0.86602540378443893</v>
      </c>
      <c r="D17" s="11">
        <f t="shared" si="1"/>
        <v>-0.49999999999999939</v>
      </c>
      <c r="E17">
        <f t="shared" si="2"/>
        <v>-9812.8434880855129</v>
      </c>
      <c r="F17">
        <f t="shared" si="3"/>
        <v>9812.8434880855184</v>
      </c>
    </row>
    <row r="18" spans="1:6" x14ac:dyDescent="0.3">
      <c r="A18" s="19">
        <v>0.41666666666666669</v>
      </c>
      <c r="B18" s="13">
        <f>5*D10/3600</f>
        <v>5.7602717482273276</v>
      </c>
      <c r="C18" s="11">
        <f t="shared" si="0"/>
        <v>-0.50000000000000078</v>
      </c>
      <c r="D18" s="11">
        <f t="shared" si="1"/>
        <v>-0.86602540378443826</v>
      </c>
      <c r="E18">
        <f t="shared" si="2"/>
        <v>-13404.593488085513</v>
      </c>
      <c r="F18">
        <f t="shared" si="3"/>
        <v>7739.1456587236826</v>
      </c>
    </row>
    <row r="19" spans="1:6" x14ac:dyDescent="0.3">
      <c r="A19" s="19">
        <v>0.5</v>
      </c>
      <c r="B19" s="13">
        <f>6*D10/3600</f>
        <v>6.9123260978727945</v>
      </c>
      <c r="C19" s="11">
        <f t="shared" si="0"/>
        <v>-5.6660405534092462E-16</v>
      </c>
      <c r="D19" s="11">
        <f t="shared" si="1"/>
        <v>-1</v>
      </c>
      <c r="E19">
        <f t="shared" si="2"/>
        <v>-15478.291317447354</v>
      </c>
      <c r="F19">
        <f t="shared" si="3"/>
        <v>4147.3956587236844</v>
      </c>
    </row>
    <row r="20" spans="1:6" x14ac:dyDescent="0.3">
      <c r="A20" s="19">
        <v>0.58333333333333337</v>
      </c>
      <c r="B20" s="13">
        <f>7*D10/3600</f>
        <v>8.0643804475182588</v>
      </c>
      <c r="C20" s="11">
        <f t="shared" si="0"/>
        <v>0.49999999999999939</v>
      </c>
      <c r="D20" s="11">
        <f t="shared" si="1"/>
        <v>-0.86602540378443904</v>
      </c>
      <c r="E20">
        <f t="shared" si="2"/>
        <v>-15478.291317447356</v>
      </c>
      <c r="F20">
        <f t="shared" si="3"/>
        <v>8.1854523159563541E-12</v>
      </c>
    </row>
    <row r="21" spans="1:6" x14ac:dyDescent="0.3">
      <c r="A21" s="19">
        <v>0.66666666666666663</v>
      </c>
      <c r="B21" s="13">
        <f>8*D10/3600</f>
        <v>9.2164347971637248</v>
      </c>
      <c r="C21" s="11">
        <f t="shared" si="0"/>
        <v>0.86602540378443793</v>
      </c>
      <c r="D21" s="11">
        <f t="shared" si="1"/>
        <v>-0.50000000000000122</v>
      </c>
      <c r="E21">
        <f t="shared" si="2"/>
        <v>-13404.59348808552</v>
      </c>
      <c r="F21">
        <f t="shared" si="3"/>
        <v>-3591.7499999999932</v>
      </c>
    </row>
    <row r="22" spans="1:6" x14ac:dyDescent="0.3">
      <c r="A22" s="19">
        <v>0.75</v>
      </c>
      <c r="B22" s="13">
        <f>9*D10/3600</f>
        <v>10.368489146809191</v>
      </c>
      <c r="C22" s="11">
        <f t="shared" si="0"/>
        <v>1</v>
      </c>
      <c r="D22" s="11">
        <f t="shared" si="1"/>
        <v>-1.83772268236293E-16</v>
      </c>
      <c r="E22">
        <f t="shared" si="2"/>
        <v>-9812.8434880855239</v>
      </c>
      <c r="F22">
        <f t="shared" si="3"/>
        <v>-5665.4478293618358</v>
      </c>
    </row>
    <row r="23" spans="1:6" x14ac:dyDescent="0.3">
      <c r="A23" s="19">
        <v>0.83333333333333337</v>
      </c>
      <c r="B23" s="13">
        <f>10*D10/3600</f>
        <v>11.520543496454655</v>
      </c>
      <c r="C23" s="11">
        <f t="shared" si="0"/>
        <v>0.86602540378443948</v>
      </c>
      <c r="D23" s="11">
        <f t="shared" si="1"/>
        <v>0.49999999999999856</v>
      </c>
      <c r="E23">
        <f t="shared" si="2"/>
        <v>-5665.4478293618477</v>
      </c>
      <c r="F23">
        <f t="shared" si="3"/>
        <v>-5665.4478293618367</v>
      </c>
    </row>
    <row r="24" spans="1:6" x14ac:dyDescent="0.3">
      <c r="A24" s="19">
        <v>0.91666666666666663</v>
      </c>
      <c r="B24" s="13">
        <f>11*D10/3600</f>
        <v>12.672597846100121</v>
      </c>
      <c r="C24" s="11">
        <f t="shared" si="0"/>
        <v>0.50000000000000122</v>
      </c>
      <c r="D24" s="11">
        <f t="shared" si="1"/>
        <v>0.86602540378443793</v>
      </c>
      <c r="E24">
        <f t="shared" si="2"/>
        <v>-2073.6978293618445</v>
      </c>
      <c r="F24">
        <f t="shared" si="3"/>
        <v>-3591.7500000000045</v>
      </c>
    </row>
    <row r="25" spans="1:6" x14ac:dyDescent="0.3">
      <c r="A25" s="19">
        <v>1</v>
      </c>
      <c r="B25" s="13">
        <f>12*D10/3600</f>
        <v>13.824652195745589</v>
      </c>
      <c r="C25" s="11">
        <f t="shared" si="0"/>
        <v>1.1332081106818492E-15</v>
      </c>
      <c r="D25" s="11">
        <f t="shared" si="1"/>
        <v>1</v>
      </c>
      <c r="E25">
        <f t="shared" si="2"/>
        <v>0</v>
      </c>
      <c r="F25">
        <f t="shared" si="3"/>
        <v>-7.73070496506989E-12</v>
      </c>
    </row>
    <row r="28" spans="1:6" ht="16.8" x14ac:dyDescent="0.35">
      <c r="A28" s="3" t="s">
        <v>88</v>
      </c>
      <c r="B28" s="3" t="s">
        <v>89</v>
      </c>
      <c r="C28" s="3" t="s">
        <v>90</v>
      </c>
    </row>
    <row r="29" spans="1:6" x14ac:dyDescent="0.3">
      <c r="A29">
        <v>-90</v>
      </c>
      <c r="B29">
        <f>2*$D$6*SIN(RADIANS(A29))</f>
        <v>-1.4577817932715219E-4</v>
      </c>
      <c r="C29">
        <f>(2*PI()/ABS(B29))/3600</f>
        <v>11.9725</v>
      </c>
    </row>
    <row r="30" spans="1:6" x14ac:dyDescent="0.3">
      <c r="A30">
        <v>-80</v>
      </c>
      <c r="B30">
        <f t="shared" ref="B30:B47" si="4">2*$D$6*SIN(RADIANS(A30))</f>
        <v>-1.4356348122138347E-4</v>
      </c>
      <c r="C30">
        <f t="shared" ref="C30:C47" si="5">(2*PI()/ABS(B30))/3600</f>
        <v>12.15719511080208</v>
      </c>
    </row>
    <row r="31" spans="1:6" x14ac:dyDescent="0.3">
      <c r="A31">
        <v>-70</v>
      </c>
      <c r="B31">
        <f t="shared" si="4"/>
        <v>-1.3698667938532978E-4</v>
      </c>
      <c r="C31">
        <f t="shared" si="5"/>
        <v>12.740868380967857</v>
      </c>
    </row>
    <row r="32" spans="1:6" x14ac:dyDescent="0.3">
      <c r="A32">
        <v>-60</v>
      </c>
      <c r="B32">
        <f t="shared" si="4"/>
        <v>-1.2624760661475727E-4</v>
      </c>
      <c r="C32">
        <f t="shared" si="5"/>
        <v>13.824652195745589</v>
      </c>
    </row>
    <row r="33" spans="1:3" x14ac:dyDescent="0.3">
      <c r="A33">
        <v>-50</v>
      </c>
      <c r="B33">
        <f t="shared" si="4"/>
        <v>-1.1167256420156681E-4</v>
      </c>
      <c r="C33">
        <f t="shared" si="5"/>
        <v>15.628988771530706</v>
      </c>
    </row>
    <row r="34" spans="1:3" x14ac:dyDescent="0.3">
      <c r="A34">
        <v>-40</v>
      </c>
      <c r="B34">
        <f t="shared" si="4"/>
        <v>-9.3704407434155827E-5</v>
      </c>
      <c r="C34">
        <f t="shared" si="5"/>
        <v>18.625903517086286</v>
      </c>
    </row>
    <row r="35" spans="1:3" x14ac:dyDescent="0.3">
      <c r="A35">
        <v>-30</v>
      </c>
      <c r="B35">
        <f t="shared" si="4"/>
        <v>-7.2889089663576083E-5</v>
      </c>
      <c r="C35">
        <f t="shared" si="5"/>
        <v>23.945000000000004</v>
      </c>
    </row>
    <row r="36" spans="1:3" x14ac:dyDescent="0.3">
      <c r="A36">
        <v>-20</v>
      </c>
      <c r="B36">
        <f t="shared" si="4"/>
        <v>-4.9859073787227628E-5</v>
      </c>
      <c r="C36">
        <f t="shared" si="5"/>
        <v>35.005248180952563</v>
      </c>
    </row>
    <row r="37" spans="1:3" x14ac:dyDescent="0.3">
      <c r="A37">
        <v>-10</v>
      </c>
      <c r="B37">
        <f t="shared" si="4"/>
        <v>-2.5314115183762954E-5</v>
      </c>
      <c r="C37">
        <f t="shared" si="5"/>
        <v>68.946879609437161</v>
      </c>
    </row>
    <row r="38" spans="1:3" x14ac:dyDescent="0.3">
      <c r="A38">
        <v>0</v>
      </c>
      <c r="B38">
        <f t="shared" si="4"/>
        <v>0</v>
      </c>
      <c r="C38" t="str">
        <f>IF(A38=0,"infinito",(2*PI()/ABS(B38))/3600)</f>
        <v>infinito</v>
      </c>
    </row>
    <row r="39" spans="1:3" x14ac:dyDescent="0.3">
      <c r="A39">
        <v>10</v>
      </c>
      <c r="B39">
        <f t="shared" si="4"/>
        <v>2.5314115183762954E-5</v>
      </c>
      <c r="C39">
        <f t="shared" si="5"/>
        <v>68.946879609437161</v>
      </c>
    </row>
    <row r="40" spans="1:3" x14ac:dyDescent="0.3">
      <c r="A40">
        <v>20</v>
      </c>
      <c r="B40">
        <f t="shared" si="4"/>
        <v>4.9859073787227628E-5</v>
      </c>
      <c r="C40">
        <f t="shared" si="5"/>
        <v>35.005248180952563</v>
      </c>
    </row>
    <row r="41" spans="1:3" x14ac:dyDescent="0.3">
      <c r="A41">
        <v>30</v>
      </c>
      <c r="B41">
        <f t="shared" si="4"/>
        <v>7.2889089663576083E-5</v>
      </c>
      <c r="C41">
        <f t="shared" si="5"/>
        <v>23.945000000000004</v>
      </c>
    </row>
    <row r="42" spans="1:3" x14ac:dyDescent="0.3">
      <c r="A42">
        <v>40</v>
      </c>
      <c r="B42">
        <f t="shared" si="4"/>
        <v>9.3704407434155827E-5</v>
      </c>
      <c r="C42">
        <f t="shared" si="5"/>
        <v>18.625903517086286</v>
      </c>
    </row>
    <row r="43" spans="1:3" x14ac:dyDescent="0.3">
      <c r="A43">
        <v>50</v>
      </c>
      <c r="B43">
        <f t="shared" si="4"/>
        <v>1.1167256420156681E-4</v>
      </c>
      <c r="C43">
        <f t="shared" si="5"/>
        <v>15.628988771530706</v>
      </c>
    </row>
    <row r="44" spans="1:3" x14ac:dyDescent="0.3">
      <c r="A44">
        <v>60</v>
      </c>
      <c r="B44">
        <f t="shared" si="4"/>
        <v>1.2624760661475727E-4</v>
      </c>
      <c r="C44">
        <f t="shared" si="5"/>
        <v>13.824652195745589</v>
      </c>
    </row>
    <row r="45" spans="1:3" x14ac:dyDescent="0.3">
      <c r="A45">
        <v>70</v>
      </c>
      <c r="B45">
        <f t="shared" si="4"/>
        <v>1.3698667938532978E-4</v>
      </c>
      <c r="C45">
        <f t="shared" si="5"/>
        <v>12.740868380967857</v>
      </c>
    </row>
    <row r="46" spans="1:3" x14ac:dyDescent="0.3">
      <c r="A46">
        <v>80</v>
      </c>
      <c r="B46">
        <f t="shared" si="4"/>
        <v>1.4356348122138347E-4</v>
      </c>
      <c r="C46">
        <f t="shared" si="5"/>
        <v>12.15719511080208</v>
      </c>
    </row>
    <row r="47" spans="1:3" x14ac:dyDescent="0.3">
      <c r="A47">
        <v>90</v>
      </c>
      <c r="B47">
        <f t="shared" si="4"/>
        <v>1.4577817932715219E-4</v>
      </c>
      <c r="C47">
        <f t="shared" si="5"/>
        <v>11.9725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D5" sqref="D5"/>
    </sheetView>
  </sheetViews>
  <sheetFormatPr defaultRowHeight="14.4" x14ac:dyDescent="0.3"/>
  <cols>
    <col min="4" max="4" width="12" bestFit="1" customWidth="1"/>
  </cols>
  <sheetData>
    <row r="1" spans="1:7" x14ac:dyDescent="0.3">
      <c r="A1" s="3" t="s">
        <v>69</v>
      </c>
      <c r="B1" s="3"/>
      <c r="C1" s="3"/>
      <c r="E1" t="s">
        <v>85</v>
      </c>
    </row>
    <row r="3" spans="1:7" x14ac:dyDescent="0.3">
      <c r="A3" s="15" t="s">
        <v>0</v>
      </c>
      <c r="B3" s="15"/>
    </row>
    <row r="4" spans="1:7" ht="16.8" x14ac:dyDescent="0.35">
      <c r="A4" s="12" t="s">
        <v>70</v>
      </c>
      <c r="B4" s="12"/>
      <c r="C4" s="39">
        <v>1.29</v>
      </c>
      <c r="D4" t="s">
        <v>188</v>
      </c>
    </row>
    <row r="5" spans="1:7" x14ac:dyDescent="0.3">
      <c r="A5" t="s">
        <v>71</v>
      </c>
      <c r="D5" s="39">
        <v>3</v>
      </c>
      <c r="E5" t="s">
        <v>73</v>
      </c>
    </row>
    <row r="6" spans="1:7" x14ac:dyDescent="0.3">
      <c r="A6" s="12" t="s">
        <v>72</v>
      </c>
      <c r="B6" s="12"/>
      <c r="C6" s="39">
        <v>1000</v>
      </c>
      <c r="D6" t="s">
        <v>62</v>
      </c>
    </row>
    <row r="7" spans="1:7" x14ac:dyDescent="0.3">
      <c r="A7" s="12"/>
      <c r="B7" s="12"/>
      <c r="C7" s="26"/>
    </row>
    <row r="8" spans="1:7" x14ac:dyDescent="0.3">
      <c r="A8" s="16" t="s">
        <v>53</v>
      </c>
      <c r="G8" t="s">
        <v>77</v>
      </c>
    </row>
    <row r="9" spans="1:7" x14ac:dyDescent="0.3">
      <c r="A9" s="12" t="s">
        <v>74</v>
      </c>
      <c r="D9" s="27">
        <f>D5*100/1000</f>
        <v>0.3</v>
      </c>
      <c r="E9" t="s">
        <v>76</v>
      </c>
    </row>
    <row r="10" spans="1:7" ht="15.6" x14ac:dyDescent="0.35">
      <c r="A10" s="25" t="s">
        <v>195</v>
      </c>
      <c r="B10" s="25"/>
      <c r="C10" s="25"/>
      <c r="D10" s="28">
        <f>SQRT(C6/C4*D9)</f>
        <v>15.249857033260467</v>
      </c>
      <c r="E10" t="s">
        <v>52</v>
      </c>
    </row>
    <row r="11" spans="1:7" ht="15.6" x14ac:dyDescent="0.35">
      <c r="A11" s="25" t="s">
        <v>195</v>
      </c>
      <c r="B11" s="25"/>
      <c r="C11" s="25"/>
      <c r="D11" s="28">
        <f>D10*3600/1000</f>
        <v>54.899485319737678</v>
      </c>
      <c r="E11" t="s">
        <v>75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workbookViewId="0">
      <pane ySplit="8" topLeftCell="A16" activePane="bottomLeft" state="frozen"/>
      <selection pane="bottomLeft" activeCell="D4" sqref="D4"/>
    </sheetView>
  </sheetViews>
  <sheetFormatPr defaultRowHeight="14.4" x14ac:dyDescent="0.3"/>
  <cols>
    <col min="5" max="5" width="11.5546875" bestFit="1" customWidth="1"/>
    <col min="7" max="7" width="12" bestFit="1" customWidth="1"/>
    <col min="10" max="10" width="12" bestFit="1" customWidth="1"/>
    <col min="13" max="13" width="11.5546875" bestFit="1" customWidth="1"/>
  </cols>
  <sheetData>
    <row r="1" spans="1:19" x14ac:dyDescent="0.3">
      <c r="A1" s="3" t="s">
        <v>5</v>
      </c>
      <c r="F1" t="s">
        <v>25</v>
      </c>
      <c r="L1" t="s">
        <v>85</v>
      </c>
    </row>
    <row r="2" spans="1:19" ht="15.6" x14ac:dyDescent="0.35">
      <c r="A2" s="6" t="s">
        <v>20</v>
      </c>
      <c r="B2" s="8"/>
      <c r="C2" s="8"/>
      <c r="D2" s="8"/>
      <c r="E2" s="8"/>
    </row>
    <row r="4" spans="1:19" x14ac:dyDescent="0.3">
      <c r="A4" s="2" t="s">
        <v>16</v>
      </c>
      <c r="B4" s="2"/>
      <c r="C4" s="2"/>
      <c r="D4" s="38">
        <v>50000</v>
      </c>
      <c r="F4" s="2" t="s">
        <v>19</v>
      </c>
      <c r="G4" s="2"/>
      <c r="H4" s="38">
        <v>41.7</v>
      </c>
      <c r="I4" s="7" t="s">
        <v>17</v>
      </c>
      <c r="J4" s="5">
        <f>2*7.29*POWER(10,-5)*SIN(H4*2*PI()/360)</f>
        <v>9.6990585708605834E-5</v>
      </c>
    </row>
    <row r="6" spans="1:19" x14ac:dyDescent="0.3">
      <c r="A6" t="s">
        <v>21</v>
      </c>
      <c r="H6" t="s">
        <v>22</v>
      </c>
    </row>
    <row r="7" spans="1:19" ht="16.2" x14ac:dyDescent="0.3">
      <c r="A7" s="2" t="s">
        <v>6</v>
      </c>
      <c r="G7" t="s">
        <v>23</v>
      </c>
      <c r="I7" s="2" t="s">
        <v>12</v>
      </c>
      <c r="O7" t="s">
        <v>24</v>
      </c>
      <c r="R7" t="s">
        <v>18</v>
      </c>
    </row>
    <row r="8" spans="1:19" ht="16.8" x14ac:dyDescent="0.35">
      <c r="A8" s="2" t="s">
        <v>7</v>
      </c>
      <c r="B8" s="2" t="s">
        <v>8</v>
      </c>
      <c r="C8" s="2" t="s">
        <v>9</v>
      </c>
      <c r="D8" s="6" t="s">
        <v>10</v>
      </c>
      <c r="E8" s="6" t="s">
        <v>196</v>
      </c>
      <c r="F8" s="5"/>
      <c r="G8" s="5"/>
      <c r="H8" s="4" t="s">
        <v>11</v>
      </c>
      <c r="I8" s="2" t="s">
        <v>7</v>
      </c>
      <c r="J8" s="2" t="s">
        <v>8</v>
      </c>
      <c r="K8" s="2" t="s">
        <v>9</v>
      </c>
      <c r="L8" s="6" t="s">
        <v>10</v>
      </c>
      <c r="M8" s="6" t="s">
        <v>196</v>
      </c>
      <c r="N8" s="5"/>
      <c r="O8" s="5"/>
      <c r="P8" s="4" t="s">
        <v>14</v>
      </c>
      <c r="R8" s="4" t="s">
        <v>13</v>
      </c>
      <c r="S8" s="5" t="s">
        <v>15</v>
      </c>
    </row>
    <row r="9" spans="1:19" x14ac:dyDescent="0.3">
      <c r="A9">
        <v>0</v>
      </c>
      <c r="B9">
        <v>5.99</v>
      </c>
      <c r="C9">
        <v>33.71</v>
      </c>
      <c r="D9">
        <v>26.53</v>
      </c>
      <c r="E9">
        <v>149</v>
      </c>
      <c r="H9">
        <f>H11+G10</f>
        <v>6.6624999999999988</v>
      </c>
      <c r="I9">
        <v>0</v>
      </c>
      <c r="J9">
        <v>13.04</v>
      </c>
      <c r="K9">
        <v>35.619999999999997</v>
      </c>
      <c r="L9">
        <v>26.87</v>
      </c>
      <c r="M9">
        <v>117</v>
      </c>
      <c r="P9">
        <f>P11+O10</f>
        <v>7.86625</v>
      </c>
      <c r="R9">
        <f>P9-H9</f>
        <v>1.2037500000000012</v>
      </c>
      <c r="S9" s="1">
        <f>R9/(D$4*J$4)</f>
        <v>0.24821996716598738</v>
      </c>
    </row>
    <row r="10" spans="1:19" x14ac:dyDescent="0.3">
      <c r="F10">
        <f>(E9+E11)/2</f>
        <v>146.5</v>
      </c>
      <c r="G10">
        <f>(A11-A9)*POWER(10,4)*(F10*POWER(10,-8))</f>
        <v>0.36624999999999996</v>
      </c>
      <c r="N10">
        <f>(M9+M11)/2</f>
        <v>117.5</v>
      </c>
      <c r="O10">
        <f>(I11-I9)*POWER(10,4)*(N10*POWER(10,-8))</f>
        <v>0.29375000000000001</v>
      </c>
      <c r="S10" s="1"/>
    </row>
    <row r="11" spans="1:19" x14ac:dyDescent="0.3">
      <c r="A11">
        <v>25</v>
      </c>
      <c r="B11">
        <v>6</v>
      </c>
      <c r="C11">
        <v>33.78</v>
      </c>
      <c r="D11">
        <v>26.59</v>
      </c>
      <c r="E11">
        <v>144</v>
      </c>
      <c r="H11">
        <f>H13+G12</f>
        <v>6.2962499999999988</v>
      </c>
      <c r="I11">
        <v>25</v>
      </c>
      <c r="J11">
        <v>13.09</v>
      </c>
      <c r="K11">
        <v>35.630000000000003</v>
      </c>
      <c r="L11">
        <v>26.86</v>
      </c>
      <c r="M11">
        <v>118</v>
      </c>
      <c r="P11">
        <f>P13+O12</f>
        <v>7.5724999999999998</v>
      </c>
      <c r="R11">
        <f>P11-H11</f>
        <v>1.276250000000001</v>
      </c>
      <c r="S11" s="1">
        <f>R11/(D$4*J$4)</f>
        <v>0.2631698717305016</v>
      </c>
    </row>
    <row r="12" spans="1:19" x14ac:dyDescent="0.3">
      <c r="F12">
        <f t="shared" ref="F12" si="0">(E11+E13)/2</f>
        <v>135</v>
      </c>
      <c r="G12">
        <f t="shared" ref="G12" si="1">(A13-A11)*POWER(10,4)*(F12*POWER(10,-8))</f>
        <v>0.33750000000000002</v>
      </c>
      <c r="N12">
        <f t="shared" ref="N12" si="2">(M11+M13)/2</f>
        <v>118.5</v>
      </c>
      <c r="O12">
        <f t="shared" ref="O12" si="3">(I13-I11)*POWER(10,4)*(N12*POWER(10,-8))</f>
        <v>0.29625000000000001</v>
      </c>
      <c r="S12" s="1"/>
    </row>
    <row r="13" spans="1:19" x14ac:dyDescent="0.3">
      <c r="A13">
        <v>50</v>
      </c>
      <c r="B13">
        <v>10.3</v>
      </c>
      <c r="C13">
        <v>34.86</v>
      </c>
      <c r="D13">
        <v>26.79</v>
      </c>
      <c r="E13">
        <v>126</v>
      </c>
      <c r="H13">
        <f>H15+G14</f>
        <v>5.9587499999999984</v>
      </c>
      <c r="I13">
        <v>50</v>
      </c>
      <c r="J13">
        <v>13.07</v>
      </c>
      <c r="K13">
        <v>35.630000000000003</v>
      </c>
      <c r="L13">
        <v>26.87</v>
      </c>
      <c r="M13">
        <v>119</v>
      </c>
      <c r="P13">
        <f>P15+O14</f>
        <v>7.2762500000000001</v>
      </c>
      <c r="R13">
        <f>P13-H13</f>
        <v>1.3175000000000017</v>
      </c>
      <c r="S13" s="1">
        <f>R13/(D$4*J$4)</f>
        <v>0.27167585191375987</v>
      </c>
    </row>
    <row r="14" spans="1:19" x14ac:dyDescent="0.3">
      <c r="F14">
        <f t="shared" ref="F14" si="4">(E13+E15)/2</f>
        <v>125.5</v>
      </c>
      <c r="G14">
        <f t="shared" ref="G14" si="5">(A15-A13)*POWER(10,4)*(F14*POWER(10,-8))</f>
        <v>0.31375000000000003</v>
      </c>
      <c r="N14">
        <f t="shared" ref="N14" si="6">(M13+M15)/2</f>
        <v>118.5</v>
      </c>
      <c r="O14">
        <f t="shared" ref="O14" si="7">(I15-I13)*POWER(10,4)*(N14*POWER(10,-8))</f>
        <v>0.29625000000000001</v>
      </c>
      <c r="S14" s="1"/>
    </row>
    <row r="15" spans="1:19" x14ac:dyDescent="0.3">
      <c r="A15">
        <v>75</v>
      </c>
      <c r="B15">
        <v>10.3</v>
      </c>
      <c r="C15">
        <v>34.880000000000003</v>
      </c>
      <c r="D15">
        <v>26.81</v>
      </c>
      <c r="E15">
        <v>125</v>
      </c>
      <c r="H15">
        <f>H17+G16</f>
        <v>5.6449999999999987</v>
      </c>
      <c r="I15">
        <v>75</v>
      </c>
      <c r="J15">
        <v>13.05</v>
      </c>
      <c r="K15">
        <v>35.64</v>
      </c>
      <c r="L15">
        <v>26.88</v>
      </c>
      <c r="M15">
        <v>118</v>
      </c>
      <c r="P15">
        <f>P17+O16</f>
        <v>6.98</v>
      </c>
      <c r="R15">
        <f>P15-H15</f>
        <v>1.3350000000000017</v>
      </c>
      <c r="S15" s="1">
        <f>R15/(D$4*J$4)</f>
        <v>0.27528444956726333</v>
      </c>
    </row>
    <row r="16" spans="1:19" x14ac:dyDescent="0.3">
      <c r="F16">
        <f t="shared" ref="F16" si="8">(E15+E17)/2</f>
        <v>122</v>
      </c>
      <c r="G16">
        <f t="shared" ref="G16" si="9">(A17-A15)*POWER(10,4)*(F16*POWER(10,-8))</f>
        <v>0.30499999999999999</v>
      </c>
      <c r="N16">
        <f t="shared" ref="N16" si="10">(M15+M17)/2</f>
        <v>119</v>
      </c>
      <c r="O16">
        <f t="shared" ref="O16" si="11">(I17-I15)*POWER(10,4)*(N16*POWER(10,-8))</f>
        <v>0.29749999999999999</v>
      </c>
      <c r="S16" s="1"/>
    </row>
    <row r="17" spans="1:19" x14ac:dyDescent="0.3">
      <c r="A17">
        <v>100</v>
      </c>
      <c r="B17">
        <v>10.1</v>
      </c>
      <c r="C17">
        <v>34.92</v>
      </c>
      <c r="D17">
        <v>26.87</v>
      </c>
      <c r="E17">
        <v>119</v>
      </c>
      <c r="H17">
        <f>H19+G18</f>
        <v>5.339999999999999</v>
      </c>
      <c r="I17">
        <v>100</v>
      </c>
      <c r="J17">
        <v>13.05</v>
      </c>
      <c r="K17">
        <v>35.619999999999997</v>
      </c>
      <c r="L17">
        <v>26.86</v>
      </c>
      <c r="M17">
        <v>120</v>
      </c>
      <c r="P17">
        <f>P19+O18</f>
        <v>6.6825000000000001</v>
      </c>
      <c r="R17">
        <f>P17-H17</f>
        <v>1.3425000000000011</v>
      </c>
      <c r="S17" s="1">
        <f>R17/(D$4*J$4)</f>
        <v>0.27683099141876472</v>
      </c>
    </row>
    <row r="18" spans="1:19" x14ac:dyDescent="0.3">
      <c r="F18">
        <f t="shared" ref="F18" si="12">(E17+E19)/2</f>
        <v>111.5</v>
      </c>
      <c r="G18">
        <f t="shared" ref="G18" si="13">(A19-A17)*POWER(10,4)*(F18*POWER(10,-8))</f>
        <v>0.55750000000000011</v>
      </c>
      <c r="N18">
        <f t="shared" ref="N18" si="14">(M17+M19)/2</f>
        <v>120.5</v>
      </c>
      <c r="O18">
        <f t="shared" ref="O18" si="15">(I19-I17)*POWER(10,4)*(N18*POWER(10,-8))</f>
        <v>0.60250000000000004</v>
      </c>
      <c r="S18" s="1"/>
    </row>
    <row r="19" spans="1:19" x14ac:dyDescent="0.3">
      <c r="A19">
        <v>150</v>
      </c>
      <c r="B19">
        <v>10.25</v>
      </c>
      <c r="C19">
        <v>35.17</v>
      </c>
      <c r="D19">
        <v>27.04</v>
      </c>
      <c r="E19">
        <v>104</v>
      </c>
      <c r="H19">
        <f>H21+G20</f>
        <v>4.7824999999999989</v>
      </c>
      <c r="I19">
        <v>150</v>
      </c>
      <c r="J19">
        <v>13</v>
      </c>
      <c r="K19">
        <v>35.61</v>
      </c>
      <c r="L19">
        <v>26.87</v>
      </c>
      <c r="M19">
        <v>121</v>
      </c>
      <c r="P19">
        <f>P21+O20</f>
        <v>6.08</v>
      </c>
      <c r="R19">
        <f>P19-H19</f>
        <v>1.2975000000000012</v>
      </c>
      <c r="S19" s="1">
        <f>R19/(D$4*J$4)</f>
        <v>0.26755174030975587</v>
      </c>
    </row>
    <row r="20" spans="1:19" x14ac:dyDescent="0.3">
      <c r="F20">
        <f t="shared" ref="F20" si="16">(E19+E21)/2</f>
        <v>98.5</v>
      </c>
      <c r="G20">
        <f t="shared" ref="G20" si="17">(A21-A19)*POWER(10,4)*(F20*POWER(10,-8))</f>
        <v>0.49250000000000005</v>
      </c>
      <c r="N20">
        <f t="shared" ref="N20" si="18">(M19+M21)/2</f>
        <v>121</v>
      </c>
      <c r="O20">
        <f t="shared" ref="O20" si="19">(I21-I19)*POWER(10,4)*(N20*POWER(10,-8))</f>
        <v>0.60499999999999998</v>
      </c>
      <c r="S20" s="1"/>
    </row>
    <row r="21" spans="1:19" x14ac:dyDescent="0.3">
      <c r="A21">
        <v>200</v>
      </c>
      <c r="B21">
        <v>8.85</v>
      </c>
      <c r="C21">
        <v>35.03</v>
      </c>
      <c r="D21">
        <v>27.17</v>
      </c>
      <c r="E21">
        <v>93</v>
      </c>
      <c r="H21">
        <f>H23+G22</f>
        <v>4.2899999999999991</v>
      </c>
      <c r="I21">
        <v>200</v>
      </c>
      <c r="J21">
        <v>12.65</v>
      </c>
      <c r="K21">
        <v>35.54</v>
      </c>
      <c r="L21">
        <v>26.88</v>
      </c>
      <c r="M21">
        <v>121</v>
      </c>
      <c r="P21">
        <f>P23+O22</f>
        <v>5.4750000000000005</v>
      </c>
      <c r="R21">
        <f>P21-H21</f>
        <v>1.1850000000000014</v>
      </c>
      <c r="S21" s="1">
        <f>R21/(D$4*J$4)</f>
        <v>0.24435361253723373</v>
      </c>
    </row>
    <row r="22" spans="1:19" x14ac:dyDescent="0.3">
      <c r="F22">
        <f t="shared" ref="F22" si="20">(E21+E23)/2</f>
        <v>83</v>
      </c>
      <c r="G22">
        <f t="shared" ref="G22" si="21">(A23-A21)*POWER(10,4)*(F22*POWER(10,-8))</f>
        <v>0.83</v>
      </c>
      <c r="N22">
        <f t="shared" ref="N22" si="22">(M21+M23)/2</f>
        <v>116.5</v>
      </c>
      <c r="O22">
        <f t="shared" ref="O22" si="23">(I23-I21)*POWER(10,4)*(N22*POWER(10,-8))</f>
        <v>1.165</v>
      </c>
      <c r="S22" s="1"/>
    </row>
    <row r="23" spans="1:19" x14ac:dyDescent="0.3">
      <c r="A23">
        <v>300</v>
      </c>
      <c r="B23">
        <v>6.85</v>
      </c>
      <c r="C23">
        <v>34.93</v>
      </c>
      <c r="D23">
        <v>27.38</v>
      </c>
      <c r="E23">
        <v>73</v>
      </c>
      <c r="H23">
        <f>H25+G24</f>
        <v>3.4599999999999995</v>
      </c>
      <c r="I23">
        <v>300</v>
      </c>
      <c r="J23">
        <v>11.3</v>
      </c>
      <c r="K23">
        <v>35.36</v>
      </c>
      <c r="L23">
        <v>27</v>
      </c>
      <c r="M23">
        <v>112</v>
      </c>
      <c r="P23">
        <f>P25+O24</f>
        <v>4.3100000000000005</v>
      </c>
      <c r="R23">
        <f>P23-H23</f>
        <v>0.85000000000000098</v>
      </c>
      <c r="S23" s="1">
        <f>R23/(D$4*J$4)</f>
        <v>0.17527474317016764</v>
      </c>
    </row>
    <row r="24" spans="1:19" x14ac:dyDescent="0.3">
      <c r="F24">
        <f t="shared" ref="F24" si="24">(E23+E25)/2</f>
        <v>65</v>
      </c>
      <c r="G24">
        <f t="shared" ref="G24" si="25">(A25-A23)*POWER(10,4)*(F24*POWER(10,-8))</f>
        <v>0.65</v>
      </c>
      <c r="N24">
        <f t="shared" ref="N24" si="26">(M23+M25)/2</f>
        <v>98</v>
      </c>
      <c r="O24">
        <f t="shared" ref="O24" si="27">(I25-I23)*POWER(10,4)*(N24*POWER(10,-8))</f>
        <v>0.98</v>
      </c>
      <c r="S24" s="1"/>
    </row>
    <row r="25" spans="1:19" x14ac:dyDescent="0.3">
      <c r="A25">
        <v>400</v>
      </c>
      <c r="B25">
        <v>5.55</v>
      </c>
      <c r="C25">
        <v>34.93</v>
      </c>
      <c r="D25">
        <v>27.55</v>
      </c>
      <c r="E25">
        <v>57</v>
      </c>
      <c r="H25">
        <f>H27+G26</f>
        <v>2.8099999999999996</v>
      </c>
      <c r="I25">
        <v>400</v>
      </c>
      <c r="J25">
        <v>8.3000000000000007</v>
      </c>
      <c r="K25">
        <v>35.090000000000003</v>
      </c>
      <c r="L25">
        <v>27.3</v>
      </c>
      <c r="M25">
        <v>84</v>
      </c>
      <c r="P25">
        <f>P27+O26</f>
        <v>3.33</v>
      </c>
      <c r="R25">
        <f>P25-H25</f>
        <v>0.52000000000000046</v>
      </c>
      <c r="S25" s="1">
        <f>R25/(D$4*J$4)</f>
        <v>0.10722690170410254</v>
      </c>
    </row>
    <row r="26" spans="1:19" x14ac:dyDescent="0.3">
      <c r="F26">
        <f t="shared" ref="F26" si="28">(E25+E27)/2</f>
        <v>51.5</v>
      </c>
      <c r="G26">
        <f t="shared" ref="G26" si="29">(A27-A25)*POWER(10,4)*(F26*POWER(10,-8))</f>
        <v>1.03</v>
      </c>
      <c r="N26">
        <f t="shared" ref="N26" si="30">(M25+M27)/2</f>
        <v>70</v>
      </c>
      <c r="O26">
        <f t="shared" ref="O26" si="31">(I27-I25)*POWER(10,4)*(N26*POWER(10,-8))</f>
        <v>1.4</v>
      </c>
      <c r="S26" s="1"/>
    </row>
    <row r="27" spans="1:19" x14ac:dyDescent="0.3">
      <c r="A27">
        <v>600</v>
      </c>
      <c r="B27">
        <v>4.55</v>
      </c>
      <c r="C27">
        <v>34.950000000000003</v>
      </c>
      <c r="D27">
        <v>27.69</v>
      </c>
      <c r="E27">
        <v>46</v>
      </c>
      <c r="H27">
        <f>H29+G28</f>
        <v>1.7799999999999998</v>
      </c>
      <c r="I27">
        <v>600</v>
      </c>
      <c r="J27">
        <v>5.2</v>
      </c>
      <c r="K27">
        <v>34.93</v>
      </c>
      <c r="L27">
        <v>27.6</v>
      </c>
      <c r="M27">
        <v>56</v>
      </c>
      <c r="P27">
        <f>P29+O28</f>
        <v>1.93</v>
      </c>
      <c r="R27">
        <f>P27-H27</f>
        <v>0.15000000000000013</v>
      </c>
      <c r="S27" s="1">
        <f>R27/(D$4*J$4)</f>
        <v>3.0930837030029579E-2</v>
      </c>
    </row>
    <row r="28" spans="1:19" x14ac:dyDescent="0.3">
      <c r="F28">
        <f t="shared" ref="F28" si="32">(E27+E29)/2</f>
        <v>45.5</v>
      </c>
      <c r="G28">
        <f t="shared" ref="G28" si="33">(A29-A27)*POWER(10,4)*(F28*POWER(10,-8))</f>
        <v>0.90999999999999992</v>
      </c>
      <c r="N28">
        <f t="shared" ref="N28" si="34">(M27+M29)/2</f>
        <v>51</v>
      </c>
      <c r="O28">
        <f t="shared" ref="O28" si="35">(I29-I27)*POWER(10,4)*(N28*POWER(10,-8))</f>
        <v>1.02</v>
      </c>
      <c r="S28" s="1"/>
    </row>
    <row r="29" spans="1:19" x14ac:dyDescent="0.3">
      <c r="A29">
        <v>800</v>
      </c>
      <c r="B29">
        <v>4.25</v>
      </c>
      <c r="C29">
        <v>34.950000000000003</v>
      </c>
      <c r="D29">
        <v>27.72</v>
      </c>
      <c r="E29">
        <v>45</v>
      </c>
      <c r="H29">
        <f>H31+G30</f>
        <v>0.87</v>
      </c>
      <c r="I29">
        <v>800</v>
      </c>
      <c r="J29">
        <v>4.2</v>
      </c>
      <c r="K29">
        <v>34.92</v>
      </c>
      <c r="L29">
        <v>27.7</v>
      </c>
      <c r="M29">
        <v>46</v>
      </c>
      <c r="P29">
        <f>P31+O30</f>
        <v>0.90999999999999992</v>
      </c>
      <c r="R29">
        <f>P29-H29</f>
        <v>3.9999999999999925E-2</v>
      </c>
      <c r="S29" s="1">
        <f>R29/(D$4*J$4)</f>
        <v>8.2482232080078651E-3</v>
      </c>
    </row>
    <row r="30" spans="1:19" x14ac:dyDescent="0.3">
      <c r="F30">
        <f t="shared" ref="F30" si="36">(E29+E31)/2</f>
        <v>43.5</v>
      </c>
      <c r="G30">
        <f t="shared" ref="G30" si="37">(A31-A29)*POWER(10,4)*(F30*POWER(10,-8))</f>
        <v>0.87</v>
      </c>
      <c r="N30">
        <f t="shared" ref="N30" si="38">(M29+M31)/2</f>
        <v>45.5</v>
      </c>
      <c r="O30">
        <f t="shared" ref="O30" si="39">(I31-I29)*POWER(10,4)*(N30*POWER(10,-8))</f>
        <v>0.90999999999999992</v>
      </c>
      <c r="S30" s="1"/>
    </row>
    <row r="31" spans="1:19" x14ac:dyDescent="0.3">
      <c r="A31">
        <v>1000</v>
      </c>
      <c r="B31">
        <v>3.9</v>
      </c>
      <c r="C31">
        <v>34.950000000000003</v>
      </c>
      <c r="D31">
        <v>27.76</v>
      </c>
      <c r="E31">
        <v>42</v>
      </c>
      <c r="H31">
        <v>0</v>
      </c>
      <c r="I31">
        <v>1000</v>
      </c>
      <c r="J31">
        <v>4.2</v>
      </c>
      <c r="K31">
        <v>34.97</v>
      </c>
      <c r="L31">
        <v>27.74</v>
      </c>
      <c r="M31">
        <v>45</v>
      </c>
      <c r="P31">
        <v>0</v>
      </c>
      <c r="R31">
        <f>P31-H31</f>
        <v>0</v>
      </c>
      <c r="S31" s="1">
        <f>R31/(D$4*J$4)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8"/>
  <sheetViews>
    <sheetView tabSelected="1" workbookViewId="0">
      <pane ySplit="8" topLeftCell="A19" activePane="bottomLeft" state="frozen"/>
      <selection pane="bottomLeft" activeCell="D7" sqref="D7"/>
    </sheetView>
  </sheetViews>
  <sheetFormatPr defaultRowHeight="14.4" x14ac:dyDescent="0.3"/>
  <cols>
    <col min="1" max="1" width="13.6640625" bestFit="1" customWidth="1"/>
    <col min="4" max="4" width="12" bestFit="1" customWidth="1"/>
    <col min="5" max="5" width="8.44140625" customWidth="1"/>
  </cols>
  <sheetData>
    <row r="1" spans="1:14" x14ac:dyDescent="0.3">
      <c r="A1" s="3" t="s">
        <v>26</v>
      </c>
      <c r="F1" t="s">
        <v>85</v>
      </c>
    </row>
    <row r="3" spans="1:14" x14ac:dyDescent="0.3">
      <c r="A3" s="15" t="s">
        <v>0</v>
      </c>
      <c r="B3" s="15"/>
      <c r="H3" s="3" t="s">
        <v>45</v>
      </c>
    </row>
    <row r="4" spans="1:14" ht="15" x14ac:dyDescent="0.35">
      <c r="A4" s="12" t="s">
        <v>40</v>
      </c>
      <c r="B4" s="12"/>
      <c r="C4" s="12"/>
      <c r="D4" s="38">
        <v>2</v>
      </c>
      <c r="H4" t="s">
        <v>33</v>
      </c>
    </row>
    <row r="5" spans="1:14" ht="15" x14ac:dyDescent="0.3">
      <c r="A5" s="12" t="s">
        <v>83</v>
      </c>
      <c r="B5" s="12"/>
      <c r="C5" s="12"/>
      <c r="D5" s="38">
        <v>134</v>
      </c>
    </row>
    <row r="6" spans="1:14" ht="16.2" x14ac:dyDescent="0.3">
      <c r="A6" t="s">
        <v>189</v>
      </c>
      <c r="D6" s="38">
        <v>23</v>
      </c>
      <c r="E6" t="s">
        <v>4</v>
      </c>
      <c r="H6" t="s">
        <v>34</v>
      </c>
    </row>
    <row r="7" spans="1:14" ht="16.8" x14ac:dyDescent="0.35">
      <c r="A7" t="s">
        <v>29</v>
      </c>
      <c r="D7" s="38">
        <v>4</v>
      </c>
      <c r="H7" t="s">
        <v>35</v>
      </c>
    </row>
    <row r="8" spans="1:14" ht="16.2" x14ac:dyDescent="0.3">
      <c r="A8" t="s">
        <v>30</v>
      </c>
      <c r="D8" s="38">
        <v>445</v>
      </c>
    </row>
    <row r="10" spans="1:14" x14ac:dyDescent="0.3">
      <c r="A10" s="16" t="s">
        <v>1</v>
      </c>
      <c r="B10" s="16"/>
      <c r="E10" t="s">
        <v>4</v>
      </c>
    </row>
    <row r="11" spans="1:14" x14ac:dyDescent="0.3">
      <c r="A11" t="s">
        <v>46</v>
      </c>
      <c r="E11" s="18">
        <f>2*PI()/86202</f>
        <v>7.2889089663576097E-5</v>
      </c>
    </row>
    <row r="12" spans="1:14" ht="16.2" x14ac:dyDescent="0.3">
      <c r="A12" t="s">
        <v>190</v>
      </c>
      <c r="E12" s="14">
        <f>2*E11*SIN(D6*2*PI()/360)</f>
        <v>5.6960072517609888E-5</v>
      </c>
    </row>
    <row r="13" spans="1:14" ht="15.6" x14ac:dyDescent="0.35">
      <c r="A13" t="s">
        <v>2</v>
      </c>
      <c r="E13" s="14">
        <f>0.001*(1.1+0.035*D4)</f>
        <v>1.1700000000000002E-3</v>
      </c>
      <c r="F13" s="29" t="s">
        <v>78</v>
      </c>
      <c r="G13" s="29"/>
      <c r="H13" s="30">
        <f>1.4*POWER(10,-3)</f>
        <v>1.4E-3</v>
      </c>
    </row>
    <row r="14" spans="1:14" ht="16.8" x14ac:dyDescent="0.35">
      <c r="A14" t="s">
        <v>31</v>
      </c>
      <c r="D14" s="10">
        <f>D7*E13*POWER(D4,2)</f>
        <v>1.8720000000000004E-2</v>
      </c>
    </row>
    <row r="15" spans="1:14" ht="15.6" x14ac:dyDescent="0.35">
      <c r="A15" t="s">
        <v>32</v>
      </c>
      <c r="E15" s="9">
        <f>4.3*D4/SQRT(ABS(SIN(D6*2*PI()/360)))</f>
        <v>13.758131160942666</v>
      </c>
    </row>
    <row r="16" spans="1:14" ht="16.8" x14ac:dyDescent="0.35">
      <c r="A16" s="12" t="s">
        <v>79</v>
      </c>
      <c r="B16" s="12"/>
      <c r="C16" s="12"/>
      <c r="D16" s="12"/>
      <c r="E16" s="31">
        <f>D14/E12</f>
        <v>328.65126697674924</v>
      </c>
      <c r="N16" t="s">
        <v>81</v>
      </c>
    </row>
    <row r="17" spans="1:14" ht="16.8" x14ac:dyDescent="0.35">
      <c r="A17" s="25" t="s">
        <v>80</v>
      </c>
      <c r="B17" s="25"/>
      <c r="C17" s="25"/>
      <c r="D17" s="12"/>
      <c r="E17" s="31">
        <f>E16/D8</f>
        <v>0.73854217298145897</v>
      </c>
    </row>
    <row r="18" spans="1:14" ht="15" x14ac:dyDescent="0.35">
      <c r="A18" s="12" t="s">
        <v>37</v>
      </c>
      <c r="E18" s="10">
        <f>0.79* POWER(10,-5)*POWER(D4,2)/(E15*ABS(E12))</f>
        <v>4.0323396259837115E-2</v>
      </c>
      <c r="F18" t="s">
        <v>4</v>
      </c>
    </row>
    <row r="19" spans="1:14" ht="15" x14ac:dyDescent="0.35">
      <c r="A19" s="12" t="s">
        <v>38</v>
      </c>
      <c r="E19" s="10">
        <f>SQRT(2)*PI()*D14/(E15*D8*ABS(E12))</f>
        <v>0.23849579430996692</v>
      </c>
      <c r="H19" t="s">
        <v>27</v>
      </c>
      <c r="M19" t="s">
        <v>28</v>
      </c>
    </row>
    <row r="20" spans="1:14" ht="15" x14ac:dyDescent="0.35">
      <c r="A20" s="12" t="s">
        <v>39</v>
      </c>
      <c r="E20" s="10">
        <f>0.0127*D4/SQRT(ABS(SIN(D6*2*PI()/360)))</f>
        <v>4.0634480405574845E-2</v>
      </c>
    </row>
    <row r="21" spans="1:14" x14ac:dyDescent="0.3">
      <c r="E21" t="s">
        <v>4</v>
      </c>
    </row>
    <row r="22" spans="1:14" x14ac:dyDescent="0.3">
      <c r="A22" s="34" t="s">
        <v>3</v>
      </c>
      <c r="B22" s="34"/>
      <c r="F22" t="s">
        <v>92</v>
      </c>
      <c r="H22" t="s">
        <v>91</v>
      </c>
      <c r="J22" t="s">
        <v>36</v>
      </c>
    </row>
    <row r="23" spans="1:14" ht="16.8" x14ac:dyDescent="0.35">
      <c r="A23" s="35" t="s">
        <v>191</v>
      </c>
      <c r="B23" s="36" t="s">
        <v>192</v>
      </c>
      <c r="C23" s="36" t="s">
        <v>193</v>
      </c>
      <c r="D23" s="37" t="s">
        <v>194</v>
      </c>
      <c r="E23" s="33" t="s">
        <v>84</v>
      </c>
      <c r="F23" s="36" t="s">
        <v>41</v>
      </c>
      <c r="G23" t="s">
        <v>84</v>
      </c>
      <c r="H23" s="36" t="s">
        <v>82</v>
      </c>
    </row>
    <row r="24" spans="1:14" x14ac:dyDescent="0.3">
      <c r="A24" s="38">
        <v>0</v>
      </c>
      <c r="B24" s="1">
        <f>IF($D$6&gt;=0,E$18*COS(PI()/4+PI()/E$15*A24)*EXP(PI()/E$15*A24),-E$18*COS(PI()/4+PI()/E$15*A24)*EXP(PI()/E$15*A24))</f>
        <v>2.8512946935803092E-2</v>
      </c>
      <c r="C24" s="1">
        <f>E$18*SIN(PI()/4+PI()/E$15*A24)*EXP(PI()/E$15*A24)</f>
        <v>2.8512946935803089E-2</v>
      </c>
      <c r="D24" s="11">
        <f t="shared" ref="D24:D38" si="0">SQRT(POWER(B24,2)+POWER(C24,2))</f>
        <v>4.0323396259837115E-2</v>
      </c>
      <c r="E24" s="32">
        <f>DEGREES(ATAN(B24/C24))</f>
        <v>45.000000000000007</v>
      </c>
      <c r="F24" s="32">
        <f>IF(C24&lt;0,180+E24,IF(AND(B24&gt;=0,C24&gt;=0),E24,360+E24))</f>
        <v>45.000000000000007</v>
      </c>
      <c r="G24" s="32">
        <f t="shared" ref="G24:G38" si="1">IF(F24+$D$5&lt;360,F24+$D$5,F24+$D$5-360)</f>
        <v>179</v>
      </c>
      <c r="H24" s="32">
        <f>IF(G24&gt;=0,G24,G24+360)</f>
        <v>179</v>
      </c>
      <c r="N24" t="s">
        <v>44</v>
      </c>
    </row>
    <row r="25" spans="1:14" ht="15.6" x14ac:dyDescent="0.35">
      <c r="A25" s="38">
        <v>-15</v>
      </c>
      <c r="B25" s="1">
        <f t="shared" ref="B25:B38" si="2">IF($D$6&gt;=0,E$18*COS(PI()/4+PI()/E$15*A25)*EXP(PI()/E$15*A25),-E$18*COS(PI()/4+PI()/E$15*A25)*EXP(PI()/E$15*A25))</f>
        <v>-1.1504835431622353E-3</v>
      </c>
      <c r="C25" s="1">
        <f t="shared" ref="C25:C38" si="3">E$18*SIN(PI()/4+PI()/E$15*A25)*EXP(PI()/E$15*A25)</f>
        <v>-6.3124000232420716E-4</v>
      </c>
      <c r="D25" s="11">
        <f t="shared" si="0"/>
        <v>1.3122790570688065E-3</v>
      </c>
      <c r="E25" s="32">
        <f t="shared" ref="E25:E38" si="4">DEGREES(ATAN(B25/C25))</f>
        <v>61.247583949839594</v>
      </c>
      <c r="F25" s="32">
        <f t="shared" ref="F25:F38" si="5">IF(C25&lt;0,180+E25,IF(AND(B25&gt;=0,C25&gt;=0),E25,360+E25))</f>
        <v>241.24758394983959</v>
      </c>
      <c r="G25" s="32">
        <f t="shared" si="1"/>
        <v>15.247583949839623</v>
      </c>
      <c r="H25" s="32">
        <f t="shared" ref="H25:H38" si="6">IF(G25&gt;=0,G25,G25+360)</f>
        <v>15.247583949839623</v>
      </c>
      <c r="N25" t="s">
        <v>42</v>
      </c>
    </row>
    <row r="26" spans="1:14" ht="15.6" x14ac:dyDescent="0.35">
      <c r="A26" s="38">
        <v>-30</v>
      </c>
      <c r="B26" s="1">
        <f t="shared" si="2"/>
        <v>4.1693531658187427E-5</v>
      </c>
      <c r="C26" s="1">
        <f t="shared" si="3"/>
        <v>9.2469225919327966E-6</v>
      </c>
      <c r="D26" s="11">
        <f t="shared" si="0"/>
        <v>4.2706628988407346E-5</v>
      </c>
      <c r="E26" s="32">
        <f t="shared" si="4"/>
        <v>77.495167899679174</v>
      </c>
      <c r="F26" s="32">
        <f t="shared" si="5"/>
        <v>77.495167899679174</v>
      </c>
      <c r="G26" s="32">
        <f t="shared" si="1"/>
        <v>211.49516789967919</v>
      </c>
      <c r="H26" s="32">
        <f t="shared" si="6"/>
        <v>211.49516789967919</v>
      </c>
      <c r="N26" t="s">
        <v>43</v>
      </c>
    </row>
    <row r="27" spans="1:14" x14ac:dyDescent="0.3">
      <c r="A27" s="38">
        <v>-45</v>
      </c>
      <c r="B27" s="1">
        <f t="shared" si="2"/>
        <v>-1.38687439177075E-6</v>
      </c>
      <c r="C27" s="1">
        <f t="shared" si="3"/>
        <v>9.0724352599383799E-8</v>
      </c>
      <c r="D27" s="11">
        <f t="shared" si="0"/>
        <v>1.3898386549179244E-6</v>
      </c>
      <c r="E27" s="32">
        <f t="shared" si="4"/>
        <v>-86.257248150481118</v>
      </c>
      <c r="F27" s="32">
        <f t="shared" si="5"/>
        <v>273.74275184951887</v>
      </c>
      <c r="G27" s="32">
        <f t="shared" si="1"/>
        <v>47.742751849518868</v>
      </c>
      <c r="H27" s="32">
        <f t="shared" si="6"/>
        <v>47.742751849518868</v>
      </c>
    </row>
    <row r="28" spans="1:14" x14ac:dyDescent="0.3">
      <c r="A28" s="38">
        <f>D41-60</f>
        <v>-60</v>
      </c>
      <c r="B28" s="1">
        <f t="shared" si="2"/>
        <v>4.2505580531953607E-8</v>
      </c>
      <c r="C28" s="1">
        <f t="shared" si="3"/>
        <v>-1.546264732020287E-8</v>
      </c>
      <c r="D28" s="11">
        <f t="shared" si="0"/>
        <v>4.5230717864161412E-8</v>
      </c>
      <c r="E28" s="32">
        <f t="shared" si="4"/>
        <v>-70.009664200641609</v>
      </c>
      <c r="F28" s="32">
        <f t="shared" si="5"/>
        <v>109.99033579935839</v>
      </c>
      <c r="G28" s="32">
        <f t="shared" si="1"/>
        <v>243.99033579935838</v>
      </c>
      <c r="H28" s="32">
        <f t="shared" si="6"/>
        <v>243.99033579935838</v>
      </c>
    </row>
    <row r="29" spans="1:14" x14ac:dyDescent="0.3">
      <c r="A29" s="38">
        <v>-75</v>
      </c>
      <c r="B29" s="1">
        <f t="shared" si="2"/>
        <v>-1.1872556361065803E-9</v>
      </c>
      <c r="C29" s="1">
        <f t="shared" si="3"/>
        <v>8.7014700827780485E-10</v>
      </c>
      <c r="D29" s="11">
        <f t="shared" si="0"/>
        <v>1.471982255831114E-9</v>
      </c>
      <c r="E29" s="32">
        <f t="shared" si="4"/>
        <v>-53.762080250802086</v>
      </c>
      <c r="F29" s="32">
        <f t="shared" si="5"/>
        <v>306.23791974919789</v>
      </c>
      <c r="G29" s="32">
        <f t="shared" si="1"/>
        <v>80.237919749197886</v>
      </c>
      <c r="H29" s="32">
        <f t="shared" si="6"/>
        <v>80.237919749197886</v>
      </c>
    </row>
    <row r="30" spans="1:14" x14ac:dyDescent="0.3">
      <c r="A30" s="38">
        <v>-90</v>
      </c>
      <c r="B30" s="1">
        <f t="shared" si="2"/>
        <v>2.9171714721039758E-11</v>
      </c>
      <c r="C30" s="1">
        <f t="shared" si="3"/>
        <v>-3.799740935115666E-11</v>
      </c>
      <c r="D30" s="11">
        <f t="shared" si="0"/>
        <v>4.7903987904610778E-11</v>
      </c>
      <c r="E30" s="32">
        <f t="shared" si="4"/>
        <v>-37.514496300962378</v>
      </c>
      <c r="F30" s="32">
        <f t="shared" si="5"/>
        <v>142.48550369903762</v>
      </c>
      <c r="G30" s="32">
        <f t="shared" si="1"/>
        <v>276.48550369903762</v>
      </c>
      <c r="H30" s="32">
        <f t="shared" si="6"/>
        <v>276.48550369903762</v>
      </c>
    </row>
    <row r="31" spans="1:14" x14ac:dyDescent="0.3">
      <c r="A31" s="38">
        <v>-105</v>
      </c>
      <c r="B31" s="1">
        <f t="shared" si="2"/>
        <v>-5.6546279974366549E-13</v>
      </c>
      <c r="C31" s="1">
        <f t="shared" si="3"/>
        <v>1.4528155146334867E-12</v>
      </c>
      <c r="D31" s="11">
        <f t="shared" si="0"/>
        <v>1.5589807880322668E-12</v>
      </c>
      <c r="E31" s="32">
        <f t="shared" si="4"/>
        <v>-21.266912351122858</v>
      </c>
      <c r="F31" s="32">
        <f t="shared" si="5"/>
        <v>338.73308764887713</v>
      </c>
      <c r="G31" s="32">
        <f t="shared" si="1"/>
        <v>112.73308764887713</v>
      </c>
      <c r="H31" s="32">
        <f t="shared" si="6"/>
        <v>112.73308764887713</v>
      </c>
    </row>
    <row r="32" spans="1:14" ht="16.8" x14ac:dyDescent="0.35">
      <c r="A32" s="38">
        <v>-120</v>
      </c>
      <c r="B32" s="1">
        <f t="shared" si="2"/>
        <v>4.4389188000664096E-15</v>
      </c>
      <c r="C32" s="1">
        <f t="shared" si="3"/>
        <v>-5.0540698625622403E-14</v>
      </c>
      <c r="D32" s="11">
        <f t="shared" si="0"/>
        <v>5.0735256160579039E-14</v>
      </c>
      <c r="E32" s="32">
        <f t="shared" si="4"/>
        <v>-5.0193284012833486</v>
      </c>
      <c r="F32" s="32">
        <f t="shared" si="5"/>
        <v>174.98067159871664</v>
      </c>
      <c r="G32" s="32">
        <f t="shared" si="1"/>
        <v>308.98067159871664</v>
      </c>
      <c r="H32" s="32">
        <f t="shared" si="6"/>
        <v>308.98067159871664</v>
      </c>
      <c r="J32" t="s">
        <v>47</v>
      </c>
    </row>
    <row r="33" spans="1:8" x14ac:dyDescent="0.3">
      <c r="A33" s="38">
        <v>-135</v>
      </c>
      <c r="B33" s="1">
        <f t="shared" si="2"/>
        <v>3.2150316151982235E-16</v>
      </c>
      <c r="C33" s="1">
        <f t="shared" si="3"/>
        <v>1.6195174926986762E-15</v>
      </c>
      <c r="D33" s="11">
        <f t="shared" si="0"/>
        <v>1.6511211924096449E-15</v>
      </c>
      <c r="E33" s="32">
        <f t="shared" si="4"/>
        <v>11.228255548556366</v>
      </c>
      <c r="F33" s="32">
        <f t="shared" si="5"/>
        <v>11.228255548556366</v>
      </c>
      <c r="G33" s="32">
        <f t="shared" si="1"/>
        <v>145.22825554855638</v>
      </c>
      <c r="H33" s="32">
        <f t="shared" si="6"/>
        <v>145.22825554855638</v>
      </c>
    </row>
    <row r="34" spans="1:8" x14ac:dyDescent="0.3">
      <c r="A34" s="38">
        <v>-150</v>
      </c>
      <c r="B34" s="1">
        <f t="shared" si="2"/>
        <v>-2.4791435156970253E-17</v>
      </c>
      <c r="C34" s="1">
        <f t="shared" si="3"/>
        <v>-4.7672974933302088E-17</v>
      </c>
      <c r="D34" s="11">
        <f t="shared" si="0"/>
        <v>5.3733860796833782E-17</v>
      </c>
      <c r="E34" s="32">
        <f t="shared" si="4"/>
        <v>27.475839498396081</v>
      </c>
      <c r="F34" s="32">
        <f t="shared" si="5"/>
        <v>207.47583949839608</v>
      </c>
      <c r="G34" s="32">
        <f t="shared" si="1"/>
        <v>341.47583949839611</v>
      </c>
      <c r="H34" s="32">
        <f t="shared" si="6"/>
        <v>341.47583949839611</v>
      </c>
    </row>
    <row r="35" spans="1:8" x14ac:dyDescent="0.3">
      <c r="A35" s="38">
        <v>-165</v>
      </c>
      <c r="B35" s="1">
        <f t="shared" si="2"/>
        <v>1.2086679115878499E-18</v>
      </c>
      <c r="C35" s="1">
        <f t="shared" si="3"/>
        <v>1.2637639580178582E-18</v>
      </c>
      <c r="D35" s="11">
        <f t="shared" si="0"/>
        <v>1.7487073689119909E-18</v>
      </c>
      <c r="E35" s="32">
        <f t="shared" si="4"/>
        <v>43.723423448235799</v>
      </c>
      <c r="F35" s="32">
        <f t="shared" si="5"/>
        <v>43.723423448235799</v>
      </c>
      <c r="G35" s="32">
        <f t="shared" si="1"/>
        <v>177.72342344823579</v>
      </c>
      <c r="H35" s="32">
        <f t="shared" si="6"/>
        <v>177.72342344823579</v>
      </c>
    </row>
    <row r="36" spans="1:8" x14ac:dyDescent="0.3">
      <c r="A36" s="38">
        <v>-180</v>
      </c>
      <c r="B36" s="1">
        <f t="shared" si="2"/>
        <v>-4.9270833972734205E-20</v>
      </c>
      <c r="C36" s="1">
        <f t="shared" si="3"/>
        <v>-2.8479781439007275E-20</v>
      </c>
      <c r="D36" s="11">
        <f t="shared" si="0"/>
        <v>5.6909691891472779E-20</v>
      </c>
      <c r="E36" s="32">
        <f t="shared" si="4"/>
        <v>59.971007398075514</v>
      </c>
      <c r="F36" s="32">
        <f t="shared" si="5"/>
        <v>239.97100739807553</v>
      </c>
      <c r="G36" s="32">
        <f t="shared" si="1"/>
        <v>13.971007398075528</v>
      </c>
      <c r="H36" s="32">
        <f t="shared" si="6"/>
        <v>13.971007398075528</v>
      </c>
    </row>
    <row r="37" spans="1:8" x14ac:dyDescent="0.3">
      <c r="A37" s="38">
        <v>-195</v>
      </c>
      <c r="B37" s="1">
        <f t="shared" si="2"/>
        <v>1.7987433530214365E-21</v>
      </c>
      <c r="C37" s="1">
        <f t="shared" si="3"/>
        <v>4.4119492321837579E-22</v>
      </c>
      <c r="D37" s="11">
        <f t="shared" si="0"/>
        <v>1.8520611788794854E-21</v>
      </c>
      <c r="E37" s="32">
        <f t="shared" si="4"/>
        <v>76.21859134791481</v>
      </c>
      <c r="F37" s="32">
        <f t="shared" si="5"/>
        <v>76.21859134791481</v>
      </c>
      <c r="G37" s="32">
        <f t="shared" si="1"/>
        <v>210.21859134791481</v>
      </c>
      <c r="H37" s="32">
        <f t="shared" si="6"/>
        <v>210.21859134791481</v>
      </c>
    </row>
    <row r="38" spans="1:8" x14ac:dyDescent="0.3">
      <c r="A38" s="38">
        <v>-210</v>
      </c>
      <c r="B38" s="1">
        <f t="shared" si="2"/>
        <v>-6.0217398893013942E-23</v>
      </c>
      <c r="C38" s="1">
        <f t="shared" si="3"/>
        <v>2.5935320745248699E-24</v>
      </c>
      <c r="D38" s="11">
        <f t="shared" si="0"/>
        <v>6.0273224055644687E-23</v>
      </c>
      <c r="E38" s="32">
        <f t="shared" si="4"/>
        <v>-87.533824702245482</v>
      </c>
      <c r="F38" s="32">
        <f t="shared" si="5"/>
        <v>272.46617529775449</v>
      </c>
      <c r="G38" s="32">
        <f t="shared" si="1"/>
        <v>46.466175297754489</v>
      </c>
      <c r="H38" s="32">
        <f t="shared" si="6"/>
        <v>46.466175297754489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94"/>
  <sheetViews>
    <sheetView workbookViewId="0">
      <selection activeCell="C27" sqref="C27"/>
    </sheetView>
  </sheetViews>
  <sheetFormatPr defaultRowHeight="14.4" x14ac:dyDescent="0.3"/>
  <cols>
    <col min="6" max="6" width="10.5546875" bestFit="1" customWidth="1"/>
    <col min="23" max="23" width="9.5546875" bestFit="1" customWidth="1"/>
    <col min="24" max="25" width="9.5546875" customWidth="1"/>
  </cols>
  <sheetData>
    <row r="1" spans="1:62" x14ac:dyDescent="0.3">
      <c r="A1" s="3" t="s">
        <v>134</v>
      </c>
      <c r="B1" s="3"/>
      <c r="C1" s="3"/>
      <c r="D1" s="3"/>
      <c r="E1" s="3"/>
      <c r="F1" s="3"/>
      <c r="G1" s="3"/>
      <c r="H1" s="3"/>
      <c r="I1" s="3"/>
      <c r="L1" t="s">
        <v>122</v>
      </c>
    </row>
    <row r="2" spans="1:62" x14ac:dyDescent="0.3">
      <c r="F2" s="23" t="s">
        <v>151</v>
      </c>
      <c r="G2" s="23"/>
      <c r="H2" s="23"/>
      <c r="I2" s="23"/>
      <c r="J2" s="23"/>
      <c r="K2" s="23"/>
      <c r="L2" s="23"/>
      <c r="M2" s="23"/>
      <c r="N2" s="23"/>
      <c r="O2" s="23"/>
    </row>
    <row r="3" spans="1:62" x14ac:dyDescent="0.3">
      <c r="A3" s="15" t="s">
        <v>118</v>
      </c>
      <c r="B3" s="15"/>
      <c r="F3" t="s">
        <v>132</v>
      </c>
      <c r="L3" s="39">
        <v>5</v>
      </c>
      <c r="M3" t="s">
        <v>133</v>
      </c>
    </row>
    <row r="4" spans="1:62" x14ac:dyDescent="0.3">
      <c r="B4" s="15" t="s">
        <v>117</v>
      </c>
      <c r="C4" s="15" t="s">
        <v>116</v>
      </c>
      <c r="F4" t="s">
        <v>154</v>
      </c>
      <c r="K4" s="39">
        <v>15</v>
      </c>
      <c r="L4" t="s">
        <v>4</v>
      </c>
    </row>
    <row r="5" spans="1:62" x14ac:dyDescent="0.3">
      <c r="A5" s="15" t="s">
        <v>115</v>
      </c>
      <c r="B5" s="38">
        <v>38</v>
      </c>
      <c r="C5" s="38">
        <v>20</v>
      </c>
      <c r="D5" t="s">
        <v>114</v>
      </c>
      <c r="F5" s="53" t="s">
        <v>163</v>
      </c>
      <c r="G5" s="53"/>
      <c r="H5" s="53"/>
      <c r="I5" s="53"/>
      <c r="J5" s="53"/>
      <c r="K5" s="53"/>
      <c r="L5" s="53"/>
      <c r="M5" s="53"/>
      <c r="N5" s="53"/>
    </row>
    <row r="6" spans="1:62" x14ac:dyDescent="0.3">
      <c r="A6" s="15" t="s">
        <v>113</v>
      </c>
      <c r="B6" s="38">
        <v>9</v>
      </c>
      <c r="C6" s="38">
        <v>0</v>
      </c>
      <c r="D6" t="s">
        <v>112</v>
      </c>
      <c r="F6" t="s">
        <v>111</v>
      </c>
      <c r="H6">
        <f>SQRT(2*1/297-POWER(1/297,2))</f>
        <v>8.1991889979029772E-2</v>
      </c>
      <c r="I6" t="s">
        <v>110</v>
      </c>
    </row>
    <row r="7" spans="1:62" x14ac:dyDescent="0.3">
      <c r="C7" t="s">
        <v>120</v>
      </c>
      <c r="O7" s="23" t="s">
        <v>130</v>
      </c>
      <c r="P7" s="23"/>
      <c r="Q7" s="23"/>
      <c r="R7" s="23"/>
      <c r="S7" s="23"/>
      <c r="BA7" s="34" t="s">
        <v>162</v>
      </c>
      <c r="BB7" s="34"/>
      <c r="BC7" s="34"/>
      <c r="BF7" s="34" t="s">
        <v>129</v>
      </c>
      <c r="BG7" s="34"/>
    </row>
    <row r="8" spans="1:62" x14ac:dyDescent="0.3">
      <c r="A8" s="15" t="s">
        <v>109</v>
      </c>
      <c r="B8" s="15"/>
      <c r="D8" s="49" t="s">
        <v>108</v>
      </c>
      <c r="E8" s="49"/>
      <c r="H8" s="52" t="s">
        <v>128</v>
      </c>
      <c r="I8" s="52"/>
      <c r="T8" s="48" t="s">
        <v>128</v>
      </c>
      <c r="U8" s="48"/>
      <c r="AI8" s="56" t="s">
        <v>107</v>
      </c>
      <c r="AL8" s="58" t="s">
        <v>106</v>
      </c>
      <c r="AM8" s="56"/>
      <c r="AO8" s="51" t="s">
        <v>131</v>
      </c>
      <c r="AP8" s="51"/>
      <c r="AQ8" s="51"/>
      <c r="AR8" s="34"/>
      <c r="BA8" s="34" t="s">
        <v>107</v>
      </c>
      <c r="BB8" s="34"/>
      <c r="BC8" s="34" t="s">
        <v>106</v>
      </c>
      <c r="BD8" s="34"/>
      <c r="BE8" t="s">
        <v>4</v>
      </c>
      <c r="BF8" s="34" t="s">
        <v>168</v>
      </c>
      <c r="BG8" s="34"/>
      <c r="BH8" s="34"/>
      <c r="BI8" s="34"/>
      <c r="BJ8" s="34"/>
    </row>
    <row r="9" spans="1:62" ht="16.8" x14ac:dyDescent="0.35">
      <c r="A9" s="43" t="s">
        <v>105</v>
      </c>
      <c r="B9" s="15" t="s">
        <v>104</v>
      </c>
      <c r="C9" s="15" t="s">
        <v>103</v>
      </c>
      <c r="D9" s="49" t="s">
        <v>104</v>
      </c>
      <c r="E9" s="50" t="s">
        <v>119</v>
      </c>
      <c r="F9" s="49" t="s">
        <v>123</v>
      </c>
      <c r="G9" s="50" t="s">
        <v>102</v>
      </c>
      <c r="H9" s="50" t="s">
        <v>100</v>
      </c>
      <c r="I9" s="50" t="s">
        <v>99</v>
      </c>
      <c r="J9" s="50" t="s">
        <v>101</v>
      </c>
      <c r="K9" s="50" t="s">
        <v>98</v>
      </c>
      <c r="L9" s="50" t="s">
        <v>121</v>
      </c>
      <c r="M9" s="60" t="s">
        <v>97</v>
      </c>
      <c r="N9" s="61" t="s">
        <v>96</v>
      </c>
      <c r="O9" s="41" t="s">
        <v>165</v>
      </c>
      <c r="P9" s="41" t="s">
        <v>166</v>
      </c>
      <c r="Q9" s="55" t="s">
        <v>167</v>
      </c>
      <c r="R9" s="55" t="s">
        <v>152</v>
      </c>
      <c r="S9" s="55" t="s">
        <v>153</v>
      </c>
      <c r="T9" s="41" t="s">
        <v>169</v>
      </c>
      <c r="U9" s="41" t="s">
        <v>170</v>
      </c>
      <c r="V9" s="41" t="s">
        <v>171</v>
      </c>
      <c r="W9" s="41" t="s">
        <v>172</v>
      </c>
      <c r="X9" s="41" t="s">
        <v>155</v>
      </c>
      <c r="Y9" s="41" t="s">
        <v>156</v>
      </c>
      <c r="Z9" s="41" t="s">
        <v>173</v>
      </c>
      <c r="AA9" s="41" t="s">
        <v>157</v>
      </c>
      <c r="AB9" s="41" t="s">
        <v>158</v>
      </c>
      <c r="AC9" s="41" t="s">
        <v>174</v>
      </c>
      <c r="AD9" s="41" t="s">
        <v>159</v>
      </c>
      <c r="AE9" s="41" t="s">
        <v>160</v>
      </c>
      <c r="AF9" s="41" t="s">
        <v>175</v>
      </c>
      <c r="AG9" s="41" t="s">
        <v>176</v>
      </c>
      <c r="AH9" s="41" t="s">
        <v>177</v>
      </c>
      <c r="AI9" s="56" t="s">
        <v>178</v>
      </c>
      <c r="AJ9" s="56" t="s">
        <v>161</v>
      </c>
      <c r="AK9" s="56" t="s">
        <v>179</v>
      </c>
      <c r="AL9" s="56" t="s">
        <v>180</v>
      </c>
      <c r="AM9" s="56" t="s">
        <v>181</v>
      </c>
      <c r="AN9" s="57" t="s">
        <v>182</v>
      </c>
      <c r="AO9" s="44" t="s">
        <v>173</v>
      </c>
      <c r="AP9" s="44" t="s">
        <v>157</v>
      </c>
      <c r="AQ9" s="44" t="s">
        <v>158</v>
      </c>
      <c r="AR9" s="44" t="s">
        <v>174</v>
      </c>
      <c r="AS9" s="44" t="s">
        <v>159</v>
      </c>
      <c r="AT9" s="44" t="s">
        <v>160</v>
      </c>
      <c r="AU9" s="62" t="s">
        <v>183</v>
      </c>
      <c r="AV9" s="62" t="s">
        <v>161</v>
      </c>
      <c r="AW9" s="62" t="s">
        <v>179</v>
      </c>
      <c r="AX9" s="62" t="s">
        <v>180</v>
      </c>
      <c r="AY9" s="62" t="s">
        <v>181</v>
      </c>
      <c r="AZ9" s="62" t="s">
        <v>182</v>
      </c>
      <c r="BA9" s="44" t="s">
        <v>51</v>
      </c>
      <c r="BB9" s="44" t="s">
        <v>95</v>
      </c>
      <c r="BC9" s="44" t="s">
        <v>51</v>
      </c>
      <c r="BD9" s="44" t="s">
        <v>95</v>
      </c>
      <c r="BE9" s="45" t="s">
        <v>184</v>
      </c>
      <c r="BF9" s="45" t="s">
        <v>125</v>
      </c>
      <c r="BG9" s="45" t="s">
        <v>126</v>
      </c>
    </row>
    <row r="10" spans="1:62" x14ac:dyDescent="0.3">
      <c r="A10" s="38">
        <v>0</v>
      </c>
      <c r="B10" s="38">
        <v>10</v>
      </c>
      <c r="C10" s="38">
        <v>330</v>
      </c>
      <c r="D10" s="42">
        <f t="shared" ref="D10:D34" si="0">0.0127*B10/SQRT(ABS(SIN(RADIANS(M10))))</f>
        <v>0.1612595390256705</v>
      </c>
      <c r="E10">
        <f t="shared" ref="E10:E34" si="1">IF(M10&gt;=0,MOD(C10+45+180,360),MOD(C10-45+180,360))</f>
        <v>195</v>
      </c>
      <c r="F10" s="26">
        <v>0</v>
      </c>
      <c r="G10">
        <v>0</v>
      </c>
      <c r="H10">
        <f t="shared" ref="H10:H34" si="2">(LN(TAN(RADIANS(45+M10/2))*POWER((1-$H$6*SIN(RADIANS(M10)))/(1+$H$6*SIN(RADIANS(M10))),$H$6/2)))*180*60/PI()</f>
        <v>2479.3527474782609</v>
      </c>
      <c r="I10" s="26">
        <v>0</v>
      </c>
      <c r="J10" s="26">
        <v>0</v>
      </c>
      <c r="K10" s="26">
        <v>0</v>
      </c>
      <c r="L10">
        <f>IF(B6&gt;=0,B6+C6/60,B6-C6/60)</f>
        <v>9</v>
      </c>
      <c r="M10">
        <f>IF(B5&gt;=0,B5+C5/60,B5-C5/60)</f>
        <v>38.333333333333336</v>
      </c>
      <c r="N10">
        <f>IF(L10&gt;180,-180+(L10-180),IF(L10&lt;-180,180+(L10+180),L10))</f>
        <v>9</v>
      </c>
      <c r="O10">
        <f t="shared" ref="O10:O34" si="3">B10*$L$3/100</f>
        <v>0.5</v>
      </c>
      <c r="P10">
        <v>0</v>
      </c>
      <c r="Q10">
        <f>TRUNC(MOD($C10+180,360))</f>
        <v>150</v>
      </c>
      <c r="R10">
        <f>TRUNC(MOD($C10+180-$K$4,360))</f>
        <v>135</v>
      </c>
      <c r="S10">
        <f>TRUNC(MOD($C10+180+$K$4,360))</f>
        <v>165</v>
      </c>
      <c r="T10">
        <f t="shared" ref="T10:T34" si="4">(LN(TAN(RADIANS(45+AI10/2))*POWER((1-$H$6*SIN(RADIANS(AI10)))/(1+$H$6*SIN(RADIANS(AI10))),$H$6/2)))*180*60/PI()</f>
        <v>2479.3527474782609</v>
      </c>
      <c r="U10">
        <f t="shared" ref="U10" si="5">(LN(TAN(RADIANS(45+AJ10/2))*POWER((1-$H$6*SIN(RADIANS(AJ10)))/(1+$H$6*SIN(RADIANS(AJ10))),$H$6/2)))*180*60/PI()</f>
        <v>2479.3527474782609</v>
      </c>
      <c r="V10">
        <f t="shared" ref="V10" si="6">(LN(TAN(RADIANS(45+AK10/2))*POWER((1-$H$6*SIN(RADIANS(AK10)))/(1+$H$6*SIN(RADIANS(AK10))),$H$6/2)))*180*60/PI()</f>
        <v>2479.3527474782609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>
        <f>IF($B$6&gt;=0,$B$6+$C$6/60,$B$6-$C$6/60)</f>
        <v>9</v>
      </c>
      <c r="AG10">
        <f t="shared" ref="AG10:AH10" si="7">IF($B$6&gt;=0,$B$6+$C$6/60,$B$6-$C$6/60)</f>
        <v>9</v>
      </c>
      <c r="AH10">
        <f t="shared" si="7"/>
        <v>9</v>
      </c>
      <c r="AI10" s="42">
        <f>IF($B$5&gt;=0,$B$5+$C$5/60,$B$5-$C$5/60)</f>
        <v>38.333333333333336</v>
      </c>
      <c r="AJ10" s="42">
        <f t="shared" ref="AJ10:AK10" si="8">IF($B$5&gt;=0,$B$5+$C$5/60,$B$5-$C$5/60)</f>
        <v>38.333333333333336</v>
      </c>
      <c r="AK10" s="42">
        <f t="shared" si="8"/>
        <v>38.333333333333336</v>
      </c>
      <c r="AL10" s="42">
        <f>IF(AF10&gt;180,-180+(AF10-180),IF(AF10&lt;-180,180+(AF10+180),AF10))</f>
        <v>9</v>
      </c>
      <c r="AM10" s="42">
        <f t="shared" ref="AM10:AN10" si="9">IF(AG10&gt;180,-180+(AG10-180),IF(AG10&lt;-180,180+(AG10+180),AG10))</f>
        <v>9</v>
      </c>
      <c r="AN10" s="42">
        <f t="shared" si="9"/>
        <v>9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>
        <f>$M$10</f>
        <v>38.333333333333336</v>
      </c>
      <c r="AV10">
        <f t="shared" ref="AV10:AW10" si="10">$M$10</f>
        <v>38.333333333333336</v>
      </c>
      <c r="AW10">
        <f t="shared" si="10"/>
        <v>38.333333333333336</v>
      </c>
      <c r="AX10" s="42">
        <f>$N$10</f>
        <v>9</v>
      </c>
      <c r="AY10" s="42">
        <f t="shared" ref="AY10:AZ10" si="11">$N$10</f>
        <v>9</v>
      </c>
      <c r="AZ10" s="42">
        <f t="shared" si="11"/>
        <v>9</v>
      </c>
      <c r="BA10" s="5">
        <f t="shared" ref="BA10:BA34" si="12">TRUNC(AU10,0)</f>
        <v>38</v>
      </c>
      <c r="BB10" s="40">
        <f t="shared" ref="BB10:BB34" si="13">IF(AND(AU10&lt;0,AU10&gt;-1),-ABS((AU10-TRUNC(AU10,0))*60),ABS((AU10-TRUNC(AU10,0))*60))</f>
        <v>20.000000000000142</v>
      </c>
      <c r="BC10" s="5">
        <f t="shared" ref="BC10:BC34" si="14">TRUNC(AX10,0)</f>
        <v>9</v>
      </c>
      <c r="BD10" s="40">
        <f t="shared" ref="BD10:BD34" si="15">IF(AND(AX10&lt;0,AX10&gt;-1),-ABS((AX10-TRUNC(AX10,0))*60),ABS((AX10-TRUNC(AX10,0))*60))</f>
        <v>0</v>
      </c>
      <c r="BE10" s="26" t="s">
        <v>124</v>
      </c>
      <c r="BF10" s="27" t="s">
        <v>124</v>
      </c>
      <c r="BG10" s="47">
        <f t="shared" ref="BG10:BG34" si="16">IF(ABS(AX10-$AX$10)&lt;=180,(60*DEGREES(ACOS(SIN(RADIANS($AU$10))*SIN(RADIANS(AU10))+COS(RADIANS($AU$10))*COS(RADIANS(AU10))*COS(RADIANS(AX10-$AX$10))))),(60*DEGREES(ACOS(SIN(RADIANS($AU$10))*SIN(RADIANS(AU10))+COS(RADIANS($AU$10))*COS(RADIANS(AU10))*COS(RADIANS(360-ABS(AX10-$AX$10)))))))</f>
        <v>0</v>
      </c>
    </row>
    <row r="11" spans="1:62" x14ac:dyDescent="0.3">
      <c r="A11" s="38">
        <v>1</v>
      </c>
      <c r="B11" s="38">
        <v>10</v>
      </c>
      <c r="C11" s="38">
        <v>330</v>
      </c>
      <c r="D11" s="42">
        <f t="shared" si="0"/>
        <v>0.16126415971550273</v>
      </c>
      <c r="E11">
        <f t="shared" si="1"/>
        <v>195</v>
      </c>
      <c r="F11" s="42">
        <f>D10*(A11-A10)</f>
        <v>0.1612595390256705</v>
      </c>
      <c r="G11" s="42">
        <f>G10+F11</f>
        <v>0.1612595390256705</v>
      </c>
      <c r="H11" s="42">
        <f t="shared" si="2"/>
        <v>2479.1550003330235</v>
      </c>
      <c r="I11" s="42">
        <f t="shared" ref="I11:I34" si="17">IF(OR(E10=90,E10=270),ABS(F11/SIN(RADIANS(E10)))/60,ABS(F11*SIN(RADIANS(E10))*(((H11-H10)/60)/(M11-M10)))/60)</f>
        <v>8.8310313119829733E-4</v>
      </c>
      <c r="J11" s="42">
        <f t="shared" ref="J11:J34" si="18">F11*COS(RADIANS(E10))/60</f>
        <v>-2.5960792246727507E-3</v>
      </c>
      <c r="K11" s="42">
        <f t="shared" ref="K11:K34" si="19">IF(E10&lt;=180,-I11,I11)</f>
        <v>8.8310313119829733E-4</v>
      </c>
      <c r="L11" s="42">
        <f t="shared" ref="L11:L34" si="20">L10+K11</f>
        <v>9.0008831031311978</v>
      </c>
      <c r="M11" s="42">
        <f t="shared" ref="M11:M34" si="21">M10+J11</f>
        <v>38.330737254108662</v>
      </c>
      <c r="N11" s="42">
        <f t="shared" ref="N11:N34" si="22">IF(L11&gt;180,-180+(L11-180),IF(L11&lt;-180,180+(L11+180),L11))</f>
        <v>9.0008831031311978</v>
      </c>
      <c r="O11">
        <f t="shared" si="3"/>
        <v>0.5</v>
      </c>
      <c r="P11">
        <f t="shared" ref="P11:P34" si="23">O10*(A11-A10)</f>
        <v>0.5</v>
      </c>
      <c r="Q11">
        <f t="shared" ref="Q11:Q34" si="24">TRUNC(MOD($C11+180,360))</f>
        <v>150</v>
      </c>
      <c r="R11">
        <f t="shared" ref="R11:R34" si="25">TRUNC(MOD($C11+180-$K$4,360))</f>
        <v>135</v>
      </c>
      <c r="S11">
        <f t="shared" ref="S11:S34" si="26">TRUNC(MOD($C11+180+$K$4,360))</f>
        <v>165</v>
      </c>
      <c r="T11">
        <f t="shared" si="4"/>
        <v>2478.803044985596</v>
      </c>
      <c r="U11">
        <f t="shared" ref="U11:U34" si="27">(LN(TAN(RADIANS(45+AJ11/2))*POWER((1-$H$6*SIN(RADIANS(AJ11)))/(1+$H$6*SIN(RADIANS(AJ11))),$H$6/2)))*180*60/PI()</f>
        <v>2478.9039131377281</v>
      </c>
      <c r="V11">
        <f t="shared" ref="V11:V34" si="28">(LN(TAN(RADIANS(45+AK11/2))*POWER((1-$H$6*SIN(RADIANS(AK11)))/(1+$H$6*SIN(RADIANS(AK11))),$H$6/2)))*180*60/PI()</f>
        <v>2478.7396375656258</v>
      </c>
      <c r="W11" s="42">
        <f>IF(OR(Q10=90,Q10=270),ABS($P11/SIN(RADIANS(Q10)))/60,ABS($P11*SIN(RADIANS(Q10))*(((T11-T10)/60)/(AI11-AI10)))/60)</f>
        <v>5.2895147019034524E-3</v>
      </c>
      <c r="X11" s="42">
        <f t="shared" ref="X11:Y11" si="29">IF(OR(R10=90,R10=270),ABS($P11/SIN(RADIANS(R10)))/60,ABS($P11*SIN(RADIANS(R10))*(((U11-U10)/60)/(AJ11-AJ10)))/60)</f>
        <v>7.4805723422176887E-3</v>
      </c>
      <c r="Y11" s="42">
        <f t="shared" si="29"/>
        <v>2.7380384327020126E-3</v>
      </c>
      <c r="Z11" s="42">
        <f>$P11*COS(RADIANS(Q10))/60</f>
        <v>-7.2168783648703227E-3</v>
      </c>
      <c r="AA11" s="42">
        <f t="shared" ref="AA11:AB11" si="30">$P11*COS(RADIANS(R10))/60</f>
        <v>-5.8925565098878951E-3</v>
      </c>
      <c r="AB11" s="42">
        <f t="shared" si="30"/>
        <v>-8.0493818857422343E-3</v>
      </c>
      <c r="AC11" s="42">
        <f>IF(Q10&lt;=180,-W11,W11)</f>
        <v>-5.2895147019034524E-3</v>
      </c>
      <c r="AD11" s="42">
        <f t="shared" ref="AD11:AE11" si="31">IF(R10&lt;=180,-X11,X11)</f>
        <v>-7.4805723422176887E-3</v>
      </c>
      <c r="AE11" s="42">
        <f t="shared" si="31"/>
        <v>-2.7380384327020126E-3</v>
      </c>
      <c r="AF11" s="42">
        <f>AF10+AC11</f>
        <v>8.9947104852980964</v>
      </c>
      <c r="AG11" s="42">
        <f t="shared" ref="AG11:AH11" si="32">AG10+AD11</f>
        <v>8.9925194276577827</v>
      </c>
      <c r="AH11" s="42">
        <f t="shared" si="32"/>
        <v>8.9972619615672986</v>
      </c>
      <c r="AI11" s="42">
        <f t="shared" ref="AI11:AI34" si="33">AI10+Z11</f>
        <v>38.326116454968464</v>
      </c>
      <c r="AJ11" s="42">
        <f t="shared" ref="AJ11" si="34">AJ10+AA11</f>
        <v>38.327440776823451</v>
      </c>
      <c r="AK11" s="42">
        <f t="shared" ref="AK11" si="35">AK10+AB11</f>
        <v>38.325283951447595</v>
      </c>
      <c r="AL11" s="42">
        <f t="shared" ref="AL11:AL34" si="36">IF(AF11&gt;180,-180+(AF11-180),IF(AF11&lt;-180,180+(AF11+180),AF11))</f>
        <v>8.9947104852980964</v>
      </c>
      <c r="AM11" s="42">
        <f t="shared" ref="AM11:AM34" si="37">IF(AG11&gt;180,-180+(AG11-180),IF(AG11&lt;-180,180+(AG11+180),AG11))</f>
        <v>8.9925194276577827</v>
      </c>
      <c r="AN11" s="42">
        <f t="shared" ref="AN11:AN34" si="38">IF(AH11&gt;180,-180+(AH11-180),IF(AH11&lt;-180,180+(AH11+180),AH11))</f>
        <v>8.9972619615672986</v>
      </c>
      <c r="AO11" s="42">
        <f>$J11+Z11</f>
        <v>-9.812957589543073E-3</v>
      </c>
      <c r="AP11" s="42">
        <f t="shared" ref="AP11:AQ11" si="39">$J11+AA11</f>
        <v>-8.4886357345606463E-3</v>
      </c>
      <c r="AQ11" s="42">
        <f t="shared" si="39"/>
        <v>-1.0645461110414985E-2</v>
      </c>
      <c r="AR11" s="42">
        <f>$K11+AC11</f>
        <v>-4.4064115707051548E-3</v>
      </c>
      <c r="AS11" s="42">
        <f t="shared" ref="AS11:AT11" si="40">$K11+AD11</f>
        <v>-6.5974692110193911E-3</v>
      </c>
      <c r="AT11" s="42">
        <f t="shared" si="40"/>
        <v>-1.8549353015037153E-3</v>
      </c>
      <c r="AU11" s="42">
        <f>AU10+AO11</f>
        <v>38.32352037574379</v>
      </c>
      <c r="AV11" s="42">
        <f t="shared" ref="AV11:AW11" si="41">AV10+AP11</f>
        <v>38.324844697598778</v>
      </c>
      <c r="AW11" s="42">
        <f t="shared" si="41"/>
        <v>38.322687872222922</v>
      </c>
      <c r="AX11" s="42">
        <f>AX10+AR11</f>
        <v>8.9955935884292941</v>
      </c>
      <c r="AY11" s="42">
        <f t="shared" ref="AY11:AZ11" si="42">AY10+AS11</f>
        <v>8.9934025307889804</v>
      </c>
      <c r="AZ11" s="42">
        <f t="shared" si="42"/>
        <v>8.9981450646984964</v>
      </c>
      <c r="BA11" s="5">
        <f t="shared" si="12"/>
        <v>38</v>
      </c>
      <c r="BB11" s="40">
        <f t="shared" si="13"/>
        <v>19.411222544627407</v>
      </c>
      <c r="BC11" s="5">
        <f t="shared" si="14"/>
        <v>8</v>
      </c>
      <c r="BD11" s="40">
        <f t="shared" si="15"/>
        <v>59.735615305757648</v>
      </c>
      <c r="BE11" s="46">
        <f t="shared" ref="BE11:BE34" si="43">DEGREES(ATAN2(COS(RADIANS($AU$10))*SIN(RADIANS(AU11))-SIN(RADIANS($AU$10))*COS(RADIANS(AU11))*COS(RADIANS(AX11-$AX$10)),SIN(RADIANS(AX11-$AX$10))*COS(RADIANS(AU11))))</f>
        <v>-160.59341624791656</v>
      </c>
      <c r="BF11" s="9">
        <f>IF(BE11&lt;=0,-1*BE11,360-BE11)</f>
        <v>160.59341624791656</v>
      </c>
      <c r="BG11" s="47">
        <f t="shared" si="16"/>
        <v>0.62423896476877228</v>
      </c>
    </row>
    <row r="12" spans="1:62" x14ac:dyDescent="0.3">
      <c r="A12" s="38">
        <v>2</v>
      </c>
      <c r="B12" s="38">
        <v>10</v>
      </c>
      <c r="C12" s="38">
        <v>330</v>
      </c>
      <c r="D12" s="42">
        <f t="shared" si="0"/>
        <v>0.16126878110053469</v>
      </c>
      <c r="E12">
        <f t="shared" si="1"/>
        <v>195</v>
      </c>
      <c r="F12" s="42">
        <f t="shared" ref="F12:F34" si="44">D11*(A12-A11)</f>
        <v>0.16126415971550273</v>
      </c>
      <c r="G12" s="42">
        <f t="shared" ref="G12:G34" si="45">G11+F12</f>
        <v>0.32252369874117326</v>
      </c>
      <c r="H12" s="42">
        <f t="shared" si="2"/>
        <v>2478.9572546644781</v>
      </c>
      <c r="I12" s="42">
        <f t="shared" si="17"/>
        <v>8.8309653655793284E-4</v>
      </c>
      <c r="J12" s="42">
        <f t="shared" si="18"/>
        <v>-2.5961536120668208E-3</v>
      </c>
      <c r="K12" s="42">
        <f t="shared" si="19"/>
        <v>8.8309653655793284E-4</v>
      </c>
      <c r="L12" s="42">
        <f t="shared" si="20"/>
        <v>9.001766199667756</v>
      </c>
      <c r="M12" s="42">
        <f t="shared" si="21"/>
        <v>38.328141100496595</v>
      </c>
      <c r="N12" s="42">
        <f t="shared" si="22"/>
        <v>9.001766199667756</v>
      </c>
      <c r="O12">
        <f t="shared" si="3"/>
        <v>0.5</v>
      </c>
      <c r="P12">
        <f t="shared" si="23"/>
        <v>0.5</v>
      </c>
      <c r="Q12">
        <f t="shared" si="24"/>
        <v>150</v>
      </c>
      <c r="R12">
        <f t="shared" si="25"/>
        <v>135</v>
      </c>
      <c r="S12">
        <f t="shared" si="26"/>
        <v>165</v>
      </c>
      <c r="T12">
        <f t="shared" si="4"/>
        <v>2478.2533976776294</v>
      </c>
      <c r="U12">
        <f t="shared" si="27"/>
        <v>2478.4551155894114</v>
      </c>
      <c r="V12">
        <f t="shared" si="28"/>
        <v>2478.1265963008577</v>
      </c>
      <c r="W12" s="42">
        <f t="shared" ref="W12:W34" si="46">IF(OR(Q11=90,Q11=270),ABS($P12/SIN(RADIANS(Q11)))/60,ABS($P12*SIN(RADIANS(Q11))*(((T12-T11)/60)/(AI12-AI11)))/60)</f>
        <v>5.2889836868960927E-3</v>
      </c>
      <c r="X12" s="42">
        <f t="shared" ref="X12:X34" si="47">IF(OR(R11=90,R11=270),ABS($P12/SIN(RADIANS(R11)))/60,ABS($P12*SIN(RADIANS(R11))*(((U12-U11)/60)/(AJ12-AJ11)))/60)</f>
        <v>7.4799591386147122E-3</v>
      </c>
      <c r="Y12" s="42">
        <f t="shared" ref="Y12:Y34" si="48">IF(OR(S11=90,S11=270),ABS($P12/SIN(RADIANS(S11)))/60,ABS($P12*SIN(RADIANS(S11))*(((V12-V11)/60)/(AK12-AK11)))/60)</f>
        <v>2.73773186369322E-3</v>
      </c>
      <c r="Z12" s="42">
        <f t="shared" ref="Z12:Z34" si="49">$P12*COS(RADIANS(Q11))/60</f>
        <v>-7.2168783648703227E-3</v>
      </c>
      <c r="AA12" s="42">
        <f t="shared" ref="AA12:AA34" si="50">$P12*COS(RADIANS(R11))/60</f>
        <v>-5.8925565098878951E-3</v>
      </c>
      <c r="AB12" s="42">
        <f t="shared" ref="AB12:AB34" si="51">$P12*COS(RADIANS(S11))/60</f>
        <v>-8.0493818857422343E-3</v>
      </c>
      <c r="AC12" s="42">
        <f t="shared" ref="AC12:AC34" si="52">IF(Q11&lt;=180,-W12,W12)</f>
        <v>-5.2889836868960927E-3</v>
      </c>
      <c r="AD12" s="42">
        <f t="shared" ref="AD12:AD34" si="53">IF(R11&lt;=180,-X12,X12)</f>
        <v>-7.4799591386147122E-3</v>
      </c>
      <c r="AE12" s="42">
        <f t="shared" ref="AE12:AE34" si="54">IF(S11&lt;=180,-Y12,Y12)</f>
        <v>-2.73773186369322E-3</v>
      </c>
      <c r="AF12" s="42">
        <f t="shared" ref="AF12:AF34" si="55">AF11+AC12</f>
        <v>8.9894215016112007</v>
      </c>
      <c r="AG12" s="42">
        <f t="shared" ref="AG12:AG34" si="56">AG11+AD12</f>
        <v>8.9850394685191688</v>
      </c>
      <c r="AH12" s="42">
        <f t="shared" ref="AH12:AH34" si="57">AH11+AE12</f>
        <v>8.9945242297036057</v>
      </c>
      <c r="AI12" s="42">
        <f t="shared" si="33"/>
        <v>38.318899576603592</v>
      </c>
      <c r="AJ12" s="42">
        <f t="shared" ref="AJ12:AJ34" si="58">AJ11+AA12</f>
        <v>38.321548220313566</v>
      </c>
      <c r="AK12" s="42">
        <f t="shared" ref="AK12:AK34" si="59">AK11+AB12</f>
        <v>38.317234569561855</v>
      </c>
      <c r="AL12" s="42">
        <f t="shared" si="36"/>
        <v>8.9894215016112007</v>
      </c>
      <c r="AM12" s="42">
        <f t="shared" si="37"/>
        <v>8.9850394685191688</v>
      </c>
      <c r="AN12" s="42">
        <f t="shared" si="38"/>
        <v>8.9945242297036057</v>
      </c>
      <c r="AO12" s="42">
        <f t="shared" ref="AO12:AO34" si="60">$J12+Z12</f>
        <v>-9.8130319769371439E-3</v>
      </c>
      <c r="AP12" s="42">
        <f t="shared" ref="AP12:AP34" si="61">$J12+AA12</f>
        <v>-8.4887101219547154E-3</v>
      </c>
      <c r="AQ12" s="42">
        <f t="shared" ref="AQ12:AQ34" si="62">$J12+AB12</f>
        <v>-1.0645535497809056E-2</v>
      </c>
      <c r="AR12" s="42">
        <f t="shared" ref="AR12:AR34" si="63">$K12+AC12</f>
        <v>-4.4058871503381601E-3</v>
      </c>
      <c r="AS12" s="42">
        <f t="shared" ref="AS12:AS34" si="64">$K12+AD12</f>
        <v>-6.5968626020567796E-3</v>
      </c>
      <c r="AT12" s="42">
        <f t="shared" ref="AT12:AT34" si="65">$K12+AE12</f>
        <v>-1.8546353271352871E-3</v>
      </c>
      <c r="AU12" s="42">
        <f t="shared" ref="AU12:AU34" si="66">AU11+AO12</f>
        <v>38.31370734376685</v>
      </c>
      <c r="AV12" s="42">
        <f t="shared" ref="AV12:AV34" si="67">AV11+AP12</f>
        <v>38.316355987476825</v>
      </c>
      <c r="AW12" s="42">
        <f t="shared" ref="AW12:AW34" si="68">AW11+AQ12</f>
        <v>38.312042336725114</v>
      </c>
      <c r="AX12" s="42">
        <f t="shared" ref="AX12:AX34" si="69">AX11+AR12</f>
        <v>8.9911877012789567</v>
      </c>
      <c r="AY12" s="42">
        <f t="shared" ref="AY12:AY34" si="70">AY11+AS12</f>
        <v>8.9868056681869231</v>
      </c>
      <c r="AZ12" s="42">
        <f t="shared" ref="AZ12:AZ34" si="71">AZ11+AT12</f>
        <v>8.9962904293713617</v>
      </c>
      <c r="BA12" s="5">
        <f t="shared" si="12"/>
        <v>38</v>
      </c>
      <c r="BB12" s="40">
        <f t="shared" si="13"/>
        <v>18.82244062601103</v>
      </c>
      <c r="BC12" s="5">
        <f t="shared" si="14"/>
        <v>8</v>
      </c>
      <c r="BD12" s="40">
        <f t="shared" si="15"/>
        <v>59.471262076737403</v>
      </c>
      <c r="BE12" s="46">
        <f t="shared" si="43"/>
        <v>-160.59197134623201</v>
      </c>
      <c r="BF12" s="9">
        <f t="shared" ref="BF12:BF34" si="72">IF(BE12&lt;=0,-1*BE12,360-BE12)</f>
        <v>160.59197134623201</v>
      </c>
      <c r="BG12" s="47">
        <f t="shared" si="16"/>
        <v>1.2484832723869828</v>
      </c>
    </row>
    <row r="13" spans="1:62" x14ac:dyDescent="0.3">
      <c r="A13" s="38">
        <v>3</v>
      </c>
      <c r="B13" s="38">
        <v>10</v>
      </c>
      <c r="C13" s="38">
        <v>300</v>
      </c>
      <c r="D13" s="42">
        <f t="shared" si="0"/>
        <v>0.1612734031809249</v>
      </c>
      <c r="E13">
        <f t="shared" si="1"/>
        <v>165</v>
      </c>
      <c r="F13" s="42">
        <f t="shared" si="44"/>
        <v>0.16126878110053469</v>
      </c>
      <c r="G13" s="42">
        <f t="shared" si="45"/>
        <v>0.48379247984170792</v>
      </c>
      <c r="H13" s="42">
        <f t="shared" si="2"/>
        <v>2478.7595104714669</v>
      </c>
      <c r="I13" s="42">
        <f t="shared" si="17"/>
        <v>8.8308994708831E-4</v>
      </c>
      <c r="J13" s="42">
        <f t="shared" si="18"/>
        <v>-2.5962280106527477E-3</v>
      </c>
      <c r="K13" s="42">
        <f t="shared" si="19"/>
        <v>8.8308994708831E-4</v>
      </c>
      <c r="L13" s="42">
        <f t="shared" si="20"/>
        <v>9.002649289614844</v>
      </c>
      <c r="M13" s="42">
        <f t="shared" si="21"/>
        <v>38.325544872485942</v>
      </c>
      <c r="N13" s="42">
        <f t="shared" si="22"/>
        <v>9.002649289614844</v>
      </c>
      <c r="O13">
        <f t="shared" si="3"/>
        <v>0.5</v>
      </c>
      <c r="P13">
        <f t="shared" si="23"/>
        <v>0.5</v>
      </c>
      <c r="Q13">
        <f t="shared" si="24"/>
        <v>120</v>
      </c>
      <c r="R13">
        <f t="shared" si="25"/>
        <v>105</v>
      </c>
      <c r="S13">
        <f t="shared" si="26"/>
        <v>135</v>
      </c>
      <c r="T13">
        <f t="shared" si="4"/>
        <v>2477.703805534627</v>
      </c>
      <c r="U13">
        <f t="shared" si="27"/>
        <v>2478.0063548225653</v>
      </c>
      <c r="V13">
        <f t="shared" si="28"/>
        <v>2477.5136236565781</v>
      </c>
      <c r="W13" s="42">
        <f t="shared" si="46"/>
        <v>5.2884528617813129E-3</v>
      </c>
      <c r="X13" s="42">
        <f t="shared" si="47"/>
        <v>7.4793461141064001E-3</v>
      </c>
      <c r="Y13" s="42">
        <f t="shared" si="48"/>
        <v>2.7374254169519616E-3</v>
      </c>
      <c r="Z13" s="42">
        <f t="shared" si="49"/>
        <v>-7.2168783648703227E-3</v>
      </c>
      <c r="AA13" s="42">
        <f t="shared" si="50"/>
        <v>-5.8925565098878951E-3</v>
      </c>
      <c r="AB13" s="42">
        <f t="shared" si="51"/>
        <v>-8.0493818857422343E-3</v>
      </c>
      <c r="AC13" s="42">
        <f t="shared" si="52"/>
        <v>-5.2884528617813129E-3</v>
      </c>
      <c r="AD13" s="42">
        <f t="shared" si="53"/>
        <v>-7.4793461141064001E-3</v>
      </c>
      <c r="AE13" s="42">
        <f t="shared" si="54"/>
        <v>-2.7374254169519616E-3</v>
      </c>
      <c r="AF13" s="42">
        <f t="shared" si="55"/>
        <v>8.9841330487494186</v>
      </c>
      <c r="AG13" s="42">
        <f t="shared" si="56"/>
        <v>8.9775601224050625</v>
      </c>
      <c r="AH13" s="42">
        <f t="shared" si="57"/>
        <v>8.9917868042866544</v>
      </c>
      <c r="AI13" s="42">
        <f t="shared" si="33"/>
        <v>38.31168269823872</v>
      </c>
      <c r="AJ13" s="42">
        <f t="shared" si="58"/>
        <v>38.315655663803682</v>
      </c>
      <c r="AK13" s="42">
        <f t="shared" si="59"/>
        <v>38.309185187676114</v>
      </c>
      <c r="AL13" s="42">
        <f t="shared" si="36"/>
        <v>8.9841330487494186</v>
      </c>
      <c r="AM13" s="42">
        <f t="shared" si="37"/>
        <v>8.9775601224050625</v>
      </c>
      <c r="AN13" s="42">
        <f t="shared" si="38"/>
        <v>8.9917868042866544</v>
      </c>
      <c r="AO13" s="42">
        <f t="shared" si="60"/>
        <v>-9.8131063755230695E-3</v>
      </c>
      <c r="AP13" s="42">
        <f t="shared" si="61"/>
        <v>-8.4887845205406428E-3</v>
      </c>
      <c r="AQ13" s="42">
        <f t="shared" si="62"/>
        <v>-1.0645609896394983E-2</v>
      </c>
      <c r="AR13" s="42">
        <f t="shared" si="63"/>
        <v>-4.4053629146930031E-3</v>
      </c>
      <c r="AS13" s="42">
        <f t="shared" si="64"/>
        <v>-6.5962561670180903E-3</v>
      </c>
      <c r="AT13" s="42">
        <f t="shared" si="65"/>
        <v>-1.8543354698636516E-3</v>
      </c>
      <c r="AU13" s="42">
        <f t="shared" si="66"/>
        <v>38.303894237391326</v>
      </c>
      <c r="AV13" s="42">
        <f t="shared" si="67"/>
        <v>38.307867202956288</v>
      </c>
      <c r="AW13" s="42">
        <f t="shared" si="68"/>
        <v>38.30139672682872</v>
      </c>
      <c r="AX13" s="42">
        <f t="shared" si="69"/>
        <v>8.9867823383642644</v>
      </c>
      <c r="AY13" s="42">
        <f t="shared" si="70"/>
        <v>8.9802094120199047</v>
      </c>
      <c r="AZ13" s="42">
        <f t="shared" si="71"/>
        <v>8.9944360939014985</v>
      </c>
      <c r="BA13" s="5">
        <f t="shared" si="12"/>
        <v>38</v>
      </c>
      <c r="BB13" s="40">
        <f t="shared" si="13"/>
        <v>18.233654243479549</v>
      </c>
      <c r="BC13" s="5">
        <f t="shared" si="14"/>
        <v>8</v>
      </c>
      <c r="BD13" s="40">
        <f t="shared" si="15"/>
        <v>59.206940301855866</v>
      </c>
      <c r="BE13" s="46">
        <f t="shared" si="43"/>
        <v>-160.5905268651218</v>
      </c>
      <c r="BF13" s="9">
        <f t="shared" si="72"/>
        <v>160.5905268651218</v>
      </c>
      <c r="BG13" s="47">
        <f t="shared" si="16"/>
        <v>1.8727329115015781</v>
      </c>
    </row>
    <row r="14" spans="1:62" x14ac:dyDescent="0.3">
      <c r="A14" s="38">
        <v>4</v>
      </c>
      <c r="B14" s="38">
        <v>10</v>
      </c>
      <c r="C14" s="38">
        <v>300</v>
      </c>
      <c r="D14" s="42">
        <f t="shared" si="0"/>
        <v>0.1612780259568318</v>
      </c>
      <c r="E14">
        <f t="shared" si="1"/>
        <v>165</v>
      </c>
      <c r="F14" s="42">
        <f t="shared" si="44"/>
        <v>0.1612734031809249</v>
      </c>
      <c r="G14" s="42">
        <f t="shared" si="45"/>
        <v>0.64506588302263279</v>
      </c>
      <c r="H14" s="42">
        <f t="shared" si="2"/>
        <v>2478.5617677528357</v>
      </c>
      <c r="I14" s="42">
        <f t="shared" si="17"/>
        <v>8.8308336277163467E-4</v>
      </c>
      <c r="J14" s="42">
        <f t="shared" si="18"/>
        <v>-2.596302420433082E-3</v>
      </c>
      <c r="K14" s="42">
        <f t="shared" si="19"/>
        <v>-8.8308336277163467E-4</v>
      </c>
      <c r="L14" s="42">
        <f t="shared" si="20"/>
        <v>9.0017662062520731</v>
      </c>
      <c r="M14" s="42">
        <f t="shared" si="21"/>
        <v>38.322948570065506</v>
      </c>
      <c r="N14" s="42">
        <f t="shared" si="22"/>
        <v>9.0017662062520731</v>
      </c>
      <c r="O14">
        <f t="shared" si="3"/>
        <v>0.5</v>
      </c>
      <c r="P14">
        <f t="shared" si="23"/>
        <v>0.5</v>
      </c>
      <c r="Q14">
        <f t="shared" si="24"/>
        <v>120</v>
      </c>
      <c r="R14">
        <f t="shared" si="25"/>
        <v>105</v>
      </c>
      <c r="S14">
        <f t="shared" si="26"/>
        <v>135</v>
      </c>
      <c r="T14">
        <f t="shared" si="4"/>
        <v>2477.386523474117</v>
      </c>
      <c r="U14">
        <f t="shared" si="27"/>
        <v>2477.8421061749277</v>
      </c>
      <c r="V14">
        <f t="shared" si="28"/>
        <v>2477.06494002516</v>
      </c>
      <c r="W14" s="42">
        <f t="shared" si="46"/>
        <v>9.1591441522177932E-3</v>
      </c>
      <c r="X14" s="42">
        <f t="shared" si="47"/>
        <v>1.0216404967624442E-2</v>
      </c>
      <c r="Y14" s="42">
        <f t="shared" si="48"/>
        <v>7.4780605236397252E-3</v>
      </c>
      <c r="Z14" s="42">
        <f t="shared" si="49"/>
        <v>-4.1666666666666649E-3</v>
      </c>
      <c r="AA14" s="42">
        <f t="shared" si="50"/>
        <v>-2.1568253758543405E-3</v>
      </c>
      <c r="AB14" s="42">
        <f t="shared" si="51"/>
        <v>-5.8925565098878951E-3</v>
      </c>
      <c r="AC14" s="42">
        <f t="shared" si="52"/>
        <v>-9.1591441522177932E-3</v>
      </c>
      <c r="AD14" s="42">
        <f t="shared" si="53"/>
        <v>-1.0216404967624442E-2</v>
      </c>
      <c r="AE14" s="42">
        <f t="shared" si="54"/>
        <v>-7.4780605236397252E-3</v>
      </c>
      <c r="AF14" s="42">
        <f t="shared" si="55"/>
        <v>8.974973904597201</v>
      </c>
      <c r="AG14" s="42">
        <f t="shared" si="56"/>
        <v>8.9673437174374389</v>
      </c>
      <c r="AH14" s="42">
        <f t="shared" si="57"/>
        <v>8.9843087437630142</v>
      </c>
      <c r="AI14" s="42">
        <f t="shared" si="33"/>
        <v>38.30751603157205</v>
      </c>
      <c r="AJ14" s="42">
        <f t="shared" si="58"/>
        <v>38.313498838427826</v>
      </c>
      <c r="AK14" s="42">
        <f t="shared" si="59"/>
        <v>38.303292631166229</v>
      </c>
      <c r="AL14" s="42">
        <f t="shared" si="36"/>
        <v>8.974973904597201</v>
      </c>
      <c r="AM14" s="42">
        <f t="shared" si="37"/>
        <v>8.9673437174374389</v>
      </c>
      <c r="AN14" s="42">
        <f t="shared" si="38"/>
        <v>8.9843087437630142</v>
      </c>
      <c r="AO14" s="42">
        <f t="shared" si="60"/>
        <v>-6.7629690870997464E-3</v>
      </c>
      <c r="AP14" s="42">
        <f t="shared" si="61"/>
        <v>-4.7531277962874225E-3</v>
      </c>
      <c r="AQ14" s="42">
        <f t="shared" si="62"/>
        <v>-8.4888589303209767E-3</v>
      </c>
      <c r="AR14" s="42">
        <f t="shared" si="63"/>
        <v>-1.0042227514989429E-2</v>
      </c>
      <c r="AS14" s="42">
        <f t="shared" si="64"/>
        <v>-1.1099488330396078E-2</v>
      </c>
      <c r="AT14" s="42">
        <f t="shared" si="65"/>
        <v>-8.3611438864113607E-3</v>
      </c>
      <c r="AU14" s="42">
        <f t="shared" si="66"/>
        <v>38.297131268304227</v>
      </c>
      <c r="AV14" s="42">
        <f t="shared" si="67"/>
        <v>38.303114075160003</v>
      </c>
      <c r="AW14" s="42">
        <f t="shared" si="68"/>
        <v>38.2929078678984</v>
      </c>
      <c r="AX14" s="42">
        <f t="shared" si="69"/>
        <v>8.9767401108492741</v>
      </c>
      <c r="AY14" s="42">
        <f t="shared" si="70"/>
        <v>8.9691099236895084</v>
      </c>
      <c r="AZ14" s="42">
        <f t="shared" si="71"/>
        <v>8.9860749500150874</v>
      </c>
      <c r="BA14" s="5">
        <f t="shared" si="12"/>
        <v>38</v>
      </c>
      <c r="BB14" s="40">
        <f t="shared" si="13"/>
        <v>17.827876098253626</v>
      </c>
      <c r="BC14" s="5">
        <f t="shared" si="14"/>
        <v>8</v>
      </c>
      <c r="BD14" s="40">
        <f t="shared" si="15"/>
        <v>58.604406650956449</v>
      </c>
      <c r="BE14" s="46">
        <f t="shared" si="43"/>
        <v>-153.23946320716493</v>
      </c>
      <c r="BF14" s="9">
        <f t="shared" si="72"/>
        <v>153.23946320716493</v>
      </c>
      <c r="BG14" s="47">
        <f t="shared" si="16"/>
        <v>2.4325180894041032</v>
      </c>
    </row>
    <row r="15" spans="1:62" x14ac:dyDescent="0.3">
      <c r="A15" s="38">
        <v>5</v>
      </c>
      <c r="B15" s="38">
        <v>10</v>
      </c>
      <c r="C15" s="38">
        <v>300</v>
      </c>
      <c r="D15" s="42">
        <f t="shared" si="0"/>
        <v>0.16128264942841394</v>
      </c>
      <c r="E15">
        <f t="shared" si="1"/>
        <v>165</v>
      </c>
      <c r="F15" s="42">
        <f t="shared" si="44"/>
        <v>0.1612780259568318</v>
      </c>
      <c r="G15" s="42">
        <f t="shared" si="45"/>
        <v>0.80634390897946462</v>
      </c>
      <c r="H15" s="42">
        <f t="shared" si="2"/>
        <v>2478.3640265074228</v>
      </c>
      <c r="I15" s="42">
        <f t="shared" si="17"/>
        <v>8.8307678364571353E-4</v>
      </c>
      <c r="J15" s="42">
        <f t="shared" si="18"/>
        <v>-2.5963768414103759E-3</v>
      </c>
      <c r="K15" s="42">
        <f t="shared" si="19"/>
        <v>-8.8307678364571353E-4</v>
      </c>
      <c r="L15" s="42">
        <f t="shared" si="20"/>
        <v>9.0008831294684271</v>
      </c>
      <c r="M15" s="42">
        <f t="shared" si="21"/>
        <v>38.320352193224096</v>
      </c>
      <c r="N15" s="42">
        <f t="shared" si="22"/>
        <v>9.0008831294684271</v>
      </c>
      <c r="O15">
        <f t="shared" si="3"/>
        <v>0.5</v>
      </c>
      <c r="P15">
        <f t="shared" si="23"/>
        <v>0.5</v>
      </c>
      <c r="Q15">
        <f t="shared" si="24"/>
        <v>120</v>
      </c>
      <c r="R15">
        <f t="shared" si="25"/>
        <v>105</v>
      </c>
      <c r="S15">
        <f t="shared" si="26"/>
        <v>135</v>
      </c>
      <c r="T15">
        <f t="shared" si="4"/>
        <v>2477.0692597915586</v>
      </c>
      <c r="U15">
        <f t="shared" si="27"/>
        <v>2477.6778624531062</v>
      </c>
      <c r="V15">
        <f t="shared" si="28"/>
        <v>2476.616293141949</v>
      </c>
      <c r="W15" s="42">
        <f t="shared" si="46"/>
        <v>9.158613626452065E-3</v>
      </c>
      <c r="X15" s="42">
        <f t="shared" si="47"/>
        <v>1.0216098577696304E-2</v>
      </c>
      <c r="Y15" s="42">
        <f t="shared" si="48"/>
        <v>7.4774480535214878E-3</v>
      </c>
      <c r="Z15" s="42">
        <f t="shared" si="49"/>
        <v>-4.1666666666666649E-3</v>
      </c>
      <c r="AA15" s="42">
        <f t="shared" si="50"/>
        <v>-2.1568253758543405E-3</v>
      </c>
      <c r="AB15" s="42">
        <f t="shared" si="51"/>
        <v>-5.8925565098878951E-3</v>
      </c>
      <c r="AC15" s="42">
        <f t="shared" si="52"/>
        <v>-9.158613626452065E-3</v>
      </c>
      <c r="AD15" s="42">
        <f t="shared" si="53"/>
        <v>-1.0216098577696304E-2</v>
      </c>
      <c r="AE15" s="42">
        <f t="shared" si="54"/>
        <v>-7.4774480535214878E-3</v>
      </c>
      <c r="AF15" s="42">
        <f t="shared" si="55"/>
        <v>8.9658152909707489</v>
      </c>
      <c r="AG15" s="42">
        <f t="shared" si="56"/>
        <v>8.957127618859742</v>
      </c>
      <c r="AH15" s="42">
        <f t="shared" si="57"/>
        <v>8.9768312957094931</v>
      </c>
      <c r="AI15" s="42">
        <f t="shared" si="33"/>
        <v>38.30334936490538</v>
      </c>
      <c r="AJ15" s="42">
        <f t="shared" si="58"/>
        <v>38.31134201305197</v>
      </c>
      <c r="AK15" s="42">
        <f t="shared" si="59"/>
        <v>38.297400074656345</v>
      </c>
      <c r="AL15" s="42">
        <f t="shared" si="36"/>
        <v>8.9658152909707489</v>
      </c>
      <c r="AM15" s="42">
        <f t="shared" si="37"/>
        <v>8.957127618859742</v>
      </c>
      <c r="AN15" s="42">
        <f t="shared" si="38"/>
        <v>8.9768312957094931</v>
      </c>
      <c r="AO15" s="42">
        <f t="shared" si="60"/>
        <v>-6.7630435080770403E-3</v>
      </c>
      <c r="AP15" s="42">
        <f t="shared" si="61"/>
        <v>-4.7532022172647164E-3</v>
      </c>
      <c r="AQ15" s="42">
        <f t="shared" si="62"/>
        <v>-8.4889333512982706E-3</v>
      </c>
      <c r="AR15" s="42">
        <f t="shared" si="63"/>
        <v>-1.0041690410097779E-2</v>
      </c>
      <c r="AS15" s="42">
        <f t="shared" si="64"/>
        <v>-1.1099175361342018E-2</v>
      </c>
      <c r="AT15" s="42">
        <f t="shared" si="65"/>
        <v>-8.3605248371672013E-3</v>
      </c>
      <c r="AU15" s="42">
        <f t="shared" si="66"/>
        <v>38.290368224796147</v>
      </c>
      <c r="AV15" s="42">
        <f t="shared" si="67"/>
        <v>38.298360872942737</v>
      </c>
      <c r="AW15" s="42">
        <f t="shared" si="68"/>
        <v>38.284418934547105</v>
      </c>
      <c r="AX15" s="42">
        <f t="shared" si="69"/>
        <v>8.966698420439176</v>
      </c>
      <c r="AY15" s="42">
        <f t="shared" si="70"/>
        <v>8.9580107483281672</v>
      </c>
      <c r="AZ15" s="42">
        <f t="shared" si="71"/>
        <v>8.9777144251779202</v>
      </c>
      <c r="BA15" s="5">
        <f t="shared" si="12"/>
        <v>38</v>
      </c>
      <c r="BB15" s="40">
        <f t="shared" si="13"/>
        <v>17.422093487768819</v>
      </c>
      <c r="BC15" s="5">
        <f t="shared" si="14"/>
        <v>8</v>
      </c>
      <c r="BD15" s="40">
        <f t="shared" si="15"/>
        <v>58.001905226350559</v>
      </c>
      <c r="BE15" s="46">
        <f t="shared" si="43"/>
        <v>-148.68302903885973</v>
      </c>
      <c r="BF15" s="9">
        <f t="shared" si="72"/>
        <v>148.68302903885973</v>
      </c>
      <c r="BG15" s="47">
        <f t="shared" si="16"/>
        <v>3.0172177298243552</v>
      </c>
    </row>
    <row r="16" spans="1:62" x14ac:dyDescent="0.3">
      <c r="A16" s="38">
        <v>6</v>
      </c>
      <c r="B16" s="38">
        <v>10</v>
      </c>
      <c r="C16" s="38">
        <v>270</v>
      </c>
      <c r="D16" s="42">
        <f t="shared" si="0"/>
        <v>0.16128727359582998</v>
      </c>
      <c r="E16">
        <f t="shared" si="1"/>
        <v>135</v>
      </c>
      <c r="F16" s="42">
        <f t="shared" si="44"/>
        <v>0.16128264942841394</v>
      </c>
      <c r="G16" s="42">
        <f t="shared" si="45"/>
        <v>0.96762655840787859</v>
      </c>
      <c r="H16" s="42">
        <f t="shared" si="2"/>
        <v>2478.1662867340738</v>
      </c>
      <c r="I16" s="42">
        <f t="shared" si="17"/>
        <v>8.8307020967205794E-4</v>
      </c>
      <c r="J16" s="42">
        <f t="shared" si="18"/>
        <v>-2.5964512735871807E-3</v>
      </c>
      <c r="K16" s="42">
        <f t="shared" si="19"/>
        <v>-8.8307020967205794E-4</v>
      </c>
      <c r="L16" s="42">
        <f t="shared" si="20"/>
        <v>9.0000000592587543</v>
      </c>
      <c r="M16" s="42">
        <f t="shared" si="21"/>
        <v>38.317755741950506</v>
      </c>
      <c r="N16" s="42">
        <f t="shared" si="22"/>
        <v>9.0000000592587543</v>
      </c>
      <c r="O16">
        <f t="shared" si="3"/>
        <v>0.5</v>
      </c>
      <c r="P16">
        <f t="shared" si="23"/>
        <v>0.5</v>
      </c>
      <c r="Q16">
        <f t="shared" si="24"/>
        <v>90</v>
      </c>
      <c r="R16">
        <f t="shared" si="25"/>
        <v>75</v>
      </c>
      <c r="S16">
        <f t="shared" si="26"/>
        <v>105</v>
      </c>
      <c r="T16">
        <f t="shared" si="4"/>
        <v>2476.7520144831551</v>
      </c>
      <c r="U16">
        <f t="shared" si="27"/>
        <v>2477.5136236565781</v>
      </c>
      <c r="V16">
        <f t="shared" si="28"/>
        <v>2476.1676829962207</v>
      </c>
      <c r="W16" s="42">
        <f t="shared" si="46"/>
        <v>9.1580832102872156E-3</v>
      </c>
      <c r="X16" s="42">
        <f t="shared" si="47"/>
        <v>1.0215792220268399E-2</v>
      </c>
      <c r="Y16" s="42">
        <f t="shared" si="48"/>
        <v>7.4768357621416972E-3</v>
      </c>
      <c r="Z16" s="42">
        <f t="shared" si="49"/>
        <v>-4.1666666666666649E-3</v>
      </c>
      <c r="AA16" s="42">
        <f t="shared" si="50"/>
        <v>-2.1568253758543405E-3</v>
      </c>
      <c r="AB16" s="42">
        <f t="shared" si="51"/>
        <v>-5.8925565098878951E-3</v>
      </c>
      <c r="AC16" s="42">
        <f t="shared" si="52"/>
        <v>-9.1580832102872156E-3</v>
      </c>
      <c r="AD16" s="42">
        <f t="shared" si="53"/>
        <v>-1.0215792220268399E-2</v>
      </c>
      <c r="AE16" s="42">
        <f t="shared" si="54"/>
        <v>-7.4768357621416972E-3</v>
      </c>
      <c r="AF16" s="42">
        <f t="shared" si="55"/>
        <v>8.9566572077604611</v>
      </c>
      <c r="AG16" s="42">
        <f t="shared" si="56"/>
        <v>8.9469118266394734</v>
      </c>
      <c r="AH16" s="42">
        <f t="shared" si="57"/>
        <v>8.9693544599473523</v>
      </c>
      <c r="AI16" s="42">
        <f t="shared" si="33"/>
        <v>38.29918269823871</v>
      </c>
      <c r="AJ16" s="42">
        <f t="shared" si="58"/>
        <v>38.309185187676114</v>
      </c>
      <c r="AK16" s="42">
        <f t="shared" si="59"/>
        <v>38.29150751814646</v>
      </c>
      <c r="AL16" s="42">
        <f t="shared" si="36"/>
        <v>8.9566572077604611</v>
      </c>
      <c r="AM16" s="42">
        <f t="shared" si="37"/>
        <v>8.9469118266394734</v>
      </c>
      <c r="AN16" s="42">
        <f t="shared" si="38"/>
        <v>8.9693544599473523</v>
      </c>
      <c r="AO16" s="42">
        <f t="shared" si="60"/>
        <v>-6.763117940253846E-3</v>
      </c>
      <c r="AP16" s="42">
        <f t="shared" si="61"/>
        <v>-4.7532766494415212E-3</v>
      </c>
      <c r="AQ16" s="42">
        <f t="shared" si="62"/>
        <v>-8.4890077834750763E-3</v>
      </c>
      <c r="AR16" s="42">
        <f t="shared" si="63"/>
        <v>-1.0041153419959273E-2</v>
      </c>
      <c r="AS16" s="42">
        <f t="shared" si="64"/>
        <v>-1.1098862429940456E-2</v>
      </c>
      <c r="AT16" s="42">
        <f t="shared" si="65"/>
        <v>-8.3599059718137553E-3</v>
      </c>
      <c r="AU16" s="42">
        <f t="shared" si="66"/>
        <v>38.283605106855894</v>
      </c>
      <c r="AV16" s="42">
        <f t="shared" si="67"/>
        <v>38.293607596293299</v>
      </c>
      <c r="AW16" s="42">
        <f t="shared" si="68"/>
        <v>38.275929926763631</v>
      </c>
      <c r="AX16" s="42">
        <f t="shared" si="69"/>
        <v>8.9566572670192173</v>
      </c>
      <c r="AY16" s="42">
        <f t="shared" si="70"/>
        <v>8.9469118858982259</v>
      </c>
      <c r="AZ16" s="42">
        <f t="shared" si="71"/>
        <v>8.9693545192061066</v>
      </c>
      <c r="BA16" s="5">
        <f t="shared" si="12"/>
        <v>38</v>
      </c>
      <c r="BB16" s="40">
        <f t="shared" si="13"/>
        <v>17.016306411353668</v>
      </c>
      <c r="BC16" s="5">
        <f t="shared" si="14"/>
        <v>8</v>
      </c>
      <c r="BD16" s="40">
        <f t="shared" si="15"/>
        <v>57.399436021153036</v>
      </c>
      <c r="BE16" s="46">
        <f t="shared" si="43"/>
        <v>-145.6173602860375</v>
      </c>
      <c r="BF16" s="9">
        <f t="shared" si="72"/>
        <v>145.6173602860375</v>
      </c>
      <c r="BG16" s="47">
        <f t="shared" si="16"/>
        <v>3.6147708630480015</v>
      </c>
    </row>
    <row r="17" spans="1:59" x14ac:dyDescent="0.3">
      <c r="A17" s="38">
        <v>7</v>
      </c>
      <c r="B17" s="38">
        <v>10</v>
      </c>
      <c r="C17" s="38">
        <v>270</v>
      </c>
      <c r="D17" s="42">
        <f t="shared" si="0"/>
        <v>0.16129065917555985</v>
      </c>
      <c r="E17">
        <f t="shared" si="1"/>
        <v>135</v>
      </c>
      <c r="F17" s="42">
        <f t="shared" si="44"/>
        <v>0.16128727359582998</v>
      </c>
      <c r="G17" s="42">
        <f t="shared" si="45"/>
        <v>1.1289138320037087</v>
      </c>
      <c r="H17" s="42">
        <f t="shared" si="2"/>
        <v>2478.0215315498244</v>
      </c>
      <c r="I17" s="42">
        <f t="shared" si="17"/>
        <v>2.4125864041514397E-3</v>
      </c>
      <c r="J17" s="42">
        <f t="shared" si="18"/>
        <v>-1.9007887479783562E-3</v>
      </c>
      <c r="K17" s="42">
        <f t="shared" si="19"/>
        <v>-2.4125864041514397E-3</v>
      </c>
      <c r="L17" s="42">
        <f t="shared" si="20"/>
        <v>8.9975874728546028</v>
      </c>
      <c r="M17" s="42">
        <f t="shared" si="21"/>
        <v>38.315854953202525</v>
      </c>
      <c r="N17" s="42">
        <f t="shared" si="22"/>
        <v>8.9975874728546028</v>
      </c>
      <c r="O17">
        <f t="shared" si="3"/>
        <v>0.5</v>
      </c>
      <c r="P17">
        <f t="shared" si="23"/>
        <v>0.5</v>
      </c>
      <c r="Q17">
        <f t="shared" si="24"/>
        <v>90</v>
      </c>
      <c r="R17">
        <f t="shared" si="25"/>
        <v>75</v>
      </c>
      <c r="S17">
        <f t="shared" si="26"/>
        <v>105</v>
      </c>
      <c r="T17">
        <f t="shared" si="4"/>
        <v>2476.7520144831551</v>
      </c>
      <c r="U17">
        <f t="shared" si="27"/>
        <v>2477.6778624531062</v>
      </c>
      <c r="V17">
        <f t="shared" si="28"/>
        <v>2476.0034894687415</v>
      </c>
      <c r="W17" s="42">
        <f t="shared" si="46"/>
        <v>8.3333333333333332E-3</v>
      </c>
      <c r="X17" s="42">
        <f t="shared" si="47"/>
        <v>1.0215792220268399E-2</v>
      </c>
      <c r="Y17" s="42">
        <f t="shared" si="48"/>
        <v>1.0212976447101457E-2</v>
      </c>
      <c r="Z17" s="42">
        <f t="shared" si="49"/>
        <v>5.1047852287859164E-19</v>
      </c>
      <c r="AA17" s="42">
        <f t="shared" si="50"/>
        <v>2.1568253758543396E-3</v>
      </c>
      <c r="AB17" s="42">
        <f t="shared" si="51"/>
        <v>-2.1568253758543405E-3</v>
      </c>
      <c r="AC17" s="42">
        <f t="shared" si="52"/>
        <v>-8.3333333333333332E-3</v>
      </c>
      <c r="AD17" s="42">
        <f t="shared" si="53"/>
        <v>-1.0215792220268399E-2</v>
      </c>
      <c r="AE17" s="42">
        <f t="shared" si="54"/>
        <v>-1.0212976447101457E-2</v>
      </c>
      <c r="AF17" s="42">
        <f t="shared" si="55"/>
        <v>8.9483238744271283</v>
      </c>
      <c r="AG17" s="42">
        <f t="shared" si="56"/>
        <v>8.9366960344192048</v>
      </c>
      <c r="AH17" s="42">
        <f t="shared" si="57"/>
        <v>8.9591414835002503</v>
      </c>
      <c r="AI17" s="42">
        <f t="shared" si="33"/>
        <v>38.29918269823871</v>
      </c>
      <c r="AJ17" s="42">
        <f t="shared" si="58"/>
        <v>38.31134201305197</v>
      </c>
      <c r="AK17" s="42">
        <f t="shared" si="59"/>
        <v>38.289350692770604</v>
      </c>
      <c r="AL17" s="42">
        <f t="shared" si="36"/>
        <v>8.9483238744271283</v>
      </c>
      <c r="AM17" s="42">
        <f t="shared" si="37"/>
        <v>8.9366960344192048</v>
      </c>
      <c r="AN17" s="42">
        <f t="shared" si="38"/>
        <v>8.9591414835002503</v>
      </c>
      <c r="AO17" s="42">
        <f t="shared" si="60"/>
        <v>-1.9007887479783557E-3</v>
      </c>
      <c r="AP17" s="42">
        <f t="shared" si="61"/>
        <v>2.5603662787598348E-4</v>
      </c>
      <c r="AQ17" s="42">
        <f t="shared" si="62"/>
        <v>-4.0576141238326969E-3</v>
      </c>
      <c r="AR17" s="42">
        <f t="shared" si="63"/>
        <v>-1.0745919737484773E-2</v>
      </c>
      <c r="AS17" s="42">
        <f t="shared" si="64"/>
        <v>-1.2628378624419838E-2</v>
      </c>
      <c r="AT17" s="42">
        <f t="shared" si="65"/>
        <v>-1.2625562851252896E-2</v>
      </c>
      <c r="AU17" s="42">
        <f t="shared" si="66"/>
        <v>38.281704318107913</v>
      </c>
      <c r="AV17" s="42">
        <f t="shared" si="67"/>
        <v>38.293863632921173</v>
      </c>
      <c r="AW17" s="42">
        <f t="shared" si="68"/>
        <v>38.2718723126398</v>
      </c>
      <c r="AX17" s="42">
        <f t="shared" si="69"/>
        <v>8.9459113472817329</v>
      </c>
      <c r="AY17" s="42">
        <f t="shared" si="70"/>
        <v>8.9342835072738058</v>
      </c>
      <c r="AZ17" s="42">
        <f t="shared" si="71"/>
        <v>8.9567289563548531</v>
      </c>
      <c r="BA17" s="5">
        <f t="shared" si="12"/>
        <v>38</v>
      </c>
      <c r="BB17" s="40">
        <f t="shared" si="13"/>
        <v>16.902259086474771</v>
      </c>
      <c r="BC17" s="5">
        <f t="shared" si="14"/>
        <v>8</v>
      </c>
      <c r="BD17" s="40">
        <f t="shared" si="15"/>
        <v>56.754680836903972</v>
      </c>
      <c r="BE17" s="46">
        <f t="shared" si="43"/>
        <v>-140.56034817549141</v>
      </c>
      <c r="BF17" s="9">
        <f t="shared" si="72"/>
        <v>140.56034817549141</v>
      </c>
      <c r="BG17" s="47">
        <f t="shared" si="16"/>
        <v>4.0101242714888263</v>
      </c>
    </row>
    <row r="18" spans="1:59" x14ac:dyDescent="0.3">
      <c r="A18" s="38">
        <v>8</v>
      </c>
      <c r="B18" s="38">
        <v>10</v>
      </c>
      <c r="C18" s="38">
        <v>270</v>
      </c>
      <c r="D18" s="42">
        <f t="shared" si="0"/>
        <v>0.16129404512833731</v>
      </c>
      <c r="E18">
        <f t="shared" si="1"/>
        <v>135</v>
      </c>
      <c r="F18" s="42">
        <f t="shared" si="44"/>
        <v>0.16129065917555985</v>
      </c>
      <c r="G18" s="42">
        <f t="shared" si="45"/>
        <v>1.2902044911792685</v>
      </c>
      <c r="H18" s="42">
        <f t="shared" si="2"/>
        <v>2477.8767771533326</v>
      </c>
      <c r="I18" s="42">
        <f t="shared" si="17"/>
        <v>2.4125732748687015E-3</v>
      </c>
      <c r="J18" s="42">
        <f t="shared" si="18"/>
        <v>-1.90082864741811E-3</v>
      </c>
      <c r="K18" s="42">
        <f t="shared" si="19"/>
        <v>-2.4125732748687015E-3</v>
      </c>
      <c r="L18" s="42">
        <f t="shared" si="20"/>
        <v>8.9951748995797338</v>
      </c>
      <c r="M18" s="42">
        <f t="shared" si="21"/>
        <v>38.31395412455511</v>
      </c>
      <c r="N18" s="42">
        <f t="shared" si="22"/>
        <v>8.9951748995797338</v>
      </c>
      <c r="O18">
        <f t="shared" si="3"/>
        <v>0.5</v>
      </c>
      <c r="P18">
        <f t="shared" si="23"/>
        <v>0.5</v>
      </c>
      <c r="Q18">
        <f t="shared" si="24"/>
        <v>90</v>
      </c>
      <c r="R18">
        <f t="shared" si="25"/>
        <v>75</v>
      </c>
      <c r="S18">
        <f t="shared" si="26"/>
        <v>105</v>
      </c>
      <c r="T18">
        <f t="shared" si="4"/>
        <v>2476.7520144831551</v>
      </c>
      <c r="U18">
        <f t="shared" si="27"/>
        <v>2477.8421061749277</v>
      </c>
      <c r="V18">
        <f t="shared" si="28"/>
        <v>2475.839300861192</v>
      </c>
      <c r="W18" s="42">
        <f t="shared" si="46"/>
        <v>8.3333333333333332E-3</v>
      </c>
      <c r="X18" s="42">
        <f t="shared" si="47"/>
        <v>1.0216098577696304E-2</v>
      </c>
      <c r="Y18" s="42">
        <f t="shared" si="48"/>
        <v>1.0212670423303033E-2</v>
      </c>
      <c r="Z18" s="42">
        <f t="shared" si="49"/>
        <v>5.1047852287859164E-19</v>
      </c>
      <c r="AA18" s="42">
        <f t="shared" si="50"/>
        <v>2.1568253758543396E-3</v>
      </c>
      <c r="AB18" s="42">
        <f t="shared" si="51"/>
        <v>-2.1568253758543405E-3</v>
      </c>
      <c r="AC18" s="42">
        <f t="shared" si="52"/>
        <v>-8.3333333333333332E-3</v>
      </c>
      <c r="AD18" s="42">
        <f t="shared" si="53"/>
        <v>-1.0216098577696304E-2</v>
      </c>
      <c r="AE18" s="42">
        <f t="shared" si="54"/>
        <v>-1.0212670423303033E-2</v>
      </c>
      <c r="AF18" s="42">
        <f t="shared" si="55"/>
        <v>8.9399905410937954</v>
      </c>
      <c r="AG18" s="42">
        <f t="shared" si="56"/>
        <v>8.9264799358415079</v>
      </c>
      <c r="AH18" s="42">
        <f t="shared" si="57"/>
        <v>8.9489288130769467</v>
      </c>
      <c r="AI18" s="42">
        <f t="shared" si="33"/>
        <v>38.29918269823871</v>
      </c>
      <c r="AJ18" s="42">
        <f t="shared" si="58"/>
        <v>38.313498838427826</v>
      </c>
      <c r="AK18" s="42">
        <f t="shared" si="59"/>
        <v>38.287193867394748</v>
      </c>
      <c r="AL18" s="42">
        <f t="shared" si="36"/>
        <v>8.9399905410937954</v>
      </c>
      <c r="AM18" s="42">
        <f t="shared" si="37"/>
        <v>8.9264799358415079</v>
      </c>
      <c r="AN18" s="42">
        <f t="shared" si="38"/>
        <v>8.9489288130769467</v>
      </c>
      <c r="AO18" s="42">
        <f t="shared" si="60"/>
        <v>-1.9008286474181096E-3</v>
      </c>
      <c r="AP18" s="42">
        <f t="shared" si="61"/>
        <v>2.5599672843622961E-4</v>
      </c>
      <c r="AQ18" s="42">
        <f t="shared" si="62"/>
        <v>-4.0576540232724508E-3</v>
      </c>
      <c r="AR18" s="42">
        <f t="shared" si="63"/>
        <v>-1.0745906608202035E-2</v>
      </c>
      <c r="AS18" s="42">
        <f t="shared" si="64"/>
        <v>-1.2628671852565006E-2</v>
      </c>
      <c r="AT18" s="42">
        <f t="shared" si="65"/>
        <v>-1.2625243698171735E-2</v>
      </c>
      <c r="AU18" s="42">
        <f t="shared" si="66"/>
        <v>38.279803489460498</v>
      </c>
      <c r="AV18" s="42">
        <f t="shared" si="67"/>
        <v>38.294119629649607</v>
      </c>
      <c r="AW18" s="42">
        <f t="shared" si="68"/>
        <v>38.26781465861653</v>
      </c>
      <c r="AX18" s="42">
        <f t="shared" si="69"/>
        <v>8.935165440673531</v>
      </c>
      <c r="AY18" s="42">
        <f t="shared" si="70"/>
        <v>8.9216548354212399</v>
      </c>
      <c r="AZ18" s="42">
        <f t="shared" si="71"/>
        <v>8.9441037126566822</v>
      </c>
      <c r="BA18" s="5">
        <f t="shared" si="12"/>
        <v>38</v>
      </c>
      <c r="BB18" s="40">
        <f t="shared" si="13"/>
        <v>16.788209367629889</v>
      </c>
      <c r="BC18" s="5">
        <f t="shared" si="14"/>
        <v>8</v>
      </c>
      <c r="BD18" s="40">
        <f t="shared" si="15"/>
        <v>56.109926440411861</v>
      </c>
      <c r="BE18" s="46">
        <f t="shared" si="43"/>
        <v>-136.43594977714488</v>
      </c>
      <c r="BF18" s="9">
        <f t="shared" si="72"/>
        <v>136.43594977714488</v>
      </c>
      <c r="BG18" s="47">
        <f t="shared" si="16"/>
        <v>4.4309962528803037</v>
      </c>
    </row>
    <row r="19" spans="1:59" x14ac:dyDescent="0.3">
      <c r="A19" s="38">
        <v>9</v>
      </c>
      <c r="B19" s="38">
        <v>10</v>
      </c>
      <c r="C19" s="38">
        <v>240</v>
      </c>
      <c r="D19" s="42">
        <f t="shared" si="0"/>
        <v>0.16129743145422454</v>
      </c>
      <c r="E19">
        <f t="shared" si="1"/>
        <v>105</v>
      </c>
      <c r="F19" s="42">
        <f t="shared" si="44"/>
        <v>0.16129404512833731</v>
      </c>
      <c r="G19" s="42">
        <f t="shared" si="45"/>
        <v>1.4514985363076058</v>
      </c>
      <c r="H19" s="42">
        <f t="shared" si="2"/>
        <v>2477.7320235441457</v>
      </c>
      <c r="I19" s="42">
        <f t="shared" si="17"/>
        <v>2.4125601531158223E-3</v>
      </c>
      <c r="J19" s="42">
        <f t="shared" si="18"/>
        <v>-1.900868551254272E-3</v>
      </c>
      <c r="K19" s="42">
        <f t="shared" si="19"/>
        <v>-2.4125601531158223E-3</v>
      </c>
      <c r="L19" s="42">
        <f t="shared" si="20"/>
        <v>8.9927623394266174</v>
      </c>
      <c r="M19" s="42">
        <f t="shared" si="21"/>
        <v>38.312053256003857</v>
      </c>
      <c r="N19" s="42">
        <f t="shared" si="22"/>
        <v>8.9927623394266174</v>
      </c>
      <c r="O19">
        <f t="shared" si="3"/>
        <v>0.5</v>
      </c>
      <c r="P19">
        <f t="shared" si="23"/>
        <v>0.5</v>
      </c>
      <c r="Q19">
        <f t="shared" si="24"/>
        <v>60</v>
      </c>
      <c r="R19">
        <f t="shared" si="25"/>
        <v>45</v>
      </c>
      <c r="S19">
        <f t="shared" si="26"/>
        <v>75</v>
      </c>
      <c r="T19">
        <f t="shared" si="4"/>
        <v>2476.7520144831551</v>
      </c>
      <c r="U19">
        <f t="shared" si="27"/>
        <v>2478.0063548225653</v>
      </c>
      <c r="V19">
        <f t="shared" si="28"/>
        <v>2475.6751171730389</v>
      </c>
      <c r="W19" s="42">
        <f t="shared" si="46"/>
        <v>8.3333333333333332E-3</v>
      </c>
      <c r="X19" s="42">
        <f t="shared" si="47"/>
        <v>1.0216404967624442E-2</v>
      </c>
      <c r="Y19" s="42">
        <f t="shared" si="48"/>
        <v>1.0212364432683703E-2</v>
      </c>
      <c r="Z19" s="42">
        <f t="shared" si="49"/>
        <v>5.1047852287859164E-19</v>
      </c>
      <c r="AA19" s="42">
        <f t="shared" si="50"/>
        <v>2.1568253758543396E-3</v>
      </c>
      <c r="AB19" s="42">
        <f t="shared" si="51"/>
        <v>-2.1568253758543405E-3</v>
      </c>
      <c r="AC19" s="42">
        <f t="shared" si="52"/>
        <v>-8.3333333333333332E-3</v>
      </c>
      <c r="AD19" s="42">
        <f t="shared" si="53"/>
        <v>-1.0216404967624442E-2</v>
      </c>
      <c r="AE19" s="42">
        <f t="shared" si="54"/>
        <v>-1.0212364432683703E-2</v>
      </c>
      <c r="AF19" s="42">
        <f t="shared" si="55"/>
        <v>8.9316572077604626</v>
      </c>
      <c r="AG19" s="42">
        <f t="shared" si="56"/>
        <v>8.9162635308738842</v>
      </c>
      <c r="AH19" s="42">
        <f t="shared" si="57"/>
        <v>8.9387164486442625</v>
      </c>
      <c r="AI19" s="42">
        <f t="shared" si="33"/>
        <v>38.29918269823871</v>
      </c>
      <c r="AJ19" s="42">
        <f t="shared" si="58"/>
        <v>38.315655663803682</v>
      </c>
      <c r="AK19" s="42">
        <f t="shared" si="59"/>
        <v>38.285037042018892</v>
      </c>
      <c r="AL19" s="42">
        <f t="shared" si="36"/>
        <v>8.9316572077604626</v>
      </c>
      <c r="AM19" s="42">
        <f t="shared" si="37"/>
        <v>8.9162635308738842</v>
      </c>
      <c r="AN19" s="42">
        <f t="shared" si="38"/>
        <v>8.9387164486442625</v>
      </c>
      <c r="AO19" s="42">
        <f t="shared" si="60"/>
        <v>-1.9008685512542716E-3</v>
      </c>
      <c r="AP19" s="42">
        <f t="shared" si="61"/>
        <v>2.5595682460006759E-4</v>
      </c>
      <c r="AQ19" s="42">
        <f t="shared" si="62"/>
        <v>-4.0576939271086123E-3</v>
      </c>
      <c r="AR19" s="42">
        <f t="shared" si="63"/>
        <v>-1.0745893486449155E-2</v>
      </c>
      <c r="AS19" s="42">
        <f t="shared" si="64"/>
        <v>-1.2628965120740264E-2</v>
      </c>
      <c r="AT19" s="42">
        <f t="shared" si="65"/>
        <v>-1.2624924585799526E-2</v>
      </c>
      <c r="AU19" s="42">
        <f t="shared" si="66"/>
        <v>38.277902620909245</v>
      </c>
      <c r="AV19" s="42">
        <f t="shared" si="67"/>
        <v>38.29437558647421</v>
      </c>
      <c r="AW19" s="42">
        <f t="shared" si="68"/>
        <v>38.263756964689421</v>
      </c>
      <c r="AX19" s="42">
        <f t="shared" si="69"/>
        <v>8.9244195471870817</v>
      </c>
      <c r="AY19" s="42">
        <f t="shared" si="70"/>
        <v>8.9090258703004999</v>
      </c>
      <c r="AZ19" s="42">
        <f t="shared" si="71"/>
        <v>8.9314787880708835</v>
      </c>
      <c r="BA19" s="5">
        <f t="shared" si="12"/>
        <v>38</v>
      </c>
      <c r="BB19" s="40">
        <f t="shared" si="13"/>
        <v>16.6741572545547</v>
      </c>
      <c r="BC19" s="5">
        <f t="shared" si="14"/>
        <v>8</v>
      </c>
      <c r="BD19" s="40">
        <f t="shared" si="15"/>
        <v>55.465172831224905</v>
      </c>
      <c r="BE19" s="46">
        <f t="shared" si="43"/>
        <v>-133.04059017676369</v>
      </c>
      <c r="BF19" s="9">
        <f t="shared" si="72"/>
        <v>133.04059017676369</v>
      </c>
      <c r="BG19" s="47">
        <f t="shared" si="16"/>
        <v>4.8707804008337874</v>
      </c>
    </row>
    <row r="20" spans="1:59" x14ac:dyDescent="0.3">
      <c r="A20" s="38">
        <v>10</v>
      </c>
      <c r="B20" s="38">
        <v>10</v>
      </c>
      <c r="C20" s="38">
        <v>240</v>
      </c>
      <c r="D20" s="42">
        <f t="shared" si="0"/>
        <v>0.16129867103706441</v>
      </c>
      <c r="E20">
        <f t="shared" si="1"/>
        <v>105</v>
      </c>
      <c r="F20" s="42">
        <f t="shared" si="44"/>
        <v>0.16129743145422454</v>
      </c>
      <c r="G20" s="42">
        <f t="shared" si="45"/>
        <v>1.6127959677618304</v>
      </c>
      <c r="H20" s="42">
        <f t="shared" si="2"/>
        <v>2477.6790398900125</v>
      </c>
      <c r="I20" s="42">
        <f t="shared" si="17"/>
        <v>3.2956281532492871E-3</v>
      </c>
      <c r="J20" s="42">
        <f t="shared" si="18"/>
        <v>-6.9578078644119505E-4</v>
      </c>
      <c r="K20" s="42">
        <f t="shared" si="19"/>
        <v>-3.2956281532492871E-3</v>
      </c>
      <c r="L20" s="42">
        <f t="shared" si="20"/>
        <v>8.9894667112733675</v>
      </c>
      <c r="M20" s="42">
        <f t="shared" si="21"/>
        <v>38.311357475217413</v>
      </c>
      <c r="N20" s="42">
        <f t="shared" si="22"/>
        <v>8.9894667112733675</v>
      </c>
      <c r="O20">
        <f t="shared" si="3"/>
        <v>0.5</v>
      </c>
      <c r="P20">
        <f t="shared" si="23"/>
        <v>0.5</v>
      </c>
      <c r="Q20">
        <f t="shared" si="24"/>
        <v>60</v>
      </c>
      <c r="R20">
        <f t="shared" si="25"/>
        <v>45</v>
      </c>
      <c r="S20">
        <f t="shared" si="26"/>
        <v>75</v>
      </c>
      <c r="T20">
        <f t="shared" si="4"/>
        <v>2477.0692597915586</v>
      </c>
      <c r="U20">
        <f t="shared" si="27"/>
        <v>2478.4551155894114</v>
      </c>
      <c r="V20">
        <f t="shared" si="28"/>
        <v>2475.839300861192</v>
      </c>
      <c r="W20" s="42">
        <f t="shared" si="46"/>
        <v>9.1580832102872156E-3</v>
      </c>
      <c r="X20" s="42">
        <f t="shared" si="47"/>
        <v>7.4793461141063992E-3</v>
      </c>
      <c r="Y20" s="42">
        <f t="shared" si="48"/>
        <v>1.0212364432683703E-2</v>
      </c>
      <c r="Z20" s="42">
        <f t="shared" si="49"/>
        <v>4.1666666666666675E-3</v>
      </c>
      <c r="AA20" s="42">
        <f t="shared" si="50"/>
        <v>5.8925565098878968E-3</v>
      </c>
      <c r="AB20" s="42">
        <f t="shared" si="51"/>
        <v>2.1568253758543396E-3</v>
      </c>
      <c r="AC20" s="42">
        <f t="shared" si="52"/>
        <v>-9.1580832102872156E-3</v>
      </c>
      <c r="AD20" s="42">
        <f t="shared" si="53"/>
        <v>-7.4793461141063992E-3</v>
      </c>
      <c r="AE20" s="42">
        <f t="shared" si="54"/>
        <v>-1.0212364432683703E-2</v>
      </c>
      <c r="AF20" s="42">
        <f t="shared" si="55"/>
        <v>8.9224991245501748</v>
      </c>
      <c r="AG20" s="42">
        <f t="shared" si="56"/>
        <v>8.908784184759778</v>
      </c>
      <c r="AH20" s="42">
        <f t="shared" si="57"/>
        <v>8.9285040842115784</v>
      </c>
      <c r="AI20" s="42">
        <f t="shared" si="33"/>
        <v>38.30334936490538</v>
      </c>
      <c r="AJ20" s="42">
        <f t="shared" si="58"/>
        <v>38.321548220313566</v>
      </c>
      <c r="AK20" s="42">
        <f t="shared" si="59"/>
        <v>38.287193867394748</v>
      </c>
      <c r="AL20" s="42">
        <f t="shared" si="36"/>
        <v>8.9224991245501748</v>
      </c>
      <c r="AM20" s="42">
        <f t="shared" si="37"/>
        <v>8.908784184759778</v>
      </c>
      <c r="AN20" s="42">
        <f t="shared" si="38"/>
        <v>8.9285040842115784</v>
      </c>
      <c r="AO20" s="42">
        <f t="shared" si="60"/>
        <v>3.4708858802254723E-3</v>
      </c>
      <c r="AP20" s="42">
        <f t="shared" si="61"/>
        <v>5.1967757234467017E-3</v>
      </c>
      <c r="AQ20" s="42">
        <f t="shared" si="62"/>
        <v>1.4610445894131445E-3</v>
      </c>
      <c r="AR20" s="42">
        <f t="shared" si="63"/>
        <v>-1.2453711363536502E-2</v>
      </c>
      <c r="AS20" s="42">
        <f t="shared" si="64"/>
        <v>-1.0774974267355686E-2</v>
      </c>
      <c r="AT20" s="42">
        <f t="shared" si="65"/>
        <v>-1.350799258593299E-2</v>
      </c>
      <c r="AU20" s="42">
        <f t="shared" si="66"/>
        <v>38.281373506789471</v>
      </c>
      <c r="AV20" s="42">
        <f t="shared" si="67"/>
        <v>38.299572362197658</v>
      </c>
      <c r="AW20" s="42">
        <f t="shared" si="68"/>
        <v>38.265218009278833</v>
      </c>
      <c r="AX20" s="42">
        <f t="shared" si="69"/>
        <v>8.9119658358235458</v>
      </c>
      <c r="AY20" s="42">
        <f t="shared" si="70"/>
        <v>8.8982508960331437</v>
      </c>
      <c r="AZ20" s="42">
        <f t="shared" si="71"/>
        <v>8.9179707954849512</v>
      </c>
      <c r="BA20" s="5">
        <f t="shared" si="12"/>
        <v>38</v>
      </c>
      <c r="BB20" s="40">
        <f t="shared" si="13"/>
        <v>16.882410407368269</v>
      </c>
      <c r="BC20" s="5">
        <f t="shared" si="14"/>
        <v>8</v>
      </c>
      <c r="BD20" s="40">
        <f t="shared" si="15"/>
        <v>54.717950149412751</v>
      </c>
      <c r="BE20" s="46">
        <f t="shared" si="43"/>
        <v>-126.92200339905033</v>
      </c>
      <c r="BF20" s="9">
        <f t="shared" si="72"/>
        <v>126.92200339905033</v>
      </c>
      <c r="BG20" s="47">
        <f t="shared" si="16"/>
        <v>5.1864044637775555</v>
      </c>
    </row>
    <row r="21" spans="1:59" x14ac:dyDescent="0.3">
      <c r="A21" s="38">
        <v>11</v>
      </c>
      <c r="B21" s="38">
        <v>10</v>
      </c>
      <c r="C21" s="38">
        <v>240</v>
      </c>
      <c r="D21" s="42">
        <f t="shared" si="0"/>
        <v>0.16129991066990382</v>
      </c>
      <c r="E21">
        <f t="shared" si="1"/>
        <v>105</v>
      </c>
      <c r="F21" s="42">
        <f t="shared" si="44"/>
        <v>0.16129867103706441</v>
      </c>
      <c r="G21" s="42">
        <f t="shared" si="45"/>
        <v>1.774094638798895</v>
      </c>
      <c r="H21" s="42">
        <f t="shared" si="2"/>
        <v>2477.6260563412634</v>
      </c>
      <c r="I21" s="42">
        <f t="shared" si="17"/>
        <v>3.2956215982811415E-3</v>
      </c>
      <c r="J21" s="42">
        <f t="shared" si="18"/>
        <v>-6.957861335686441E-4</v>
      </c>
      <c r="K21" s="42">
        <f t="shared" si="19"/>
        <v>-3.2956215982811415E-3</v>
      </c>
      <c r="L21" s="42">
        <f t="shared" si="20"/>
        <v>8.9861710896750857</v>
      </c>
      <c r="M21" s="42">
        <f t="shared" si="21"/>
        <v>38.310661689083844</v>
      </c>
      <c r="N21" s="42">
        <f t="shared" si="22"/>
        <v>8.9861710896750857</v>
      </c>
      <c r="O21">
        <f t="shared" si="3"/>
        <v>0.5</v>
      </c>
      <c r="P21">
        <f t="shared" si="23"/>
        <v>0.5</v>
      </c>
      <c r="Q21">
        <f t="shared" si="24"/>
        <v>60</v>
      </c>
      <c r="R21">
        <f t="shared" si="25"/>
        <v>45</v>
      </c>
      <c r="S21">
        <f t="shared" si="26"/>
        <v>75</v>
      </c>
      <c r="T21">
        <f t="shared" si="4"/>
        <v>2477.386523474117</v>
      </c>
      <c r="U21">
        <f t="shared" si="27"/>
        <v>2478.9039131377281</v>
      </c>
      <c r="V21">
        <f t="shared" si="28"/>
        <v>2476.0034894687415</v>
      </c>
      <c r="W21" s="42">
        <f t="shared" si="46"/>
        <v>9.158613626452065E-3</v>
      </c>
      <c r="X21" s="42">
        <f t="shared" si="47"/>
        <v>7.4799591386147113E-3</v>
      </c>
      <c r="Y21" s="42">
        <f t="shared" si="48"/>
        <v>1.0212670423303033E-2</v>
      </c>
      <c r="Z21" s="42">
        <f t="shared" si="49"/>
        <v>4.1666666666666675E-3</v>
      </c>
      <c r="AA21" s="42">
        <f t="shared" si="50"/>
        <v>5.8925565098878968E-3</v>
      </c>
      <c r="AB21" s="42">
        <f t="shared" si="51"/>
        <v>2.1568253758543396E-3</v>
      </c>
      <c r="AC21" s="42">
        <f t="shared" si="52"/>
        <v>-9.158613626452065E-3</v>
      </c>
      <c r="AD21" s="42">
        <f t="shared" si="53"/>
        <v>-7.4799591386147113E-3</v>
      </c>
      <c r="AE21" s="42">
        <f t="shared" si="54"/>
        <v>-1.0212670423303033E-2</v>
      </c>
      <c r="AF21" s="42">
        <f t="shared" si="55"/>
        <v>8.9133405109237227</v>
      </c>
      <c r="AG21" s="42">
        <f t="shared" si="56"/>
        <v>8.9013042256211641</v>
      </c>
      <c r="AH21" s="42">
        <f t="shared" si="57"/>
        <v>8.9182914137882747</v>
      </c>
      <c r="AI21" s="42">
        <f t="shared" si="33"/>
        <v>38.30751603157205</v>
      </c>
      <c r="AJ21" s="42">
        <f t="shared" si="58"/>
        <v>38.327440776823451</v>
      </c>
      <c r="AK21" s="42">
        <f t="shared" si="59"/>
        <v>38.289350692770604</v>
      </c>
      <c r="AL21" s="42">
        <f t="shared" si="36"/>
        <v>8.9133405109237227</v>
      </c>
      <c r="AM21" s="42">
        <f t="shared" si="37"/>
        <v>8.9013042256211641</v>
      </c>
      <c r="AN21" s="42">
        <f t="shared" si="38"/>
        <v>8.9182914137882747</v>
      </c>
      <c r="AO21" s="42">
        <f t="shared" si="60"/>
        <v>3.4708805330980232E-3</v>
      </c>
      <c r="AP21" s="42">
        <f t="shared" si="61"/>
        <v>5.1967703763192525E-3</v>
      </c>
      <c r="AQ21" s="42">
        <f t="shared" si="62"/>
        <v>1.4610392422856955E-3</v>
      </c>
      <c r="AR21" s="42">
        <f t="shared" si="63"/>
        <v>-1.2454235224733207E-2</v>
      </c>
      <c r="AS21" s="42">
        <f t="shared" si="64"/>
        <v>-1.0775580736895853E-2</v>
      </c>
      <c r="AT21" s="42">
        <f t="shared" si="65"/>
        <v>-1.3508292021584175E-2</v>
      </c>
      <c r="AU21" s="42">
        <f t="shared" si="66"/>
        <v>38.284844387322572</v>
      </c>
      <c r="AV21" s="42">
        <f t="shared" si="67"/>
        <v>38.304769132573981</v>
      </c>
      <c r="AW21" s="42">
        <f t="shared" si="68"/>
        <v>38.266679048521119</v>
      </c>
      <c r="AX21" s="42">
        <f t="shared" si="69"/>
        <v>8.899511600598812</v>
      </c>
      <c r="AY21" s="42">
        <f t="shared" si="70"/>
        <v>8.887475315296248</v>
      </c>
      <c r="AZ21" s="42">
        <f t="shared" si="71"/>
        <v>8.9044625034633675</v>
      </c>
      <c r="BA21" s="5">
        <f t="shared" si="12"/>
        <v>38</v>
      </c>
      <c r="BB21" s="40">
        <f t="shared" si="13"/>
        <v>17.090663239354313</v>
      </c>
      <c r="BC21" s="5">
        <f t="shared" si="14"/>
        <v>8</v>
      </c>
      <c r="BD21" s="40">
        <f t="shared" si="15"/>
        <v>53.970696035928718</v>
      </c>
      <c r="BE21" s="46">
        <f t="shared" si="43"/>
        <v>-121.55801874772813</v>
      </c>
      <c r="BF21" s="9">
        <f t="shared" si="72"/>
        <v>121.55801874772813</v>
      </c>
      <c r="BG21" s="47">
        <f t="shared" si="16"/>
        <v>5.5540243257854316</v>
      </c>
    </row>
    <row r="22" spans="1:59" x14ac:dyDescent="0.3">
      <c r="A22" s="38">
        <v>12</v>
      </c>
      <c r="B22" s="38">
        <v>10</v>
      </c>
      <c r="C22" s="38">
        <v>210</v>
      </c>
      <c r="D22" s="42">
        <f t="shared" si="0"/>
        <v>0.16130115035274589</v>
      </c>
      <c r="E22">
        <f t="shared" si="1"/>
        <v>75</v>
      </c>
      <c r="F22" s="42">
        <f t="shared" si="44"/>
        <v>0.16129991066990382</v>
      </c>
      <c r="G22" s="42">
        <f t="shared" si="45"/>
        <v>1.9353945494687987</v>
      </c>
      <c r="H22" s="42">
        <f t="shared" si="2"/>
        <v>2477.5730728978779</v>
      </c>
      <c r="I22" s="42">
        <f t="shared" si="17"/>
        <v>3.2956150445641224E-3</v>
      </c>
      <c r="J22" s="42">
        <f t="shared" si="18"/>
        <v>-6.9579148091177369E-4</v>
      </c>
      <c r="K22" s="42">
        <f t="shared" si="19"/>
        <v>-3.2956150445641224E-3</v>
      </c>
      <c r="L22" s="42">
        <f t="shared" si="20"/>
        <v>8.9828754746305215</v>
      </c>
      <c r="M22" s="42">
        <f t="shared" si="21"/>
        <v>38.309965897602929</v>
      </c>
      <c r="N22" s="42">
        <f t="shared" si="22"/>
        <v>8.9828754746305215</v>
      </c>
      <c r="O22">
        <f t="shared" si="3"/>
        <v>0.5</v>
      </c>
      <c r="P22">
        <f t="shared" si="23"/>
        <v>0.5</v>
      </c>
      <c r="Q22">
        <f t="shared" si="24"/>
        <v>30</v>
      </c>
      <c r="R22">
        <f t="shared" si="25"/>
        <v>15</v>
      </c>
      <c r="S22">
        <f t="shared" si="26"/>
        <v>45</v>
      </c>
      <c r="T22">
        <f t="shared" si="4"/>
        <v>2477.703805534627</v>
      </c>
      <c r="U22">
        <f t="shared" si="27"/>
        <v>2479.3527474782609</v>
      </c>
      <c r="V22">
        <f t="shared" si="28"/>
        <v>2476.1676829962207</v>
      </c>
      <c r="W22" s="42">
        <f t="shared" si="46"/>
        <v>9.1591441522177915E-3</v>
      </c>
      <c r="X22" s="42">
        <f t="shared" si="47"/>
        <v>7.4805723422176869E-3</v>
      </c>
      <c r="Y22" s="42">
        <f t="shared" si="48"/>
        <v>1.0212976447101457E-2</v>
      </c>
      <c r="Z22" s="42">
        <f t="shared" si="49"/>
        <v>4.1666666666666675E-3</v>
      </c>
      <c r="AA22" s="42">
        <f t="shared" si="50"/>
        <v>5.8925565098878968E-3</v>
      </c>
      <c r="AB22" s="42">
        <f t="shared" si="51"/>
        <v>2.1568253758543396E-3</v>
      </c>
      <c r="AC22" s="42">
        <f t="shared" si="52"/>
        <v>-9.1591441522177915E-3</v>
      </c>
      <c r="AD22" s="42">
        <f t="shared" si="53"/>
        <v>-7.4805723422176869E-3</v>
      </c>
      <c r="AE22" s="42">
        <f t="shared" si="54"/>
        <v>-1.0212976447101457E-2</v>
      </c>
      <c r="AF22" s="42">
        <f t="shared" si="55"/>
        <v>8.9041813667715051</v>
      </c>
      <c r="AG22" s="42">
        <f t="shared" si="56"/>
        <v>8.8938236532789468</v>
      </c>
      <c r="AH22" s="42">
        <f t="shared" si="57"/>
        <v>8.9080784373411728</v>
      </c>
      <c r="AI22" s="42">
        <f t="shared" si="33"/>
        <v>38.31168269823872</v>
      </c>
      <c r="AJ22" s="42">
        <f t="shared" si="58"/>
        <v>38.333333333333336</v>
      </c>
      <c r="AK22" s="42">
        <f t="shared" si="59"/>
        <v>38.29150751814646</v>
      </c>
      <c r="AL22" s="42">
        <f t="shared" si="36"/>
        <v>8.9041813667715051</v>
      </c>
      <c r="AM22" s="42">
        <f t="shared" si="37"/>
        <v>8.8938236532789468</v>
      </c>
      <c r="AN22" s="42">
        <f t="shared" si="38"/>
        <v>8.9080784373411728</v>
      </c>
      <c r="AO22" s="42">
        <f t="shared" si="60"/>
        <v>3.4708751857548937E-3</v>
      </c>
      <c r="AP22" s="42">
        <f t="shared" si="61"/>
        <v>5.1967650289761235E-3</v>
      </c>
      <c r="AQ22" s="42">
        <f t="shared" si="62"/>
        <v>1.4610338949425658E-3</v>
      </c>
      <c r="AR22" s="42">
        <f t="shared" si="63"/>
        <v>-1.2454759196781913E-2</v>
      </c>
      <c r="AS22" s="42">
        <f t="shared" si="64"/>
        <v>-1.0776187386781809E-2</v>
      </c>
      <c r="AT22" s="42">
        <f t="shared" si="65"/>
        <v>-1.350859149166558E-2</v>
      </c>
      <c r="AU22" s="42">
        <f t="shared" si="66"/>
        <v>38.288315262508327</v>
      </c>
      <c r="AV22" s="42">
        <f t="shared" si="67"/>
        <v>38.309965897602957</v>
      </c>
      <c r="AW22" s="42">
        <f t="shared" si="68"/>
        <v>38.26814008241606</v>
      </c>
      <c r="AX22" s="42">
        <f t="shared" si="69"/>
        <v>8.8870568414020301</v>
      </c>
      <c r="AY22" s="42">
        <f t="shared" si="70"/>
        <v>8.8766991279094665</v>
      </c>
      <c r="AZ22" s="42">
        <f t="shared" si="71"/>
        <v>8.8909539119717014</v>
      </c>
      <c r="BA22" s="5">
        <f t="shared" si="12"/>
        <v>38</v>
      </c>
      <c r="BB22" s="40">
        <f t="shared" si="13"/>
        <v>17.298915750499617</v>
      </c>
      <c r="BC22" s="5">
        <f t="shared" si="14"/>
        <v>8</v>
      </c>
      <c r="BD22" s="40">
        <f t="shared" si="15"/>
        <v>53.223410484121807</v>
      </c>
      <c r="BE22" s="46">
        <f t="shared" si="43"/>
        <v>-116.89460119384943</v>
      </c>
      <c r="BF22" s="9">
        <f t="shared" si="72"/>
        <v>116.89460119384943</v>
      </c>
      <c r="BG22" s="47">
        <f t="shared" si="16"/>
        <v>5.9640317026528429</v>
      </c>
    </row>
    <row r="23" spans="1:59" x14ac:dyDescent="0.3">
      <c r="A23" s="38">
        <v>13</v>
      </c>
      <c r="B23" s="38">
        <v>10</v>
      </c>
      <c r="C23" s="38">
        <v>210</v>
      </c>
      <c r="D23" s="42">
        <f t="shared" si="0"/>
        <v>0.1612999106603763</v>
      </c>
      <c r="E23">
        <f t="shared" si="1"/>
        <v>75</v>
      </c>
      <c r="F23" s="42">
        <f t="shared" si="44"/>
        <v>0.16130115035274589</v>
      </c>
      <c r="G23" s="42">
        <f t="shared" si="45"/>
        <v>2.0966956998215447</v>
      </c>
      <c r="H23" s="42">
        <f t="shared" si="2"/>
        <v>2477.6260567484751</v>
      </c>
      <c r="I23" s="42">
        <f t="shared" si="17"/>
        <v>3.295640373476657E-3</v>
      </c>
      <c r="J23" s="42">
        <f t="shared" si="18"/>
        <v>6.9579682847059697E-4</v>
      </c>
      <c r="K23" s="42">
        <f t="shared" si="19"/>
        <v>-3.295640373476657E-3</v>
      </c>
      <c r="L23" s="42">
        <f t="shared" si="20"/>
        <v>8.979579834257045</v>
      </c>
      <c r="M23" s="42">
        <f t="shared" si="21"/>
        <v>38.310661694431403</v>
      </c>
      <c r="N23" s="42">
        <f t="shared" si="22"/>
        <v>8.979579834257045</v>
      </c>
      <c r="O23">
        <f t="shared" si="3"/>
        <v>0.5</v>
      </c>
      <c r="P23">
        <f t="shared" si="23"/>
        <v>0.5</v>
      </c>
      <c r="Q23">
        <f t="shared" si="24"/>
        <v>30</v>
      </c>
      <c r="R23">
        <f t="shared" si="25"/>
        <v>15</v>
      </c>
      <c r="S23">
        <f t="shared" si="26"/>
        <v>45</v>
      </c>
      <c r="T23">
        <f t="shared" si="4"/>
        <v>2478.2533976776294</v>
      </c>
      <c r="U23">
        <f t="shared" si="27"/>
        <v>2479.9659260661547</v>
      </c>
      <c r="V23">
        <f t="shared" si="28"/>
        <v>2476.616293141949</v>
      </c>
      <c r="W23" s="42">
        <f t="shared" si="46"/>
        <v>5.2884528617813129E-3</v>
      </c>
      <c r="X23" s="42">
        <f t="shared" si="47"/>
        <v>2.7383451240372307E-3</v>
      </c>
      <c r="Y23" s="42">
        <f t="shared" si="48"/>
        <v>7.4768357621416964E-3</v>
      </c>
      <c r="Z23" s="42">
        <f t="shared" si="49"/>
        <v>7.2168783648703227E-3</v>
      </c>
      <c r="AA23" s="42">
        <f t="shared" si="50"/>
        <v>8.0493818857422361E-3</v>
      </c>
      <c r="AB23" s="42">
        <f t="shared" si="51"/>
        <v>5.8925565098878968E-3</v>
      </c>
      <c r="AC23" s="42">
        <f t="shared" si="52"/>
        <v>-5.2884528617813129E-3</v>
      </c>
      <c r="AD23" s="42">
        <f t="shared" si="53"/>
        <v>-2.7383451240372307E-3</v>
      </c>
      <c r="AE23" s="42">
        <f t="shared" si="54"/>
        <v>-7.4768357621416964E-3</v>
      </c>
      <c r="AF23" s="42">
        <f t="shared" si="55"/>
        <v>8.898892913909723</v>
      </c>
      <c r="AG23" s="42">
        <f t="shared" si="56"/>
        <v>8.8910853081549099</v>
      </c>
      <c r="AH23" s="42">
        <f t="shared" si="57"/>
        <v>8.9006016015790319</v>
      </c>
      <c r="AI23" s="42">
        <f t="shared" si="33"/>
        <v>38.318899576603592</v>
      </c>
      <c r="AJ23" s="42">
        <f t="shared" si="58"/>
        <v>38.341382715219076</v>
      </c>
      <c r="AK23" s="42">
        <f t="shared" si="59"/>
        <v>38.297400074656345</v>
      </c>
      <c r="AL23" s="42">
        <f t="shared" si="36"/>
        <v>8.898892913909723</v>
      </c>
      <c r="AM23" s="42">
        <f t="shared" si="37"/>
        <v>8.8910853081549099</v>
      </c>
      <c r="AN23" s="42">
        <f t="shared" si="38"/>
        <v>8.9006016015790319</v>
      </c>
      <c r="AO23" s="42">
        <f t="shared" si="60"/>
        <v>7.9126751933409189E-3</v>
      </c>
      <c r="AP23" s="42">
        <f t="shared" si="61"/>
        <v>8.7451787142128323E-3</v>
      </c>
      <c r="AQ23" s="42">
        <f t="shared" si="62"/>
        <v>6.5883533383584939E-3</v>
      </c>
      <c r="AR23" s="42">
        <f t="shared" si="63"/>
        <v>-8.5840932352579703E-3</v>
      </c>
      <c r="AS23" s="42">
        <f t="shared" si="64"/>
        <v>-6.0339854975138881E-3</v>
      </c>
      <c r="AT23" s="42">
        <f t="shared" si="65"/>
        <v>-1.0772476135618353E-2</v>
      </c>
      <c r="AU23" s="42">
        <f t="shared" si="66"/>
        <v>38.296227937701666</v>
      </c>
      <c r="AV23" s="42">
        <f t="shared" si="67"/>
        <v>38.318711076317172</v>
      </c>
      <c r="AW23" s="42">
        <f t="shared" si="68"/>
        <v>38.274728435754419</v>
      </c>
      <c r="AX23" s="42">
        <f t="shared" si="69"/>
        <v>8.8784727481667716</v>
      </c>
      <c r="AY23" s="42">
        <f t="shared" si="70"/>
        <v>8.8706651424119531</v>
      </c>
      <c r="AZ23" s="42">
        <f t="shared" si="71"/>
        <v>8.8801814358360822</v>
      </c>
      <c r="BA23" s="5">
        <f t="shared" si="12"/>
        <v>38</v>
      </c>
      <c r="BB23" s="40">
        <f t="shared" si="13"/>
        <v>17.77367626209994</v>
      </c>
      <c r="BC23" s="5">
        <f t="shared" si="14"/>
        <v>8</v>
      </c>
      <c r="BD23" s="40">
        <f t="shared" si="15"/>
        <v>52.708364890006294</v>
      </c>
      <c r="BE23" s="46">
        <f t="shared" si="43"/>
        <v>-111.22532654319478</v>
      </c>
      <c r="BF23" s="9">
        <f t="shared" si="72"/>
        <v>111.22532654319478</v>
      </c>
      <c r="BG23" s="47">
        <f t="shared" si="16"/>
        <v>6.139048549370723</v>
      </c>
    </row>
    <row r="24" spans="1:59" x14ac:dyDescent="0.3">
      <c r="A24" s="38">
        <v>14</v>
      </c>
      <c r="B24" s="38">
        <v>10</v>
      </c>
      <c r="C24" s="38">
        <v>210</v>
      </c>
      <c r="D24" s="42">
        <f t="shared" si="0"/>
        <v>0.16129867101801043</v>
      </c>
      <c r="E24">
        <f t="shared" si="1"/>
        <v>75</v>
      </c>
      <c r="F24" s="42">
        <f t="shared" si="44"/>
        <v>0.1612999106603763</v>
      </c>
      <c r="G24" s="42">
        <f t="shared" si="45"/>
        <v>2.2579956104819212</v>
      </c>
      <c r="H24" s="42">
        <f t="shared" si="2"/>
        <v>2477.6790407044205</v>
      </c>
      <c r="I24" s="42">
        <f t="shared" si="17"/>
        <v>3.2956469262272413E-3</v>
      </c>
      <c r="J24" s="42">
        <f t="shared" si="18"/>
        <v>6.9579148087067495E-4</v>
      </c>
      <c r="K24" s="42">
        <f t="shared" si="19"/>
        <v>-3.2956469262272413E-3</v>
      </c>
      <c r="L24" s="42">
        <f t="shared" si="20"/>
        <v>8.9762841873308172</v>
      </c>
      <c r="M24" s="42">
        <f t="shared" si="21"/>
        <v>38.311357485912275</v>
      </c>
      <c r="N24" s="42">
        <f t="shared" si="22"/>
        <v>8.9762841873308172</v>
      </c>
      <c r="O24">
        <f t="shared" si="3"/>
        <v>0.5</v>
      </c>
      <c r="P24">
        <f t="shared" si="23"/>
        <v>0.5</v>
      </c>
      <c r="Q24">
        <f t="shared" si="24"/>
        <v>30</v>
      </c>
      <c r="R24">
        <f t="shared" si="25"/>
        <v>15</v>
      </c>
      <c r="S24">
        <f t="shared" si="26"/>
        <v>45</v>
      </c>
      <c r="T24">
        <f t="shared" si="4"/>
        <v>2478.803044985596</v>
      </c>
      <c r="U24">
        <f t="shared" si="27"/>
        <v>2480.5791733567107</v>
      </c>
      <c r="V24">
        <f t="shared" si="28"/>
        <v>2477.06494002516</v>
      </c>
      <c r="W24" s="42">
        <f t="shared" si="46"/>
        <v>5.2889836868960927E-3</v>
      </c>
      <c r="X24" s="42">
        <f t="shared" si="47"/>
        <v>2.7386519377516814E-3</v>
      </c>
      <c r="Y24" s="42">
        <f t="shared" si="48"/>
        <v>7.4774480535214861E-3</v>
      </c>
      <c r="Z24" s="42">
        <f t="shared" si="49"/>
        <v>7.2168783648703227E-3</v>
      </c>
      <c r="AA24" s="42">
        <f t="shared" si="50"/>
        <v>8.0493818857422361E-3</v>
      </c>
      <c r="AB24" s="42">
        <f t="shared" si="51"/>
        <v>5.8925565098878968E-3</v>
      </c>
      <c r="AC24" s="42">
        <f t="shared" si="52"/>
        <v>-5.2889836868960927E-3</v>
      </c>
      <c r="AD24" s="42">
        <f t="shared" si="53"/>
        <v>-2.7386519377516814E-3</v>
      </c>
      <c r="AE24" s="42">
        <f t="shared" si="54"/>
        <v>-7.4774480535214861E-3</v>
      </c>
      <c r="AF24" s="42">
        <f t="shared" si="55"/>
        <v>8.8936039302228274</v>
      </c>
      <c r="AG24" s="42">
        <f t="shared" si="56"/>
        <v>8.8883466562171591</v>
      </c>
      <c r="AH24" s="42">
        <f t="shared" si="57"/>
        <v>8.8931241535255108</v>
      </c>
      <c r="AI24" s="42">
        <f t="shared" si="33"/>
        <v>38.326116454968464</v>
      </c>
      <c r="AJ24" s="42">
        <f t="shared" si="58"/>
        <v>38.349432097104817</v>
      </c>
      <c r="AK24" s="42">
        <f t="shared" si="59"/>
        <v>38.303292631166229</v>
      </c>
      <c r="AL24" s="42">
        <f t="shared" si="36"/>
        <v>8.8936039302228274</v>
      </c>
      <c r="AM24" s="42">
        <f t="shared" si="37"/>
        <v>8.8883466562171591</v>
      </c>
      <c r="AN24" s="42">
        <f t="shared" si="38"/>
        <v>8.8931241535255108</v>
      </c>
      <c r="AO24" s="42">
        <f t="shared" si="60"/>
        <v>7.912669845740997E-3</v>
      </c>
      <c r="AP24" s="42">
        <f t="shared" si="61"/>
        <v>8.7451733666129104E-3</v>
      </c>
      <c r="AQ24" s="42">
        <f t="shared" si="62"/>
        <v>6.588347990758572E-3</v>
      </c>
      <c r="AR24" s="42">
        <f t="shared" si="63"/>
        <v>-8.5846306131233344E-3</v>
      </c>
      <c r="AS24" s="42">
        <f t="shared" si="64"/>
        <v>-6.0342988639789227E-3</v>
      </c>
      <c r="AT24" s="42">
        <f t="shared" si="65"/>
        <v>-1.0773094979748727E-2</v>
      </c>
      <c r="AU24" s="42">
        <f t="shared" si="66"/>
        <v>38.30414060754741</v>
      </c>
      <c r="AV24" s="42">
        <f t="shared" si="67"/>
        <v>38.327456249683785</v>
      </c>
      <c r="AW24" s="42">
        <f t="shared" si="68"/>
        <v>38.281316783745176</v>
      </c>
      <c r="AX24" s="42">
        <f t="shared" si="69"/>
        <v>8.8698881175536481</v>
      </c>
      <c r="AY24" s="42">
        <f t="shared" si="70"/>
        <v>8.8646308435479746</v>
      </c>
      <c r="AZ24" s="42">
        <f t="shared" si="71"/>
        <v>8.8694083408563333</v>
      </c>
      <c r="BA24" s="5">
        <f t="shared" si="12"/>
        <v>38</v>
      </c>
      <c r="BB24" s="40">
        <f t="shared" si="13"/>
        <v>18.248436452844601</v>
      </c>
      <c r="BC24" s="5">
        <f t="shared" si="14"/>
        <v>8</v>
      </c>
      <c r="BD24" s="40">
        <f t="shared" si="15"/>
        <v>52.193287053218889</v>
      </c>
      <c r="BE24" s="46">
        <f t="shared" si="43"/>
        <v>-105.91871879492382</v>
      </c>
      <c r="BF24" s="9">
        <f t="shared" si="72"/>
        <v>105.91871879492382</v>
      </c>
      <c r="BG24" s="47">
        <f t="shared" si="16"/>
        <v>6.3704687147977861</v>
      </c>
    </row>
    <row r="25" spans="1:59" x14ac:dyDescent="0.3">
      <c r="A25" s="38">
        <v>15</v>
      </c>
      <c r="B25" s="38">
        <v>10</v>
      </c>
      <c r="C25" s="38">
        <v>180</v>
      </c>
      <c r="D25" s="42">
        <f t="shared" si="0"/>
        <v>0.16129743142564523</v>
      </c>
      <c r="E25">
        <f t="shared" si="1"/>
        <v>45</v>
      </c>
      <c r="F25" s="42">
        <f t="shared" si="44"/>
        <v>0.16129867101801043</v>
      </c>
      <c r="G25" s="42">
        <f t="shared" si="45"/>
        <v>2.4192942814999316</v>
      </c>
      <c r="H25" s="42">
        <f t="shared" si="2"/>
        <v>2477.7320247657426</v>
      </c>
      <c r="I25" s="42">
        <f t="shared" si="17"/>
        <v>3.2956534807718346E-3</v>
      </c>
      <c r="J25" s="42">
        <f t="shared" si="18"/>
        <v>6.957861334864516E-4</v>
      </c>
      <c r="K25" s="42">
        <f t="shared" si="19"/>
        <v>-3.2956534807718346E-3</v>
      </c>
      <c r="L25" s="42">
        <f t="shared" si="20"/>
        <v>8.9729885338500459</v>
      </c>
      <c r="M25" s="42">
        <f t="shared" si="21"/>
        <v>38.312053272045759</v>
      </c>
      <c r="N25" s="42">
        <f t="shared" si="22"/>
        <v>8.9729885338500459</v>
      </c>
      <c r="O25">
        <f t="shared" si="3"/>
        <v>0.5</v>
      </c>
      <c r="P25">
        <f t="shared" si="23"/>
        <v>0.5</v>
      </c>
      <c r="Q25">
        <f t="shared" si="24"/>
        <v>0</v>
      </c>
      <c r="R25">
        <f t="shared" si="25"/>
        <v>345</v>
      </c>
      <c r="S25">
        <f t="shared" si="26"/>
        <v>15</v>
      </c>
      <c r="T25">
        <f t="shared" si="4"/>
        <v>2479.3527474782609</v>
      </c>
      <c r="U25">
        <f t="shared" si="27"/>
        <v>2481.1924893773448</v>
      </c>
      <c r="V25">
        <f t="shared" si="28"/>
        <v>2477.5136236565781</v>
      </c>
      <c r="W25" s="42">
        <f t="shared" si="46"/>
        <v>5.2895147019034524E-3</v>
      </c>
      <c r="X25" s="42">
        <f t="shared" si="47"/>
        <v>2.7389588739001932E-3</v>
      </c>
      <c r="Y25" s="42">
        <f t="shared" si="48"/>
        <v>7.4780605236397235E-3</v>
      </c>
      <c r="Z25" s="42">
        <f t="shared" si="49"/>
        <v>7.2168783648703227E-3</v>
      </c>
      <c r="AA25" s="42">
        <f t="shared" si="50"/>
        <v>8.0493818857422361E-3</v>
      </c>
      <c r="AB25" s="42">
        <f t="shared" si="51"/>
        <v>5.8925565098878968E-3</v>
      </c>
      <c r="AC25" s="42">
        <f t="shared" si="52"/>
        <v>-5.2895147019034524E-3</v>
      </c>
      <c r="AD25" s="42">
        <f t="shared" si="53"/>
        <v>-2.7389588739001932E-3</v>
      </c>
      <c r="AE25" s="42">
        <f t="shared" si="54"/>
        <v>-7.4780605236397235E-3</v>
      </c>
      <c r="AF25" s="42">
        <f t="shared" si="55"/>
        <v>8.8883144155209237</v>
      </c>
      <c r="AG25" s="42">
        <f t="shared" si="56"/>
        <v>8.8856076973432589</v>
      </c>
      <c r="AH25" s="42">
        <f t="shared" si="57"/>
        <v>8.8856460930018706</v>
      </c>
      <c r="AI25" s="42">
        <f t="shared" si="33"/>
        <v>38.333333333333336</v>
      </c>
      <c r="AJ25" s="42">
        <f t="shared" si="58"/>
        <v>38.357481478990557</v>
      </c>
      <c r="AK25" s="42">
        <f t="shared" si="59"/>
        <v>38.309185187676114</v>
      </c>
      <c r="AL25" s="42">
        <f t="shared" si="36"/>
        <v>8.8883144155209237</v>
      </c>
      <c r="AM25" s="42">
        <f t="shared" si="37"/>
        <v>8.8856076973432589</v>
      </c>
      <c r="AN25" s="42">
        <f t="shared" si="38"/>
        <v>8.8856460930018706</v>
      </c>
      <c r="AO25" s="42">
        <f t="shared" si="60"/>
        <v>7.9126644983567741E-3</v>
      </c>
      <c r="AP25" s="42">
        <f t="shared" si="61"/>
        <v>8.7451680192286874E-3</v>
      </c>
      <c r="AQ25" s="42">
        <f t="shared" si="62"/>
        <v>6.5883426433743482E-3</v>
      </c>
      <c r="AR25" s="42">
        <f t="shared" si="63"/>
        <v>-8.585168182675287E-3</v>
      </c>
      <c r="AS25" s="42">
        <f t="shared" si="64"/>
        <v>-6.0346123546720278E-3</v>
      </c>
      <c r="AT25" s="42">
        <f t="shared" si="65"/>
        <v>-1.0773714004411558E-2</v>
      </c>
      <c r="AU25" s="42">
        <f t="shared" si="66"/>
        <v>38.312053272045766</v>
      </c>
      <c r="AV25" s="42">
        <f t="shared" si="67"/>
        <v>38.336201417703016</v>
      </c>
      <c r="AW25" s="42">
        <f t="shared" si="68"/>
        <v>38.287905126388551</v>
      </c>
      <c r="AX25" s="42">
        <f t="shared" si="69"/>
        <v>8.8613029493709732</v>
      </c>
      <c r="AY25" s="42">
        <f t="shared" si="70"/>
        <v>8.8585962311933031</v>
      </c>
      <c r="AZ25" s="42">
        <f t="shared" si="71"/>
        <v>8.8586346268519218</v>
      </c>
      <c r="BA25" s="5">
        <f t="shared" si="12"/>
        <v>38</v>
      </c>
      <c r="BB25" s="40">
        <f t="shared" si="13"/>
        <v>18.723196322745963</v>
      </c>
      <c r="BC25" s="5">
        <f t="shared" si="14"/>
        <v>8</v>
      </c>
      <c r="BD25" s="40">
        <f t="shared" si="15"/>
        <v>51.678176962258391</v>
      </c>
      <c r="BE25" s="46">
        <f t="shared" si="43"/>
        <v>-101.02249612717991</v>
      </c>
      <c r="BF25" s="9">
        <f t="shared" si="72"/>
        <v>101.02249612717991</v>
      </c>
      <c r="BG25" s="47">
        <f t="shared" si="16"/>
        <v>6.652404913959443</v>
      </c>
    </row>
    <row r="26" spans="1:59" x14ac:dyDescent="0.3">
      <c r="A26" s="38">
        <v>16</v>
      </c>
      <c r="B26" s="38">
        <v>10</v>
      </c>
      <c r="C26" s="38">
        <v>180</v>
      </c>
      <c r="D26" s="42">
        <f t="shared" si="0"/>
        <v>0.16129404502866926</v>
      </c>
      <c r="E26">
        <f t="shared" si="1"/>
        <v>45</v>
      </c>
      <c r="F26" s="42">
        <f t="shared" si="44"/>
        <v>0.16129743142564523</v>
      </c>
      <c r="G26" s="42">
        <f t="shared" si="45"/>
        <v>2.5805917129255769</v>
      </c>
      <c r="H26" s="42">
        <f t="shared" si="2"/>
        <v>2477.876781414041</v>
      </c>
      <c r="I26" s="42">
        <f t="shared" si="17"/>
        <v>2.4126108049762436E-3</v>
      </c>
      <c r="J26" s="42">
        <f t="shared" si="18"/>
        <v>1.9009084591507649E-3</v>
      </c>
      <c r="K26" s="42">
        <f t="shared" si="19"/>
        <v>-2.4126108049762436E-3</v>
      </c>
      <c r="L26" s="42">
        <f t="shared" si="20"/>
        <v>8.9705759230450699</v>
      </c>
      <c r="M26" s="42">
        <f t="shared" si="21"/>
        <v>38.313954180504908</v>
      </c>
      <c r="N26" s="42">
        <f t="shared" si="22"/>
        <v>8.9705759230450699</v>
      </c>
      <c r="O26">
        <f t="shared" si="3"/>
        <v>0.5</v>
      </c>
      <c r="P26">
        <f t="shared" si="23"/>
        <v>0.5</v>
      </c>
      <c r="Q26">
        <f t="shared" si="24"/>
        <v>0</v>
      </c>
      <c r="R26">
        <f t="shared" si="25"/>
        <v>345</v>
      </c>
      <c r="S26">
        <f t="shared" si="26"/>
        <v>15</v>
      </c>
      <c r="T26">
        <f t="shared" si="4"/>
        <v>2479.9875579190152</v>
      </c>
      <c r="U26">
        <f t="shared" si="27"/>
        <v>2481.8058741554833</v>
      </c>
      <c r="V26">
        <f t="shared" si="28"/>
        <v>2478.1265963008577</v>
      </c>
      <c r="W26" s="42">
        <f t="shared" si="46"/>
        <v>0</v>
      </c>
      <c r="X26" s="42">
        <f t="shared" si="47"/>
        <v>2.7392659325294745E-3</v>
      </c>
      <c r="Y26" s="42">
        <f t="shared" si="48"/>
        <v>2.737425416951959E-3</v>
      </c>
      <c r="Z26" s="42">
        <f t="shared" si="49"/>
        <v>8.3333333333333332E-3</v>
      </c>
      <c r="AA26" s="42">
        <f t="shared" si="50"/>
        <v>8.0493818857422361E-3</v>
      </c>
      <c r="AB26" s="42">
        <f t="shared" si="51"/>
        <v>8.0493818857422361E-3</v>
      </c>
      <c r="AC26" s="42">
        <f t="shared" si="52"/>
        <v>0</v>
      </c>
      <c r="AD26" s="42">
        <f t="shared" si="53"/>
        <v>2.7392659325294745E-3</v>
      </c>
      <c r="AE26" s="42">
        <f t="shared" si="54"/>
        <v>-2.737425416951959E-3</v>
      </c>
      <c r="AF26" s="42">
        <f t="shared" si="55"/>
        <v>8.8883144155209237</v>
      </c>
      <c r="AG26" s="42">
        <f t="shared" si="56"/>
        <v>8.8883469632757883</v>
      </c>
      <c r="AH26" s="42">
        <f t="shared" si="57"/>
        <v>8.8829086675849194</v>
      </c>
      <c r="AI26" s="42">
        <f t="shared" si="33"/>
        <v>38.341666666666669</v>
      </c>
      <c r="AJ26" s="42">
        <f t="shared" si="58"/>
        <v>38.365530860876298</v>
      </c>
      <c r="AK26" s="42">
        <f t="shared" si="59"/>
        <v>38.317234569561855</v>
      </c>
      <c r="AL26" s="42">
        <f t="shared" si="36"/>
        <v>8.8883144155209237</v>
      </c>
      <c r="AM26" s="42">
        <f t="shared" si="37"/>
        <v>8.8883469632757883</v>
      </c>
      <c r="AN26" s="42">
        <f t="shared" si="38"/>
        <v>8.8829086675849194</v>
      </c>
      <c r="AO26" s="42">
        <f t="shared" si="60"/>
        <v>1.0234241792484097E-2</v>
      </c>
      <c r="AP26" s="42">
        <f t="shared" si="61"/>
        <v>9.9502903448930001E-3</v>
      </c>
      <c r="AQ26" s="42">
        <f t="shared" si="62"/>
        <v>9.9502903448930001E-3</v>
      </c>
      <c r="AR26" s="42">
        <f t="shared" si="63"/>
        <v>-2.4126108049762436E-3</v>
      </c>
      <c r="AS26" s="42">
        <f t="shared" si="64"/>
        <v>3.2665512755323091E-4</v>
      </c>
      <c r="AT26" s="42">
        <f t="shared" si="65"/>
        <v>-5.1500362219282026E-3</v>
      </c>
      <c r="AU26" s="42">
        <f t="shared" si="66"/>
        <v>38.322287513838248</v>
      </c>
      <c r="AV26" s="42">
        <f t="shared" si="67"/>
        <v>38.346151708047913</v>
      </c>
      <c r="AW26" s="42">
        <f t="shared" si="68"/>
        <v>38.297855416733448</v>
      </c>
      <c r="AX26" s="42">
        <f t="shared" si="69"/>
        <v>8.8588903385659972</v>
      </c>
      <c r="AY26" s="42">
        <f t="shared" si="70"/>
        <v>8.8589228863208564</v>
      </c>
      <c r="AZ26" s="42">
        <f t="shared" si="71"/>
        <v>8.8534845906299928</v>
      </c>
      <c r="BA26" s="5">
        <f t="shared" si="12"/>
        <v>38</v>
      </c>
      <c r="BB26" s="40">
        <f t="shared" si="13"/>
        <v>19.337250830294863</v>
      </c>
      <c r="BC26" s="5">
        <f t="shared" si="14"/>
        <v>8</v>
      </c>
      <c r="BD26" s="40">
        <f t="shared" si="15"/>
        <v>51.53342031395983</v>
      </c>
      <c r="BE26" s="46">
        <f t="shared" si="43"/>
        <v>-95.654593446032763</v>
      </c>
      <c r="BF26" s="9">
        <f t="shared" si="72"/>
        <v>95.654593446032763</v>
      </c>
      <c r="BG26" s="47">
        <f t="shared" si="16"/>
        <v>6.6748072678561803</v>
      </c>
    </row>
    <row r="27" spans="1:59" x14ac:dyDescent="0.3">
      <c r="A27" s="38">
        <v>17</v>
      </c>
      <c r="B27" s="38">
        <v>10</v>
      </c>
      <c r="C27" s="38">
        <v>180</v>
      </c>
      <c r="D27" s="42">
        <f t="shared" si="0"/>
        <v>0.16129065900482514</v>
      </c>
      <c r="E27">
        <f t="shared" si="1"/>
        <v>45</v>
      </c>
      <c r="F27" s="42">
        <f t="shared" si="44"/>
        <v>0.16129404502866926</v>
      </c>
      <c r="G27" s="42">
        <f t="shared" si="45"/>
        <v>2.7418857579542459</v>
      </c>
      <c r="H27" s="42">
        <f t="shared" si="2"/>
        <v>2478.0215388494044</v>
      </c>
      <c r="I27" s="42">
        <f t="shared" si="17"/>
        <v>2.4126239227205749E-3</v>
      </c>
      <c r="J27" s="42">
        <f t="shared" si="18"/>
        <v>1.900868550079673E-3</v>
      </c>
      <c r="K27" s="42">
        <f t="shared" si="19"/>
        <v>-2.4126239227205749E-3</v>
      </c>
      <c r="L27" s="42">
        <f t="shared" si="20"/>
        <v>8.9681632991223488</v>
      </c>
      <c r="M27" s="42">
        <f t="shared" si="21"/>
        <v>38.315855049054989</v>
      </c>
      <c r="N27" s="42">
        <f t="shared" si="22"/>
        <v>8.9681632991223488</v>
      </c>
      <c r="O27">
        <f t="shared" si="3"/>
        <v>0.5</v>
      </c>
      <c r="P27">
        <f t="shared" si="23"/>
        <v>0.5</v>
      </c>
      <c r="Q27">
        <f t="shared" si="24"/>
        <v>0</v>
      </c>
      <c r="R27">
        <f t="shared" si="25"/>
        <v>345</v>
      </c>
      <c r="S27">
        <f t="shared" si="26"/>
        <v>15</v>
      </c>
      <c r="T27">
        <f t="shared" si="4"/>
        <v>2480.6224419960954</v>
      </c>
      <c r="U27">
        <f t="shared" si="27"/>
        <v>2482.4193277185691</v>
      </c>
      <c r="V27">
        <f t="shared" si="28"/>
        <v>2478.7396375656258</v>
      </c>
      <c r="W27" s="42">
        <f t="shared" si="46"/>
        <v>0</v>
      </c>
      <c r="X27" s="42">
        <f t="shared" si="47"/>
        <v>2.7395731137146674E-3</v>
      </c>
      <c r="Y27" s="42">
        <f t="shared" si="48"/>
        <v>2.737731863693217E-3</v>
      </c>
      <c r="Z27" s="42">
        <f t="shared" si="49"/>
        <v>8.3333333333333332E-3</v>
      </c>
      <c r="AA27" s="42">
        <f t="shared" si="50"/>
        <v>8.0493818857422361E-3</v>
      </c>
      <c r="AB27" s="42">
        <f t="shared" si="51"/>
        <v>8.0493818857422361E-3</v>
      </c>
      <c r="AC27" s="42">
        <f t="shared" si="52"/>
        <v>0</v>
      </c>
      <c r="AD27" s="42">
        <f t="shared" si="53"/>
        <v>2.7395731137146674E-3</v>
      </c>
      <c r="AE27" s="42">
        <f t="shared" si="54"/>
        <v>-2.737731863693217E-3</v>
      </c>
      <c r="AF27" s="42">
        <f t="shared" si="55"/>
        <v>8.8883144155209237</v>
      </c>
      <c r="AG27" s="42">
        <f t="shared" si="56"/>
        <v>8.8910865363895031</v>
      </c>
      <c r="AH27" s="42">
        <f t="shared" si="57"/>
        <v>8.8801709357212264</v>
      </c>
      <c r="AI27" s="42">
        <f t="shared" si="33"/>
        <v>38.35</v>
      </c>
      <c r="AJ27" s="42">
        <f t="shared" si="58"/>
        <v>38.373580242762038</v>
      </c>
      <c r="AK27" s="42">
        <f t="shared" si="59"/>
        <v>38.325283951447595</v>
      </c>
      <c r="AL27" s="42">
        <f t="shared" si="36"/>
        <v>8.8883144155209237</v>
      </c>
      <c r="AM27" s="42">
        <f t="shared" si="37"/>
        <v>8.8910865363895031</v>
      </c>
      <c r="AN27" s="42">
        <f t="shared" si="38"/>
        <v>8.8801709357212264</v>
      </c>
      <c r="AO27" s="42">
        <f t="shared" si="60"/>
        <v>1.0234201883413006E-2</v>
      </c>
      <c r="AP27" s="42">
        <f t="shared" si="61"/>
        <v>9.9502504358219088E-3</v>
      </c>
      <c r="AQ27" s="42">
        <f t="shared" si="62"/>
        <v>9.9502504358219088E-3</v>
      </c>
      <c r="AR27" s="42">
        <f t="shared" si="63"/>
        <v>-2.4126239227205749E-3</v>
      </c>
      <c r="AS27" s="42">
        <f t="shared" si="64"/>
        <v>3.2694919099409249E-4</v>
      </c>
      <c r="AT27" s="42">
        <f t="shared" si="65"/>
        <v>-5.1503557864137923E-3</v>
      </c>
      <c r="AU27" s="42">
        <f t="shared" si="66"/>
        <v>38.332521715721661</v>
      </c>
      <c r="AV27" s="42">
        <f t="shared" si="67"/>
        <v>38.356101958483734</v>
      </c>
      <c r="AW27" s="42">
        <f t="shared" si="68"/>
        <v>38.307805667169269</v>
      </c>
      <c r="AX27" s="42">
        <f t="shared" si="69"/>
        <v>8.856477714643276</v>
      </c>
      <c r="AY27" s="42">
        <f t="shared" si="70"/>
        <v>8.8592498355118501</v>
      </c>
      <c r="AZ27" s="42">
        <f t="shared" si="71"/>
        <v>8.8483342348435787</v>
      </c>
      <c r="BA27" s="5">
        <f t="shared" si="12"/>
        <v>38</v>
      </c>
      <c r="BB27" s="40">
        <f t="shared" si="13"/>
        <v>19.95130294329968</v>
      </c>
      <c r="BC27" s="5">
        <f t="shared" si="14"/>
        <v>8</v>
      </c>
      <c r="BD27" s="40">
        <f t="shared" si="15"/>
        <v>51.388662878596563</v>
      </c>
      <c r="BE27" s="46">
        <f t="shared" si="43"/>
        <v>-90.368537474214676</v>
      </c>
      <c r="BF27" s="9">
        <f t="shared" si="72"/>
        <v>90.368537474214676</v>
      </c>
      <c r="BG27" s="47">
        <f t="shared" si="16"/>
        <v>6.7550804127818758</v>
      </c>
    </row>
    <row r="28" spans="1:59" x14ac:dyDescent="0.3">
      <c r="A28" s="38">
        <v>18</v>
      </c>
      <c r="B28" s="38">
        <v>10</v>
      </c>
      <c r="C28" s="38">
        <v>150</v>
      </c>
      <c r="D28" s="42">
        <f t="shared" si="0"/>
        <v>0.16128727335405055</v>
      </c>
      <c r="E28">
        <f t="shared" si="1"/>
        <v>15</v>
      </c>
      <c r="F28" s="42">
        <f t="shared" si="44"/>
        <v>0.16129065900482514</v>
      </c>
      <c r="G28" s="42">
        <f t="shared" si="45"/>
        <v>2.903176416959071</v>
      </c>
      <c r="H28" s="42">
        <f t="shared" si="2"/>
        <v>2478.1662970722855</v>
      </c>
      <c r="I28" s="42">
        <f t="shared" si="17"/>
        <v>2.4126370480216414E-3</v>
      </c>
      <c r="J28" s="42">
        <f t="shared" si="18"/>
        <v>1.9008286454059826E-3</v>
      </c>
      <c r="K28" s="42">
        <f t="shared" si="19"/>
        <v>-2.4126370480216414E-3</v>
      </c>
      <c r="L28" s="42">
        <f t="shared" si="20"/>
        <v>8.9657506620743277</v>
      </c>
      <c r="M28" s="42">
        <f t="shared" si="21"/>
        <v>38.317755877700392</v>
      </c>
      <c r="N28" s="42">
        <f t="shared" si="22"/>
        <v>8.9657506620743277</v>
      </c>
      <c r="O28">
        <f t="shared" si="3"/>
        <v>0.5</v>
      </c>
      <c r="P28">
        <f t="shared" si="23"/>
        <v>0.5</v>
      </c>
      <c r="Q28">
        <f t="shared" si="24"/>
        <v>330</v>
      </c>
      <c r="R28">
        <f t="shared" si="25"/>
        <v>315</v>
      </c>
      <c r="S28">
        <f t="shared" si="26"/>
        <v>345</v>
      </c>
      <c r="T28">
        <f t="shared" si="4"/>
        <v>2481.2573997399286</v>
      </c>
      <c r="U28">
        <f t="shared" si="27"/>
        <v>2483.0328500940464</v>
      </c>
      <c r="V28">
        <f t="shared" si="28"/>
        <v>2479.3527474782609</v>
      </c>
      <c r="W28" s="42">
        <f t="shared" si="46"/>
        <v>0</v>
      </c>
      <c r="X28" s="42">
        <f t="shared" si="47"/>
        <v>2.7398804174598329E-3</v>
      </c>
      <c r="Y28" s="42">
        <f t="shared" si="48"/>
        <v>2.73803843270201E-3</v>
      </c>
      <c r="Z28" s="42">
        <f t="shared" si="49"/>
        <v>8.3333333333333332E-3</v>
      </c>
      <c r="AA28" s="42">
        <f t="shared" si="50"/>
        <v>8.0493818857422361E-3</v>
      </c>
      <c r="AB28" s="42">
        <f t="shared" si="51"/>
        <v>8.0493818857422361E-3</v>
      </c>
      <c r="AC28" s="42">
        <f t="shared" si="52"/>
        <v>0</v>
      </c>
      <c r="AD28" s="42">
        <f t="shared" si="53"/>
        <v>2.7398804174598329E-3</v>
      </c>
      <c r="AE28" s="42">
        <f t="shared" si="54"/>
        <v>-2.73803843270201E-3</v>
      </c>
      <c r="AF28" s="42">
        <f t="shared" si="55"/>
        <v>8.8883144155209237</v>
      </c>
      <c r="AG28" s="42">
        <f t="shared" si="56"/>
        <v>8.893826416806963</v>
      </c>
      <c r="AH28" s="42">
        <f t="shared" si="57"/>
        <v>8.877432897288525</v>
      </c>
      <c r="AI28" s="42">
        <f t="shared" si="33"/>
        <v>38.358333333333334</v>
      </c>
      <c r="AJ28" s="42">
        <f t="shared" si="58"/>
        <v>38.381629624647779</v>
      </c>
      <c r="AK28" s="42">
        <f t="shared" si="59"/>
        <v>38.333333333333336</v>
      </c>
      <c r="AL28" s="42">
        <f t="shared" si="36"/>
        <v>8.8883144155209237</v>
      </c>
      <c r="AM28" s="42">
        <f t="shared" si="37"/>
        <v>8.893826416806963</v>
      </c>
      <c r="AN28" s="42">
        <f t="shared" si="38"/>
        <v>8.877432897288525</v>
      </c>
      <c r="AO28" s="42">
        <f t="shared" si="60"/>
        <v>1.0234161978739316E-2</v>
      </c>
      <c r="AP28" s="42">
        <f t="shared" si="61"/>
        <v>9.9502105311482184E-3</v>
      </c>
      <c r="AQ28" s="42">
        <f t="shared" si="62"/>
        <v>9.9502105311482184E-3</v>
      </c>
      <c r="AR28" s="42">
        <f t="shared" si="63"/>
        <v>-2.4126370480216414E-3</v>
      </c>
      <c r="AS28" s="42">
        <f t="shared" si="64"/>
        <v>3.2724336943819148E-4</v>
      </c>
      <c r="AT28" s="42">
        <f t="shared" si="65"/>
        <v>-5.1506754807236514E-3</v>
      </c>
      <c r="AU28" s="42">
        <f t="shared" si="66"/>
        <v>38.342755877700398</v>
      </c>
      <c r="AV28" s="42">
        <f t="shared" si="67"/>
        <v>38.366052169014885</v>
      </c>
      <c r="AW28" s="42">
        <f t="shared" si="68"/>
        <v>38.317755877700421</v>
      </c>
      <c r="AX28" s="42">
        <f t="shared" si="69"/>
        <v>8.854065077595255</v>
      </c>
      <c r="AY28" s="42">
        <f t="shared" si="70"/>
        <v>8.8595770788812889</v>
      </c>
      <c r="AZ28" s="42">
        <f t="shared" si="71"/>
        <v>8.8431835593628545</v>
      </c>
      <c r="BA28" s="5">
        <f t="shared" si="12"/>
        <v>38</v>
      </c>
      <c r="BB28" s="40">
        <f t="shared" si="13"/>
        <v>20.565352662023884</v>
      </c>
      <c r="BC28" s="5">
        <f t="shared" si="14"/>
        <v>8</v>
      </c>
      <c r="BD28" s="40">
        <f t="shared" si="15"/>
        <v>51.243904655715298</v>
      </c>
      <c r="BE28" s="46">
        <f t="shared" si="43"/>
        <v>-85.248918809034677</v>
      </c>
      <c r="BF28" s="9">
        <f t="shared" si="72"/>
        <v>85.248918809034677</v>
      </c>
      <c r="BG28" s="47">
        <f t="shared" si="16"/>
        <v>6.8912008882634197</v>
      </c>
    </row>
    <row r="29" spans="1:59" x14ac:dyDescent="0.3">
      <c r="A29" s="38">
        <v>19</v>
      </c>
      <c r="B29" s="38">
        <v>10</v>
      </c>
      <c r="C29" s="38">
        <v>150</v>
      </c>
      <c r="D29" s="42">
        <f t="shared" si="0"/>
        <v>0.16128264905409856</v>
      </c>
      <c r="E29">
        <f t="shared" si="1"/>
        <v>15</v>
      </c>
      <c r="F29" s="42">
        <f t="shared" si="44"/>
        <v>0.16128727335405055</v>
      </c>
      <c r="G29" s="42">
        <f t="shared" si="45"/>
        <v>3.0644636903131217</v>
      </c>
      <c r="H29" s="42">
        <f t="shared" si="2"/>
        <v>2478.3640425152516</v>
      </c>
      <c r="I29" s="42">
        <f t="shared" si="17"/>
        <v>8.8309552916196585E-4</v>
      </c>
      <c r="J29" s="42">
        <f t="shared" si="18"/>
        <v>2.5965257130737018E-3</v>
      </c>
      <c r="K29" s="42">
        <f t="shared" si="19"/>
        <v>-8.8309552916196585E-4</v>
      </c>
      <c r="L29" s="42">
        <f t="shared" si="20"/>
        <v>8.9648675665451663</v>
      </c>
      <c r="M29" s="42">
        <f t="shared" si="21"/>
        <v>38.320352403413466</v>
      </c>
      <c r="N29" s="42">
        <f t="shared" si="22"/>
        <v>8.9648675665451663</v>
      </c>
      <c r="O29">
        <f t="shared" si="3"/>
        <v>0.5</v>
      </c>
      <c r="P29">
        <f t="shared" si="23"/>
        <v>0.5</v>
      </c>
      <c r="Q29">
        <f t="shared" si="24"/>
        <v>330</v>
      </c>
      <c r="R29">
        <f t="shared" si="25"/>
        <v>315</v>
      </c>
      <c r="S29">
        <f t="shared" si="26"/>
        <v>345</v>
      </c>
      <c r="T29">
        <f t="shared" si="4"/>
        <v>2481.8073488235782</v>
      </c>
      <c r="U29">
        <f t="shared" si="27"/>
        <v>2483.4820232856409</v>
      </c>
      <c r="V29">
        <f t="shared" si="28"/>
        <v>2479.9659260661547</v>
      </c>
      <c r="W29" s="42">
        <f t="shared" si="46"/>
        <v>5.2918875247602174E-3</v>
      </c>
      <c r="X29" s="42">
        <f t="shared" si="47"/>
        <v>7.4862198599138534E-3</v>
      </c>
      <c r="Y29" s="42">
        <f t="shared" si="48"/>
        <v>2.7383451240372302E-3</v>
      </c>
      <c r="Z29" s="42">
        <f t="shared" si="49"/>
        <v>7.2168783648703201E-3</v>
      </c>
      <c r="AA29" s="42">
        <f t="shared" si="50"/>
        <v>5.8925565098878942E-3</v>
      </c>
      <c r="AB29" s="42">
        <f t="shared" si="51"/>
        <v>8.0493818857422361E-3</v>
      </c>
      <c r="AC29" s="42">
        <f t="shared" si="52"/>
        <v>5.2918875247602174E-3</v>
      </c>
      <c r="AD29" s="42">
        <f t="shared" si="53"/>
        <v>7.4862198599138534E-3</v>
      </c>
      <c r="AE29" s="42">
        <f t="shared" si="54"/>
        <v>2.7383451240372302E-3</v>
      </c>
      <c r="AF29" s="42">
        <f t="shared" si="55"/>
        <v>8.8936063030456847</v>
      </c>
      <c r="AG29" s="42">
        <f t="shared" si="56"/>
        <v>8.9013126366668764</v>
      </c>
      <c r="AH29" s="42">
        <f t="shared" si="57"/>
        <v>8.8801712424125618</v>
      </c>
      <c r="AI29" s="42">
        <f t="shared" si="33"/>
        <v>38.365550211698206</v>
      </c>
      <c r="AJ29" s="42">
        <f t="shared" si="58"/>
        <v>38.387522181157664</v>
      </c>
      <c r="AK29" s="42">
        <f t="shared" si="59"/>
        <v>38.341382715219076</v>
      </c>
      <c r="AL29" s="42">
        <f t="shared" si="36"/>
        <v>8.8936063030456847</v>
      </c>
      <c r="AM29" s="42">
        <f t="shared" si="37"/>
        <v>8.9013126366668764</v>
      </c>
      <c r="AN29" s="42">
        <f t="shared" si="38"/>
        <v>8.8801712424125618</v>
      </c>
      <c r="AO29" s="42">
        <f t="shared" si="60"/>
        <v>9.8134040779440223E-3</v>
      </c>
      <c r="AP29" s="42">
        <f t="shared" si="61"/>
        <v>8.4890822229615956E-3</v>
      </c>
      <c r="AQ29" s="42">
        <f t="shared" si="62"/>
        <v>1.0645907598815937E-2</v>
      </c>
      <c r="AR29" s="42">
        <f t="shared" si="63"/>
        <v>4.4087919955982519E-3</v>
      </c>
      <c r="AS29" s="42">
        <f t="shared" si="64"/>
        <v>6.6031243307518878E-3</v>
      </c>
      <c r="AT29" s="42">
        <f t="shared" si="65"/>
        <v>1.8552495948752643E-3</v>
      </c>
      <c r="AU29" s="42">
        <f t="shared" si="66"/>
        <v>38.352569281778344</v>
      </c>
      <c r="AV29" s="42">
        <f t="shared" si="67"/>
        <v>38.374541251237844</v>
      </c>
      <c r="AW29" s="42">
        <f t="shared" si="68"/>
        <v>38.328401785299235</v>
      </c>
      <c r="AX29" s="42">
        <f t="shared" si="69"/>
        <v>8.8584738695908527</v>
      </c>
      <c r="AY29" s="42">
        <f t="shared" si="70"/>
        <v>8.8661802032120409</v>
      </c>
      <c r="AZ29" s="42">
        <f t="shared" si="71"/>
        <v>8.8450388089577299</v>
      </c>
      <c r="BA29" s="5">
        <f t="shared" si="12"/>
        <v>38</v>
      </c>
      <c r="BB29" s="40">
        <f t="shared" si="13"/>
        <v>21.154156906700621</v>
      </c>
      <c r="BC29" s="5">
        <f t="shared" si="14"/>
        <v>8</v>
      </c>
      <c r="BD29" s="40">
        <f t="shared" si="15"/>
        <v>51.508432175451162</v>
      </c>
      <c r="BE29" s="46">
        <f t="shared" si="43"/>
        <v>-80.124622330591023</v>
      </c>
      <c r="BF29" s="9">
        <f t="shared" si="72"/>
        <v>80.124622330591023</v>
      </c>
      <c r="BG29" s="47">
        <f t="shared" si="16"/>
        <v>6.7592994764379197</v>
      </c>
    </row>
    <row r="30" spans="1:59" x14ac:dyDescent="0.3">
      <c r="A30" s="38">
        <v>20</v>
      </c>
      <c r="B30" s="38">
        <v>10</v>
      </c>
      <c r="C30" s="38">
        <v>150</v>
      </c>
      <c r="D30" s="42">
        <f t="shared" si="0"/>
        <v>0.16127802545003647</v>
      </c>
      <c r="E30">
        <f t="shared" si="1"/>
        <v>15</v>
      </c>
      <c r="F30" s="42">
        <f t="shared" si="44"/>
        <v>0.16128264905409856</v>
      </c>
      <c r="G30" s="42">
        <f t="shared" si="45"/>
        <v>3.2257463393672201</v>
      </c>
      <c r="H30" s="42">
        <f t="shared" si="2"/>
        <v>2478.5617894296765</v>
      </c>
      <c r="I30" s="42">
        <f t="shared" si="17"/>
        <v>8.8310210043057681E-4</v>
      </c>
      <c r="J30" s="42">
        <f t="shared" si="18"/>
        <v>2.5964512675611664E-3</v>
      </c>
      <c r="K30" s="42">
        <f t="shared" si="19"/>
        <v>-8.8310210043057681E-4</v>
      </c>
      <c r="L30" s="42">
        <f t="shared" si="20"/>
        <v>8.9639844644447351</v>
      </c>
      <c r="M30" s="42">
        <f t="shared" si="21"/>
        <v>38.32294885468103</v>
      </c>
      <c r="N30" s="42">
        <f t="shared" si="22"/>
        <v>8.9639844644447351</v>
      </c>
      <c r="O30">
        <f t="shared" si="3"/>
        <v>0.5</v>
      </c>
      <c r="P30">
        <f t="shared" si="23"/>
        <v>0.5</v>
      </c>
      <c r="Q30">
        <f t="shared" si="24"/>
        <v>330</v>
      </c>
      <c r="R30">
        <f t="shared" si="25"/>
        <v>315</v>
      </c>
      <c r="S30">
        <f t="shared" si="26"/>
        <v>345</v>
      </c>
      <c r="T30">
        <f t="shared" si="4"/>
        <v>2482.3573531998891</v>
      </c>
      <c r="U30">
        <f t="shared" si="27"/>
        <v>2483.9312333791831</v>
      </c>
      <c r="V30">
        <f t="shared" si="28"/>
        <v>2480.5791733567107</v>
      </c>
      <c r="W30" s="42">
        <f t="shared" si="46"/>
        <v>5.2924195786413835E-3</v>
      </c>
      <c r="X30" s="42">
        <f t="shared" si="47"/>
        <v>7.4868348923742521E-3</v>
      </c>
      <c r="Y30" s="42">
        <f t="shared" si="48"/>
        <v>2.7386519377516809E-3</v>
      </c>
      <c r="Z30" s="42">
        <f t="shared" si="49"/>
        <v>7.2168783648703201E-3</v>
      </c>
      <c r="AA30" s="42">
        <f t="shared" si="50"/>
        <v>5.8925565098878942E-3</v>
      </c>
      <c r="AB30" s="42">
        <f t="shared" si="51"/>
        <v>8.0493818857422361E-3</v>
      </c>
      <c r="AC30" s="42">
        <f t="shared" si="52"/>
        <v>5.2924195786413835E-3</v>
      </c>
      <c r="AD30" s="42">
        <f t="shared" si="53"/>
        <v>7.4868348923742521E-3</v>
      </c>
      <c r="AE30" s="42">
        <f t="shared" si="54"/>
        <v>2.7386519377516809E-3</v>
      </c>
      <c r="AF30" s="42">
        <f t="shared" si="55"/>
        <v>8.8988987226243257</v>
      </c>
      <c r="AG30" s="42">
        <f t="shared" si="56"/>
        <v>8.9087994715592504</v>
      </c>
      <c r="AH30" s="42">
        <f t="shared" si="57"/>
        <v>8.8829098943503126</v>
      </c>
      <c r="AI30" s="42">
        <f t="shared" si="33"/>
        <v>38.372767090063078</v>
      </c>
      <c r="AJ30" s="42">
        <f t="shared" si="58"/>
        <v>38.393414737667548</v>
      </c>
      <c r="AK30" s="42">
        <f t="shared" si="59"/>
        <v>38.349432097104817</v>
      </c>
      <c r="AL30" s="42">
        <f t="shared" si="36"/>
        <v>8.8988987226243257</v>
      </c>
      <c r="AM30" s="42">
        <f t="shared" si="37"/>
        <v>8.9087994715592504</v>
      </c>
      <c r="AN30" s="42">
        <f t="shared" si="38"/>
        <v>8.8829098943503126</v>
      </c>
      <c r="AO30" s="42">
        <f t="shared" si="60"/>
        <v>9.8133296324314865E-3</v>
      </c>
      <c r="AP30" s="42">
        <f t="shared" si="61"/>
        <v>8.4890077774490598E-3</v>
      </c>
      <c r="AQ30" s="42">
        <f t="shared" si="62"/>
        <v>1.0645833153303402E-2</v>
      </c>
      <c r="AR30" s="42">
        <f t="shared" si="63"/>
        <v>4.4093174782108072E-3</v>
      </c>
      <c r="AS30" s="42">
        <f t="shared" si="64"/>
        <v>6.6037327919436749E-3</v>
      </c>
      <c r="AT30" s="42">
        <f t="shared" si="65"/>
        <v>1.8555498373211041E-3</v>
      </c>
      <c r="AU30" s="42">
        <f t="shared" si="66"/>
        <v>38.362382611410773</v>
      </c>
      <c r="AV30" s="42">
        <f t="shared" si="67"/>
        <v>38.383030259015293</v>
      </c>
      <c r="AW30" s="42">
        <f t="shared" si="68"/>
        <v>38.33904761845254</v>
      </c>
      <c r="AX30" s="42">
        <f t="shared" si="69"/>
        <v>8.8628831870690643</v>
      </c>
      <c r="AY30" s="42">
        <f t="shared" si="70"/>
        <v>8.8727839360039837</v>
      </c>
      <c r="AZ30" s="42">
        <f t="shared" si="71"/>
        <v>8.8468943587950513</v>
      </c>
      <c r="BA30" s="5">
        <f t="shared" si="12"/>
        <v>38</v>
      </c>
      <c r="BB30" s="40">
        <f t="shared" si="13"/>
        <v>21.742956684646373</v>
      </c>
      <c r="BC30" s="5">
        <f t="shared" si="14"/>
        <v>8</v>
      </c>
      <c r="BD30" s="40">
        <f t="shared" si="15"/>
        <v>51.772991224143858</v>
      </c>
      <c r="BE30" s="46">
        <f t="shared" si="43"/>
        <v>-74.840534236395897</v>
      </c>
      <c r="BF30" s="9">
        <f t="shared" si="72"/>
        <v>74.840534236395897</v>
      </c>
      <c r="BG30" s="47">
        <f t="shared" si="16"/>
        <v>6.6833743437443243</v>
      </c>
    </row>
    <row r="31" spans="1:59" x14ac:dyDescent="0.3">
      <c r="A31" s="38">
        <v>21</v>
      </c>
      <c r="B31" s="38">
        <v>10</v>
      </c>
      <c r="C31" s="38">
        <v>120</v>
      </c>
      <c r="D31" s="42">
        <f t="shared" si="0"/>
        <v>0.16127340254170566</v>
      </c>
      <c r="E31">
        <f t="shared" si="1"/>
        <v>345</v>
      </c>
      <c r="F31" s="42">
        <f t="shared" si="44"/>
        <v>0.16127802545003647</v>
      </c>
      <c r="G31" s="42">
        <f t="shared" si="45"/>
        <v>3.3870243648172567</v>
      </c>
      <c r="H31" s="42">
        <f t="shared" si="2"/>
        <v>2478.7595378167134</v>
      </c>
      <c r="I31" s="42">
        <f t="shared" si="17"/>
        <v>8.8310867685098408E-4</v>
      </c>
      <c r="J31" s="42">
        <f t="shared" si="18"/>
        <v>2.5963768332515976E-3</v>
      </c>
      <c r="K31" s="42">
        <f t="shared" si="19"/>
        <v>-8.8310867685098408E-4</v>
      </c>
      <c r="L31" s="42">
        <f t="shared" si="20"/>
        <v>8.9631013557678845</v>
      </c>
      <c r="M31" s="42">
        <f t="shared" si="21"/>
        <v>38.325545231514283</v>
      </c>
      <c r="N31" s="42">
        <f t="shared" si="22"/>
        <v>8.9631013557678845</v>
      </c>
      <c r="O31">
        <f t="shared" si="3"/>
        <v>0.5</v>
      </c>
      <c r="P31">
        <f t="shared" si="23"/>
        <v>0.5</v>
      </c>
      <c r="Q31">
        <f t="shared" si="24"/>
        <v>300</v>
      </c>
      <c r="R31">
        <f t="shared" si="25"/>
        <v>285</v>
      </c>
      <c r="S31">
        <f t="shared" si="26"/>
        <v>315</v>
      </c>
      <c r="T31">
        <f t="shared" si="4"/>
        <v>2482.9074128886505</v>
      </c>
      <c r="U31">
        <f t="shared" si="27"/>
        <v>2484.380480385455</v>
      </c>
      <c r="V31">
        <f t="shared" si="28"/>
        <v>2481.1924893773448</v>
      </c>
      <c r="W31" s="42">
        <f t="shared" si="46"/>
        <v>5.2929518229446054E-3</v>
      </c>
      <c r="X31" s="42">
        <f t="shared" si="47"/>
        <v>7.4874501045356454E-3</v>
      </c>
      <c r="Y31" s="42">
        <f t="shared" si="48"/>
        <v>2.7389588739001928E-3</v>
      </c>
      <c r="Z31" s="42">
        <f t="shared" si="49"/>
        <v>7.2168783648703201E-3</v>
      </c>
      <c r="AA31" s="42">
        <f t="shared" si="50"/>
        <v>5.8925565098878942E-3</v>
      </c>
      <c r="AB31" s="42">
        <f t="shared" si="51"/>
        <v>8.0493818857422361E-3</v>
      </c>
      <c r="AC31" s="42">
        <f t="shared" si="52"/>
        <v>5.2929518229446054E-3</v>
      </c>
      <c r="AD31" s="42">
        <f t="shared" si="53"/>
        <v>7.4874501045356454E-3</v>
      </c>
      <c r="AE31" s="42">
        <f t="shared" si="54"/>
        <v>2.7389588739001928E-3</v>
      </c>
      <c r="AF31" s="42">
        <f t="shared" si="55"/>
        <v>8.9041916744472704</v>
      </c>
      <c r="AG31" s="42">
        <f t="shared" si="56"/>
        <v>8.9162869216637866</v>
      </c>
      <c r="AH31" s="42">
        <f t="shared" si="57"/>
        <v>8.8856488532242128</v>
      </c>
      <c r="AI31" s="42">
        <f t="shared" si="33"/>
        <v>38.37998396842795</v>
      </c>
      <c r="AJ31" s="42">
        <f t="shared" si="58"/>
        <v>38.399307294177433</v>
      </c>
      <c r="AK31" s="42">
        <f t="shared" si="59"/>
        <v>38.357481478990557</v>
      </c>
      <c r="AL31" s="42">
        <f t="shared" si="36"/>
        <v>8.9041916744472704</v>
      </c>
      <c r="AM31" s="42">
        <f t="shared" si="37"/>
        <v>8.9162869216637866</v>
      </c>
      <c r="AN31" s="42">
        <f t="shared" si="38"/>
        <v>8.8856488532242128</v>
      </c>
      <c r="AO31" s="42">
        <f t="shared" si="60"/>
        <v>9.8132551981219181E-3</v>
      </c>
      <c r="AP31" s="42">
        <f t="shared" si="61"/>
        <v>8.4889333431394914E-3</v>
      </c>
      <c r="AQ31" s="42">
        <f t="shared" si="62"/>
        <v>1.0645758718993833E-2</v>
      </c>
      <c r="AR31" s="42">
        <f t="shared" si="63"/>
        <v>4.4098431460936217E-3</v>
      </c>
      <c r="AS31" s="42">
        <f t="shared" si="64"/>
        <v>6.6043414276846617E-3</v>
      </c>
      <c r="AT31" s="42">
        <f t="shared" si="65"/>
        <v>1.8558501970492086E-3</v>
      </c>
      <c r="AU31" s="42">
        <f t="shared" si="66"/>
        <v>38.372195866608898</v>
      </c>
      <c r="AV31" s="42">
        <f t="shared" si="67"/>
        <v>38.39151919235843</v>
      </c>
      <c r="AW31" s="42">
        <f t="shared" si="68"/>
        <v>38.349693377171533</v>
      </c>
      <c r="AX31" s="42">
        <f t="shared" si="69"/>
        <v>8.8672930302151585</v>
      </c>
      <c r="AY31" s="42">
        <f t="shared" si="70"/>
        <v>8.8793882774316693</v>
      </c>
      <c r="AZ31" s="42">
        <f t="shared" si="71"/>
        <v>8.8487502089921009</v>
      </c>
      <c r="BA31" s="5">
        <f t="shared" si="12"/>
        <v>38</v>
      </c>
      <c r="BB31" s="40">
        <f t="shared" si="13"/>
        <v>22.331751996533882</v>
      </c>
      <c r="BC31" s="5">
        <f t="shared" si="14"/>
        <v>8</v>
      </c>
      <c r="BD31" s="40">
        <f t="shared" si="15"/>
        <v>52.037581812909508</v>
      </c>
      <c r="BE31" s="46">
        <f t="shared" si="43"/>
        <v>-69.481764565971304</v>
      </c>
      <c r="BF31" s="9">
        <f t="shared" si="72"/>
        <v>69.481764565971304</v>
      </c>
      <c r="BG31" s="47">
        <f t="shared" si="16"/>
        <v>6.6653371623075239</v>
      </c>
    </row>
    <row r="32" spans="1:59" x14ac:dyDescent="0.3">
      <c r="A32" s="38">
        <v>22</v>
      </c>
      <c r="B32" s="38">
        <v>10</v>
      </c>
      <c r="C32" s="38">
        <v>120</v>
      </c>
      <c r="D32" s="42">
        <f t="shared" si="0"/>
        <v>0.16126878032894754</v>
      </c>
      <c r="E32">
        <f t="shared" si="1"/>
        <v>345</v>
      </c>
      <c r="F32" s="42">
        <f t="shared" si="44"/>
        <v>0.16127340254170566</v>
      </c>
      <c r="G32" s="42">
        <f t="shared" si="45"/>
        <v>3.5482977673589624</v>
      </c>
      <c r="H32" s="42">
        <f t="shared" si="2"/>
        <v>2478.9572876775196</v>
      </c>
      <c r="I32" s="42">
        <f t="shared" si="17"/>
        <v>8.8311525844059614E-4</v>
      </c>
      <c r="J32" s="42">
        <f t="shared" si="18"/>
        <v>2.596302410142443E-3</v>
      </c>
      <c r="K32" s="42">
        <f t="shared" si="19"/>
        <v>8.8311525844059614E-4</v>
      </c>
      <c r="L32" s="42">
        <f t="shared" si="20"/>
        <v>8.9639844710263255</v>
      </c>
      <c r="M32" s="42">
        <f t="shared" si="21"/>
        <v>38.328141533924423</v>
      </c>
      <c r="N32" s="42">
        <f t="shared" si="22"/>
        <v>8.9639844710263255</v>
      </c>
      <c r="O32">
        <f t="shared" si="3"/>
        <v>0.5</v>
      </c>
      <c r="P32">
        <f t="shared" si="23"/>
        <v>0.5</v>
      </c>
      <c r="Q32">
        <f t="shared" si="24"/>
        <v>300</v>
      </c>
      <c r="R32">
        <f t="shared" si="25"/>
        <v>285</v>
      </c>
      <c r="S32">
        <f t="shared" si="26"/>
        <v>315</v>
      </c>
      <c r="T32">
        <f t="shared" si="4"/>
        <v>2483.225015191837</v>
      </c>
      <c r="U32">
        <f t="shared" si="27"/>
        <v>2484.5449254326286</v>
      </c>
      <c r="V32">
        <f t="shared" si="28"/>
        <v>2481.6415114545034</v>
      </c>
      <c r="W32" s="42">
        <f t="shared" si="46"/>
        <v>9.1683887619913741E-3</v>
      </c>
      <c r="X32" s="42">
        <f t="shared" si="47"/>
        <v>1.0228621185072116E-2</v>
      </c>
      <c r="Y32" s="42">
        <f t="shared" si="48"/>
        <v>7.4837012859806226E-3</v>
      </c>
      <c r="Z32" s="42">
        <f t="shared" si="49"/>
        <v>4.1666666666666675E-3</v>
      </c>
      <c r="AA32" s="42">
        <f t="shared" si="50"/>
        <v>2.1568253758543357E-3</v>
      </c>
      <c r="AB32" s="42">
        <f t="shared" si="51"/>
        <v>5.8925565098878942E-3</v>
      </c>
      <c r="AC32" s="42">
        <f t="shared" si="52"/>
        <v>9.1683887619913741E-3</v>
      </c>
      <c r="AD32" s="42">
        <f t="shared" si="53"/>
        <v>1.0228621185072116E-2</v>
      </c>
      <c r="AE32" s="42">
        <f t="shared" si="54"/>
        <v>7.4837012859806226E-3</v>
      </c>
      <c r="AF32" s="42">
        <f t="shared" si="55"/>
        <v>8.9133600632092627</v>
      </c>
      <c r="AG32" s="42">
        <f t="shared" si="56"/>
        <v>8.9265155428488594</v>
      </c>
      <c r="AH32" s="42">
        <f t="shared" si="57"/>
        <v>8.8931325545101938</v>
      </c>
      <c r="AI32" s="42">
        <f t="shared" si="33"/>
        <v>38.38415063509462</v>
      </c>
      <c r="AJ32" s="42">
        <f t="shared" si="58"/>
        <v>38.401464119553289</v>
      </c>
      <c r="AK32" s="42">
        <f t="shared" si="59"/>
        <v>38.363374035500442</v>
      </c>
      <c r="AL32" s="42">
        <f t="shared" si="36"/>
        <v>8.9133600632092627</v>
      </c>
      <c r="AM32" s="42">
        <f t="shared" si="37"/>
        <v>8.9265155428488594</v>
      </c>
      <c r="AN32" s="42">
        <f t="shared" si="38"/>
        <v>8.8931325545101938</v>
      </c>
      <c r="AO32" s="42">
        <f t="shared" si="60"/>
        <v>6.76296907680911E-3</v>
      </c>
      <c r="AP32" s="42">
        <f t="shared" si="61"/>
        <v>4.7531277859967792E-3</v>
      </c>
      <c r="AQ32" s="42">
        <f t="shared" si="62"/>
        <v>8.4888589200303368E-3</v>
      </c>
      <c r="AR32" s="42">
        <f t="shared" si="63"/>
        <v>1.005150402043197E-2</v>
      </c>
      <c r="AS32" s="42">
        <f t="shared" si="64"/>
        <v>1.1111736443512711E-2</v>
      </c>
      <c r="AT32" s="42">
        <f t="shared" si="65"/>
        <v>8.3668165444212191E-3</v>
      </c>
      <c r="AU32" s="42">
        <f t="shared" si="66"/>
        <v>38.378958835685708</v>
      </c>
      <c r="AV32" s="42">
        <f t="shared" si="67"/>
        <v>38.396272320144426</v>
      </c>
      <c r="AW32" s="42">
        <f t="shared" si="68"/>
        <v>38.358182236091565</v>
      </c>
      <c r="AX32" s="42">
        <f t="shared" si="69"/>
        <v>8.8773445342355899</v>
      </c>
      <c r="AY32" s="42">
        <f t="shared" si="70"/>
        <v>8.8905000138751813</v>
      </c>
      <c r="AZ32" s="42">
        <f t="shared" si="71"/>
        <v>8.8571170255365228</v>
      </c>
      <c r="BA32" s="5">
        <f t="shared" si="12"/>
        <v>38</v>
      </c>
      <c r="BB32" s="40">
        <f t="shared" si="13"/>
        <v>22.737530141142486</v>
      </c>
      <c r="BC32" s="5">
        <f t="shared" si="14"/>
        <v>8</v>
      </c>
      <c r="BD32" s="40">
        <f t="shared" si="15"/>
        <v>52.640672054135393</v>
      </c>
      <c r="BE32" s="46">
        <f t="shared" si="43"/>
        <v>-64.583996116048596</v>
      </c>
      <c r="BF32" s="9">
        <f t="shared" si="72"/>
        <v>64.583996116048596</v>
      </c>
      <c r="BG32" s="47">
        <f t="shared" si="16"/>
        <v>6.3873292139843167</v>
      </c>
    </row>
    <row r="33" spans="1:59" x14ac:dyDescent="0.3">
      <c r="A33" s="38">
        <v>23</v>
      </c>
      <c r="B33" s="38">
        <v>10</v>
      </c>
      <c r="C33" s="38">
        <v>120</v>
      </c>
      <c r="D33" s="42">
        <f t="shared" si="0"/>
        <v>0.16126415881160358</v>
      </c>
      <c r="E33">
        <f t="shared" si="1"/>
        <v>345</v>
      </c>
      <c r="F33" s="42">
        <f t="shared" si="44"/>
        <v>0.16126878032894754</v>
      </c>
      <c r="G33" s="42">
        <f t="shared" si="45"/>
        <v>3.7095665476879098</v>
      </c>
      <c r="H33" s="42">
        <f t="shared" si="2"/>
        <v>2479.155039013257</v>
      </c>
      <c r="I33" s="42">
        <f t="shared" si="17"/>
        <v>8.8312184521643618E-4</v>
      </c>
      <c r="J33" s="42">
        <f t="shared" si="18"/>
        <v>2.5962279982311483E-3</v>
      </c>
      <c r="K33" s="42">
        <f t="shared" si="19"/>
        <v>8.8312184521643618E-4</v>
      </c>
      <c r="L33" s="42">
        <f t="shared" si="20"/>
        <v>8.964867592871542</v>
      </c>
      <c r="M33" s="42">
        <f t="shared" si="21"/>
        <v>38.330737761922656</v>
      </c>
      <c r="N33" s="42">
        <f t="shared" si="22"/>
        <v>8.964867592871542</v>
      </c>
      <c r="O33">
        <f t="shared" si="3"/>
        <v>0.5</v>
      </c>
      <c r="P33">
        <f t="shared" si="23"/>
        <v>0.5</v>
      </c>
      <c r="Q33">
        <f t="shared" si="24"/>
        <v>300</v>
      </c>
      <c r="R33">
        <f t="shared" si="25"/>
        <v>285</v>
      </c>
      <c r="S33">
        <f t="shared" si="26"/>
        <v>315</v>
      </c>
      <c r="T33">
        <f t="shared" si="4"/>
        <v>2483.5426359429143</v>
      </c>
      <c r="U33">
        <f t="shared" si="27"/>
        <v>2484.7093754271496</v>
      </c>
      <c r="V33">
        <f t="shared" si="28"/>
        <v>2482.0905703894587</v>
      </c>
      <c r="W33" s="42">
        <f t="shared" si="46"/>
        <v>9.1689213067288489E-3</v>
      </c>
      <c r="X33" s="42">
        <f t="shared" si="47"/>
        <v>1.0228928914270177E-2</v>
      </c>
      <c r="Y33" s="42">
        <f t="shared" si="48"/>
        <v>7.4843155825915948E-3</v>
      </c>
      <c r="Z33" s="42">
        <f t="shared" si="49"/>
        <v>4.1666666666666675E-3</v>
      </c>
      <c r="AA33" s="42">
        <f t="shared" si="50"/>
        <v>2.1568253758543357E-3</v>
      </c>
      <c r="AB33" s="42">
        <f t="shared" si="51"/>
        <v>5.8925565098878942E-3</v>
      </c>
      <c r="AC33" s="42">
        <f t="shared" si="52"/>
        <v>9.1689213067288489E-3</v>
      </c>
      <c r="AD33" s="42">
        <f t="shared" si="53"/>
        <v>1.0228928914270177E-2</v>
      </c>
      <c r="AE33" s="42">
        <f t="shared" si="54"/>
        <v>7.4843155825915948E-3</v>
      </c>
      <c r="AF33" s="42">
        <f t="shared" si="55"/>
        <v>8.9225289845159921</v>
      </c>
      <c r="AG33" s="42">
        <f t="shared" si="56"/>
        <v>8.936744471763129</v>
      </c>
      <c r="AH33" s="42">
        <f t="shared" si="57"/>
        <v>8.9006168700927848</v>
      </c>
      <c r="AI33" s="42">
        <f t="shared" si="33"/>
        <v>38.38831730176129</v>
      </c>
      <c r="AJ33" s="42">
        <f t="shared" si="58"/>
        <v>38.403620944929145</v>
      </c>
      <c r="AK33" s="42">
        <f t="shared" si="59"/>
        <v>38.369266592010327</v>
      </c>
      <c r="AL33" s="42">
        <f t="shared" si="36"/>
        <v>8.9225289845159921</v>
      </c>
      <c r="AM33" s="42">
        <f t="shared" si="37"/>
        <v>8.936744471763129</v>
      </c>
      <c r="AN33" s="42">
        <f t="shared" si="38"/>
        <v>8.9006168700927848</v>
      </c>
      <c r="AO33" s="42">
        <f t="shared" si="60"/>
        <v>6.7628946648978158E-3</v>
      </c>
      <c r="AP33" s="42">
        <f t="shared" si="61"/>
        <v>4.7530533740854841E-3</v>
      </c>
      <c r="AQ33" s="42">
        <f t="shared" si="62"/>
        <v>8.4887845081190426E-3</v>
      </c>
      <c r="AR33" s="42">
        <f t="shared" si="63"/>
        <v>1.0052043151945285E-2</v>
      </c>
      <c r="AS33" s="42">
        <f t="shared" si="64"/>
        <v>1.1112050759486613E-2</v>
      </c>
      <c r="AT33" s="42">
        <f t="shared" si="65"/>
        <v>8.3674374278080305E-3</v>
      </c>
      <c r="AU33" s="42">
        <f t="shared" si="66"/>
        <v>38.385721730350603</v>
      </c>
      <c r="AV33" s="42">
        <f t="shared" si="67"/>
        <v>38.401025373518515</v>
      </c>
      <c r="AW33" s="42">
        <f t="shared" si="68"/>
        <v>38.366671020599682</v>
      </c>
      <c r="AX33" s="42">
        <f t="shared" si="69"/>
        <v>8.8873965773875359</v>
      </c>
      <c r="AY33" s="42">
        <f t="shared" si="70"/>
        <v>8.9016120646346675</v>
      </c>
      <c r="AZ33" s="42">
        <f t="shared" si="71"/>
        <v>8.8654844629643303</v>
      </c>
      <c r="BA33" s="5">
        <f t="shared" si="12"/>
        <v>38</v>
      </c>
      <c r="BB33" s="40">
        <f t="shared" si="13"/>
        <v>23.143303821036199</v>
      </c>
      <c r="BC33" s="5">
        <f t="shared" si="14"/>
        <v>8</v>
      </c>
      <c r="BD33" s="40">
        <f t="shared" si="15"/>
        <v>53.243794643252151</v>
      </c>
      <c r="BE33" s="46">
        <f t="shared" si="43"/>
        <v>-59.283255776466447</v>
      </c>
      <c r="BF33" s="9">
        <f t="shared" si="72"/>
        <v>59.283255776466447</v>
      </c>
      <c r="BG33" s="47">
        <f t="shared" si="16"/>
        <v>6.160079466298634</v>
      </c>
    </row>
    <row r="34" spans="1:59" x14ac:dyDescent="0.3">
      <c r="A34" s="38">
        <v>24</v>
      </c>
      <c r="B34" s="38">
        <v>10</v>
      </c>
      <c r="C34" s="38">
        <v>120</v>
      </c>
      <c r="D34" s="42">
        <f t="shared" si="0"/>
        <v>0.16125953798951537</v>
      </c>
      <c r="E34">
        <f t="shared" si="1"/>
        <v>345</v>
      </c>
      <c r="F34" s="42">
        <f t="shared" si="44"/>
        <v>0.16126415881160358</v>
      </c>
      <c r="G34" s="42">
        <f t="shared" si="45"/>
        <v>3.8708307064995133</v>
      </c>
      <c r="H34" s="42">
        <f t="shared" si="2"/>
        <v>2479.3527918250829</v>
      </c>
      <c r="I34" s="42">
        <f t="shared" si="17"/>
        <v>8.83128437162162E-4</v>
      </c>
      <c r="J34" s="42">
        <f t="shared" si="18"/>
        <v>2.5961535975151618E-3</v>
      </c>
      <c r="K34" s="42">
        <f t="shared" si="19"/>
        <v>8.83128437162162E-4</v>
      </c>
      <c r="L34" s="42">
        <f t="shared" si="20"/>
        <v>8.9657507213087033</v>
      </c>
      <c r="M34" s="42">
        <f t="shared" si="21"/>
        <v>38.333333915520171</v>
      </c>
      <c r="N34" s="42">
        <f t="shared" si="22"/>
        <v>8.9657507213087033</v>
      </c>
      <c r="O34">
        <f t="shared" si="3"/>
        <v>0.5</v>
      </c>
      <c r="P34">
        <f t="shared" si="23"/>
        <v>0.5</v>
      </c>
      <c r="Q34">
        <f t="shared" si="24"/>
        <v>300</v>
      </c>
      <c r="R34">
        <f t="shared" si="25"/>
        <v>285</v>
      </c>
      <c r="S34">
        <f t="shared" si="26"/>
        <v>315</v>
      </c>
      <c r="T34">
        <f t="shared" si="4"/>
        <v>2483.8602751456929</v>
      </c>
      <c r="U34">
        <f t="shared" si="27"/>
        <v>2484.87383036954</v>
      </c>
      <c r="V34">
        <f t="shared" si="28"/>
        <v>2482.5396661929831</v>
      </c>
      <c r="W34" s="42">
        <f t="shared" si="46"/>
        <v>9.1694539614610212E-3</v>
      </c>
      <c r="X34" s="42">
        <f t="shared" si="47"/>
        <v>1.0229236675940183E-2</v>
      </c>
      <c r="Y34" s="42">
        <f t="shared" si="48"/>
        <v>7.4849300587444007E-3</v>
      </c>
      <c r="Z34" s="42">
        <f t="shared" si="49"/>
        <v>4.1666666666666675E-3</v>
      </c>
      <c r="AA34" s="42">
        <f t="shared" si="50"/>
        <v>2.1568253758543357E-3</v>
      </c>
      <c r="AB34" s="42">
        <f t="shared" si="51"/>
        <v>5.8925565098878942E-3</v>
      </c>
      <c r="AC34" s="42">
        <f t="shared" si="52"/>
        <v>9.1694539614610212E-3</v>
      </c>
      <c r="AD34" s="42">
        <f t="shared" si="53"/>
        <v>1.0229236675940183E-2</v>
      </c>
      <c r="AE34" s="42">
        <f t="shared" si="54"/>
        <v>7.4849300587444007E-3</v>
      </c>
      <c r="AF34" s="42">
        <f t="shared" si="55"/>
        <v>8.9316984384774525</v>
      </c>
      <c r="AG34" s="42">
        <f t="shared" si="56"/>
        <v>8.946973708439069</v>
      </c>
      <c r="AH34" s="42">
        <f t="shared" si="57"/>
        <v>8.9081018001515293</v>
      </c>
      <c r="AI34" s="42">
        <f t="shared" si="33"/>
        <v>38.39248396842796</v>
      </c>
      <c r="AJ34" s="42">
        <f t="shared" si="58"/>
        <v>38.405777770305001</v>
      </c>
      <c r="AK34" s="42">
        <f t="shared" si="59"/>
        <v>38.375159148520211</v>
      </c>
      <c r="AL34" s="42">
        <f t="shared" si="36"/>
        <v>8.9316984384774525</v>
      </c>
      <c r="AM34" s="42">
        <f t="shared" si="37"/>
        <v>8.946973708439069</v>
      </c>
      <c r="AN34" s="42">
        <f t="shared" si="38"/>
        <v>8.9081018001515293</v>
      </c>
      <c r="AO34" s="42">
        <f t="shared" si="60"/>
        <v>6.7628202641818293E-3</v>
      </c>
      <c r="AP34" s="42">
        <f t="shared" si="61"/>
        <v>4.7529789733694976E-3</v>
      </c>
      <c r="AQ34" s="42">
        <f t="shared" si="62"/>
        <v>8.4887101074030552E-3</v>
      </c>
      <c r="AR34" s="42">
        <f t="shared" si="63"/>
        <v>1.0052582398623184E-2</v>
      </c>
      <c r="AS34" s="42">
        <f t="shared" si="64"/>
        <v>1.1112365113102346E-2</v>
      </c>
      <c r="AT34" s="42">
        <f t="shared" si="65"/>
        <v>8.3680584959065635E-3</v>
      </c>
      <c r="AU34" s="42">
        <f t="shared" si="66"/>
        <v>38.392484550614782</v>
      </c>
      <c r="AV34" s="42">
        <f t="shared" si="67"/>
        <v>38.405778352491886</v>
      </c>
      <c r="AW34" s="42">
        <f t="shared" si="68"/>
        <v>38.375159730707082</v>
      </c>
      <c r="AX34" s="42">
        <f t="shared" si="69"/>
        <v>8.8974491597861594</v>
      </c>
      <c r="AY34" s="42">
        <f t="shared" si="70"/>
        <v>8.9127244297477706</v>
      </c>
      <c r="AZ34" s="42">
        <f t="shared" si="71"/>
        <v>8.8738525214602362</v>
      </c>
      <c r="BA34" s="5">
        <f t="shared" si="12"/>
        <v>38</v>
      </c>
      <c r="BB34" s="40">
        <f t="shared" si="13"/>
        <v>23.549073036886909</v>
      </c>
      <c r="BC34" s="5">
        <f t="shared" si="14"/>
        <v>8</v>
      </c>
      <c r="BD34" s="40">
        <f t="shared" si="15"/>
        <v>53.846949587169561</v>
      </c>
      <c r="BE34" s="46">
        <f t="shared" si="43"/>
        <v>-53.629113766349676</v>
      </c>
      <c r="BF34" s="9">
        <f t="shared" si="72"/>
        <v>53.629113766349676</v>
      </c>
      <c r="BG34" s="47">
        <f t="shared" si="16"/>
        <v>5.9893629888759303</v>
      </c>
    </row>
    <row r="67" spans="3:9" x14ac:dyDescent="0.3">
      <c r="C67" s="23" t="s">
        <v>67</v>
      </c>
    </row>
    <row r="68" spans="3:9" x14ac:dyDescent="0.3">
      <c r="E68" t="s">
        <v>94</v>
      </c>
    </row>
    <row r="71" spans="3:9" x14ac:dyDescent="0.3">
      <c r="E71" t="s">
        <v>93</v>
      </c>
    </row>
    <row r="78" spans="3:9" x14ac:dyDescent="0.3">
      <c r="E78" s="23" t="s">
        <v>127</v>
      </c>
      <c r="F78" s="23"/>
      <c r="G78" s="23"/>
      <c r="H78" s="23"/>
      <c r="I78" s="23"/>
    </row>
    <row r="83" spans="1:9" x14ac:dyDescent="0.3">
      <c r="A83" s="8" t="s">
        <v>164</v>
      </c>
      <c r="B83" s="8"/>
      <c r="C83" s="8"/>
      <c r="D83" s="8"/>
      <c r="E83" s="8"/>
      <c r="F83" s="8"/>
      <c r="G83" s="8"/>
      <c r="H83" s="8"/>
      <c r="I83" s="8"/>
    </row>
    <row r="84" spans="1:9" x14ac:dyDescent="0.3">
      <c r="A84" s="3" t="s">
        <v>135</v>
      </c>
      <c r="B84" s="3"/>
      <c r="C84" s="3"/>
      <c r="D84" s="3"/>
      <c r="E84" s="3" t="s">
        <v>136</v>
      </c>
      <c r="F84" s="3"/>
      <c r="G84" s="3" t="s">
        <v>137</v>
      </c>
      <c r="H84" s="3"/>
    </row>
    <row r="85" spans="1:9" x14ac:dyDescent="0.3">
      <c r="A85" t="s">
        <v>138</v>
      </c>
      <c r="E85">
        <v>7</v>
      </c>
      <c r="G85" s="54" t="s">
        <v>148</v>
      </c>
    </row>
    <row r="86" spans="1:9" x14ac:dyDescent="0.3">
      <c r="A86" t="s">
        <v>139</v>
      </c>
      <c r="E86">
        <v>7</v>
      </c>
      <c r="G86" s="54" t="s">
        <v>148</v>
      </c>
    </row>
    <row r="87" spans="1:9" x14ac:dyDescent="0.3">
      <c r="A87" t="s">
        <v>140</v>
      </c>
      <c r="E87">
        <v>7</v>
      </c>
      <c r="G87" s="54" t="s">
        <v>148</v>
      </c>
    </row>
    <row r="88" spans="1:9" x14ac:dyDescent="0.3">
      <c r="A88" t="s">
        <v>141</v>
      </c>
      <c r="E88">
        <v>5</v>
      </c>
      <c r="G88" s="54" t="s">
        <v>148</v>
      </c>
    </row>
    <row r="89" spans="1:9" x14ac:dyDescent="0.3">
      <c r="A89" t="s">
        <v>142</v>
      </c>
      <c r="E89">
        <v>5</v>
      </c>
      <c r="G89" s="54" t="s">
        <v>149</v>
      </c>
    </row>
    <row r="90" spans="1:9" x14ac:dyDescent="0.3">
      <c r="A90" t="s">
        <v>143</v>
      </c>
      <c r="E90">
        <v>4</v>
      </c>
      <c r="G90" s="54" t="s">
        <v>150</v>
      </c>
    </row>
    <row r="91" spans="1:9" x14ac:dyDescent="0.3">
      <c r="A91" t="s">
        <v>144</v>
      </c>
      <c r="E91">
        <v>4</v>
      </c>
      <c r="G91" s="54" t="s">
        <v>150</v>
      </c>
    </row>
    <row r="92" spans="1:9" x14ac:dyDescent="0.3">
      <c r="A92" t="s">
        <v>145</v>
      </c>
      <c r="E92">
        <v>3</v>
      </c>
    </row>
    <row r="93" spans="1:9" x14ac:dyDescent="0.3">
      <c r="A93" t="s">
        <v>146</v>
      </c>
      <c r="E93">
        <v>2</v>
      </c>
    </row>
    <row r="94" spans="1:9" x14ac:dyDescent="0.3">
      <c r="A94" t="s">
        <v>147</v>
      </c>
      <c r="E94">
        <v>0</v>
      </c>
      <c r="G94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Movimento inercial</vt:lpstr>
      <vt:lpstr>Ciclostrófico</vt:lpstr>
      <vt:lpstr>Corrente geostrófica</vt:lpstr>
      <vt:lpstr>Espiral de Ekman</vt:lpstr>
      <vt:lpstr>Deriva de vento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2018-02-11T12:18:20Z</dcterms:modified>
</cp:coreProperties>
</file>