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LDA PUTRI NABILLAH\Downloads\"/>
    </mc:Choice>
  </mc:AlternateContent>
  <xr:revisionPtr revIDLastSave="0" documentId="13_ncr:1_{DED39F81-FBF5-4F8E-9533-2B7587F39A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T PROJECTS RAW (AUTO)" sheetId="3" r:id="rId1"/>
  </sheets>
  <definedNames>
    <definedName name="_xlnm._FilterDatabase" localSheetId="0" hidden="1">'IT PROJECTS RAW (AUTO)'!$A$1:$J$834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7" i="3" l="1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<sst xmlns="http://schemas.openxmlformats.org/spreadsheetml/2006/main" count="6352" uniqueCount="1036">
  <si>
    <t>Issue Type</t>
  </si>
  <si>
    <t>Key</t>
  </si>
  <si>
    <t>Assignee</t>
  </si>
  <si>
    <t>Reporter</t>
  </si>
  <si>
    <t>Priority</t>
  </si>
  <si>
    <t>Status</t>
  </si>
  <si>
    <t>Created</t>
  </si>
  <si>
    <t>Updated</t>
  </si>
  <si>
    <t>Squad</t>
  </si>
  <si>
    <t>Lukman Arizal</t>
  </si>
  <si>
    <t>Highest</t>
  </si>
  <si>
    <t>Squad Kelembagaan</t>
  </si>
  <si>
    <t>High</t>
  </si>
  <si>
    <t>Done</t>
  </si>
  <si>
    <t>Squad Syariah (Non Rahn)</t>
  </si>
  <si>
    <t>Squad Gadai</t>
  </si>
  <si>
    <t>Squad Layanan</t>
  </si>
  <si>
    <t>Annisya Aprilia Prasanti</t>
  </si>
  <si>
    <t>Squad RKA</t>
  </si>
  <si>
    <t>Squad Modernisasi TI</t>
  </si>
  <si>
    <t>Medium</t>
  </si>
  <si>
    <t>Squad Syariah (Rahn)</t>
  </si>
  <si>
    <t>Pramasita Gustiarum</t>
  </si>
  <si>
    <t>Squad Digital Lending</t>
  </si>
  <si>
    <t>Ruben Fitra Laurensus</t>
  </si>
  <si>
    <t>Jojor Jennifer Sianipar</t>
  </si>
  <si>
    <t>Squad Channeling Business Partnership</t>
  </si>
  <si>
    <t>Squad Emas</t>
  </si>
  <si>
    <t>Santi Rieke M</t>
  </si>
  <si>
    <t>Squad Risk</t>
  </si>
  <si>
    <t>Squad Bullion Bank</t>
  </si>
  <si>
    <t/>
  </si>
  <si>
    <t>Squad LOS</t>
  </si>
  <si>
    <t>Squad Logistik &amp; Support</t>
  </si>
  <si>
    <t>Squad Digital Syariah</t>
  </si>
  <si>
    <t>Squad Sales</t>
  </si>
  <si>
    <t>Palupi Sekar Hapsari</t>
  </si>
  <si>
    <t>Squad Digital Konven</t>
  </si>
  <si>
    <t>Squad HC</t>
  </si>
  <si>
    <t>Squad Mikro</t>
  </si>
  <si>
    <t>Squad Feebased</t>
  </si>
  <si>
    <t>Dita Azizah Putri</t>
  </si>
  <si>
    <t>Salomo Hasiolan Sidauruk</t>
  </si>
  <si>
    <t>Fathria Aldi</t>
  </si>
  <si>
    <t>Dandles Banjarnahor</t>
  </si>
  <si>
    <t>Squad Keuangan</t>
  </si>
  <si>
    <t>Febriany Syafitri</t>
  </si>
  <si>
    <t>Low</t>
  </si>
  <si>
    <t>Squad IMO</t>
  </si>
  <si>
    <t>Hajidito Murya Alfarohmi</t>
  </si>
  <si>
    <t>Andi Octo Abrian</t>
  </si>
  <si>
    <t>Muhammad Suryanto</t>
  </si>
  <si>
    <t>Squad Kelembagaan;Squad LOS;Squad Sales</t>
  </si>
  <si>
    <t>G230400157PEN - Pengembangan EGC &amp; OGC 2023</t>
  </si>
  <si>
    <t>Squad Business Intelligence</t>
  </si>
  <si>
    <t>Rizki Sugiharto</t>
  </si>
  <si>
    <t>Riskaf Rabbin Adi Permana</t>
  </si>
  <si>
    <t>Suhardiman Suhardiman</t>
  </si>
  <si>
    <t>Squad SPI</t>
  </si>
  <si>
    <t>G23030093PEN - Perbaikan ID Promosi Sistem Cashback Fase III</t>
  </si>
  <si>
    <t>Squad Big Data &amp; Analytics</t>
  </si>
  <si>
    <t>Squad LOS;Squad RKA</t>
  </si>
  <si>
    <t>Squad Big Data &amp; Analytics;Squad LOS</t>
  </si>
  <si>
    <t>G-Canvas</t>
  </si>
  <si>
    <t>G230500187MKP - Pengembangan Aplikasi Corporate Evaluation Report and Indicator Fase 1</t>
  </si>
  <si>
    <t>Widuri Nur Afifah</t>
  </si>
  <si>
    <t>Screening</t>
  </si>
  <si>
    <t>G230400169DJO - Integrasi Agen x Service Leads x Los Prime</t>
  </si>
  <si>
    <t>Live</t>
  </si>
  <si>
    <t>G230400150MKP - Menu KPI Unit Kerja Kanwil, Area, Cabang, Outlet, dan Co-Location Tahun 2023 pada MIS</t>
  </si>
  <si>
    <t>G230400149DMG - Customer Analysis Behavior Menggunakan Graph Analytics</t>
  </si>
  <si>
    <t>Rizka Hasmulyawan</t>
  </si>
  <si>
    <t>Development</t>
  </si>
  <si>
    <t>G230400147KBL - Pengembangan Aplikasi PPM-DKS 2023</t>
  </si>
  <si>
    <t>G230500180ETR - Penambahan Channel Pembayaran Produk Pegadaian di Mitra TELIN via Aggregator Finnet</t>
  </si>
  <si>
    <t>Ananda Muhammad Nuriawan</t>
  </si>
  <si>
    <t>Testing</t>
  </si>
  <si>
    <t>G230400159DMG - Improvement Backend Data</t>
  </si>
  <si>
    <t>G230500183PEN - Penambahan Filter Kategori pada Menu Daily Report OSL ( MIS)</t>
  </si>
  <si>
    <t>Natasha Sarah Adelia</t>
  </si>
  <si>
    <t>Squad Business Intelligence;Squad Sales</t>
  </si>
  <si>
    <t>G230400143HBL - Pengembangan KPI &amp; Insentif pada Aplikasi KAMILA 3.0</t>
  </si>
  <si>
    <t>G230400164BGD - Pengembangan Kredit Bermasalah Pada Aplikasi Passion Konvensional</t>
  </si>
  <si>
    <t>G230400163BGD - Pengembangan Seamless Transaction Produk Gadai Efek Channel Eksternal Pada Aplikasi Prime Los</t>
  </si>
  <si>
    <t xml:space="preserve">G230400162BGD  - Pengembangan Mirroring Kinerja Refferer Menu Laporan Kredit Gadai Efek Pada Aplikasi MIS (Management Information Service) </t>
  </si>
  <si>
    <t>Squad Business Intelligence;Squad Gadai</t>
  </si>
  <si>
    <t>G230400158PEN - Penyesuaian Script Pengiriman Data (Transaksi dan Leads) dan Pembuatan Dashboard EGC/OGC Tahun 2023</t>
  </si>
  <si>
    <t>Squad Big Data &amp; Analytics;Squad Business Intelligence</t>
  </si>
  <si>
    <t>G230400153BES - Perubahan Service OTP untuk Produk Emas Pada Passion Konven</t>
  </si>
  <si>
    <t>Deployment</t>
  </si>
  <si>
    <t>G230400124MKP - Dashboard Daily Performance Report</t>
  </si>
  <si>
    <t>G230400145BGD - Integrasi PDS, Web Admin dan Passion Konvensional Pada Layanan Prioritas ‘Gadai Dari Rumah’</t>
  </si>
  <si>
    <t>G230400144BGD - Perbaikan Perhitungan Penurunan Lelang BJ Non Kantong</t>
  </si>
  <si>
    <t>Kurnia Dwi Sucahyo</t>
  </si>
  <si>
    <t>G230300111BGD - Penggabungan Menu Gadai Prioritas dan Gadai Express menjadi kesatuan layanan pada Aplikasi PDS</t>
  </si>
  <si>
    <t>G230400142BES - Emasku Bundling BNI Life Integrasi Pada Passion Konven</t>
  </si>
  <si>
    <t>Aditya Fathur Rohman</t>
  </si>
  <si>
    <t>G230400130BES - Penambahan Notifikasi Informasi Nasabah APU-PPT Pada Passion Konven dan Syariah</t>
  </si>
  <si>
    <t>G23XXXXXRKA - Host to Host Pengajuan dan Penerimaan Klaim dengan PT Askrida Syariah (Amanah dan Rahn Tasjily Tanah)</t>
  </si>
  <si>
    <t>Edo Surya Perdana</t>
  </si>
  <si>
    <t>G23XXXXXXRKA - Penyesuaian Approval Kredit Berdasarkan Limit Total Eksposure Kredit dan BMPP Nasabah Melalui Komite Kredit pada Aplikasi Passion</t>
  </si>
  <si>
    <t>G230400134ETR - Penambahan Biller MPO X- Link pada Aplikasi Agen pegadaian</t>
  </si>
  <si>
    <t>G230300129RKA- Write Off Kredit Bermasalah 2023</t>
  </si>
  <si>
    <t>G230400127BES - Pembayaran Angsuran dan Pengiriman Akad Tabungan Emas Rencana di PDS Konven</t>
  </si>
  <si>
    <t>G230400126DJO - Penyesuaian Perhitungan PPH Pasal 21 atas Sharing Fee kepada Agen Pegadaian</t>
  </si>
  <si>
    <t>G230400125BES - Perubahan Jurnal PPh Pasal 22 Transaksi Order Mulia Pegadaian</t>
  </si>
  <si>
    <t>G2304123UUS- Penyesuaian Asuransi &amp; Tarif Premi Asuransi Rahn</t>
  </si>
  <si>
    <t>G230300115DMG - Improvement Frontend Menu Aplikasi New MIS : Inventarisasi dan Improvement Menu Base On Frekuensi Log Akses User</t>
  </si>
  <si>
    <t>G230500173RKA - Pengembangan Offbalacesheet Write Off pada Kredit Sebelum tahun 2022 Fase I</t>
  </si>
  <si>
    <t>G2301XXXRKA - Penambahan Data Unduhan pada Menu Monitoring Ekstrakomptabel dan Laporan Bulanan Ekstrakomptabel</t>
  </si>
  <si>
    <t>G2301XXXRKA - Penambahan Modul Pembinaan Kredit pada Aplikasi Promise</t>
  </si>
  <si>
    <t>G2303120UUS - H2H Penjaminan Produk Syariah Non-Rahn dengan Asuransi Takaful</t>
  </si>
  <si>
    <t>Adhitama Akbar</t>
  </si>
  <si>
    <t>G230800174RKA - Penyesuaian Flow Approval Restrukturisasi pada P4D</t>
  </si>
  <si>
    <t>G230300114DTI - Integration Layer Platform</t>
  </si>
  <si>
    <t>Ludya Nabila Chinta</t>
  </si>
  <si>
    <t>GXXXKA - Penambahan Asuransi Takaful Umum pada Aplikasi P4D</t>
  </si>
  <si>
    <t>Project Plan</t>
  </si>
  <si>
    <t>Terimplementasikannya Data Employee Relation di aplikasi Human Capital Management System (HCMS)</t>
  </si>
  <si>
    <t>Muhammad Ananda Rizki Putra</t>
  </si>
  <si>
    <t>Submission</t>
  </si>
  <si>
    <t>Dashboard Daily Performance Report</t>
  </si>
  <si>
    <t>Chairani Farahdiba</t>
  </si>
  <si>
    <t>G230300112UUS - Revamp PSDS Modul 5</t>
  </si>
  <si>
    <t>Tacana No Last Name</t>
  </si>
  <si>
    <t>G230400154REN - Pengembangan dan Maintanance Aplikasi Strive</t>
  </si>
  <si>
    <t>G230300117REN - Integrasi Aplikasi Passion dengan Strive untuk Modul SOA, UMP, SUMP dan BYMHD</t>
  </si>
  <si>
    <t xml:space="preserve"> Pengembangan dan maintanance aplikasi Strive </t>
  </si>
  <si>
    <t>G230300110BGD - Migrasi Service Dukcapil Lama ke Dukcapil Baru Produk Gadai Efek Pada Aplikasi Prime</t>
  </si>
  <si>
    <t xml:space="preserve">Perubahan Validasi Dukcapil pada Aplikasi Prime </t>
  </si>
  <si>
    <t>Tri Yuliani</t>
  </si>
  <si>
    <t>Squad Feebased;Squad Gadai</t>
  </si>
  <si>
    <t>Pengembangan OFFBALANCESHEET WO</t>
  </si>
  <si>
    <t>Pengembangan Pipeline Data Stream (CDC) pada Datawarehouse dan Big Query</t>
  </si>
  <si>
    <t>Ade Desfrianto</t>
  </si>
  <si>
    <t>G23010096UUS - Revamp PSDS Modul 4</t>
  </si>
  <si>
    <t>G230300108PMI - Enhancement PDS - Indikator Harga Emas &amp; Verifikasi Email</t>
  </si>
  <si>
    <t>Pembuatan Data Mart dan Dashboard Laporan Kinerja Produk Emas</t>
  </si>
  <si>
    <t>G230300106COM - Penyesuaian Tampilan Dashboard Pengkinian Data Nasabah Beresiko Tinggi</t>
  </si>
  <si>
    <t>Arnanda Prasetyo</t>
  </si>
  <si>
    <t>Squad Big Data &amp; Analytics;Squad Risk</t>
  </si>
  <si>
    <t>G230300101BES  - Bundling Tabungan Emas dan KCA Pada Passion Konven</t>
  </si>
  <si>
    <t>G230300102RKA - Penambahan Parameter Denda Restrukturisasi pada Aplikasi P4D</t>
  </si>
  <si>
    <t>H2H Penjaminan Produk Amanah, RTT, dan Arrum (PT Pegadaian - Takaful)</t>
  </si>
  <si>
    <t>RPA CSV Sebagai Sarana Pembayaran Virtual Account PADI</t>
  </si>
  <si>
    <t>Andika Yahya Siahaan</t>
  </si>
  <si>
    <t>G230300100SEK - Enhancement eOffice Fase II</t>
  </si>
  <si>
    <t>G230300116RKA Menu Portofolio Personal pada Aplikasi MIS</t>
  </si>
  <si>
    <t>Squad Business Intelligence;Squad RKA</t>
  </si>
  <si>
    <t>G230300105PMI - Pengembangan Kartu Angsuran PDS</t>
  </si>
  <si>
    <t>G23030098PMI - Enhancement PDS - Implementasi Tampilan Skeleton</t>
  </si>
  <si>
    <t>Pengembangan Use Case Berbasis Graph Analytics dalam Melakukan Analisis Kebiasaan Nasabah PT Pegadaian</t>
  </si>
  <si>
    <t>G230300103TRE - Perbaikan dan Penambahan EDC Single BRI pada Menu Validasi Transaksi Non Tunai pada Aplikasi Passion</t>
  </si>
  <si>
    <t>Project Monoline Bisnis Model Untuk Karyawan Internal</t>
  </si>
  <si>
    <t>G23010095BES - Pengembangan Tabungan Emas Rencana Pada Aplikasi PDS Konven</t>
  </si>
  <si>
    <t>Tabungan Emas Rencana via Aplikasi Pegadaian Digital</t>
  </si>
  <si>
    <t>Squad Digital Konven;Squad Emas</t>
  </si>
  <si>
    <t>G230300113DMG - Improvement Security Fitur Download : Generate Captcha menggunakan Aritmatika Penjumlahan</t>
  </si>
  <si>
    <t>Verification</t>
  </si>
  <si>
    <t>Pembuatan Modul Pembinaan Kredit (P3K) pada Aplikasi PROMISE</t>
  </si>
  <si>
    <t>Implementasi Skeleton</t>
  </si>
  <si>
    <t>Gina Amyra Pakaya</t>
  </si>
  <si>
    <t>Indikator Harga Emas</t>
  </si>
  <si>
    <t>Pengembangan Kartu Angsuran</t>
  </si>
  <si>
    <t>Penambahan produk KUR Syariah pada Aplikasi Agen Pegadaian Syariah</t>
  </si>
  <si>
    <t>Pengembangan Fitur Search Bar pada Web Admin Pegadaian Syariah Digital</t>
  </si>
  <si>
    <t>G23030094MKP - Penambahan Sub Menu Nasabah Aktif Tahunan pada Menu Nasabah pada Aplikasi New MIS</t>
  </si>
  <si>
    <t>G23030092PMI - Personalized Service and Campaign 2023</t>
  </si>
  <si>
    <t>Ferdy Yansyah P</t>
  </si>
  <si>
    <t>G23030084PEN - Pengembangan Menu Cross Selling pada MIS</t>
  </si>
  <si>
    <t>G23030083BGD - Pengembangan Approval STL Harian Pada Aplikasi Passion Konvensional</t>
  </si>
  <si>
    <t>G23030082RKA - Penyesuaian Restrukturisasi PASSION pada Reorganisasi P4D</t>
  </si>
  <si>
    <t>G23030081ETR - Pembayaran Produk Pegadaian melalui Aplikasi Uang Kita via Aggregator SYB</t>
  </si>
  <si>
    <t xml:space="preserve">Usulan Perubahan Regulasi STL (STL Harian) </t>
  </si>
  <si>
    <t>G23030080KBL-Pengembangan Aplikasi Bank Sampah Binaan PT Pegadaian</t>
  </si>
  <si>
    <t>G23030079BGD - Pengembangan Menu Management SBG Hilang Kredit Lunas, Transaksi Minta Tambah dan SBG yang telah Mencapai Satu Tahun Pada Aplikasi Passion Konvensional</t>
  </si>
  <si>
    <t xml:space="preserve">G23030077INO - Penambahan Parameter OCBC Syariah Untuk Layanan Tabungan Emas Channel </t>
  </si>
  <si>
    <t>G23020075HBL - Pengembangan Report (Dashboard KPI) pada Aplikasi KAMILA 2.0</t>
  </si>
  <si>
    <t>Pembayaran Produk Pegadaian melalui Aplikasi Uang Kita via Aggregator SYB</t>
  </si>
  <si>
    <t>G2302074UUS - Reorganisasi dan Migrasi Amanah Fleet ke Aplikasi PRIME</t>
  </si>
  <si>
    <t>Penambahan Perusahaan Asuransi Tafakul Umum</t>
  </si>
  <si>
    <t>Fleet Kendaraan Listrik</t>
  </si>
  <si>
    <t>Squad RKA;Squad Syariah (Non Rahn)</t>
  </si>
  <si>
    <t>Perubahan LTV Sepeda Motor untuk Kreasi Multiguna Internal</t>
  </si>
  <si>
    <t>Squad Mikro;Squad RKA</t>
  </si>
  <si>
    <t>Penambahan Tabel Asuransi Askrida Syariah untuk Produk Non Gadai Konvensional</t>
  </si>
  <si>
    <t>Penambahan Outlet Co-Location pada P4D</t>
  </si>
  <si>
    <t>Squad IMO;Squad RKA</t>
  </si>
  <si>
    <t>Otorisasi Pinca - Penambahan Approval Pinca pada Flow Pencairan LOS</t>
  </si>
  <si>
    <t>Penambahan Fitur Diskresi Kredit (ID 45)</t>
  </si>
  <si>
    <t>Pembuatan API CRM</t>
  </si>
  <si>
    <t>Squad RKA;Squad Sales</t>
  </si>
  <si>
    <t>Penambahan Fitur Extra Diskon Sewa Modal untuk Top Up Produk Kreasi</t>
  </si>
  <si>
    <t>Penambahan dan Penyempurnaan Menu Internal Audit</t>
  </si>
  <si>
    <t>Penambahan Internal Checking Nasabah TPPU dan TPPT</t>
  </si>
  <si>
    <t>Penambahan Tabel Tenor Parameter Denda Restrukturisasi</t>
  </si>
  <si>
    <t>Perubahan Mekanisme Approval Restrukturisasi Khusus Produk Non Gadai</t>
  </si>
  <si>
    <t>Penambahan Fitur Unlock NPL</t>
  </si>
  <si>
    <t>Tabungan Emas 1 Klik Whatsapp</t>
  </si>
  <si>
    <t xml:space="preserve">Kamila 2.0 [B2B Acq: Submenu] </t>
  </si>
  <si>
    <t>Permata Desliana Dorothy</t>
  </si>
  <si>
    <t>Penambahan Menu Keluhan/Pelaporan terkait Simpedes UMI pada Ariana/Jira</t>
  </si>
  <si>
    <t>Perubahan Validasi Rekening Tabungan Emas QQ Pencairan Tabungan Emas Rencana</t>
  </si>
  <si>
    <t>G23020071SPI - Pengembangan Modul Realisasi Kegiatan Pemeriksaan Bulanan (RKPB) pada IAIS</t>
  </si>
  <si>
    <t>G23020069RKA - Penambahan Menu Data Monitoring dan Kalkulator BMPP Nasabah pada MIS</t>
  </si>
  <si>
    <t>G23020068BES - Layanan Tabungan Emas Plus Version 2</t>
  </si>
  <si>
    <t>Perluasan Layanan Produk IS/RKAP PMP di Kantor Wilayah</t>
  </si>
  <si>
    <t>Pengembangan Report Rekening tidak aktif Tabungan Emas di MIS</t>
  </si>
  <si>
    <t>Squad Business Intelligence;Squad Emas</t>
  </si>
  <si>
    <t>Autodebet BCA di Outlet, Pegadaian Digital dan Aplikasi Agen Pegadaian</t>
  </si>
  <si>
    <t>Pengembangan Notifikasi Popup pada Passion terkait Nasabah Beresiko Tinggi Pada Produk Emas</t>
  </si>
  <si>
    <t>Migrasi &amp; Reorganisasi Produk Amanah Fleet, Arrum Multiguna &amp; Rahn UMi pada Aplikasi PRIME</t>
  </si>
  <si>
    <t xml:space="preserve">Database as a Service (Dbaas) </t>
  </si>
  <si>
    <t>Drop</t>
  </si>
  <si>
    <t>Mirroring Kinerja Gadai Efek di Aplikasi Data Pegadaian</t>
  </si>
  <si>
    <t>Menu KPI Unit Kerja Kanwil, Area, Cabang, Outlet, dan Co-Location Tahun 2023 pada MIS</t>
  </si>
  <si>
    <t>Penyesuaian Menu OCBC NISP pada Mesin Rekonsiliasi AIRA</t>
  </si>
  <si>
    <t>Penambahan Tabungan Emas Syariah di OCBC NISP</t>
  </si>
  <si>
    <t>Tabungan Emas Plus Versi 2</t>
  </si>
  <si>
    <t>Pengembangan SAPA Pegadaian</t>
  </si>
  <si>
    <t>G23020066REN - Pembuatan Datamarts Penunjang Monitoring KPI Unit Co-location Tahun 2023</t>
  </si>
  <si>
    <t>Squad Business Intelligence;Squad IMO</t>
  </si>
  <si>
    <t>Host to Host Pengajuan dan Penerimaan Klaim Asuransi Askrindo Syariah (Passion)</t>
  </si>
  <si>
    <t>Restorasi Tampilan Dashboard Pengkinian Data Nasabah Berisiko Tinggi</t>
  </si>
  <si>
    <t>G23030076AKT - Pengembangan Report Fiskal untuk Perhitungan PPH Badan</t>
  </si>
  <si>
    <t>G23020065COM - Pengembangan Aplikasi Enhancing Policy and Procedure</t>
  </si>
  <si>
    <t>G23020063COM - Penambahan Dashboard Perisai Penyesuaian Profiling Nasabah Based On Risk APU &amp; PPT</t>
  </si>
  <si>
    <t>G23020061ETR - Pengembangan Payload Endpoint BAZNAZ pada layanan Pembayaran Zakat Aplikasi PASSION</t>
  </si>
  <si>
    <t>G23020057DJO - Perubahan flow penyelesaian ticket dengan topik unlink cif PDS pada aplikasi Ariana</t>
  </si>
  <si>
    <t>G23020060ITS - Layanan 24 Jam untuk Transaksi Open dan Top Up TE PDS Konvensional</t>
  </si>
  <si>
    <t>G23020062PEN - Perbaikan ID Promosi Sistem Cashback Fase II</t>
  </si>
  <si>
    <t>Penambahan Menu dan Kalkulator BMPP Nasabah pada MIS</t>
  </si>
  <si>
    <t>Pengembangan Aplikasi Corporate Evaluation Report and Indicator</t>
  </si>
  <si>
    <t>(1) Improvement Menu MIS: Security Fitur Download, Frontend, Backend Menu; (2) Improvement Frontend Menu menu aplikasi New MIS :  Inventarisasi dan Improvement  Menu base on Frekuensi Log Akses  User; (3) Improvement Backend Data</t>
  </si>
  <si>
    <t>G23020059TRE - Penambahan Menu SOPP Biaya Yang  Masih Harus Dibayar (BYMHD) Pada Aplikasi E-TRUST (Electronic Based Treasury Management Information System)</t>
  </si>
  <si>
    <t>Pengembangan Aplikasi HCMS 4.0 Tahun 2023</t>
  </si>
  <si>
    <t>RPA Pembayaran PADI</t>
  </si>
  <si>
    <t>G23020058INO - Pengembangan Skema Auto Migrasi Rekening Prestige Tokopedia</t>
  </si>
  <si>
    <t>Penyesuaian Fitur OTP pada Transaksi Buyback dan Transfer Tabungan Emas, serta penambahan field no buku Tabungan Emas pada saat transaksi</t>
  </si>
  <si>
    <t>Pengembangan Skema Auto Migrasi Rekening Prestige Tokopedia</t>
  </si>
  <si>
    <t>G23020056BES - Penambahan Asuransi Mikro BLife Solusi Proteksi BNI Life pada Produk Emasku</t>
  </si>
  <si>
    <t>Pembuatan Datamarts Penunjang Monitoring KPI Tahun 2023</t>
  </si>
  <si>
    <t>Penambahan Sub Menu Nasabah Aktif Tahunan pada Menu Nasabah pada Aplikasi New MIS</t>
  </si>
  <si>
    <t>Pegadaian Digital Bundling Tabungan Emas</t>
  </si>
  <si>
    <t>Bundling Produk TE kepada Nasabah Pembiayaan outlet</t>
  </si>
  <si>
    <t>Emasku Bundling BNI Life</t>
  </si>
  <si>
    <t>G23020054INO - Penambahan Payment Method Virtual Account Mandiri dan BCA pada Aplikasi PDS Lite</t>
  </si>
  <si>
    <t>Pengembangan API BAZNAS (Penyesuaian Kodefikasi)</t>
  </si>
  <si>
    <t>G2212415REN - Pengembangan Mantri Gadai Emas BRISpot MVP 1.0</t>
  </si>
  <si>
    <t>G23020055TRE - Host to Host Transaksi Non Tunai dengan Electonic Data Capture (EDC) Himbara Terpusat Pada Aplikasi Passion Syariah</t>
  </si>
  <si>
    <t>Redesain Website</t>
  </si>
  <si>
    <t>G23020043SPI - Penambahan Validasi pada Perencanaan dan Realisasi Kegiatan IAIS</t>
  </si>
  <si>
    <t>G23010041ITS - Pengembangan SuperApp dengan Wavemaker dan Auth Service</t>
  </si>
  <si>
    <t>G23010017REN- Penambahan Channel Senyum Mobile pada Aplikasi AIRA</t>
  </si>
  <si>
    <t>G23020052CSR - Perubahan Jasa Administrasi Pinjaman (JAP)</t>
  </si>
  <si>
    <t>G23020051PEN - Perbaikan ID Promosi Sistem Caseback Fase I</t>
  </si>
  <si>
    <t>G23020049PEN - Perubahan &amp; Penambahan Report SELENA BPO Tim Penjualan di MIS</t>
  </si>
  <si>
    <t xml:space="preserve"> G23020045SPI - Pengembangan Menu Performance Auditor Pada Aplikasi IAIS</t>
  </si>
  <si>
    <t>Perubahan Jasa Administrasi Pinjaman (JAP)</t>
  </si>
  <si>
    <t>Pph 21 atas Fee Agen</t>
  </si>
  <si>
    <t>Perbaikan dan Penambahan EDC Single BRI pada Menu Validasi Transaksi Non Tunai pada Aplikasi Passion</t>
  </si>
  <si>
    <t>G23020050ETR - Pengembangan Payload Response ShopeePay Payment Acceptance pada Aplikasi PDS (Pegadaian Digital Service)</t>
  </si>
  <si>
    <t>G23020048DJO - Pengembangan Menu Telemarketing di Aplikasi Selena</t>
  </si>
  <si>
    <t>G23020047BES - Push Sync Tabungan Emas</t>
  </si>
  <si>
    <t>G2301XXXRKA - Host to Host Pengajuan dan Penerimaan Klaim Asuransi Jaminan Pembiayaan Askrindo Syariah</t>
  </si>
  <si>
    <t>G230300107PMI - Modelling Segmentation Personalized Services Customer</t>
  </si>
  <si>
    <t>Squad Big Data &amp; Analytics;Squad Sales</t>
  </si>
  <si>
    <t>Personalized Services and Campaign</t>
  </si>
  <si>
    <t>Penambahan Fitur Pada Menu Sync Push Tabungan Emas Untuk Transaksi Tabungan Emas Before Sopia</t>
  </si>
  <si>
    <t>G23020044UUS - Penambahan Customer Rating Produk Rahn pada Passion Syariah</t>
  </si>
  <si>
    <t>Pengembangan Payload Response ShopeePay Payment Acceptance pada Aplikasi PDS (Pegadaian Digital Service)</t>
  </si>
  <si>
    <t>Penambahan Payment Method VA Mandiri dan BCA pada PDS Lite</t>
  </si>
  <si>
    <t>Enhancement e-Office Fase 2</t>
  </si>
  <si>
    <t>G23010040COM - Penyesuaian Profiling Nasabah Based On Risk APU &amp; PPT</t>
  </si>
  <si>
    <t>G23020042UUS - Project Pengembangan Model Customer Rating Produk RAHN</t>
  </si>
  <si>
    <t>Squad Big Data &amp; Analytics;Squad Syariah (Rahn)</t>
  </si>
  <si>
    <t>G23010039PMI - Pengembangan Poin jadi Undian - PDS &amp; Web Poin</t>
  </si>
  <si>
    <t>Pengembangan Report Fiskal</t>
  </si>
  <si>
    <t>Penambahan field Kelompok Produk dan field Produk pada menu Rasio Cross Selling by Nasabah CIF di Management Information System (MIS) &amp; Menu Growth Cross Selling</t>
  </si>
  <si>
    <t>Penambahan field Kategori pada menu Daily Report OSL di Management Information System (MIS)</t>
  </si>
  <si>
    <t>Pengembangan Pevita</t>
  </si>
  <si>
    <t>Perubahan dan penambahan report SELENA BPO Tim Penjualan di MIS</t>
  </si>
  <si>
    <t>Pengembangan Rekonsiliasi SenyuM di Aplikasi AIRA</t>
  </si>
  <si>
    <t>G23010034TRE - Dashboard Laporan E-TRUST Menu SOPP &amp; UMP Pada MIS Baru (Management Information System) Data Studio</t>
  </si>
  <si>
    <t>G23010035BMK - Pengembangan, Reorganisasi, dan  Migrasi KCA UMI ke Aplikasi PRIME</t>
  </si>
  <si>
    <t>Squad LOS;Squad Mikro</t>
  </si>
  <si>
    <t>Pengembangan, Reorganisasi, dan  Migrasi Kreasi Multiguna ke Aplikasi PRIME</t>
  </si>
  <si>
    <t>Pengembangan, Reorganisasi, dan  Migrasi Kreasi UMI ke Aplikasi PRIME</t>
  </si>
  <si>
    <t>G23010030INO -  Penambahan Flagging Autodebet &amp; Round Up Tabungan Emas Channel</t>
  </si>
  <si>
    <t>G23010032ITS - Layanan 24 jam Non Transactional PSDS Syariah</t>
  </si>
  <si>
    <t>Penambahan Data Unduhan pada Menu Monitoring Ekstrakomptabel dan Laporan Bulanan Ekstrakomptabel</t>
  </si>
  <si>
    <t>Portofolio Personal pada Aplikasi MIS</t>
  </si>
  <si>
    <t>G23010029HBL - Pengembangan Menu Report Aplikasi KAMILA 1.1</t>
  </si>
  <si>
    <t>Implementasi Wavemaker untuk SuperApp</t>
  </si>
  <si>
    <t>Arrum Safar Eksternal</t>
  </si>
  <si>
    <t>Pengembangan Hiding Tabungan Emas 62 Channel Digital Pada Aplikasi Agen</t>
  </si>
  <si>
    <t>Garnet Dana Wiranata</t>
  </si>
  <si>
    <t>Pengembangan Aplikasi KAMILA 1.1</t>
  </si>
  <si>
    <t>Fitur Blokir dan Release Tabungan Emas sebagai Barang Jaminan untuk Produk PMP Pre Invoice</t>
  </si>
  <si>
    <t>Perubahan SNAP (Standar Nasional Open API Pembayaran) Bank BCA pada Aplikasi Digital Lending</t>
  </si>
  <si>
    <t xml:space="preserve"> G23010028BGD - Implementasi KPT PPK Produk KCA dan Krasida Pada Aplikasi Passion Konvensional</t>
  </si>
  <si>
    <t>G23010027TRE - Penambahan Matriks Unit Kerja SPI pada Menu UMP dan Penambahan Waktu pada Status Menu SOPP dan UMP Aplikasi ETRUST</t>
  </si>
  <si>
    <t>Aplikasi IAIS Tahap 3</t>
  </si>
  <si>
    <t xml:space="preserve"> Drone (A-Drone)</t>
  </si>
  <si>
    <t>Squad Big Data &amp; Analytics;Squad SPI</t>
  </si>
  <si>
    <t>Penambahan Menu Profiling Nasabah berdasarkan Risk Based Approach APU &amp; PPT</t>
  </si>
  <si>
    <t>Squad Big Data &amp; Analytics;Squad Logistik &amp; Support</t>
  </si>
  <si>
    <t>Pengembangan Fitur SELENA Fattening Modul CRO</t>
  </si>
  <si>
    <t>Pengembangan Tools Program Pemasaran dan Penjualan</t>
  </si>
  <si>
    <t>Perbaikan ID Promosi Sistem Cashback</t>
  </si>
  <si>
    <t>PENAMBAHAN MENU SOPP BIAYA YANG MASIH HARUS DIBAYAR (BYMHD) PADA APLIKASI E-TRUST (ELECTRONIC BASED TREASURY MANAGEMENT INFORMATION SYSTEM)</t>
  </si>
  <si>
    <t>Penambahan Matriks Unit Kerja SPI pada Menu UMP dan Penambahan Waktu pada Status Menu SOPP dan UMP Aplikasi ETRUST</t>
  </si>
  <si>
    <t>G23010024BGD - Penyesuaian Menu Daftar Pengambilan Barang Jaminan Mikro Produk Krasida</t>
  </si>
  <si>
    <t>Perubahan parameter User dan Password pada aplikasi Gadai Efek Machine (Security Configuration GEM)</t>
  </si>
  <si>
    <t>G2301023TRE - Menu Dashboard Monitoring Electronic Data Capture (EDC) Terpusat Pada Aplikasi MIS</t>
  </si>
  <si>
    <t>Menambah kerjasama backup biller payment dan penambahan fitur agen Pegadaian via aggregator XLINK</t>
  </si>
  <si>
    <t>Pengembangan CPM pada HCMS</t>
  </si>
  <si>
    <t>iLeads Mobile Apps</t>
  </si>
  <si>
    <t>Finki Effendi</t>
  </si>
  <si>
    <t>Mantri Gadai Emas</t>
  </si>
  <si>
    <t>Costumerization Selena Tim Telemarketing Pegadaian</t>
  </si>
  <si>
    <t>Flagging Autodebet &amp; Round Up TE Channel</t>
  </si>
  <si>
    <t>Tabungan Emas pada BRImo</t>
  </si>
  <si>
    <t>Enhancing Policy &amp; Procedure Governance (SIPATUH)</t>
  </si>
  <si>
    <t>Politically Exposed Persons (PEPs)</t>
  </si>
  <si>
    <t>Pembangunan Aplikasi Bank Sampah Binaan PT Pegadaian</t>
  </si>
  <si>
    <t>G23010021UUS - Revamp PSDS Modul 3</t>
  </si>
  <si>
    <t>Seamless Transaction Gadai Efek untuk channel Eksternal</t>
  </si>
  <si>
    <t>Pengembangan Reorganisasi pada Aplikasi P4D</t>
  </si>
  <si>
    <t>G23010020UUS - Revamp PSDS Modul 2</t>
  </si>
  <si>
    <t>Penggantian SBG 1 tahun, MT &amp; SBG Hilang</t>
  </si>
  <si>
    <t>Validasi Gadai di Outlet Sendiri</t>
  </si>
  <si>
    <t>Implementasi Perdir KPT &amp; PPK</t>
  </si>
  <si>
    <t>Perbaikan Perhitungan Biaya lelang</t>
  </si>
  <si>
    <t>G23010019PMI - Pengembangan Pegadaian Poin pada Transaksi PASSION</t>
  </si>
  <si>
    <t>Inquiry Pelunasan Krasida</t>
  </si>
  <si>
    <t>Monetisasi BJDPL</t>
  </si>
  <si>
    <t xml:space="preserve">Fitur Gadai KCA Tenor 180 Hari </t>
  </si>
  <si>
    <t>Full Fledge Layanan Gadai Prioritas dan Gadai Express</t>
  </si>
  <si>
    <t>Partnership untuk Penukaran Pegadaian Poin (Fase I &amp; II)</t>
  </si>
  <si>
    <t>G2301005TRE - Menu Dashboard Non Tunai Pada Aplikasi New MIS</t>
  </si>
  <si>
    <t>G23010016REN - Pengembangan Tabungan Emas di NDS</t>
  </si>
  <si>
    <t>G23010015REN - Pengembangan Tabungan Emas Syariah</t>
  </si>
  <si>
    <t>Tabungan Emas pada NDS BRI</t>
  </si>
  <si>
    <t>Pengembangan Tabungan Emas Syariah di Senyum Mobile</t>
  </si>
  <si>
    <t>Layanan 24 Jam untuk Collection Gadai dan Mikro melalui PSDS</t>
  </si>
  <si>
    <t>Layanan 24 Jam untuk Collection Gadai dan Mikro melalui PDS Konvensional</t>
  </si>
  <si>
    <t>Layanan 24 Jam untuk Transaksi Open dan Top Up Tabungan Emas melalui PSDS</t>
  </si>
  <si>
    <t>Pengembangan &amp; Perbaikan Aplikasi iLeads</t>
  </si>
  <si>
    <t>Host To Host Transaksi Non Tunai dengan Electonic Data Capture (EDC) Himbara Terpusat Pada Aplikasi Passion Syariah</t>
  </si>
  <si>
    <t>Customer Rating Produk Rahn</t>
  </si>
  <si>
    <t>Pengembangan Website LSP</t>
  </si>
  <si>
    <t>G23010033RKA - Menu Ekstra Diskon Pelunasan Dipercepat Hapus Buku (Syariah)</t>
  </si>
  <si>
    <t>G23010013UUS - Penyesuaian Dampak Reorganisasi pada Passion Syariah</t>
  </si>
  <si>
    <t>G23010011ITS - Layanan 24 Jam Non Transactional PDS Konvensional</t>
  </si>
  <si>
    <t>Dashboard Program Kerja OITI</t>
  </si>
  <si>
    <t>Perubahan flow penyelesaian ticket dengan topik unlink cif PDS pada aplikasi Ariana</t>
  </si>
  <si>
    <t>G23010012UUS - Revamp PSDS Modul 1</t>
  </si>
  <si>
    <t>G23010025RKA - Pembuatan Credit Scoring tujuan Konsumtif di Aplikasi PRIME</t>
  </si>
  <si>
    <t>Revamp Pegadaian Syariah Digital</t>
  </si>
  <si>
    <t xml:space="preserve"> Layanan 24 Jam untuk Transaksi Gadai Tabungan Emas melalui PDS Konvensional</t>
  </si>
  <si>
    <t>Layanan 24 Jam untuk Transaksi Open dan Top Up TE PDS Konvensional</t>
  </si>
  <si>
    <t>Layanan 24 Jam (Non Transactional)</t>
  </si>
  <si>
    <t>G23010010ETR - Penambahan EDC Terintegrasi BRI Mini ATM</t>
  </si>
  <si>
    <t>G2301008BES - Optimalisasi Penerimaan Buy Back Logam Mulia Pada Aplikasi Emas</t>
  </si>
  <si>
    <t>G23010004HBL - Aplikasi Microsite Kelembagaan (Promo)</t>
  </si>
  <si>
    <t>G2301007BES - Perubahan Cetak Kuitansi Pada Aplikasi Emas</t>
  </si>
  <si>
    <t>Mengoptimalisasi penerimaan buyback LM pada Aplikasi Emas</t>
  </si>
  <si>
    <t>Penambahan metode payment MPOS (BRI EDC)</t>
  </si>
  <si>
    <t>Perubahan cetak kuitansi di aplikasi New Core dan Emas</t>
  </si>
  <si>
    <t>G2301009INO - Penambahan Channel Maybank Pada Aplikasi Rekonsiliasi AIRA (Anak Induk Reconcile Application)</t>
  </si>
  <si>
    <t>G2301006ETR - Penambahan Channel Pembayaran Produk Pegadaian di Mitra (Pos Indonesia via Aggregator Kopnus)</t>
  </si>
  <si>
    <t xml:space="preserve">ReOrganisasi Tim Mikro pada Aplikasi P4D </t>
  </si>
  <si>
    <t>Penambahan Channel Maybank Pada Aplikasi Rekonsiliasi AIRA (Anak Induk Reconcile Application)</t>
  </si>
  <si>
    <t>Penambahan Channel Pembayaran Produk Pegadaian di Mitra (Pos Indonesia via Aggregator Kopnus)</t>
  </si>
  <si>
    <t>G2301003ETR - Perubahan Endpoin pada Layanan Pembukaan Tabungan Simpedes UMI</t>
  </si>
  <si>
    <t>Layanan Pembukaan Rekening Simpedes Umi (BRI) Update URL &amp; Messaging</t>
  </si>
  <si>
    <t>G23010026COM - Analisa Transaksi Keuangan Mencurigakan</t>
  </si>
  <si>
    <t>Credit Scoring Produk Syariah Tujuan Konsumtif pada PRIME</t>
  </si>
  <si>
    <t>G2201001INO - Pengembangan Save Log Alternative Scoring</t>
  </si>
  <si>
    <t>G2212429BMK - Penyesuaian Dampak Reorganisasi pada Passion</t>
  </si>
  <si>
    <t>G2212424BMK - Pengembangan Kupedes Pegadaian pada Passion</t>
  </si>
  <si>
    <t>G2211379COM -Pengembangan Aplikasi Pegadaian Risk of AML/CFT Intelligence (PERISAI)</t>
  </si>
  <si>
    <t>Pengembangan Kreasi Multiguna Fleet Karyawan Fase 2</t>
  </si>
  <si>
    <t>Penyesuaian Approval Kredit Berdasarkan Limit Total Eksposure Kredit dan BMPP Nasabah Melalui Komite Kredit pada Aplikasi Passion</t>
  </si>
  <si>
    <t>G2212426BMK - Penyesuaian Parameter Produk Kresna</t>
  </si>
  <si>
    <t>G2212427BMK - Perubahan Patok Taksiran Jaminan Kendaraan (Motor) Kreasi Reguler Internal dan Kreasi Multiguna Internal pada Aplikasi P4D</t>
  </si>
  <si>
    <t>G2212428BMK - Pengembangan Produk KUPEDES PEGADAIAN pada Aplikasi PRIME LOS</t>
  </si>
  <si>
    <t>Pengembangan Aplikasi PRIME produk KUPEDES</t>
  </si>
  <si>
    <t>Perubahan Patok Taksiran Jaminan Kendaraan Kreasi Reguler Internal dan Kreasi Multiguna Internal pada aplikasi P4D</t>
  </si>
  <si>
    <t xml:space="preserve"> Penyesuaian Parameter Produk Kresna (Revitalisasi Produk Kresna)</t>
  </si>
  <si>
    <t>G2212425BES - Penambahan Cetakan Kuitansi Pada Transaksi Marketing Regional</t>
  </si>
  <si>
    <t>G2212417RKA - Perubahan perhitungan kewajiban di menu Recovery Ekstrakomptabel untuk Kredit Syariah</t>
  </si>
  <si>
    <t>G2212419RKA - Pengembangan Aplikasi PROMISE (Pegadaian Risk Loan Management System) Basis Produk GADAI (Fase I)</t>
  </si>
  <si>
    <t>G2212416UUS - Dashboard Monitoring BPO KUR sebagai Penyaluran KUR di Outlet</t>
  </si>
  <si>
    <t>Validasi karyawan dalam pembelian lelang Gadai tabungan emas terpadu (GTE)</t>
  </si>
  <si>
    <t>Pengembangan Microsite Kelembagaan Fase 2</t>
  </si>
  <si>
    <t>Dashboard Monitoring BPO KUR sebagai Penyaluran KUR di Outlet</t>
  </si>
  <si>
    <t>G2211409REN - Pengembangan Gadai Fleksi Direct Sales Gadai</t>
  </si>
  <si>
    <t>G2211373HBL - Aplikasi Microsite Kelembagaan (Pengajuan Kredit/Promo)</t>
  </si>
  <si>
    <t>Dashboard Laporan E-TRUST Menu SOPP &amp; UMP Pada MIS Baru (Management Information System) Data Studio</t>
  </si>
  <si>
    <t xml:space="preserve">G2211412BGD - Pengembangan Menu Pengajuan Diskon Lelang Barang Jaminan Non Kantong </t>
  </si>
  <si>
    <t>G2211411BES - Penyesuaian Tabungan Emas Korporasi</t>
  </si>
  <si>
    <t>G2212418RKA - Pengembangan Aplikasi PROMISE (Pegadaian Risk Loan Management System) Basis Produk NON-GADAI (Fase I)</t>
  </si>
  <si>
    <t>G2211404UUS - Penyesuaian produk ARRUM MIKRO terkait Reorganisasi (Monoline) pada Aplikasi PRIME LOS</t>
  </si>
  <si>
    <t>G2211402UUS - Penyesuaian produk ARRUM E-LOAN KUR terkait Reorganisasi (Monoline) pada Aplikasi PRIME LOS</t>
  </si>
  <si>
    <t>Penyesuaian Menu Pembukaan, Top Up dan Transfer Tabungan Emas Korporasi</t>
  </si>
  <si>
    <t>Push Pembayaran VA Nasabah Digilend</t>
  </si>
  <si>
    <t>Produk Multiguna Fleet</t>
  </si>
  <si>
    <t>G2211406ETR - Perubahan Kode Paket Layanan Top UP Shopeepay pada Biller Ayoconnect</t>
  </si>
  <si>
    <t>On Hold</t>
  </si>
  <si>
    <t>G2211396BES - Penyelesaian Kredit Masalah Tabungan Emas Rencana</t>
  </si>
  <si>
    <t xml:space="preserve">Pengembangan Aplikasi Reconcile Integrated System </t>
  </si>
  <si>
    <t>G2211405UUS - Penyesuaian Produk RAHN TASJILY TANAH terkait Reorganisasi (Monoline) pada Aplikasi PRIME LOS</t>
  </si>
  <si>
    <t>G2211403UUS - Penyesuaian Produk Amanah Terkait Reorganisasi (Monoline) pada Aplikasi PRIME LOS</t>
  </si>
  <si>
    <t>G2211400INO - Penyesuaian Payload Endpoint Historical Transaksi Tabungan Emas</t>
  </si>
  <si>
    <t>Perubahan Kode Paket Layanan Top UP Shopeepay di Passion Outlet</t>
  </si>
  <si>
    <t xml:space="preserve">Penambahan Produk Gadai Flexi pada Project Direct Sales Gadai KCA untuk Outlet Co Location &amp; Non Co Location </t>
  </si>
  <si>
    <t>Irwan Wahyu Utomo</t>
  </si>
  <si>
    <t>G2211398BGD - Penyesuaian Approval Tarif Sewa Modal Khusus Pada KCA Reguler</t>
  </si>
  <si>
    <t>G2211397UUS - Sharing Fee Mu’nah Produk  Arrum Ekspress Loan KUR dan Arrum Safar</t>
  </si>
  <si>
    <t>G2211392MKP - Penambahan Unit CBM dan UBM pada Menu KPI Unit Kerja Tahun 2022 di MIS</t>
  </si>
  <si>
    <t>G2210372BES - Pinjaman Modal Kerja Emas</t>
  </si>
  <si>
    <t>G2211391BES Pengelolaan Transaksi MarketingRegional</t>
  </si>
  <si>
    <t>Septyani Simanjuntak</t>
  </si>
  <si>
    <t>Pengelolaan Transaksi Marketing Regional</t>
  </si>
  <si>
    <t>G2211389INO - Penambahan Parameter Maybank Untuk Layanan Tabungan Emas Channel</t>
  </si>
  <si>
    <t>G2211388ETR - Pembayaran Produk Pegadaian melalui Bank CIMB Niaga</t>
  </si>
  <si>
    <t>Pembayaran Produk Pegadaian  melalui Bank CIMB Niaga</t>
  </si>
  <si>
    <t xml:space="preserve">Penyesuaian Approval Tarif Sewa Modal Khusus </t>
  </si>
  <si>
    <t>Penyesuaian Payload Endpoint Historical Transaksi</t>
  </si>
  <si>
    <t>Diskon Lelang Non Kantong</t>
  </si>
  <si>
    <t>G2210351LKR - Daftar Pinjaman dan Pola Angsuran KREASI REGULER pada Aplikasi PRIME LOS</t>
  </si>
  <si>
    <t>Self Assesment Gadai Peduli Pada Landing Page Sahabat Pegadaian</t>
  </si>
  <si>
    <t>Sharing Mu’nah Produk Arrum Ekspress Loan KUR dan Arrum Safar yang di salurkan melalui mekanisme Channelling</t>
  </si>
  <si>
    <t>G2211381INO - Pengembangan URL Registrasi Kartu Emas di PDS</t>
  </si>
  <si>
    <t>G2211380DJO - Pembuatan Datamart Internal Holding UMi</t>
  </si>
  <si>
    <t>G2211374MKP - Improvement Menu Laporan Laba Rugi SAP dan Laba Usaha Channel Pada Menu Performance Report</t>
  </si>
  <si>
    <t>Tabungan Emas Whatsapp</t>
  </si>
  <si>
    <t>Pengembangan Aplikasi LMS Restrukturisasi Khusus Pandemi</t>
  </si>
  <si>
    <t>Save Log — Alternative Scoring</t>
  </si>
  <si>
    <t>Penyesuaian Integrasi pada Aplikasi Senyum Mobile</t>
  </si>
  <si>
    <t>G2210370ETR - LAYANAN PENAMBAHAN BILLER M - CASH (Paket Data Telkomsel)</t>
  </si>
  <si>
    <t>G2210362MKP - Penambahan Sub Menu Nasabah (CIF) Per Outlet Penyalur pada Menu Nasabah pada Aplikasi New Management Information System (New-MIS)</t>
  </si>
  <si>
    <t>Analisis Deteksi Transaksi Keuangan Mencurigakan (TKM)</t>
  </si>
  <si>
    <t>G2210365BES - Penambahan Fitur Export dan Field Kode Cabang Pada Menu Rekening Koran Aplikasi Emas</t>
  </si>
  <si>
    <t>Pengembangan Layanan Channeling Tabungan Emas Maybank</t>
  </si>
  <si>
    <t>Penambahan Fitur Export Dan Field Kode Cabang Pada Menu Rekening Koran Aplikasi Emas</t>
  </si>
  <si>
    <t>G2210364SPI - Pengembangan Modul Administrasi Sub Modul SDM Pada Aplikasi IAIS Fase 1</t>
  </si>
  <si>
    <t>G2210363PEN - Pengembangan Report Omzet Kinerja Agen di Aplikasi Management Information System (MIS)</t>
  </si>
  <si>
    <t>G2210361PEN - Dashboard Monitoring Program Kerja Tindak Lanjut RAKORBIS 2022</t>
  </si>
  <si>
    <t>Penambahan Paket Data Operator Telkomsel MCash di Passion Outlet</t>
  </si>
  <si>
    <t>G2210359BES - G-CANVAS Pengembangan Fitur Tabungan Emas Plus Emas</t>
  </si>
  <si>
    <t>G2210356BES - Pengembangan Menu Permintaan Mutasi Stock</t>
  </si>
  <si>
    <t xml:space="preserve"> G2210340REN - Pengembangan Agen Gadai di Aplikasi BRILink MVP 1</t>
  </si>
  <si>
    <t>Modul Permintaan Mutasi</t>
  </si>
  <si>
    <t>G2210350BGD - Biaya Autentikasi Gadai Luxury</t>
  </si>
  <si>
    <t xml:space="preserve"> Internal checking data dari Dukcapil baik nasabah lama atau baru</t>
  </si>
  <si>
    <t>Fitur Gadai pada Aplikasi BRILink Mobile</t>
  </si>
  <si>
    <t>Andhika Purnama Y</t>
  </si>
  <si>
    <t>G23XXXXXXRKA-Host to Host Pengajuan Penjaminan Produk KUR dengan Asuransi PT. Jaminan Pembiayaan Askrindo Syariah</t>
  </si>
  <si>
    <t>G2210353DMG - Pengembangan Datamart untuk Dashboard Kinerja</t>
  </si>
  <si>
    <t>Blokir dan Release Tabungan Emas secara Otomatis sebagai jaminan Produk PMP Pre Invoice</t>
  </si>
  <si>
    <t>G2210349PEN - Pengembangan Aplikasi Program Kerja Tindak Lanjut RAKORBIS 2022</t>
  </si>
  <si>
    <t>Pengembangan Redirect Connection API Tokopedia Dari PASSION ke Switching</t>
  </si>
  <si>
    <t>Menu Dashboard Monitoring Electronic Data Capture (EDC) Terpusat Pada Aplikasi MIS</t>
  </si>
  <si>
    <t>Menu Dashboard Non Tunai Pada Aplikasi New MIS</t>
  </si>
  <si>
    <t>Penyajian Data Nasabah Non Aktif yang Memiliki Emas di Aplikasi MIS</t>
  </si>
  <si>
    <t>G2210346BES - Penambahan Parent Unit pada Aplikasi Emas</t>
  </si>
  <si>
    <t>G2210343BES - Penambahan Fitur Disbursement Logam Mulia di Aplikasi Emas</t>
  </si>
  <si>
    <t>G2210345ETR - Pembayaran Produk Pegadaian (Collection) melalui Alfagroup - 2022</t>
  </si>
  <si>
    <t>Pembayaran Produk Tabungan Emas melalui Channel Dandan</t>
  </si>
  <si>
    <t>Modul Penambahan Fitur Disbursement Logam Mulia</t>
  </si>
  <si>
    <t>Penambahan Kode parent pada Aplikasi Emas</t>
  </si>
  <si>
    <t>G2210342INO - Pengembangan Redirect Connection API Tokopedia Dari PASSION ke Switching</t>
  </si>
  <si>
    <t>G2210339ETR - Penambahan Kode Layanan Paket Data Indosat pada Aggregator Artajasa</t>
  </si>
  <si>
    <t>G2210338ETR - Pembayaran Produk Pegadaian melalui Dana Menggunakan Agregator SYB</t>
  </si>
  <si>
    <t>G2210337BES - G-CANVAS Tabungan Emas Rencana ( Passion )</t>
  </si>
  <si>
    <t xml:space="preserve"> Pembayaran Produk Pegadaian melalui Aplikasi DANA</t>
  </si>
  <si>
    <t>Penambahan Paket SMS, Paket Telepon, dan Paket Data Operator Indosat AJ (Arthajasa) di Passion Outlet</t>
  </si>
  <si>
    <t>G2210335INO - Penyesuaian Menu Buka Blokir Rekening Tabungan Emas Tokopedia</t>
  </si>
  <si>
    <t>Penambahan Unit CBM dan UBM pada Menu KPI Unit Kerja Tahun 2022 di MIS</t>
  </si>
  <si>
    <t>Host to Host Pengajuan Penjaminan Produk KUR dengan Asuransi PT. Jaminan Pembiayaan Askrindo Syariah</t>
  </si>
  <si>
    <t>G2210336COM - Pembuatan Dashboard Pegadaian Risk of AML/CFT Intelligence (PERISAI)</t>
  </si>
  <si>
    <t>Pembuatan Link Registrasi Kartu Emas di PDS</t>
  </si>
  <si>
    <t>Pengembangan Validasi Menu Buka Blokir &amp; Mutasi Rekening Tabungan Emas Tokopedia Di Passion</t>
  </si>
  <si>
    <t>Distribusi Modal Kerja dengan Virtual Account (VA) Debit Kredit BRI</t>
  </si>
  <si>
    <t>Squad ERP</t>
  </si>
  <si>
    <t>Aplikasi Report dan Dashboard Monitoring Program Kerja Tindak Lanjut RAKORBIS 2022</t>
  </si>
  <si>
    <t>G2209332ETR - Perubahan API Top Up DANA untuk Mendukung SNAP</t>
  </si>
  <si>
    <t>Perubahan API Top UP Dana untuk mendukung SNAP sesuai dengan instruksi Bank Indonesia</t>
  </si>
  <si>
    <t>Pengembangan Fitur Pinjaman Modal Kerja (PMK) Emas</t>
  </si>
  <si>
    <t>Pengembangan Fitur Tabungan Emas Plus</t>
  </si>
  <si>
    <t>Penyesuaian Modul Pengantaran BJL Pada Web Pegadaian Digital (Super Admin)</t>
  </si>
  <si>
    <t>G2209328PMI - Pembuatan Dashboard Monitoring EGC Reaktivasi Nasabah Inactive</t>
  </si>
  <si>
    <t>G2209317PMI - Pengiriman Data Leads ke Aplikasi Selena dan Penyesuaian Script EGC untuk Pengiriman Data Transaksi ke XPOIN Terkait Program EGC Reaktivasi Nasabah Inactive Tahun 2022</t>
  </si>
  <si>
    <t>G2209321ETR - Perubahan API Disbusement BCA Pada Passion Konvensional untuk mendukung SNAP</t>
  </si>
  <si>
    <t>G2209326LKR - Checking Customer Risk Screening (CRS) Produk Mikro pada Aplikasi Prime</t>
  </si>
  <si>
    <t>Perubahan SNAP (Standar Nasional Open API Pembayaran) Bank BCA</t>
  </si>
  <si>
    <t>Migrasi Produk Non Rahn beserta Fitur nya pada Aplikasi PRIME</t>
  </si>
  <si>
    <t>G2209314RKA - Perubahan perhitungan kewajiban di menu Recovery Ekstrakomptabel</t>
  </si>
  <si>
    <t>G2209313ETR - Pembukaan Rekening Simpedes UMI pada Aplikasi PASSION</t>
  </si>
  <si>
    <t>Squad Feebased;Squad IMO</t>
  </si>
  <si>
    <t>Penambahan Menu Approval Mutasi Emas dan Validasi Mutasi di Aplikasi Emas</t>
  </si>
  <si>
    <t>Employee Get Customer - Nasabah Inactive Tahun 2022</t>
  </si>
  <si>
    <t>Pengembangan Microsite Kelembagaan</t>
  </si>
  <si>
    <t>Mohamad Dida Fahryuda</t>
  </si>
  <si>
    <t>G2208286BES - Penambahan Scheduler Replacement Kartu Emas</t>
  </si>
  <si>
    <t>Perubahan Pola Closing Refferal Gadai pada Senyum Mobile</t>
  </si>
  <si>
    <t>G2209322AKT - Perubahan Redaksi Struk Pada Objek PPN Bisnis Produk Emas Aplikasi PASSION</t>
  </si>
  <si>
    <t>Menu Report Kinerja Omzet Agen pada Management Information System (MIS)</t>
  </si>
  <si>
    <t>Penambahan Sub Menu Nasabah (CIF) Per Oulet Penyalur pada Menu Nasabah pada Aplikasi New Management Information System (New-MIS)</t>
  </si>
  <si>
    <t>G2209307LKR - Checking Daftar Hitam Nasional (DHN) Produk Mikro pada Aplikasi Prime</t>
  </si>
  <si>
    <t>Perubahan Redaksi Struk Pada Objek PPN Bisnis di Produk Emas - PASSION</t>
  </si>
  <si>
    <t>G2209306REN - Laporan Inquiry SOA, Inquiry SOPP, dan Inquiry ID Promosi di Aplikasi MIS</t>
  </si>
  <si>
    <t>Pembuatan Datamarts Dashboard Internal Holding Ultra Mikro</t>
  </si>
  <si>
    <t>Pembuatan Toogle pada Kode Produk Layanan MPO di Super Admin PDS</t>
  </si>
  <si>
    <t>Project Jasa Taksiran</t>
  </si>
  <si>
    <t>Improvement Menu Laporan Laba Rugi SAP dan Laba Usaha Channel Pada Menu Performance Report</t>
  </si>
  <si>
    <t>G2209301DGL- Penyesuaian Kode Area Menjadi Kode Outlet proses Referal ME pada Aplikasi Web, LOS P4D dan Prime</t>
  </si>
  <si>
    <t>G2209299PMI - Penyesuaian Nasabah Inactive Program Sahabat Emas Tahun 2022</t>
  </si>
  <si>
    <t>Penyesuaian Nasabah Inactive Program Sahabat Emas Tahun 2022</t>
  </si>
  <si>
    <t>G2209296RKA - Penambahan Menu Rekap Data FID dan SID pada MIS</t>
  </si>
  <si>
    <t>Pembuatan scheduler replacement Kartu Emas</t>
  </si>
  <si>
    <t>Penyesuaian Kode Area Menjadi Kode Outlet proses Referal ME pada Aplikasi Web, LOS P4D dan Prime</t>
  </si>
  <si>
    <t>G2208289DMG - Pelaporan SLIK PT Pegadaian Tahap 2</t>
  </si>
  <si>
    <t>G2209316DMG - Pembuatan Analisa Kebiasaan Nasabah Customer Risk</t>
  </si>
  <si>
    <t>G2208291BES - GCanvas - Perubahan Cetakan LM di Aplikasi Emas</t>
  </si>
  <si>
    <t>Perubahan Cetakan LM di Aplikasi Emas</t>
  </si>
  <si>
    <t>G2207248BES - Penambahan Fitur Validasi Data Nasabah pada Skema Penjualan di Aplikasi Emas</t>
  </si>
  <si>
    <t>G2208290UUS - Pengembangan Modul User Management di PRIME (PRIME Fase 6)</t>
  </si>
  <si>
    <t>Penyesuaian Flag Kredit Jamkrindo &amp; Askrindo</t>
  </si>
  <si>
    <t>Restrukturisasi Produk Kreasi PT Askrida Syariah</t>
  </si>
  <si>
    <t>G2208287PMI - Integrasi Data Dashboard Program EGC 2022</t>
  </si>
  <si>
    <t xml:space="preserve"> Project pembuatan invoice</t>
  </si>
  <si>
    <t>Fase 7 - Penyempurnaan Fitur Aplikasi PRIME (otorisasi penyesuaian pencairan oleh pinca)</t>
  </si>
  <si>
    <t>Fase 6 - Penyempurnaan Fitur Aplikasi PRIME (Modul User Management di PRIME)</t>
  </si>
  <si>
    <t>G220600188ETR - Perubahan API Cash Out Dana untuk mendukung SNAP</t>
  </si>
  <si>
    <t>Pengembangan Datamart untuk Dashboard Kinerja</t>
  </si>
  <si>
    <t>Perubahan API Cash Out Dana untuk mendukung SNAP sesuai dengan instruksi Bank Indonesia</t>
  </si>
  <si>
    <t>G2208280LKR - Pengembangan Produk KREASI REGULER pada Aplikasi PRIME LOS</t>
  </si>
  <si>
    <t>Pengembangan Landing Page &amp; CMS Form Pendaftaran Online Olimpiade Bakat / Pegadaian Golden Talent</t>
  </si>
  <si>
    <t>G2208279DGL- Update Menu CMS</t>
  </si>
  <si>
    <t>G2208281SPI - Integrasi Data Dashboard Micro Risk Analysis Fase 2</t>
  </si>
  <si>
    <t xml:space="preserve">G2208274INO - Penambahan Menu Eksternal Kendala Channel Pada Jira Service </t>
  </si>
  <si>
    <t>G2208263BGD - Gadai Luxury</t>
  </si>
  <si>
    <t>G2208272BES - Pengecekan Saldo Aplikasi Emas Pada Proses Buyback di Aplikasi New Core</t>
  </si>
  <si>
    <t>Pengecekan Saldo Aplikasi Emas Pada Proses Buyback di Aplikasi New Core</t>
  </si>
  <si>
    <t>G2208269DGL - Perubahan Admin Top Up Tabungan Emas 1% s.d 5% PMP LOS Prime</t>
  </si>
  <si>
    <t>G2208271INO - Reskin Portal Pengajuan Produk Pegadaian (P4)</t>
  </si>
  <si>
    <t>G2208270INO - Pengembangan Dashboard (Google Data Studio) Monitoring Aplikasi E-Form</t>
  </si>
  <si>
    <t>Pengembangan Big Query untuk Dashboard Learning Analytics</t>
  </si>
  <si>
    <t>G2208260BES - Pengembangan Endpoint Limit CIF Tabungan Emas</t>
  </si>
  <si>
    <t>Dashboard EGC 2022</t>
  </si>
  <si>
    <t>Laporan Inquiry SOA, Inquiry SOPP, dan Inquiry ID Promosi di Aplikasi MIS</t>
  </si>
  <si>
    <t>G2208255DGL- Penambahan Field Laporan Kredit &amp; Data Transaksi Digital Lending pada MIS</t>
  </si>
  <si>
    <t>Squad Business Intelligence;Squad Digital Lending</t>
  </si>
  <si>
    <t>Pengembangan Endpoint Limit CIF Tabungan Emas</t>
  </si>
  <si>
    <t>G2210341BMK - Pengembangan Integrasi PROSPEK Monoline pada Aplikasi PRIME LOS dan SELENA</t>
  </si>
  <si>
    <t>Restrukturisasi Kredit Gadai Berbasis Angsuran Produk Krasida dan Arrum Haji Tabungan Emas</t>
  </si>
  <si>
    <t>Reskin Aplikasi P4</t>
  </si>
  <si>
    <t>CLONE - Improvement Sub Menu Laporan Mutasi OSL Pada Menu Performance Report di Aplikasi MIS</t>
  </si>
  <si>
    <t>G2208254PKB - Perbaikan Data dan Penambahan Menu Unduhan Tabungan Emas Bank Sampah pada MIS</t>
  </si>
  <si>
    <t>G2207249DGL - Menu Splitting (Push) Pembayaran Produk PMP pada Aplikasi Passion</t>
  </si>
  <si>
    <t>Sistem Notional Pooling Group PT Pegadaian dengan G24 dan POJ</t>
  </si>
  <si>
    <t>Heliodorus Hendra Silalahi</t>
  </si>
  <si>
    <t>G2207251ETR - Digital Remitansi Via PDS - Western Union</t>
  </si>
  <si>
    <t>Pembuatan Menu Splitting (Push) untuk penyelesaian dispute Splitting pada Aplikasi PASSION</t>
  </si>
  <si>
    <t>G2109369BES - Pemisahan MA Biaya Cetak TE</t>
  </si>
  <si>
    <t>G2207240BGD - CR Penyesuaian BJ Masif dan HPR Elektronik</t>
  </si>
  <si>
    <t>Pengembangan Fitur Validasi Data Nasabah pada Skema Penjualan Aplikasi Emas</t>
  </si>
  <si>
    <t>Penambahan Field Email di Menu Ariana Untuk Kendala Channel All Partner</t>
  </si>
  <si>
    <t>G2207244INO - Integrasi Penambahan Data Poin CRM &amp; Bigdata</t>
  </si>
  <si>
    <t>G2207245DMG - Migrasi Dashboard Microstrategy ke Data Studio</t>
  </si>
  <si>
    <t>G2207224DMG - Pengembangan Endpoint Portofolio Nasabah</t>
  </si>
  <si>
    <t>G2206201BES - Pengembangan Fitur Pelunasan &amp; Pelelangan Produk Mulia Internal Konven &amp; Syariah</t>
  </si>
  <si>
    <t>Penyaluran Produk Arrum Multi Guna pada aplikasi LOS/P4D</t>
  </si>
  <si>
    <t>G2207241RKA - Update Asuransi yang Mengcover Produk Kreasi, Kreasi Ultra Mikro, &amp; Kreasi Multiguna di P4D</t>
  </si>
  <si>
    <t>G2207234UUS - Fase 4 Pencairan Tunai (Channeling dan Non Channeling) dan Angsuran Channeling Arrum E-Loan KUR Syariah</t>
  </si>
  <si>
    <t>G2207233SHC - Pengembangan Menu PI Individu Tahun 2022 pada Aplikasi New MIS</t>
  </si>
  <si>
    <t>G2207232ETR - Pembayaran Produk Pegadaian melalui Aplikasi Finpay Money</t>
  </si>
  <si>
    <t>Pembayaran Produk Pegadaian melalui Aplikasi Finpay Money</t>
  </si>
  <si>
    <t>Pembukaan Produk Amanah , Arrum Haji dan Arrum Safar di PASSION , LOS , dan PRIME Pada Uker Co-location</t>
  </si>
  <si>
    <t>G2208267DMG - Pembuatan Analisa Kepuasan Nasabah Digital</t>
  </si>
  <si>
    <t xml:space="preserve">G2207230AKT - Pembuatan Report Pembayaran Promosi Pihak Ketiga Pada MIS </t>
  </si>
  <si>
    <t>G220300111BGD - Pengembangan LTV Gadai</t>
  </si>
  <si>
    <t>Analisa Kepuasan Nasabah Digital</t>
  </si>
  <si>
    <t>Scoring Mikro pada Aplikasi PRIME</t>
  </si>
  <si>
    <t>G2207225INO - Pengembangan Validasi Pembentukan CIF Dari Pembukaan Tabungan Emas Channel Digital (Status Aktif - Non Aktif)</t>
  </si>
  <si>
    <t>Validasi CIF Pembukaan Rekening Tabungan Emas Channel</t>
  </si>
  <si>
    <t>G2207223AKT - Perubahan Menu Pembayaran ID Promosi &amp; Transaksi Pihak Ketiga</t>
  </si>
  <si>
    <t>G2206202BES - G-CANVAS Perubahan jumlah anggota pada produk mulia kolektif Konven &amp; Syariah</t>
  </si>
  <si>
    <t>Penambahan Layanan PLN &amp; Voucher Grab Driver pada Aplikasi Agen</t>
  </si>
  <si>
    <t xml:space="preserve">G2207222BES - Perubahan Logic Kode Order di Aplikasi Emas </t>
  </si>
  <si>
    <t>Fixing Logic Kode Order di Aplikasi Emas</t>
  </si>
  <si>
    <t xml:space="preserve"> Penyesuaian BJ Masif dan HPR Elektronik</t>
  </si>
  <si>
    <t>G2207220DMG - Migrasi Menu / Redesign MIS Tahap 3</t>
  </si>
  <si>
    <t>G2206218HBL - Pengembangan Aplikasi KAMILA Fase 1</t>
  </si>
  <si>
    <t>Perubahan Jurnal terima Angsuran, Pelunasan dan Penjualan Barang Jaminan Kreasi Multiguna Bermasalah</t>
  </si>
  <si>
    <t>Pengembangan Menu PI Individu pada Aplikasi New MIS</t>
  </si>
  <si>
    <t xml:space="preserve"> Penambahan Field Laporan Digital Lending pada MIS</t>
  </si>
  <si>
    <t>Fase 4 - Arrum ELOAN KUR (Pencairan Tunai)</t>
  </si>
  <si>
    <t>G2207228DMG - Remodelling Churn Analysis dengan K-Means</t>
  </si>
  <si>
    <t>G2209320DMG - Pembuatan Dashboard Monitoring dan Evaluation Efektivitas Use Case</t>
  </si>
  <si>
    <t>Penambahan Field LAPORAN KREDIT &amp; DATA TRANSAKSI DIGITAL LENDING pada MIS</t>
  </si>
  <si>
    <t>Perubahan Menu Pembayaran ID Promosi &amp; Transaksi Pihak Ketiga</t>
  </si>
  <si>
    <t xml:space="preserve">Report Pembayaran Promosi Pihak Ketiga Pada MIS </t>
  </si>
  <si>
    <t>Perbaikan Pembukuan Produk Kreasi Multiguna</t>
  </si>
  <si>
    <t>Pembuatan datamart dan endpoint untuk service cek history transaksi portofolio nasabah buat support SELENA</t>
  </si>
  <si>
    <t>Penambahan Sub Menu Proses AIRA (Pembatalan Rekon) Squad Channeling Business Partnership</t>
  </si>
  <si>
    <t>Pengembangan Kamila</t>
  </si>
  <si>
    <t>G2206207DJO - Pembuatan Chatbot Whatsapp pada Aplikasi Pevita Fase 1</t>
  </si>
  <si>
    <t>G220600200INO - Penambahan Kebijakan Privasi dan Cookies Disclaimer pada Portal Pengajuan Produk Pegadaian (P4)</t>
  </si>
  <si>
    <t>Migrasi Dashboard Microstrategy ke Data Studio</t>
  </si>
  <si>
    <t>Penambahan Kebijakan Privasi dan Cookies Disclaimer pada Aplikasi P4</t>
  </si>
  <si>
    <t>G220600198MKP - Improvement Sub Menu Laporan Mutasi OSL Pada Menu Performance Report di Aplikasi MIS</t>
  </si>
  <si>
    <t>G220500180INO - Electronic Customer Due Diligence (ECDD)</t>
  </si>
  <si>
    <t>G2206210RKA - Host to Host Klaim Produk Arrum Express Loan dengan PT Penjaminan Jamkrindo Syariah</t>
  </si>
  <si>
    <t>G220600196UUS - Pengembangan menu hot leads KUR di Aplikasi Selena</t>
  </si>
  <si>
    <t xml:space="preserve">G220600193BGD - Pembuatan Dashboard Monitoring dan Evaluasi Gramasi Emas Produk berbasis Gadai </t>
  </si>
  <si>
    <t>Pembayaran Biaya-Biaya Pencairan Kredit (hutang) PMP pada Aplikasi Passion</t>
  </si>
  <si>
    <t>G220600189MKP - Improvement Sub Menu OSL per Posisi dan OSL Rata-Rata pada Menu Performance Report</t>
  </si>
  <si>
    <t>E-CDD All Channel</t>
  </si>
  <si>
    <t>Pelaporan SLIK PT Pegadaian Tahap 2</t>
  </si>
  <si>
    <t>Integrated Use Case Monitoring &amp; Evaluation</t>
  </si>
  <si>
    <t>G220600185UUS - Fase 3 Arrum Express Loan Data Hot Leads Potensi KUR Super Mikro</t>
  </si>
  <si>
    <t>Pengembangan Layanan E-CDD All Channel</t>
  </si>
  <si>
    <t>G2209293RKA - Menu Ekstra Diskon Pelunasan Dipercepat Hapus Buku</t>
  </si>
  <si>
    <t>G220600191RKA - Write Off (Hapus Buku) Q2 2022 dan Penambahan Produk KCA Fleksi, Krasida, Kreasi Multiguna, dan RTT</t>
  </si>
  <si>
    <t>G2206204OHC - Project Implementasi People Analytic Fase 2</t>
  </si>
  <si>
    <t>G220600182COM - Pengembangan Notifikasi Perbaikan Data Nasabah Invalid di Aplikasi Passion Konven dan Syariah</t>
  </si>
  <si>
    <t>Fitur Pelunasan &amp; Fitur Penjualan Lelang Mikro untuk Produk Mulia Fitur Karyawan Internal Konvensional dan Syariah</t>
  </si>
  <si>
    <t>Fase 3 - Arrum Eloan KUR (Leads Pipeline)</t>
  </si>
  <si>
    <t>Pembuatan Dashboard Monitoring E-Form</t>
  </si>
  <si>
    <t>G220600181REN - Pembangunan Dashboard Kinerja Perusahaan Anak</t>
  </si>
  <si>
    <t>Write Off (Hapus Buku) Q2 2022 dan Penambahan Produk KCA Fleksi, Krasida, Kreasi Multiguna, dan RTT</t>
  </si>
  <si>
    <t>G220500179BGD - Pengembangan Produk GADAI EFEK pada Aplikasi PRIME LOS</t>
  </si>
  <si>
    <t>Squad Gadai;Squad LOS</t>
  </si>
  <si>
    <t>Penambahan Menu Download Inquiry Transaksi Non Tunai Integrasi Sistem Passion Dengan Electronic Data Capture (EDC) Himbara Terpusat/ Interface EDC di MIS</t>
  </si>
  <si>
    <t>G220500175MKP - Pengembangan Menu Monitoring KPI Unit Kerja Tahun 2022</t>
  </si>
  <si>
    <t>G220500176RKA - Ekstra Diskon MBDPP - Syariah</t>
  </si>
  <si>
    <t>G220500169MKP - Pengembangan Dashboard KPI Holding</t>
  </si>
  <si>
    <t xml:space="preserve">G220500171AKT - PSAK 73 Fase 3 : Pengembangan Fitur Aplikasi PSAK 73  </t>
  </si>
  <si>
    <t>G220500170AKT - PSAK 73 Fase 2 Pengembangan Modul Pembayaran Terintegrasi dengan SAP</t>
  </si>
  <si>
    <t>G220500165INO - Integrasi CRM dan BigData Kebutuhan Data Poin MVP2&amp;3</t>
  </si>
  <si>
    <t>Change Request Email Notifikasi Transaksi Gadai Efek</t>
  </si>
  <si>
    <t>G220500163AKT - Membangun Aplikasi berbasis web (INSPIRE) untuk penyusunan dan penyajian laporan keuangan secara digital</t>
  </si>
  <si>
    <t>G220400128BES - Pengembangan Senyum Mobile - Tabungan Emas Direct</t>
  </si>
  <si>
    <t>Squad IMO;Squad Mikro</t>
  </si>
  <si>
    <t>G220500159ETR - Penambahan Layanan Pendaftaran BPJS Ketenagakerjaan pada Aplikasi PASSION</t>
  </si>
  <si>
    <t>G2204135BES Diskon Pelunasan Dipercepat Produk Mulia Konven dan Syariah Program Promosi</t>
  </si>
  <si>
    <t>Pengembangan Fitur Face Recognition dan Super Admin pada P4D</t>
  </si>
  <si>
    <t>G220500162MKP - Project Pengembangan Use Case Dashboard Transaksi Anomali Fase 2</t>
  </si>
  <si>
    <t>G2205154UUS - Pengembangan Report Data Tagihan Subsidi Arrum Eloan KUR di MIS</t>
  </si>
  <si>
    <t>Squad Business Intelligence;Squad LOS</t>
  </si>
  <si>
    <t>G220400152INO - Pengembangan Notifikasi Update Status KYC Nasabah Tabungan Emas Tokopedia</t>
  </si>
  <si>
    <t>G220400138INO - Pengembangan Hiding Tabungan Emas 62 Channel Digital Pada Aplikasi Pegadaian Digital dan Outlet</t>
  </si>
  <si>
    <t>G220400151COM - Pengembangan Menu Data Nasabah Berisiko Tinggi pada MIS</t>
  </si>
  <si>
    <t xml:space="preserve">G220400148BES - Penambahan PPN LM pada Transaksi LM dan TE </t>
  </si>
  <si>
    <t xml:space="preserve">Penambahan PPN LM pada Transaksi LM dan TE di galeri 24 </t>
  </si>
  <si>
    <t>Aplikasi Loan Portfolio Guideline</t>
  </si>
  <si>
    <t xml:space="preserve"> Pengembangan Notifikasi Update Status KYC Nasabah Tabungan Emas Tokopedia Squad Channeling Business Partnership</t>
  </si>
  <si>
    <t xml:space="preserve"> Hiding Rekening Tabungan Emas Channel Pada Aplikasi PDS/Outlet Squad Channeling Business Partnership</t>
  </si>
  <si>
    <t>Update Scoring Produk KUR dan Non KUR pada Aplikasi Prime</t>
  </si>
  <si>
    <t>Pengembangan Pevita Chatbot Channel Whatsapp</t>
  </si>
  <si>
    <t>Pengembangan Notifikasi Update Status KYC Nasabah Tabungan Emas Tokopedia</t>
  </si>
  <si>
    <t xml:space="preserve"> Fase 2 - Arrum Eloan KUR (Penerimaan subsidi pada aplikasi Passion, update scoring API,  Report Data Tagihan Subsidi di MIS) </t>
  </si>
  <si>
    <t>G220400136DMG - Implementasi Data Quality pada Data Nasabah Pegadaian</t>
  </si>
  <si>
    <t>G220400117DJO - Pengembangan Dashboard Colocation</t>
  </si>
  <si>
    <t>Squad Big Data &amp; Analytics;Squad IMO</t>
  </si>
  <si>
    <t>G220400139ETR - Pembuatan Menu Monitoring Pembukaan Rekening Bank Raya pada PASSION</t>
  </si>
  <si>
    <t>Penguatan basis nasabah melalui optimalisasi pangsa pasar existing customer dan ekosistem kelembagaan</t>
  </si>
  <si>
    <t>Mengembangkan Aplikasi ME Virtual</t>
  </si>
  <si>
    <t>Mengembangkan Program Club Point Reward</t>
  </si>
  <si>
    <t>Analisis Kebiasaan Nasabah -  Customer Risk</t>
  </si>
  <si>
    <t>Akuisisi Data Untuk Kebutuhan Analisa Bisnis</t>
  </si>
  <si>
    <t>Card jatuh tempo</t>
  </si>
  <si>
    <t>Gcanvas Penambahan PIN pada Flow Update Limit dan Blokir Kartu Emas</t>
  </si>
  <si>
    <t xml:space="preserve">G2204133BMK - Penambahan C360 Information pada Aplikasi P4D </t>
  </si>
  <si>
    <t>Perbaikan Perhitungan Kewajiban Kredit WO dan Ekstra Diskon Pelunasan Dipercepat Hapus Buku</t>
  </si>
  <si>
    <t xml:space="preserve"> Pengembangan aplikasi PRIME utk penyaluran produk Kreasi all fitur : P4D to PRIME (Menyesuaikan aplikasi terkait perubahan organisasi mikro untuk mensupport integrasi CBM UBM ke cabang)</t>
  </si>
  <si>
    <t>Pengembangan Dashboard Kinerja Co-location</t>
  </si>
  <si>
    <t>Perbaikan Data Tabungan Emas Bank Sampah pada MIS</t>
  </si>
  <si>
    <t>G220400125ETR - Pembayaran Produk Pegadaian Melalui Bank BJB</t>
  </si>
  <si>
    <t>G220400130ETR - Peralihan Pulsa Telkomsel ke AD - Online pada PDS dan Agen</t>
  </si>
  <si>
    <t>Mengembangkan dashboard kinerja holding UMi</t>
  </si>
  <si>
    <t xml:space="preserve">Migrasi LOS Gadai Efek </t>
  </si>
  <si>
    <t>G220400124INO - Pengembangan API Alternative Scoring - Migrasi dari CDSW ke Microservice</t>
  </si>
  <si>
    <t>Improvement sub menu OSL per Posisi dan OSL Rata-Rata pada menu Performance Report</t>
  </si>
  <si>
    <t>*[DROP]* Improvement Sub Menu Laporan Mutasi OSL Pada Menu Performance Report di Aplikasi MIS</t>
  </si>
  <si>
    <t>Pegadaian CRM 2nd &amp; 3rd PI</t>
  </si>
  <si>
    <t>G2203101HBL - Improvement Menu TE Korporasi</t>
  </si>
  <si>
    <t>G220400120RKA - Ekstra Diskon PYDDPP/MBDPP Konvensional</t>
  </si>
  <si>
    <t>G2203083BMK - Pengembangan Alternative Credit Scoring Mikro</t>
  </si>
  <si>
    <t>G220600192RKA - Pengembangan Menu Inquiry Kredit WO untuk Produk Mikro</t>
  </si>
  <si>
    <t>Order Cetak TE di Distro G24</t>
  </si>
  <si>
    <t>Devi Irma Vianti</t>
  </si>
  <si>
    <t xml:space="preserve">Pemisahan MA Order Cetak Tabungan Emas </t>
  </si>
  <si>
    <t>Perubahan jumlah anggota pada produk mulia kolektif (Pengembangkan Fitur Mulia Komunitas)</t>
  </si>
  <si>
    <t>Pengembangan Tabungan Emas Rencana</t>
  </si>
  <si>
    <t>G220300112BGD - Pengembangan Aplikasi Mitra Gadai (Joint Financing Fase 2)</t>
  </si>
  <si>
    <t>G220300113DMG - Pelaporan Data SLIK ke OJK</t>
  </si>
  <si>
    <t>Pengembangan Modul Laporan Keuangan Parent Only</t>
  </si>
  <si>
    <t>Membangun Aplikasi berbasis web (INSPIRE) untuk penyusunan dan penyajian laporan keuangan secara digital</t>
  </si>
  <si>
    <t>Pengembangan Laporan Fiskal Perpajakan (2) - sudah ada, namun dengan source induk per konsol (bukan parent only)</t>
  </si>
  <si>
    <t>Mengembangkan Dashboard Pajak Fase II</t>
  </si>
  <si>
    <t>Skema Pengembangan Penyertaan Modal Pemda Setempat pada Pembiayaan UMi dan Penyaluran Subsidi Sewa Modal (SM) UMi Produk Non Gadai &amp; Fixing Cashback Kreasi Ultra Mikro (Subsidi Non Gadai)</t>
  </si>
  <si>
    <t>G220300106PMI - Pengembangan Website Sahabat Emas</t>
  </si>
  <si>
    <t>G220300105ETR -  Perubahan Nilai PPN pada Produk MPO dan Collection</t>
  </si>
  <si>
    <t>Pengembangan Menu Use case KPI Tahun 2022</t>
  </si>
  <si>
    <t xml:space="preserve">Perubahan PPN dari 10% menjadi 11% sesuai dengan aturan Regulator </t>
  </si>
  <si>
    <t>Pelunasan Dipercepat Kreasi Internal</t>
  </si>
  <si>
    <t>Pengembangan Menu Pelunasan Ekstra Diskon PYDDPP/MBDPP</t>
  </si>
  <si>
    <t>Pengembangan Menu Monitoring KPI Unit Kerja Tahun 2022</t>
  </si>
  <si>
    <t>Penambahan Sub Menu Rekapitulasi Transaksi Open Loop TE di MIS</t>
  </si>
  <si>
    <t>Squad Business Intelligence;Squad Channeling Business Partnership</t>
  </si>
  <si>
    <t>G220300107PMI - Program April Emas Tahun 2022</t>
  </si>
  <si>
    <t>G2201102BGD - Diskon Lelang Barang Jaminan Masif</t>
  </si>
  <si>
    <t>G220300104DMG - Remodelling Cross Selling CRM</t>
  </si>
  <si>
    <t>Pengembangan Co-location KC-Unit Extention dan Gadai On Demand pada Senyum Mobile</t>
  </si>
  <si>
    <t>Perubahan Sistem Untuk Mitra Gadai  (Join Financing Fase II)</t>
  </si>
  <si>
    <t>Program April Emas Tahun 2022</t>
  </si>
  <si>
    <t>Pengembangan API Alternative Scoring</t>
  </si>
  <si>
    <t>Pembuatan UI C360 Information pada aplikasi P4D</t>
  </si>
  <si>
    <t>Customer Scoring Gadai Holding</t>
  </si>
  <si>
    <t>Penambahan PIN pada Flow Update Limit dan Blokir Kartu Emas</t>
  </si>
  <si>
    <t>Pembangunan Dashboard Kinerja Perusahaan Anak</t>
  </si>
  <si>
    <t>Workload Modelling</t>
  </si>
  <si>
    <t xml:space="preserve">Diskon Lelang BJ Elektronik </t>
  </si>
  <si>
    <t>Gadai Prima (Penyesuaian Gadai Prima)</t>
  </si>
  <si>
    <t>Microsite &amp; Lending Page Gadai Efek (Penambahan Channel Gadai Efek melalui Microsite)</t>
  </si>
  <si>
    <t>Penambahan Menu Fasilitas Co-Location pada Menu Passion (Tarif SM Co-Location )</t>
  </si>
  <si>
    <t>Squad Gadai;Squad IMO</t>
  </si>
  <si>
    <t xml:space="preserve"> KCA, KRASIDA, Gadai efek bermasalah </t>
  </si>
  <si>
    <t>Optimalisasi Penerimaan Jam Tangan Mewah dan Tas Mewah Serta Penyesuaian Standar Taksiran Permata (STP)</t>
  </si>
  <si>
    <t>G2201096DMG - Pengadaan Cloud Platform untuk kebutuhan pemrosesan, menampilkan dan analisa data</t>
  </si>
  <si>
    <t>G2201097MKP - Pengembangan Menu Profitabilitas di MIS</t>
  </si>
  <si>
    <t>Squad Business Intelligence;Squad ERP</t>
  </si>
  <si>
    <t>Pembuatan Menu, Notifikasi dan Dashboard Pengkinian Data Nasabah</t>
  </si>
  <si>
    <t>PROFILING NASABAH pada MENU REMITANSI</t>
  </si>
  <si>
    <t>Layanan Remittance Ria Money Transfer</t>
  </si>
  <si>
    <t>penambahan provider dan mitra keagenan (TPT)  - Tsuraya Digital Indonesia</t>
  </si>
  <si>
    <t>Implementasi Pengiriman Uang Remitansi WU via Pegadaian Digital Services (PDS)</t>
  </si>
  <si>
    <t>Pembayaran Produk Pegadaian melalui Aplikasi Blibli</t>
  </si>
  <si>
    <t>Pembayaran Produk Tabungan Emas melalui  Channel Alfamidi</t>
  </si>
  <si>
    <t>Layanan Pembukaan Rekening Simpedes (BRI)</t>
  </si>
  <si>
    <t xml:space="preserve">Peralihan Pulsa Telkomsel ke AD-Online Pada PDS &amp; Agen </t>
  </si>
  <si>
    <t>Peralihan Pulsa Telkomsel ke AD-Online Pada Passion</t>
  </si>
  <si>
    <t>Layanan Penambahan Pulsa  XL denom kecil 5K dan 10K dan Indosat via Aggregator Kudo</t>
  </si>
  <si>
    <t>Penambahan Layanan Pembayaran Tagihan BPJS Ketenagakerjaan Melalui Channel Pegadaian via Aggregator Finnet</t>
  </si>
  <si>
    <t>Pembayaran Produk Pegadaian melalui Bank Jawa Barat</t>
  </si>
  <si>
    <t>Penambahan Channel Pembayaran Virtual Account Bank Syariah Indonesia (BSI)  pada  Aplikasi Pegadaian Syariah Digital Service</t>
  </si>
  <si>
    <t xml:space="preserve">G2201095BGD - Gadai Peduli 6.0 Pada Barang Jaminan Masif </t>
  </si>
  <si>
    <t xml:space="preserve">Gadai Peduli 6.0 </t>
  </si>
  <si>
    <t>Remodelling Credit  Scoring Produk Mikro  Syariah (Arrum E-Loan  KUR)</t>
  </si>
  <si>
    <t>Pengembangan Website : Produk PMP</t>
  </si>
  <si>
    <t>Pengembangan LOS Prime : Produk PMK</t>
  </si>
  <si>
    <t>Pengembangan MIS : Produk PMK</t>
  </si>
  <si>
    <t>Pengembangan Skema Pembayaran di PASSION : Produk PMK</t>
  </si>
  <si>
    <t>Perluasan Partner ke DigiAsia</t>
  </si>
  <si>
    <t>Perluasan Partner ke Modalku/Koinworks</t>
  </si>
  <si>
    <t>Perluasan Barang Jaminan Pre-Invoice melalui Platform PaDi</t>
  </si>
  <si>
    <t>Pelaporan Data ke SLIK OJK</t>
  </si>
  <si>
    <t>Perluasan Barang Jaminan Pre-Invoice melalui Platform Pegadaian--Produk PMP</t>
  </si>
  <si>
    <t>G2201094SPI - Integrasi Data Dashboard Micro Risk Analysis</t>
  </si>
  <si>
    <t>G220300108BGD - Direct Sales Gadai KCA untuk Outlet Colocation dan Non Colocation</t>
  </si>
  <si>
    <t>Remodeling Cross Selling dan Refinement Churn Analysis</t>
  </si>
  <si>
    <t>G2203087HBL - Pembuatan CIF Badan Usaha pada Aplikasi Selena CST</t>
  </si>
  <si>
    <t>Pengembangan Diskon Pelunasan Dipercepat Produk MULIA Konvensional dan Syariah untuk Program Promosi</t>
  </si>
  <si>
    <t>G2203089PMI - Pengiriman Data Nasabah Aktif dan Reporting Kebutuhan CGC (Sahabat Emas)</t>
  </si>
  <si>
    <t>G2203086DGL - Penambahan Filter Laporan Kredit &amp; Data Digital Lending di Aplikasi MIS</t>
  </si>
  <si>
    <t>Penambahan Filter Laporan Kredit &amp; Data Digital Lending di Aplikasi MIS</t>
  </si>
  <si>
    <t>G2203084UUS - Pengembangan Alternative Credit Scoring Syariah</t>
  </si>
  <si>
    <t xml:space="preserve">G2203085MRK - Pembuatan Aplikasi Fraud Detection System (FDS) </t>
  </si>
  <si>
    <t>G2203082BMK - Customer Risk Screening</t>
  </si>
  <si>
    <t>Squad IMO;Squad LOS</t>
  </si>
  <si>
    <t>G2203080ETR - Layanan Pembukaan Rekening Bank Raya Melalui Pegadaian</t>
  </si>
  <si>
    <t>Pembuatan Dashboard Monitoring dan Evaluasi Gramasi Emas Produk berbasis Gadai</t>
  </si>
  <si>
    <t>Menu Manajemen Risiko</t>
  </si>
  <si>
    <t>G2203077BGD - Penyesuaian Barang Jaminan Masif Dengan HPR Elektronik</t>
  </si>
  <si>
    <t>G2202053PMI - Pengembangan EGC 2022</t>
  </si>
  <si>
    <t>G2203078UUS - Fase 1 Pengembangan Produk ARRUM E-LOAN KUR pada Aplikasi PRIME LOS</t>
  </si>
  <si>
    <t>Implementasi Data Quality pada Data Nasabah Pegadaian</t>
  </si>
  <si>
    <t>IMO: Mengembangkan Aplikasi Senyum Mobile Fase 2 (Sales Tools)</t>
  </si>
  <si>
    <t>G2202072SPI - Pengembangan Menu Laporan Kinerja Fase II Pada Aplikasi IAIS</t>
  </si>
  <si>
    <t>anggit.nugraha</t>
  </si>
  <si>
    <t>Layanan Pembukaan Rekening Tabungan Bank RAYA (BRI Agro)</t>
  </si>
  <si>
    <t>G2202074INO - Penambahan Channel OCBC Pada Aplikasi Rekonsiliasi AIRA (Anak Induk Reconcile Application)</t>
  </si>
  <si>
    <t>Blockchain Fase Pendampingan Migrasi pada Management Information System (MIS)</t>
  </si>
  <si>
    <t>G2202063BES - Penyesuaian Akad Perjanjian KCA Tabungan Emas</t>
  </si>
  <si>
    <t>Penambahan Fitur Levelling Pada Aplikasi Agen Pegadaian Syariah</t>
  </si>
  <si>
    <t>G2202067RKA - Penambahan Menu Monitoring Data FID dan SID pada MIS</t>
  </si>
  <si>
    <t xml:space="preserve"> G2202066INO - Penambahan Parameter OCBC Untuk Layanan Tabungan Emas Channel </t>
  </si>
  <si>
    <t>G2202065RKA - Penambahan Kolom Saldo List Mikro Lengkap pada Menu Kelompok Kerja RKA di MIS</t>
  </si>
  <si>
    <t>G2202057BES - Pengembangan Aplikasi Persediaan Gold Stock Apps (SOPIA)</t>
  </si>
  <si>
    <t>Layanan Channeling Tabungan Emas OCBC NISP</t>
  </si>
  <si>
    <t>Penambahan Channel OCBC NISP pada Rekonsiliasi AIRA</t>
  </si>
  <si>
    <t>Alternative Credit Scoring Produk Non Gadai</t>
  </si>
  <si>
    <t>Pembuatan Aplikasi Fraud Detection System (FDS)</t>
  </si>
  <si>
    <t>G2202056SPI - Pengembangan Menu Inputan Audit Eksternal &amp; Tindak Lanjut Audit Eksternal</t>
  </si>
  <si>
    <t>Integrasi Data CRM pada P4</t>
  </si>
  <si>
    <t>Improvement Flow Pengajuan Tabungan Emas  Korporasi</t>
  </si>
  <si>
    <t>Menyediakan source data report kinerja Channel Penjualan Outlet dan Non Outlet (Selena CST Fase 3.1)</t>
  </si>
  <si>
    <t>G2202061ETR- Pembebanan Biaya Administrasi Transaksi Tunai pada Aplikasi Passion Konvensional &amp; Syariah</t>
  </si>
  <si>
    <t>Fase 1 - Pengembangan Produk Arrum Ekspress Loan Kredit Usaha Rakyat</t>
  </si>
  <si>
    <t>Penggunaan Customer Rating untuk Konversi BJDPL KCA Menjadi Krasida</t>
  </si>
  <si>
    <t>Pembuatan Menu Monitoring Data FID dan SID pada MIS</t>
  </si>
  <si>
    <t>Pembebanan Biaya Administrasi Transaksi Tunai pada Aplikasi Passion Konvensional &amp; Syariah</t>
  </si>
  <si>
    <t>Customer Risk Screening (bagian dari alternatif lternative Credit Scoring)</t>
  </si>
  <si>
    <t>G2202060SHC - Pengembangan Menu PI Individu Tenaga Khusus Operasional Bisnis (TKOB) di MIS</t>
  </si>
  <si>
    <t>Pengembangan Menu PI Individu TKOB di Aplikasi MIS</t>
  </si>
  <si>
    <t>Pengembangan Aplikasi IAIS tahap II</t>
  </si>
  <si>
    <t>Migrasi Menu / Redesign MIS Tahap 3</t>
  </si>
  <si>
    <t>Pengembangan Skema Open Loop Transaksi Tabungan Emas Channel Digital</t>
  </si>
  <si>
    <t>G2202051PMI - Penyesuaian pada Script Data Kiriman MIS untuk EGC 2022</t>
  </si>
  <si>
    <t>G2202048REN - Flagging File Interface ID Promosi</t>
  </si>
  <si>
    <t>Pengembangan WhatsApp Business Application Program Interface (WA Business API)</t>
  </si>
  <si>
    <t>Penambahan Kolom Saldo List Mikro Lengkap Pada Menu Kelompok Kerja RKA di MIS</t>
  </si>
  <si>
    <t>Flagging File Interface ID Promosi</t>
  </si>
  <si>
    <t>G2202045SPI - Penyempurnaan Fitur Realisasi Kegiatan PKPB KAI Pada Aplikasi IAIS</t>
  </si>
  <si>
    <t>G2201044BGD - Pengembangan Jurnal Akrual Produk Mitra Gadai Pada Aplikasi Passion</t>
  </si>
  <si>
    <t>Program Employee Get Customers Tahun 2022</t>
  </si>
  <si>
    <t>Skema Pengembangan Penyertaan Modal Pemda Setempat pada Pembiayaan UMi dan Penyaluran Subsidi Sewa Modal (SM) UMi Produk Gadai</t>
  </si>
  <si>
    <t>G2201043RKA - Proses Klaim untuk Kredit yang Sudah Melewati masa SLA EWS</t>
  </si>
  <si>
    <t>Pengembangan Menu Profitabilitas di MIS</t>
  </si>
  <si>
    <t>Penyesuaian Akad Perjanjian KCA Tabungan Emas</t>
  </si>
  <si>
    <t>Implementasi Pre-Invoice Financing Pada Website Digital Lending</t>
  </si>
  <si>
    <t>Pengembangan Fitur Monitoring Web Admin Gadai Express</t>
  </si>
  <si>
    <t>Kode Promo Pembayaran Gadai dan Pembayaran Angsuran</t>
  </si>
  <si>
    <t>Muhamad Taufiq Firmansyah</t>
  </si>
  <si>
    <t>Penyempurnaan Fitur Realisasi Kegiatan PKPB KAI pada Aplikasi IAIS</t>
  </si>
  <si>
    <t>G2201039BMK - Integrasi Data Customer Aplikasi P4D-CRM</t>
  </si>
  <si>
    <t>G2201012DGL Pengembangan Produk Pinjaman Modal Produktif (PMP) pada Aplikasi PRIME LOS</t>
  </si>
  <si>
    <t>Squad Digital Lending;Squad LOS</t>
  </si>
  <si>
    <t>G2201025SPI - Pengembangan Inputan pada Kegiatan Lainnya dan Penambahan Menu Laporan Kegiatan pada IAIS</t>
  </si>
  <si>
    <t>Penyesuaian Parameter Tabungan Emas Tambahan (QQ)</t>
  </si>
  <si>
    <t>G2201036BGD - Register Unit Kirim Pada Menu Dropping Pooling PASSION Kasir Gadai Efek</t>
  </si>
  <si>
    <t>G2201037DMG - Improvement Dashboard Kinerja Utama</t>
  </si>
  <si>
    <t>Mengembangkan mekanisme pengajuan klaim dengan memperhatikan SLA pengajuan klaim</t>
  </si>
  <si>
    <t>Penyesuaian Jurnal Push Pelunasan Produk Pegadaian Gadai Efek</t>
  </si>
  <si>
    <t>Pengembangan Aplikasi Persediaan Gold Stock Apps (SOPIA)</t>
  </si>
  <si>
    <t>Fitur Set Up &amp; Self Mapping Unit Kerja pada Aplikasi Passion</t>
  </si>
  <si>
    <t>Pengembangan Produk Pinjaman Modal Produktif (Pre-Invoice Financing) Pada Aplikasi LOS Prime</t>
  </si>
  <si>
    <t>G2201018MKP - Penyesuaian (Penambahan Komponen) Menu KPI Unit Kerja Kantor Wilayah, Area, Cabang, Outlet, CBM dan UBM Tahun 2021</t>
  </si>
  <si>
    <t>G22XXXXXDGL Implementasi Pre-Invoice Financing pada LOS P4D Digital Lending</t>
  </si>
  <si>
    <t>Implementasi Pre-Invoice Financing pada LOS P4D Digital Lending</t>
  </si>
  <si>
    <t>Penyesuaian (Penambahan Komponen) Menu KPI Unit Kerja Kantor Wilayah, Area, Cabang, Outlet, CBM dan UBM Tahun 2021</t>
  </si>
  <si>
    <t>G2201007BES - Pembiayaan Mulia Ultimate Pegawai Internal Konvensional &amp; Syariah</t>
  </si>
  <si>
    <t>Putri Armadiyanti</t>
  </si>
  <si>
    <t>Pembiayaan Mulia Ultimate Pegawai Internal Konvensional &amp; Syariah</t>
  </si>
  <si>
    <t>G2112510BMK- Otorisasi Pinca pada Pengajuan di LOS</t>
  </si>
  <si>
    <t>G2110468RKA - Penyesuaian Menu Ekstrakomptabel Mikro untuk Kredit Setelah terima Klaim dan penjualan Barang Jaminan Fase 1</t>
  </si>
  <si>
    <t>G2107278BMK - Perubahan Parameter Kreasi Ultra Mikro</t>
  </si>
  <si>
    <t>Perubahan Parameter Kreasi Ultra Mikro</t>
  </si>
  <si>
    <t>Penyesuaian Menu Ekstrakomptabel Mikro untuk Kredit Setelah terima Klaim dan penjualan Barang Jaminan Fase 1</t>
  </si>
  <si>
    <t>Otorisasi Pinca pada Pengajuan di LOS</t>
  </si>
  <si>
    <t>G2201005BGD - Barang Jaminan Elektronik Secara Masif</t>
  </si>
  <si>
    <t>Barang Jaminan Non Kantong Masif (Gadai Elekronik)</t>
  </si>
  <si>
    <t>G2201034OHC - Project Implementasi People Analytic</t>
  </si>
  <si>
    <t>Integrasi Data CRM (data pengajuan nasabah, survei, dan pencairan)</t>
  </si>
  <si>
    <t xml:space="preserve"> Pengembangan Jurnal Akrual Produk Mitra Gadai Pada Aplikasi Passion (pengembangan mitra gadai fase 1)</t>
  </si>
  <si>
    <t>Pengembangan Notifikasi Nasabah Resiko Tinggi</t>
  </si>
  <si>
    <t>Penyesuaian update limit kartu emas</t>
  </si>
  <si>
    <t>G2201027BGD - Penambahan Cetak Ulang Dokumen dan Menu Inquiry Titipan Emas Fisik</t>
  </si>
  <si>
    <t>Mengembangkan dashboard monitoring Tindak Lanjut Eksternal</t>
  </si>
  <si>
    <t>Mengembangkan dashboard micro risk analysis untuk penyusunan PKPB</t>
  </si>
  <si>
    <t>Pembuatan Aplikasi Pegadaian Risk of AML/CFT Intelligence (PERISAI)</t>
  </si>
  <si>
    <t>Pembuatan aplikasi PSAK 73</t>
  </si>
  <si>
    <t>Program Referal baik dari Customer, Event, Partnership &amp; Campaign (Sahabat Emas)</t>
  </si>
  <si>
    <t>G2202046TRE - Menu Laporan Rata-rata Kas dan Bank Bulanan Pada Aplikasi SAP dan MIS</t>
  </si>
  <si>
    <t>Pengembangan PASSION Kasir Unit Gadai Efek (Register Unit Kirim pada Menu Dropping Pooling)</t>
  </si>
  <si>
    <t>Penambahan Cetak Dokumen Pengajuan dan Menu Detail Titipan Emas Fisik dan Gadai Titipan Emas Fisik</t>
  </si>
  <si>
    <t>G230500188DJO - Penambahan Flagging Agen Desa</t>
  </si>
  <si>
    <t>G230500171INO - Pengembangan Hiding Tabungan Emas 62 Channel Digital Pada Aplikasi Agen Pegadaian</t>
  </si>
  <si>
    <t>G230400138REN - Pengembangan Service Taksasi Direct Sales Gadai Senyum Mobile</t>
  </si>
  <si>
    <t>Rengembangan RPA Laba Rugi Kanwil Medan</t>
  </si>
  <si>
    <t>Aulia Fizkia Putri</t>
  </si>
  <si>
    <t>G230400155SPI - Pengembangan Modul Administrasi Sub Modul Anggaran pada Aplikasi IAIS</t>
  </si>
  <si>
    <t>Pengembangan API PADI UMKM</t>
  </si>
  <si>
    <t>Penambahan Fitur Audit Internal pada Aplikasi P4D</t>
  </si>
  <si>
    <t>G230300121INO  -  Pengembangan Tabungan Emas One Klik Pada Aplikasi WhatsApp</t>
  </si>
  <si>
    <t xml:space="preserve">Optimalisasi Modul Learning Wallet Aplikasi Ileads </t>
  </si>
  <si>
    <t>G23030099COR - G Canvas Optimalisasi Perbaikan ileads - Sprint 2</t>
  </si>
  <si>
    <t>G23020072BES - Penambahan OTP Transaksi Buyback dan Transfer Pada Cabang Pembuka</t>
  </si>
  <si>
    <t>G23010038DGL - Fitur Blokir dan Release Tabungan Emas sebagai Barang Jaminan untuk produk PMP Pre Invoice</t>
  </si>
  <si>
    <t>Pengembangan Continuous Performance Management (CPM) pada Aplikasi HCMS Tahun 2023</t>
  </si>
  <si>
    <t>G23010018DGL - Penerapan SNAP BI - BCA untuk Inquiry Bills</t>
  </si>
  <si>
    <t>Squad Digital Lending;Squad Feebased</t>
  </si>
  <si>
    <t>G2211390DGL- Fitur Push Transaksi Pembayaran VA (Escrow) Produk PMP dengan Kondisi EOD</t>
  </si>
  <si>
    <t>Pengembangan Google Analytic Pada Portal Pengajuan Produk Pegadaian</t>
  </si>
  <si>
    <t>Sari Nur Sabari</t>
  </si>
  <si>
    <t>G2201016INO - Pengembangan Google Analytic Pada Portal Pengajuan Produk Pegadaian</t>
  </si>
  <si>
    <t>G2210368DGL - Internal checking data dari Dukcapil</t>
  </si>
  <si>
    <t>G2210355DGL - Report MIS (Penyesuaian kode Outlet ME)</t>
  </si>
  <si>
    <t>[SIMULASI] G2209XXXDGL - Penambahan Field Nomor Virtual Account di PASSION</t>
  </si>
  <si>
    <t>G2209331INO - Integrasi Customer Consent pada Portal Pengajuan Produk Pegadaian (P4)</t>
  </si>
  <si>
    <t>G2209325INO - Penyesuaian Modul Pengantaran BJL Pada Web Pegadaian Digital (Super Admin)</t>
  </si>
  <si>
    <t>G2209327BES - Penambahan Menu Approval Mutasi Emas dan Validasi Mutasi di Aplikasi Emas</t>
  </si>
  <si>
    <t>G2209304ETR - Pembuatan Toogle pada Produk MPO Postpaid &amp; Prepaid di PDS super Admin</t>
  </si>
  <si>
    <t>G2209298SPI - Pengembangan Modul Administrasi Sub Modul Logistik Pada Aplikasi IAIS</t>
  </si>
  <si>
    <t>G2206206SPI - G-CANVAS Pengembangan Fitur Pendistribusian LHA dan Daftar Temuan</t>
  </si>
  <si>
    <t>G2207231TRE - Penambahan Menu Download Transaksi Interface EDC di MIS</t>
  </si>
  <si>
    <t>G220500178ETR - Penambahan Layanan Pembayaran PLN (Via Jatel) dan Voucher Grab pada Aplikasi Agen</t>
  </si>
  <si>
    <t>Squad Feebased;Squad Kelembagaan</t>
  </si>
  <si>
    <t>G2206205INO -  Penambahan Sub Menu Proses Pembatalan Pada Aplikasi AIRA</t>
  </si>
  <si>
    <t>G220600195DGL- Menu Pembayaran Biaya Kredit (Biaya Fidusia, Notaris dan Asuransi) untuk Produk Pinjaman Modal Produktif pada Aplikasi Passion</t>
  </si>
  <si>
    <t>G220600183SPI - Pengembangan Modul Pustaka Audit Pada Aplikasi IAIS</t>
  </si>
  <si>
    <t>G220600197BGD - Change Request Email Notifikasi Transaksi Gadai Efek</t>
  </si>
  <si>
    <t>G2205158BMK - Penambahan Menu Pengajuan Face Recognition &amp; Role User Super Admin</t>
  </si>
  <si>
    <t>G220500161SPI - Pengembangan User Management &amp; Master Unit Kerja Pada Aplikasi IAIS</t>
  </si>
  <si>
    <t>G2204143UUS - Fase 2 Pengembangan Menu Pengajuan Penerimaan Subsidi Arrum Eloan KUR</t>
  </si>
  <si>
    <t>G2204116BMK - Skema dan Pola Perhitungan Pelunasan dipercepat Kreasi Internal (Reguler &amp; Multiguna)</t>
  </si>
  <si>
    <t>G220400114SPI - Pengembangan Fitur Notifikasi Pada Aplikasi IAIS</t>
  </si>
  <si>
    <t>G220300110INO - Sub Menu Rekapitulasi Open Loop Tabungan Emas Channel Digital Pada Aplikasi MIS</t>
  </si>
  <si>
    <t>G2202073BMK - Penambahan Sub Menu Potensi Top Up dan Jenis Nasabah Produk Internal pada MIS</t>
  </si>
  <si>
    <t>Squad Business Intelligence;Squad Mikro</t>
  </si>
  <si>
    <t>G2112526BES - Pengembangan Aplikasi Gold Saving Berbasis Teknologi RF ID : Stok, Traceability, Protection Product (LM – Emas)</t>
  </si>
  <si>
    <t>Pengembangan Aplikasi Gold Saving Berbasis Tehnologi RF ID : Stok, Traceability, Protection Product (LM – Emas)</t>
  </si>
  <si>
    <t>G2201042INO - Pengembangan Fitur Monitoring Super Web Admin Gadai Express</t>
  </si>
  <si>
    <t>G2202052BMK - Penyertaan Modal Pemda Setempat pada Pembiayaan UMi &amp; Penyaluran Subsidi Sewa Modal UMi Produk Gadai</t>
  </si>
  <si>
    <t>G2202047DGL - Implementasi Fitur Pre-Invoice Financing pada Website Digital Lending (Revamp)</t>
  </si>
  <si>
    <t>G2201004INO - Penambahan Channel Keagenan Uang Kita Pada Aplikasi Rekonsiliasi AIRA (Anak Induk Reconcile Application)</t>
  </si>
  <si>
    <t>Penambahan Channel Keagenan Uang Kita Pada Aplikasi Rekonsiliasi AIRA (Anak Induk Reconcile Application)</t>
  </si>
  <si>
    <t xml:space="preserve">G2201003INO - Penambahan Layanan Asuransi Cermati Pada Gadai Express </t>
  </si>
  <si>
    <t xml:space="preserve">Penambahan Layanan Asuransi Cermati Pada Gadai Express </t>
  </si>
  <si>
    <t xml:space="preserve"> G2109396INO - Pengembangan Alternate Scoring Pada Portal Pengajuan Produk Pegadaian (P4)</t>
  </si>
  <si>
    <t>Pengembangan Alternate Scoring Pada Portal Pengajuan Produk Pegadaian (P4)</t>
  </si>
  <si>
    <t>Pengembangan Sharing &amp; Navigasi Data KYC Channel Bareksa Pada Aplikasi CMS P4</t>
  </si>
  <si>
    <t>G2201026SPI - Membentuk Resident Auditor di Kantor Cabang (adanya penyesuaian pada sistem IAIS)</t>
  </si>
  <si>
    <t>Implementasi Pre-Invoice Financing pada Website Digital Lending (PMP)</t>
  </si>
  <si>
    <t>Penambahan Kolom Realisasi pada Domain Data Akun Premium dan Pencapaian User Pegadaian Digital</t>
  </si>
  <si>
    <t>Validasi Pengajuan Restrukturisasi Khusus</t>
  </si>
  <si>
    <t xml:space="preserve"> Penyesuaian Foto BJ Gadai Express PDS</t>
  </si>
  <si>
    <t xml:space="preserve">G230500184PMI - Enhancement PDS - Auto Slide Banner </t>
  </si>
  <si>
    <t>Auto Slide Banner</t>
  </si>
  <si>
    <t>G230500185PMI - Poin Diskon Pembayaran PDS</t>
  </si>
  <si>
    <t>Poin menjadi Diskon (Fase III)</t>
  </si>
  <si>
    <t>G23XXXXXTRE - Perbaikan Menu Pelunasan Tarif Khusus pada Aplikasi Passion</t>
  </si>
  <si>
    <t>Penambahan Kerjasama Pembayaran Produk Pegadaian melalui Aplikasi Telin</t>
  </si>
  <si>
    <t xml:space="preserve"> G-Law Litigation Analytic System</t>
  </si>
  <si>
    <t>Penyesuaian Menu KPI Holding</t>
  </si>
  <si>
    <t>G230300122PEN - Pengembangan CMS GReward</t>
  </si>
  <si>
    <t>Menu Pelunasan PMK</t>
  </si>
  <si>
    <t>Menu Inquiry Kredit Website CMS PMK</t>
  </si>
  <si>
    <t>Menu Pembayaran Bunga PMK Emas</t>
  </si>
  <si>
    <t>Penyesuaian Agen Badan Usaha</t>
  </si>
  <si>
    <t>Perbaikan Tab Download pada Menu Verifikasi, Input AP dan Menu Laporan Monitoring Pada Aplikasi E-Trust</t>
  </si>
  <si>
    <t>Pengembangan Checking TPPU - TPPT pada Aplikasi P4D</t>
  </si>
  <si>
    <t>Pengembangan Dashboard Data Quality</t>
  </si>
  <si>
    <t>Penambahan Informasi Report Pembayaran Promosi Pihak Ketiga pada MIS</t>
  </si>
  <si>
    <t>Aplikasi Arsip Digital</t>
  </si>
  <si>
    <t>Implementasi dan Pengembangan System E-Procurement PT Pegadaian Tahun 2023</t>
  </si>
  <si>
    <t>Pengembangan Robotic Process Automation Monitoring Laba-Rugi Outlet</t>
  </si>
  <si>
    <t xml:space="preserve">Pengembangan Unique Link PDS Lite </t>
  </si>
  <si>
    <t>Early Warning System Pengajuan Klaim Produk Syariah PT Pegadaian</t>
  </si>
  <si>
    <t>Perubahan Parameter Pilihan Produk Kreasi</t>
  </si>
  <si>
    <t>Perbaikan Tab Download pada Menu Verifikasi, Input AP dan Laporan Monitoring pada Aplikasi e-Trust</t>
  </si>
  <si>
    <t xml:space="preserve"> Perbaikan menu pelunasan EDC secara Host To Host konvensional dan syariah di Passion untuk pelunasan tarif khusus</t>
  </si>
  <si>
    <t xml:space="preserve">Program Agen Desa 50K dan Peningkatan Agen Aktif penambahan developer core </t>
  </si>
  <si>
    <t>Employee/Outsourcing Get Customers 2023</t>
  </si>
  <si>
    <t>G230400156DGL - Pengiriman data Kredit Produk PMP ke Pefindo Biro Kredit</t>
  </si>
  <si>
    <t>G230400152BGD - Validasi Pelunasan GTEF Pada Menu Pelunasan KCA</t>
  </si>
  <si>
    <t>Menu Recovery Ekstrakomptabel Fase 4</t>
  </si>
  <si>
    <t>G230400146BGD -  Perubahan Redaksi Perjanjian Kredit Krasida Pada Aplikasi Passion Konvensional</t>
  </si>
  <si>
    <t>Penyesuaian Fitur OTP pada pada Aplikasi PASSION (CR)</t>
  </si>
  <si>
    <t xml:space="preserve">Regulasi KCA Bermasalah </t>
  </si>
  <si>
    <t>Pengembangan Endpoint Taksasi Direct Sales Gadai Senyum Mobile</t>
  </si>
  <si>
    <t>Kamila 3.0 [B2B Acq: KPI &amp; Insentif]</t>
  </si>
  <si>
    <t>Pengembangan customer consent Aplikasi PASSION</t>
  </si>
  <si>
    <t>Review dan Remodelling Aplikasi PSAK 71</t>
  </si>
  <si>
    <t>Validasi Pelunasan GTEF pada Menu Pelunasan KCA Eksisting (CR)</t>
  </si>
  <si>
    <t>Redaksi Perjanjian Kredit KRASIDA (CR)</t>
  </si>
  <si>
    <t xml:space="preserve">Penguatan Implementasi Waskat - Aplikasi GIS </t>
  </si>
  <si>
    <t>Top Up dan Repeat Order pada aplikasi PRIME</t>
  </si>
  <si>
    <t>Perbaikan API PADI UMKM (Perubahan Endpoint dan Messaging)</t>
  </si>
  <si>
    <t>CR Diskon Lelang Non Kantong</t>
  </si>
  <si>
    <t>Pembuatan Menu Loan Portfolio Guideline (LPG)</t>
  </si>
  <si>
    <t>Squad Big Data &amp; Analytics;Squad RKA</t>
  </si>
  <si>
    <t>Penyesuaian P4 dengan SOTK Baru dan Integrasi pada PRIME</t>
  </si>
  <si>
    <t>G230400131PMI - Penambahan Produk pada Fitur Card Jatuh Tempo PDS</t>
  </si>
  <si>
    <t>Pengembangan Booking Gadai Syariah via SenyuM Mobile</t>
  </si>
  <si>
    <t>Datamarts Penunjang Monitoring KPI Unit Co-location Tahun 2023</t>
  </si>
  <si>
    <t>Enhancement NIK pada Booking Gadai via SenyuM Mobile</t>
  </si>
  <si>
    <t>Pengembangan Referral Cicil Emas pada SenyuM Mobile</t>
  </si>
  <si>
    <t>E-FDN (Digitalisasi Formulir Data Nasabah)</t>
  </si>
  <si>
    <t xml:space="preserve">Penambahan Fitur Aplikasi PPMDKS
</t>
  </si>
  <si>
    <t>Pengembangan Direct Open Cicil Emas pada SenyuM Mobile Self Service</t>
  </si>
  <si>
    <t>Pengembangan Reporting Colocation Model Layanan KC Unit Extension dan Gadai On Demand pada Aplikasi Passion dan MIS</t>
  </si>
  <si>
    <t>Agen Pegadaian KC Unit Extension</t>
  </si>
  <si>
    <t>Penambahan Laporan Kredit Badan Usaha Produk PMP ke Pefindo</t>
  </si>
  <si>
    <t>Customer Rating (Pengembangan Fase 2.1 )</t>
  </si>
  <si>
    <t xml:space="preserve">  Analisis Politically Exposure Person (PEP)</t>
  </si>
  <si>
    <t>Penghapusbukuan Tahun 2023</t>
  </si>
  <si>
    <t>Host to Host Asuransi Produk PT Pegadaian dengan PT Asuransi Askrida Syariah</t>
  </si>
  <si>
    <t>G23030078DGL - Penambahan Subject Keluhan_Pelaporan Pembukaan Rekening Simpedes Umi pada Aplikasi Ariana_Jira</t>
  </si>
  <si>
    <t>Perubahan Jurnal PPh 22 Transaksi Order Mulia Pegadaian</t>
  </si>
  <si>
    <t>G2201022RKA - Penyesuaian Menu Ekstrakomptabel Mikro untuk Kredit Setelah terima Klaim dan penjualan Barang Jaminan Fase 2</t>
  </si>
  <si>
    <t>G2201029RKA - Pembuatan Menu Pengembalian Premi Untuk Produk Gadai</t>
  </si>
  <si>
    <t>Penyesuaian Menu Ekstrakomptabel Mikro untuk Kredit Setelah terima Klaim dan penjualan Barang Jaminan Fase 2</t>
  </si>
  <si>
    <t>Penyesuaian Jurnal Pengembalian Premi KCA pada Menu Hutang Pegawai Non Pegawai</t>
  </si>
  <si>
    <t>Improvement Dashboard Kinerja Utama</t>
  </si>
  <si>
    <t>Penyesuaian Restrukturisasi Kredit Gadai Berbasis Angsuran Tahun 2021</t>
  </si>
  <si>
    <t>Pengadaan Cloud Platform untuk kebutuhan pemrosesan, menampilkan dan analisa data</t>
  </si>
  <si>
    <t>Arie Haryadi Angriawan</t>
  </si>
  <si>
    <t>Penambahan Sub Menu dan Jenis Nasabah pada Menu di Management Information System (MIS)</t>
  </si>
  <si>
    <t>G230300105UUS - Pengembangan Prospek untuk BPO KUR</t>
  </si>
  <si>
    <t>Emergency</t>
  </si>
  <si>
    <t>Squad LOS;Squad Mikro;Squad Omni Channel</t>
  </si>
  <si>
    <t>G23010031UUS - Penyesuaian Modul Arrum Safar Tipe Rahin Umum pada Aplikasi Passion</t>
  </si>
  <si>
    <t>G2209300COR - Pengadaan Data Learning Analytics Pada Platform Big Data</t>
  </si>
  <si>
    <t>G2209295RKA - Pengembangan Credit Scoring Kreasi pada Aplikasi PRIME</t>
  </si>
  <si>
    <t>G220600194UUS - Akuisisi Data Untuk Kebutuhan Generate Data Leads  Produk KUR Syariah</t>
  </si>
  <si>
    <t>G2203088ETR - Penambahan Layanan Pembayaran Tagihan BPJS Ketenagakerjaan pada Aplikasi PASSION</t>
  </si>
  <si>
    <t>G2201103AKT - Pengembangan Aplikasi PSAK 73 Fase I Original Version</t>
  </si>
  <si>
    <t>G2201099UUS - Remodelling Credit Scoring Syariah</t>
  </si>
  <si>
    <t>G2201009ETR - Pembatasan Disburse Outlet Co-Location</t>
  </si>
  <si>
    <t>G2201015ETR - Perubahan Pola Jurnal LinkAja Top Up</t>
  </si>
  <si>
    <t>G2201006BGD - HPS Online Barang Jaminan Elektronik</t>
  </si>
  <si>
    <t>G2201020INO -  Integrasi Data Web Portal Pengajuan Produk Pegadaian - CRM</t>
  </si>
  <si>
    <t xml:space="preserve"> G2201023REN - Integrasi PASSION Syariah dan STRIVE Terkait ID Promosi, SOA, dan Pajak</t>
  </si>
  <si>
    <t>Perubahan Pola Jurnal LinkAja Top Up</t>
  </si>
  <si>
    <t>HPS Online Barang Jaminan Elektronik</t>
  </si>
  <si>
    <t>Pembatasan Disburse Outlet Co-Location</t>
  </si>
  <si>
    <t>Integrasi Data Web Portal Pengajuan Produk Pegadaian - CRM</t>
  </si>
  <si>
    <t>G2201023REN - Integrasi PASSION Syariah dan STRIVE Terkait ID Promosi, SOA, dan Pajak</t>
  </si>
  <si>
    <t>G2201011INO - Pengembangan CRM 1st MVP</t>
  </si>
  <si>
    <t>Squad Big Data &amp; Analytics;Squad Channeling Business Partnership;Squad Emas;Squad Mikro</t>
  </si>
  <si>
    <t>G2201024DJO - SMS Broadcast Jatuh Tempo dan Uang Kelebihan</t>
  </si>
  <si>
    <t>G2201028DJO - Penambahan Menu Laporan MIS Portofolio Pembiayaan dan Tabungan Emas Co-location</t>
  </si>
  <si>
    <t>Penambahan Menu Laporan MIS Portofolio Pembiayaan dan Tabungan Emas Co-location</t>
  </si>
  <si>
    <t>Pegadaian CRM 1st MVP</t>
  </si>
  <si>
    <t>SMS Broadcast Jatuh Tempo dan Uang Kelebihan</t>
  </si>
  <si>
    <t>G2201033SHC - Update Penarikan Data Realisasi PI Individu Komponen KPI CBM dan UBM</t>
  </si>
  <si>
    <t>Project Implementasi People Analytic</t>
  </si>
  <si>
    <t>Update Penarikan Data Realisasi PI Individu Komponen KPI CBM dan UBM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</si>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</sst>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m/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topLeftCell="B1" workbookViewId="0">
      <selection activeCell="C1" sqref="C1"/>
    </sheetView>
  </sheetViews>
  <sheetFormatPr defaultColWidth="12.7109375" defaultRowHeight="15.75" customHeight="1" x14ac:dyDescent="0.2"/>
  <cols>
    <col min="1" max="1" width="37.28515625" customWidth="1"/>
    <col min="2" max="2" width="46.5703125" customWidth="1"/>
    <col min="3" max="3" width="129.5703125" customWidth="1"/>
    <col min="4" max="4" width="42.42578125" customWidth="1"/>
    <col min="5" max="5" width="33" customWidth="1"/>
    <col min="6" max="6" width="13.85546875" customWidth="1"/>
    <col min="7" max="7" width="18" customWidth="1"/>
    <col min="8" max="8" width="27.7109375" customWidth="1"/>
    <col min="9" max="9" width="44.28515625" customWidth="1"/>
    <col min="10" max="10" width="71.7109375" customWidth="1"/>
  </cols>
  <sheetData>
    <row r="1" spans="1:24" ht="15.75" customHeight="1" x14ac:dyDescent="0.2">
      <c r="A1" s="1" t="s">
        <v>0</v>
      </c>
      <c r="B1" s="1" t="s">
        <v>1</v>
      </c>
      <c r="C1" s="1" t="s">
        <v>1035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63</v>
      </c>
      <c r="B2" s="3" t="str">
        <f>HYPERLINK("https://pegadaian.atlassian.net/browse/ITPROJECT-1440?atlOrigin=eyJpIjoiYzgwYTQ0ZjEyNzQzNGJhN2JmNjEyZTM0NmRhZWZhNjIiLCJwIjoic2hlZXRzLWppcmEifQ","ITPROJECT-1440")</f>
        <v>ITPROJECT-1440</v>
      </c>
      <c r="C2" s="1" t="s">
        <v>64</v>
      </c>
      <c r="D2" s="1" t="s">
        <v>65</v>
      </c>
      <c r="E2" s="1" t="s">
        <v>65</v>
      </c>
      <c r="F2" s="1" t="s">
        <v>10</v>
      </c>
      <c r="G2" s="1" t="s">
        <v>66</v>
      </c>
      <c r="H2" s="4">
        <v>45056.463391203702</v>
      </c>
      <c r="I2" s="4">
        <v>45061.160949074074</v>
      </c>
      <c r="J2" s="1" t="s">
        <v>54</v>
      </c>
    </row>
    <row r="3" spans="1:24" ht="15.75" customHeight="1" x14ac:dyDescent="0.2">
      <c r="A3" s="1" t="s">
        <v>63</v>
      </c>
      <c r="B3" s="3" t="str">
        <f>HYPERLINK("https://pegadaian.atlassian.net/browse/ITPROJECT-1411?atlOrigin=eyJpIjoiYzgwYTQ0ZjEyNzQzNGJhN2JmNjEyZTM0NmRhZWZhNjIiLCJwIjoic2hlZXRzLWppcmEifQ","ITPROJECT-1411")</f>
        <v>ITPROJECT-1411</v>
      </c>
      <c r="C3" s="1" t="s">
        <v>67</v>
      </c>
      <c r="D3" s="1" t="s">
        <v>56</v>
      </c>
      <c r="E3" s="1" t="s">
        <v>56</v>
      </c>
      <c r="F3" s="1" t="s">
        <v>10</v>
      </c>
      <c r="G3" s="1" t="s">
        <v>68</v>
      </c>
      <c r="H3" s="4">
        <v>45049.480127314811</v>
      </c>
      <c r="I3" s="4">
        <v>45061.161157407405</v>
      </c>
      <c r="J3" s="1" t="s">
        <v>52</v>
      </c>
    </row>
    <row r="4" spans="1:24" ht="15.75" customHeight="1" x14ac:dyDescent="0.2">
      <c r="A4" s="1" t="s">
        <v>63</v>
      </c>
      <c r="B4" s="3" t="str">
        <f>HYPERLINK("https://pegadaian.atlassian.net/browse/ITPROJECT-1387?atlOrigin=eyJpIjoiYzgwYTQ0ZjEyNzQzNGJhN2JmNjEyZTM0NmRhZWZhNjIiLCJwIjoic2hlZXRzLWppcmEifQ","ITPROJECT-1387")</f>
        <v>ITPROJECT-1387</v>
      </c>
      <c r="C4" s="1" t="s">
        <v>69</v>
      </c>
      <c r="D4" s="1" t="s">
        <v>65</v>
      </c>
      <c r="E4" s="1" t="s">
        <v>65</v>
      </c>
      <c r="F4" s="1" t="s">
        <v>10</v>
      </c>
      <c r="G4" s="1" t="s">
        <v>68</v>
      </c>
      <c r="H4" s="4">
        <v>45029.385636574072</v>
      </c>
      <c r="I4" s="4">
        <v>45061.161307870374</v>
      </c>
      <c r="J4" s="1" t="s">
        <v>54</v>
      </c>
    </row>
    <row r="5" spans="1:24" ht="15.75" customHeight="1" x14ac:dyDescent="0.2">
      <c r="A5" s="1" t="s">
        <v>63</v>
      </c>
      <c r="B5" s="3" t="str">
        <f>HYPERLINK("https://pegadaian.atlassian.net/browse/ITPROJECT-1384?atlOrigin=eyJpIjoiYzgwYTQ0ZjEyNzQzNGJhN2JmNjEyZTM0NmRhZWZhNjIiLCJwIjoic2hlZXRzLWppcmEifQ","ITPROJECT-1384")</f>
        <v>ITPROJECT-1384</v>
      </c>
      <c r="C5" s="1" t="s">
        <v>70</v>
      </c>
      <c r="D5" s="1" t="s">
        <v>71</v>
      </c>
      <c r="E5" s="1" t="s">
        <v>71</v>
      </c>
      <c r="F5" s="1" t="s">
        <v>10</v>
      </c>
      <c r="G5" s="1" t="s">
        <v>72</v>
      </c>
      <c r="H5" s="4">
        <v>45028.601180555554</v>
      </c>
      <c r="I5" s="4">
        <v>45061.16133101852</v>
      </c>
      <c r="J5" s="1" t="s">
        <v>60</v>
      </c>
    </row>
    <row r="6" spans="1:24" ht="15.75" customHeight="1" x14ac:dyDescent="0.2">
      <c r="A6" s="1" t="s">
        <v>63</v>
      </c>
      <c r="B6" s="3" t="str">
        <f>HYPERLINK("https://pegadaian.atlassian.net/browse/ITPROJECT-1381?atlOrigin=eyJpIjoiYzgwYTQ0ZjEyNzQzNGJhN2JmNjEyZTM0NmRhZWZhNjIiLCJwIjoic2hlZXRzLWppcmEifQ","ITPROJECT-1381")</f>
        <v>ITPROJECT-1381</v>
      </c>
      <c r="C6" s="1" t="s">
        <v>73</v>
      </c>
      <c r="D6" s="1" t="s">
        <v>57</v>
      </c>
      <c r="E6" s="1" t="s">
        <v>57</v>
      </c>
      <c r="F6" s="1" t="s">
        <v>10</v>
      </c>
      <c r="G6" s="1" t="s">
        <v>66</v>
      </c>
      <c r="H6" s="4">
        <v>45027.37568287037</v>
      </c>
      <c r="I6" s="4">
        <v>45061.16134259259</v>
      </c>
      <c r="J6" s="1" t="s">
        <v>16</v>
      </c>
    </row>
    <row r="7" spans="1:24" ht="15.75" customHeight="1" x14ac:dyDescent="0.2">
      <c r="A7" s="1" t="s">
        <v>63</v>
      </c>
      <c r="B7" s="3" t="str">
        <f>HYPERLINK("https://pegadaian.atlassian.net/browse/ITPROJECT-1434?atlOrigin=eyJpIjoiYzgwYTQ0ZjEyNzQzNGJhN2JmNjEyZTM0NmRhZWZhNjIiLCJwIjoic2hlZXRzLWppcmEifQ","ITPROJECT-1434")</f>
        <v>ITPROJECT-1434</v>
      </c>
      <c r="C7" s="1" t="s">
        <v>74</v>
      </c>
      <c r="D7" s="1" t="s">
        <v>75</v>
      </c>
      <c r="E7" s="1" t="s">
        <v>75</v>
      </c>
      <c r="F7" s="1" t="s">
        <v>12</v>
      </c>
      <c r="G7" s="1" t="s">
        <v>76</v>
      </c>
      <c r="H7" s="4">
        <v>45055.663368055553</v>
      </c>
      <c r="I7" s="4">
        <v>45061.160995370374</v>
      </c>
      <c r="J7" s="1" t="s">
        <v>40</v>
      </c>
    </row>
    <row r="8" spans="1:24" ht="15.75" customHeight="1" x14ac:dyDescent="0.2">
      <c r="A8" s="1" t="s">
        <v>63</v>
      </c>
      <c r="B8" s="3" t="str">
        <f>HYPERLINK("https://pegadaian.atlassian.net/browse/ITPROJECT-1419?atlOrigin=eyJpIjoiYzgwYTQ0ZjEyNzQzNGJhN2JmNjEyZTM0NmRhZWZhNjIiLCJwIjoic2hlZXRzLWppcmEifQ","ITPROJECT-1419")</f>
        <v>ITPROJECT-1419</v>
      </c>
      <c r="C8" s="1" t="s">
        <v>77</v>
      </c>
      <c r="D8" s="1" t="s">
        <v>65</v>
      </c>
      <c r="E8" s="1" t="s">
        <v>65</v>
      </c>
      <c r="F8" s="1" t="s">
        <v>12</v>
      </c>
      <c r="G8" s="1" t="s">
        <v>72</v>
      </c>
      <c r="H8" s="4">
        <v>45050.651898148149</v>
      </c>
      <c r="I8" s="4">
        <v>45061.161087962966</v>
      </c>
      <c r="J8" s="1" t="s">
        <v>54</v>
      </c>
    </row>
    <row r="9" spans="1:24" ht="15.75" customHeight="1" x14ac:dyDescent="0.2">
      <c r="A9" s="1" t="s">
        <v>63</v>
      </c>
      <c r="B9" s="3" t="str">
        <f>HYPERLINK("https://pegadaian.atlassian.net/browse/ITPROJECT-1415?atlOrigin=eyJpIjoiYzgwYTQ0ZjEyNzQzNGJhN2JmNjEyZTM0NmRhZWZhNjIiLCJwIjoic2hlZXRzLWppcmEifQ","ITPROJECT-1415")</f>
        <v>ITPROJECT-1415</v>
      </c>
      <c r="C9" s="1" t="s">
        <v>78</v>
      </c>
      <c r="D9" s="1" t="s">
        <v>79</v>
      </c>
      <c r="E9" s="1" t="s">
        <v>79</v>
      </c>
      <c r="F9" s="1" t="s">
        <v>12</v>
      </c>
      <c r="G9" s="1" t="s">
        <v>72</v>
      </c>
      <c r="H9" s="4">
        <v>45050.400775462964</v>
      </c>
      <c r="I9" s="4">
        <v>45061.161122685182</v>
      </c>
      <c r="J9" s="1" t="s">
        <v>80</v>
      </c>
    </row>
    <row r="10" spans="1:24" ht="15.75" customHeight="1" x14ac:dyDescent="0.2">
      <c r="A10" s="1" t="s">
        <v>63</v>
      </c>
      <c r="B10" s="3" t="str">
        <f>HYPERLINK("https://pegadaian.atlassian.net/browse/ITPROJECT-1413?atlOrigin=eyJpIjoiYzgwYTQ0ZjEyNzQzNGJhN2JmNjEyZTM0NmRhZWZhNjIiLCJwIjoic2hlZXRzLWppcmEifQ","ITPROJECT-1413")</f>
        <v>ITPROJECT-1413</v>
      </c>
      <c r="C10" s="1" t="s">
        <v>81</v>
      </c>
      <c r="D10" s="1" t="s">
        <v>56</v>
      </c>
      <c r="E10" s="1" t="s">
        <v>56</v>
      </c>
      <c r="F10" s="1" t="s">
        <v>12</v>
      </c>
      <c r="G10" s="1" t="s">
        <v>72</v>
      </c>
      <c r="H10" s="4">
        <v>45049.570081018515</v>
      </c>
      <c r="I10" s="4">
        <v>45061.161134259259</v>
      </c>
      <c r="J10" s="1" t="s">
        <v>11</v>
      </c>
    </row>
    <row r="11" spans="1:24" ht="15.75" customHeight="1" x14ac:dyDescent="0.2">
      <c r="A11" s="1" t="s">
        <v>63</v>
      </c>
      <c r="B11" s="3" t="str">
        <f>HYPERLINK("https://pegadaian.atlassian.net/browse/ITPROJECT-1409?atlOrigin=eyJpIjoiYzgwYTQ0ZjEyNzQzNGJhN2JmNjEyZTM0NmRhZWZhNjIiLCJwIjoic2hlZXRzLWppcmEifQ","ITPROJECT-1409")</f>
        <v>ITPROJECT-1409</v>
      </c>
      <c r="C11" s="1" t="s">
        <v>53</v>
      </c>
      <c r="D11" s="1" t="s">
        <v>79</v>
      </c>
      <c r="E11" s="1" t="s">
        <v>79</v>
      </c>
      <c r="F11" s="1" t="s">
        <v>12</v>
      </c>
      <c r="G11" s="1" t="s">
        <v>68</v>
      </c>
      <c r="H11" s="4">
        <v>45049.355081018519</v>
      </c>
      <c r="I11" s="4">
        <v>45061.161168981482</v>
      </c>
      <c r="J11" s="1" t="s">
        <v>35</v>
      </c>
    </row>
    <row r="12" spans="1:24" ht="15.75" customHeight="1" x14ac:dyDescent="0.2">
      <c r="A12" s="1" t="s">
        <v>63</v>
      </c>
      <c r="B12" s="3" t="str">
        <f>HYPERLINK("https://pegadaian.atlassian.net/browse/ITPROJECT-1397?atlOrigin=eyJpIjoiYzgwYTQ0ZjEyNzQzNGJhN2JmNjEyZTM0NmRhZWZhNjIiLCJwIjoic2hlZXRzLWppcmEifQ","ITPROJECT-1397")</f>
        <v>ITPROJECT-1397</v>
      </c>
      <c r="C12" s="1" t="s">
        <v>82</v>
      </c>
      <c r="D12" s="1" t="s">
        <v>42</v>
      </c>
      <c r="E12" s="1" t="s">
        <v>42</v>
      </c>
      <c r="F12" s="1" t="s">
        <v>12</v>
      </c>
      <c r="G12" s="1" t="s">
        <v>72</v>
      </c>
      <c r="H12" s="4">
        <v>45042.40865740741</v>
      </c>
      <c r="I12" s="4">
        <v>45061.161249999997</v>
      </c>
      <c r="J12" s="1" t="s">
        <v>15</v>
      </c>
    </row>
    <row r="13" spans="1:24" ht="15.75" customHeight="1" x14ac:dyDescent="0.2">
      <c r="A13" s="1" t="s">
        <v>63</v>
      </c>
      <c r="B13" s="3" t="str">
        <f>HYPERLINK("https://pegadaian.atlassian.net/browse/ITPROJECT-1396?atlOrigin=eyJpIjoiYzgwYTQ0ZjEyNzQzNGJhN2JmNjEyZTM0NmRhZWZhNjIiLCJwIjoic2hlZXRzLWppcmEifQ","ITPROJECT-1396")</f>
        <v>ITPROJECT-1396</v>
      </c>
      <c r="C13" s="1" t="s">
        <v>83</v>
      </c>
      <c r="D13" s="1" t="s">
        <v>42</v>
      </c>
      <c r="E13" s="1" t="s">
        <v>42</v>
      </c>
      <c r="F13" s="1" t="s">
        <v>12</v>
      </c>
      <c r="G13" s="1" t="s">
        <v>72</v>
      </c>
      <c r="H13" s="4">
        <v>45042.385520833333</v>
      </c>
      <c r="I13" s="4">
        <v>45061.161249999997</v>
      </c>
      <c r="J13" s="1" t="s">
        <v>15</v>
      </c>
    </row>
    <row r="14" spans="1:24" ht="15.75" customHeight="1" x14ac:dyDescent="0.2">
      <c r="A14" s="1" t="s">
        <v>63</v>
      </c>
      <c r="B14" s="3" t="str">
        <f>HYPERLINK("https://pegadaian.atlassian.net/browse/ITPROJECT-1395?atlOrigin=eyJpIjoiYzgwYTQ0ZjEyNzQzNGJhN2JmNjEyZTM0NmRhZWZhNjIiLCJwIjoic2hlZXRzLWppcmEifQ","ITPROJECT-1395")</f>
        <v>ITPROJECT-1395</v>
      </c>
      <c r="C14" s="1" t="s">
        <v>84</v>
      </c>
      <c r="D14" s="1" t="s">
        <v>42</v>
      </c>
      <c r="E14" s="1" t="s">
        <v>42</v>
      </c>
      <c r="F14" s="1" t="s">
        <v>12</v>
      </c>
      <c r="G14" s="1" t="s">
        <v>72</v>
      </c>
      <c r="H14" s="4">
        <v>45042.375439814816</v>
      </c>
      <c r="I14" s="4">
        <v>45061.161261574074</v>
      </c>
      <c r="J14" s="1" t="s">
        <v>85</v>
      </c>
    </row>
    <row r="15" spans="1:24" ht="15.75" customHeight="1" x14ac:dyDescent="0.2">
      <c r="A15" s="1" t="s">
        <v>63</v>
      </c>
      <c r="B15" s="3" t="str">
        <f>HYPERLINK("https://pegadaian.atlassian.net/browse/ITPROJECT-1394?atlOrigin=eyJpIjoiYzgwYTQ0ZjEyNzQzNGJhN2JmNjEyZTM0NmRhZWZhNjIiLCJwIjoic2hlZXRzLWppcmEifQ","ITPROJECT-1394")</f>
        <v>ITPROJECT-1394</v>
      </c>
      <c r="C15" s="1" t="s">
        <v>86</v>
      </c>
      <c r="D15" s="1" t="s">
        <v>65</v>
      </c>
      <c r="E15" s="1" t="s">
        <v>65</v>
      </c>
      <c r="F15" s="1" t="s">
        <v>12</v>
      </c>
      <c r="G15" s="1" t="s">
        <v>72</v>
      </c>
      <c r="H15" s="4">
        <v>45033.451956018522</v>
      </c>
      <c r="I15" s="4">
        <v>45061.161261574074</v>
      </c>
      <c r="J15" s="1" t="s">
        <v>87</v>
      </c>
    </row>
    <row r="16" spans="1:24" ht="15.75" customHeight="1" x14ac:dyDescent="0.2">
      <c r="A16" s="1" t="s">
        <v>63</v>
      </c>
      <c r="B16" s="3" t="str">
        <f>HYPERLINK("https://pegadaian.atlassian.net/browse/ITPROJECT-1391?atlOrigin=eyJpIjoiYzgwYTQ0ZjEyNzQzNGJhN2JmNjEyZTM0NmRhZWZhNjIiLCJwIjoic2hlZXRzLWppcmEifQ","ITPROJECT-1391")</f>
        <v>ITPROJECT-1391</v>
      </c>
      <c r="C16" s="1" t="s">
        <v>88</v>
      </c>
      <c r="D16" s="1" t="s">
        <v>28</v>
      </c>
      <c r="E16" s="1" t="s">
        <v>28</v>
      </c>
      <c r="F16" s="1" t="s">
        <v>12</v>
      </c>
      <c r="G16" s="1" t="s">
        <v>89</v>
      </c>
      <c r="H16" s="4">
        <v>45029.484884259262</v>
      </c>
      <c r="I16" s="4">
        <v>45061.16128472222</v>
      </c>
      <c r="J16" s="1" t="s">
        <v>27</v>
      </c>
    </row>
    <row r="17" spans="1:10" ht="15.75" customHeight="1" x14ac:dyDescent="0.2">
      <c r="A17" s="1" t="s">
        <v>63</v>
      </c>
      <c r="B17" s="3" t="str">
        <f>HYPERLINK("https://pegadaian.atlassian.net/browse/ITPROJECT-1386?atlOrigin=eyJpIjoiYzgwYTQ0ZjEyNzQzNGJhN2JmNjEyZTM0NmRhZWZhNjIiLCJwIjoic2hlZXRzLWppcmEifQ","ITPROJECT-1386")</f>
        <v>ITPROJECT-1386</v>
      </c>
      <c r="C17" s="1" t="s">
        <v>90</v>
      </c>
      <c r="D17" s="1" t="s">
        <v>65</v>
      </c>
      <c r="E17" s="1" t="s">
        <v>65</v>
      </c>
      <c r="F17" s="1" t="s">
        <v>12</v>
      </c>
      <c r="G17" s="1" t="s">
        <v>76</v>
      </c>
      <c r="H17" s="4">
        <v>45029.382326388892</v>
      </c>
      <c r="I17" s="4">
        <v>45061.161319444444</v>
      </c>
      <c r="J17" s="1" t="s">
        <v>54</v>
      </c>
    </row>
    <row r="18" spans="1:10" ht="15.75" customHeight="1" x14ac:dyDescent="0.2">
      <c r="A18" s="1" t="s">
        <v>63</v>
      </c>
      <c r="B18" s="3" t="str">
        <f>HYPERLINK("https://pegadaian.atlassian.net/browse/ITPROJECT-1380?atlOrigin=eyJpIjoiYzgwYTQ0ZjEyNzQzNGJhN2JmNjEyZTM0NmRhZWZhNjIiLCJwIjoic2hlZXRzLWppcmEifQ","ITPROJECT-1380")</f>
        <v>ITPROJECT-1380</v>
      </c>
      <c r="C18" s="1" t="s">
        <v>91</v>
      </c>
      <c r="D18" s="1" t="s">
        <v>42</v>
      </c>
      <c r="E18" s="1" t="s">
        <v>42</v>
      </c>
      <c r="F18" s="1" t="s">
        <v>12</v>
      </c>
      <c r="G18" s="1" t="s">
        <v>76</v>
      </c>
      <c r="H18" s="4">
        <v>45026.706157407411</v>
      </c>
      <c r="I18" s="4">
        <v>45061.161354166667</v>
      </c>
      <c r="J18" s="1" t="s">
        <v>15</v>
      </c>
    </row>
    <row r="19" spans="1:10" ht="15.75" customHeight="1" x14ac:dyDescent="0.2">
      <c r="A19" s="1" t="s">
        <v>63</v>
      </c>
      <c r="B19" s="3" t="str">
        <f>HYPERLINK("https://pegadaian.atlassian.net/browse/ITPROJECT-1379?atlOrigin=eyJpIjoiYzgwYTQ0ZjEyNzQzNGJhN2JmNjEyZTM0NmRhZWZhNjIiLCJwIjoic2hlZXRzLWppcmEifQ","ITPROJECT-1379")</f>
        <v>ITPROJECT-1379</v>
      </c>
      <c r="C19" s="1" t="s">
        <v>92</v>
      </c>
      <c r="D19" s="1" t="s">
        <v>93</v>
      </c>
      <c r="E19" s="1" t="s">
        <v>93</v>
      </c>
      <c r="F19" s="1" t="s">
        <v>12</v>
      </c>
      <c r="G19" s="1" t="s">
        <v>76</v>
      </c>
      <c r="H19" s="4">
        <v>45026.685486111113</v>
      </c>
      <c r="I19" s="4">
        <v>45061.161354166667</v>
      </c>
      <c r="J19" s="1" t="s">
        <v>15</v>
      </c>
    </row>
    <row r="20" spans="1:10" ht="15.75" customHeight="1" x14ac:dyDescent="0.2">
      <c r="A20" s="1" t="s">
        <v>63</v>
      </c>
      <c r="B20" s="3" t="str">
        <f>HYPERLINK("https://pegadaian.atlassian.net/browse/ITPROJECT-1378?atlOrigin=eyJpIjoiYzgwYTQ0ZjEyNzQzNGJhN2JmNjEyZTM0NmRhZWZhNjIiLCJwIjoic2hlZXRzLWppcmEifQ","ITPROJECT-1378")</f>
        <v>ITPROJECT-1378</v>
      </c>
      <c r="C20" s="1" t="s">
        <v>94</v>
      </c>
      <c r="D20" s="1" t="s">
        <v>42</v>
      </c>
      <c r="E20" s="1" t="s">
        <v>42</v>
      </c>
      <c r="F20" s="1" t="s">
        <v>12</v>
      </c>
      <c r="G20" s="1" t="s">
        <v>76</v>
      </c>
      <c r="H20" s="4">
        <v>45026.644270833334</v>
      </c>
      <c r="I20" s="4">
        <v>45061.161365740743</v>
      </c>
      <c r="J20" s="1" t="s">
        <v>15</v>
      </c>
    </row>
    <row r="21" spans="1:10" ht="15.75" customHeight="1" x14ac:dyDescent="0.2">
      <c r="A21" s="1" t="s">
        <v>63</v>
      </c>
      <c r="B21" s="3" t="str">
        <f>HYPERLINK("https://pegadaian.atlassian.net/browse/ITPROJECT-1377?atlOrigin=eyJpIjoiYzgwYTQ0ZjEyNzQzNGJhN2JmNjEyZTM0NmRhZWZhNjIiLCJwIjoic2hlZXRzLWppcmEifQ","ITPROJECT-1377")</f>
        <v>ITPROJECT-1377</v>
      </c>
      <c r="C21" s="1" t="s">
        <v>95</v>
      </c>
      <c r="D21" s="1" t="s">
        <v>96</v>
      </c>
      <c r="E21" s="1" t="s">
        <v>96</v>
      </c>
      <c r="F21" s="1" t="s">
        <v>12</v>
      </c>
      <c r="G21" s="1" t="s">
        <v>72</v>
      </c>
      <c r="H21" s="4">
        <v>45026.51525462963</v>
      </c>
      <c r="I21" s="4">
        <v>45061.161377314813</v>
      </c>
      <c r="J21" s="1" t="s">
        <v>27</v>
      </c>
    </row>
    <row r="22" spans="1:10" ht="15.75" customHeight="1" x14ac:dyDescent="0.2">
      <c r="A22" s="1" t="s">
        <v>63</v>
      </c>
      <c r="B22" s="3" t="str">
        <f>HYPERLINK("https://pegadaian.atlassian.net/browse/ITPROJECT-1368?atlOrigin=eyJpIjoiYzgwYTQ0ZjEyNzQzNGJhN2JmNjEyZTM0NmRhZWZhNjIiLCJwIjoic2hlZXRzLWppcmEifQ","ITPROJECT-1368")</f>
        <v>ITPROJECT-1368</v>
      </c>
      <c r="C22" s="1" t="s">
        <v>97</v>
      </c>
      <c r="D22" s="1" t="s">
        <v>28</v>
      </c>
      <c r="E22" s="1" t="s">
        <v>28</v>
      </c>
      <c r="F22" s="1" t="s">
        <v>12</v>
      </c>
      <c r="G22" s="1" t="s">
        <v>68</v>
      </c>
      <c r="H22" s="4">
        <v>45022.615844907406</v>
      </c>
      <c r="I22" s="4">
        <v>45061.161446759259</v>
      </c>
      <c r="J22" s="1" t="s">
        <v>27</v>
      </c>
    </row>
    <row r="23" spans="1:10" ht="12.75" x14ac:dyDescent="0.2">
      <c r="A23" s="1" t="s">
        <v>63</v>
      </c>
      <c r="B23" s="3" t="str">
        <f>HYPERLINK("https://pegadaian.atlassian.net/browse/ITPROJECT-1367?atlOrigin=eyJpIjoiYzgwYTQ0ZjEyNzQzNGJhN2JmNjEyZTM0NmRhZWZhNjIiLCJwIjoic2hlZXRzLWppcmEifQ","ITPROJECT-1367")</f>
        <v>ITPROJECT-1367</v>
      </c>
      <c r="C23" s="1" t="s">
        <v>98</v>
      </c>
      <c r="D23" s="1" t="s">
        <v>99</v>
      </c>
      <c r="E23" s="1" t="s">
        <v>99</v>
      </c>
      <c r="F23" s="1" t="s">
        <v>12</v>
      </c>
      <c r="G23" s="1" t="s">
        <v>66</v>
      </c>
      <c r="H23" s="4">
        <v>45022.462326388886</v>
      </c>
      <c r="I23" s="4">
        <v>45061.161446759259</v>
      </c>
      <c r="J23" s="1" t="s">
        <v>18</v>
      </c>
    </row>
    <row r="24" spans="1:10" ht="12.75" x14ac:dyDescent="0.2">
      <c r="A24" s="1" t="s">
        <v>63</v>
      </c>
      <c r="B24" s="3" t="str">
        <f>HYPERLINK("https://pegadaian.atlassian.net/browse/ITPROJECT-1364?atlOrigin=eyJpIjoiYzgwYTQ0ZjEyNzQzNGJhN2JmNjEyZTM0NmRhZWZhNjIiLCJwIjoic2hlZXRzLWppcmEifQ","ITPROJECT-1364")</f>
        <v>ITPROJECT-1364</v>
      </c>
      <c r="C24" s="1" t="s">
        <v>100</v>
      </c>
      <c r="D24" s="1" t="s">
        <v>99</v>
      </c>
      <c r="E24" s="1" t="s">
        <v>99</v>
      </c>
      <c r="F24" s="1" t="s">
        <v>12</v>
      </c>
      <c r="G24" s="1" t="s">
        <v>66</v>
      </c>
      <c r="H24" s="4">
        <v>45022.427881944444</v>
      </c>
      <c r="I24" s="4">
        <v>45061.161469907405</v>
      </c>
      <c r="J24" s="1" t="s">
        <v>18</v>
      </c>
    </row>
    <row r="25" spans="1:10" ht="12.75" x14ac:dyDescent="0.2">
      <c r="A25" s="1" t="s">
        <v>63</v>
      </c>
      <c r="B25" s="3" t="str">
        <f>HYPERLINK("https://pegadaian.atlassian.net/browse/ITPROJECT-1363?atlOrigin=eyJpIjoiYzgwYTQ0ZjEyNzQzNGJhN2JmNjEyZTM0NmRhZWZhNjIiLCJwIjoic2hlZXRzLWppcmEifQ","ITPROJECT-1363")</f>
        <v>ITPROJECT-1363</v>
      </c>
      <c r="C25" s="1" t="s">
        <v>101</v>
      </c>
      <c r="D25" s="1" t="s">
        <v>75</v>
      </c>
      <c r="E25" s="1" t="s">
        <v>75</v>
      </c>
      <c r="F25" s="1" t="s">
        <v>12</v>
      </c>
      <c r="G25" s="1" t="s">
        <v>72</v>
      </c>
      <c r="H25" s="4">
        <v>45021.613946759258</v>
      </c>
      <c r="I25" s="4">
        <v>45061.161469907405</v>
      </c>
      <c r="J25" s="1" t="s">
        <v>40</v>
      </c>
    </row>
    <row r="26" spans="1:10" ht="12.75" x14ac:dyDescent="0.2">
      <c r="A26" s="1" t="s">
        <v>63</v>
      </c>
      <c r="B26" s="3" t="str">
        <f>HYPERLINK("https://pegadaian.atlassian.net/browse/ITPROJECT-1357?atlOrigin=eyJpIjoiYzgwYTQ0ZjEyNzQzNGJhN2JmNjEyZTM0NmRhZWZhNjIiLCJwIjoic2hlZXRzLWppcmEifQ","ITPROJECT-1357")</f>
        <v>ITPROJECT-1357</v>
      </c>
      <c r="C26" s="1" t="s">
        <v>102</v>
      </c>
      <c r="D26" s="1" t="s">
        <v>99</v>
      </c>
      <c r="E26" s="1" t="s">
        <v>99</v>
      </c>
      <c r="F26" s="1" t="s">
        <v>12</v>
      </c>
      <c r="G26" s="1" t="s">
        <v>76</v>
      </c>
      <c r="H26" s="4">
        <v>45020.463518518518</v>
      </c>
      <c r="I26" s="4">
        <v>45061.161516203705</v>
      </c>
      <c r="J26" s="1" t="s">
        <v>18</v>
      </c>
    </row>
    <row r="27" spans="1:10" ht="12.75" x14ac:dyDescent="0.2">
      <c r="A27" s="1" t="s">
        <v>63</v>
      </c>
      <c r="B27" s="3" t="str">
        <f>HYPERLINK("https://pegadaian.atlassian.net/browse/ITPROJECT-1356?atlOrigin=eyJpIjoiYzgwYTQ0ZjEyNzQzNGJhN2JmNjEyZTM0NmRhZWZhNjIiLCJwIjoic2hlZXRzLWppcmEifQ","ITPROJECT-1356")</f>
        <v>ITPROJECT-1356</v>
      </c>
      <c r="C27" s="1" t="s">
        <v>103</v>
      </c>
      <c r="D27" s="1" t="s">
        <v>31</v>
      </c>
      <c r="E27" s="1" t="s">
        <v>96</v>
      </c>
      <c r="F27" s="1" t="s">
        <v>12</v>
      </c>
      <c r="G27" s="1" t="s">
        <v>76</v>
      </c>
      <c r="H27" s="4">
        <v>45020.431481481479</v>
      </c>
      <c r="I27" s="4">
        <v>45061.161527777775</v>
      </c>
      <c r="J27" s="1" t="s">
        <v>27</v>
      </c>
    </row>
    <row r="28" spans="1:10" ht="12.75" x14ac:dyDescent="0.2">
      <c r="A28" s="1" t="s">
        <v>63</v>
      </c>
      <c r="B28" s="3" t="str">
        <f>HYPERLINK("https://pegadaian.atlassian.net/browse/ITPROJECT-1344?atlOrigin=eyJpIjoiYzgwYTQ0ZjEyNzQzNGJhN2JmNjEyZTM0NmRhZWZhNjIiLCJwIjoic2hlZXRzLWppcmEifQ","ITPROJECT-1344")</f>
        <v>ITPROJECT-1344</v>
      </c>
      <c r="C28" s="1" t="s">
        <v>104</v>
      </c>
      <c r="D28" s="1" t="s">
        <v>56</v>
      </c>
      <c r="E28" s="1" t="s">
        <v>56</v>
      </c>
      <c r="F28" s="1" t="s">
        <v>12</v>
      </c>
      <c r="G28" s="1" t="s">
        <v>72</v>
      </c>
      <c r="H28" s="4">
        <v>45019.672662037039</v>
      </c>
      <c r="I28" s="4">
        <v>45061.161597222221</v>
      </c>
      <c r="J28" s="1" t="s">
        <v>11</v>
      </c>
    </row>
    <row r="29" spans="1:10" ht="12.75" x14ac:dyDescent="0.2">
      <c r="A29" s="1" t="s">
        <v>63</v>
      </c>
      <c r="B29" s="3" t="str">
        <f>HYPERLINK("https://pegadaian.atlassian.net/browse/ITPROJECT-1342?atlOrigin=eyJpIjoiYzgwYTQ0ZjEyNzQzNGJhN2JmNjEyZTM0NmRhZWZhNjIiLCJwIjoic2hlZXRzLWppcmEifQ","ITPROJECT-1342")</f>
        <v>ITPROJECT-1342</v>
      </c>
      <c r="C29" s="1" t="s">
        <v>105</v>
      </c>
      <c r="D29" s="1" t="s">
        <v>28</v>
      </c>
      <c r="E29" s="1" t="s">
        <v>28</v>
      </c>
      <c r="F29" s="1" t="s">
        <v>12</v>
      </c>
      <c r="G29" s="1" t="s">
        <v>68</v>
      </c>
      <c r="H29" s="4">
        <v>45019.620520833334</v>
      </c>
      <c r="I29" s="4">
        <v>45061.161608796298</v>
      </c>
      <c r="J29" s="1" t="s">
        <v>27</v>
      </c>
    </row>
    <row r="30" spans="1:10" ht="12.75" x14ac:dyDescent="0.2">
      <c r="A30" s="1" t="s">
        <v>63</v>
      </c>
      <c r="B30" s="3" t="str">
        <f>HYPERLINK("https://pegadaian.atlassian.net/browse/ITPROJECT-1340?atlOrigin=eyJpIjoiYzgwYTQ0ZjEyNzQzNGJhN2JmNjEyZTM0NmRhZWZhNjIiLCJwIjoic2hlZXRzLWppcmEifQ","ITPROJECT-1340")</f>
        <v>ITPROJECT-1340</v>
      </c>
      <c r="C30" s="1" t="s">
        <v>106</v>
      </c>
      <c r="D30" s="1" t="s">
        <v>24</v>
      </c>
      <c r="E30" s="1" t="s">
        <v>24</v>
      </c>
      <c r="F30" s="1" t="s">
        <v>12</v>
      </c>
      <c r="G30" s="1" t="s">
        <v>76</v>
      </c>
      <c r="H30" s="4">
        <v>45019.46</v>
      </c>
      <c r="I30" s="4">
        <v>45061.161620370367</v>
      </c>
      <c r="J30" s="1" t="s">
        <v>21</v>
      </c>
    </row>
    <row r="31" spans="1:10" ht="12.75" x14ac:dyDescent="0.2">
      <c r="A31" s="1" t="s">
        <v>63</v>
      </c>
      <c r="B31" s="3" t="str">
        <f>HYPERLINK("https://pegadaian.atlassian.net/browse/ITPROJECT-1339?atlOrigin=eyJpIjoiYzgwYTQ0ZjEyNzQzNGJhN2JmNjEyZTM0NmRhZWZhNjIiLCJwIjoic2hlZXRzLWppcmEifQ","ITPROJECT-1339")</f>
        <v>ITPROJECT-1339</v>
      </c>
      <c r="C31" s="1" t="s">
        <v>107</v>
      </c>
      <c r="D31" s="1" t="s">
        <v>65</v>
      </c>
      <c r="E31" s="1" t="s">
        <v>65</v>
      </c>
      <c r="F31" s="1" t="s">
        <v>12</v>
      </c>
      <c r="G31" s="1" t="s">
        <v>72</v>
      </c>
      <c r="H31" s="4">
        <v>45019.457928240743</v>
      </c>
      <c r="I31" s="4">
        <v>45061.161631944444</v>
      </c>
      <c r="J31" s="1" t="s">
        <v>54</v>
      </c>
    </row>
    <row r="32" spans="1:10" ht="12.75" x14ac:dyDescent="0.2">
      <c r="A32" s="1" t="s">
        <v>63</v>
      </c>
      <c r="B32" s="3" t="str">
        <f>HYPERLINK("https://pegadaian.atlassian.net/browse/ITPROJECT-1332?atlOrigin=eyJpIjoiYzgwYTQ0ZjEyNzQzNGJhN2JmNjEyZTM0NmRhZWZhNjIiLCJwIjoic2hlZXRzLWppcmEifQ","ITPROJECT-1332")</f>
        <v>ITPROJECT-1332</v>
      </c>
      <c r="C32" s="1" t="s">
        <v>108</v>
      </c>
      <c r="D32" s="1" t="s">
        <v>99</v>
      </c>
      <c r="E32" s="1" t="s">
        <v>99</v>
      </c>
      <c r="F32" s="1" t="s">
        <v>12</v>
      </c>
      <c r="G32" s="1" t="s">
        <v>76</v>
      </c>
      <c r="H32" s="4">
        <v>45015.441631944443</v>
      </c>
      <c r="I32" s="4">
        <v>45061.161678240744</v>
      </c>
      <c r="J32" s="1" t="s">
        <v>18</v>
      </c>
    </row>
    <row r="33" spans="1:10" ht="12.75" x14ac:dyDescent="0.2">
      <c r="A33" s="1" t="s">
        <v>63</v>
      </c>
      <c r="B33" s="3" t="str">
        <f>HYPERLINK("https://pegadaian.atlassian.net/browse/ITPROJECT-1331?atlOrigin=eyJpIjoiYzgwYTQ0ZjEyNzQzNGJhN2JmNjEyZTM0NmRhZWZhNjIiLCJwIjoic2hlZXRzLWppcmEifQ","ITPROJECT-1331")</f>
        <v>ITPROJECT-1331</v>
      </c>
      <c r="C33" s="1" t="s">
        <v>109</v>
      </c>
      <c r="D33" s="1" t="s">
        <v>99</v>
      </c>
      <c r="E33" s="1" t="s">
        <v>99</v>
      </c>
      <c r="F33" s="1" t="s">
        <v>12</v>
      </c>
      <c r="G33" s="1" t="s">
        <v>66</v>
      </c>
      <c r="H33" s="4">
        <v>45015.435081018521</v>
      </c>
      <c r="I33" s="4">
        <v>45061.161689814813</v>
      </c>
      <c r="J33" s="1" t="s">
        <v>18</v>
      </c>
    </row>
    <row r="34" spans="1:10" ht="12.75" x14ac:dyDescent="0.2">
      <c r="A34" s="1" t="s">
        <v>63</v>
      </c>
      <c r="B34" s="3" t="str">
        <f>HYPERLINK("https://pegadaian.atlassian.net/browse/ITPROJECT-1329?atlOrigin=eyJpIjoiYzgwYTQ0ZjEyNzQzNGJhN2JmNjEyZTM0NmRhZWZhNjIiLCJwIjoic2hlZXRzLWppcmEifQ","ITPROJECT-1329")</f>
        <v>ITPROJECT-1329</v>
      </c>
      <c r="C34" s="1" t="s">
        <v>110</v>
      </c>
      <c r="D34" s="1" t="s">
        <v>99</v>
      </c>
      <c r="E34" s="1" t="s">
        <v>99</v>
      </c>
      <c r="F34" s="1" t="s">
        <v>12</v>
      </c>
      <c r="G34" s="1" t="s">
        <v>66</v>
      </c>
      <c r="H34" s="4">
        <v>45015.413969907408</v>
      </c>
      <c r="I34" s="4">
        <v>45061.161689814813</v>
      </c>
      <c r="J34" s="1" t="s">
        <v>18</v>
      </c>
    </row>
    <row r="35" spans="1:10" ht="12.75" x14ac:dyDescent="0.2">
      <c r="A35" s="1" t="s">
        <v>63</v>
      </c>
      <c r="B35" s="3" t="str">
        <f>HYPERLINK("https://pegadaian.atlassian.net/browse/ITPROJECT-1327?atlOrigin=eyJpIjoiYzgwYTQ0ZjEyNzQzNGJhN2JmNjEyZTM0NmRhZWZhNjIiLCJwIjoic2hlZXRzLWppcmEifQ","ITPROJECT-1327")</f>
        <v>ITPROJECT-1327</v>
      </c>
      <c r="C35" s="1" t="s">
        <v>111</v>
      </c>
      <c r="D35" s="1" t="s">
        <v>112</v>
      </c>
      <c r="E35" s="1" t="s">
        <v>112</v>
      </c>
      <c r="F35" s="1" t="s">
        <v>12</v>
      </c>
      <c r="G35" s="1" t="s">
        <v>66</v>
      </c>
      <c r="H35" s="4">
        <v>45014.635347222225</v>
      </c>
      <c r="I35" s="4">
        <v>45061.161712962959</v>
      </c>
      <c r="J35" s="1" t="s">
        <v>14</v>
      </c>
    </row>
    <row r="36" spans="1:10" ht="12.75" x14ac:dyDescent="0.2">
      <c r="A36" s="1" t="s">
        <v>63</v>
      </c>
      <c r="B36" s="3" t="str">
        <f>HYPERLINK("https://pegadaian.atlassian.net/browse/ITPROJECT-1325?atlOrigin=eyJpIjoiYzgwYTQ0ZjEyNzQzNGJhN2JmNjEyZTM0NmRhZWZhNjIiLCJwIjoic2hlZXRzLWppcmEifQ","ITPROJECT-1325")</f>
        <v>ITPROJECT-1325</v>
      </c>
      <c r="C36" s="1" t="s">
        <v>113</v>
      </c>
      <c r="D36" s="1" t="s">
        <v>99</v>
      </c>
      <c r="E36" s="1" t="s">
        <v>99</v>
      </c>
      <c r="F36" s="1" t="s">
        <v>12</v>
      </c>
      <c r="G36" s="1" t="s">
        <v>66</v>
      </c>
      <c r="H36" s="4">
        <v>45014.563402777778</v>
      </c>
      <c r="I36" s="4">
        <v>45061.161724537036</v>
      </c>
      <c r="J36" s="1" t="s">
        <v>18</v>
      </c>
    </row>
    <row r="37" spans="1:10" ht="12.75" x14ac:dyDescent="0.2">
      <c r="A37" s="1" t="s">
        <v>63</v>
      </c>
      <c r="B37" s="3" t="str">
        <f>HYPERLINK("https://pegadaian.atlassian.net/browse/ITPROJECT-1322?atlOrigin=eyJpIjoiYzgwYTQ0ZjEyNzQzNGJhN2JmNjEyZTM0NmRhZWZhNjIiLCJwIjoic2hlZXRzLWppcmEifQ","ITPROJECT-1322")</f>
        <v>ITPROJECT-1322</v>
      </c>
      <c r="C37" s="1" t="s">
        <v>114</v>
      </c>
      <c r="D37" s="1" t="s">
        <v>115</v>
      </c>
      <c r="E37" s="1" t="s">
        <v>115</v>
      </c>
      <c r="F37" s="1" t="s">
        <v>12</v>
      </c>
      <c r="G37" s="1" t="s">
        <v>68</v>
      </c>
      <c r="H37" s="4">
        <v>45010.437962962962</v>
      </c>
      <c r="I37" s="4">
        <v>45061.161736111113</v>
      </c>
      <c r="J37" s="1" t="s">
        <v>19</v>
      </c>
    </row>
    <row r="38" spans="1:10" ht="12.75" x14ac:dyDescent="0.2">
      <c r="A38" s="1" t="s">
        <v>63</v>
      </c>
      <c r="B38" s="3" t="str">
        <f>HYPERLINK("https://pegadaian.atlassian.net/browse/ITPROJECT-1321?atlOrigin=eyJpIjoiYzgwYTQ0ZjEyNzQzNGJhN2JmNjEyZTM0NmRhZWZhNjIiLCJwIjoic2hlZXRzLWppcmEifQ","ITPROJECT-1321")</f>
        <v>ITPROJECT-1321</v>
      </c>
      <c r="C38" s="1" t="s">
        <v>116</v>
      </c>
      <c r="D38" s="1" t="s">
        <v>17</v>
      </c>
      <c r="E38" s="1" t="s">
        <v>17</v>
      </c>
      <c r="F38" s="1" t="s">
        <v>12</v>
      </c>
      <c r="G38" s="1" t="s">
        <v>66</v>
      </c>
      <c r="H38" s="4">
        <v>45009.61278935185</v>
      </c>
      <c r="I38" s="4">
        <v>45061.161747685182</v>
      </c>
      <c r="J38" s="1" t="s">
        <v>18</v>
      </c>
    </row>
    <row r="39" spans="1:10" ht="12.75" x14ac:dyDescent="0.2">
      <c r="A39" s="1" t="s">
        <v>117</v>
      </c>
      <c r="B39" s="3" t="str">
        <f>HYPERLINK("https://pegadaian.atlassian.net/browse/ITPROJECT-1320?atlOrigin=eyJpIjoiYzgwYTQ0ZjEyNzQzNGJhN2JmNjEyZTM0NmRhZWZhNjIiLCJwIjoic2hlZXRzLWppcmEifQ","ITPROJECT-1320")</f>
        <v>ITPROJECT-1320</v>
      </c>
      <c r="C39" s="1" t="s">
        <v>118</v>
      </c>
      <c r="D39" s="1" t="s">
        <v>51</v>
      </c>
      <c r="E39" s="1" t="s">
        <v>119</v>
      </c>
      <c r="F39" s="1" t="s">
        <v>12</v>
      </c>
      <c r="G39" s="1" t="s">
        <v>120</v>
      </c>
      <c r="H39" s="4">
        <v>45009.582106481481</v>
      </c>
      <c r="I39" s="4">
        <v>45061.161759259259</v>
      </c>
      <c r="J39" s="1" t="s">
        <v>38</v>
      </c>
    </row>
    <row r="40" spans="1:10" ht="12.75" x14ac:dyDescent="0.2">
      <c r="A40" s="1" t="s">
        <v>117</v>
      </c>
      <c r="B40" s="3" t="str">
        <f>HYPERLINK("https://pegadaian.atlassian.net/browse/ITPROJECT-1318?atlOrigin=eyJpIjoiYzgwYTQ0ZjEyNzQzNGJhN2JmNjEyZTM0NmRhZWZhNjIiLCJwIjoic2hlZXRzLWppcmEifQ","ITPROJECT-1318")</f>
        <v>ITPROJECT-1318</v>
      </c>
      <c r="C40" s="1" t="s">
        <v>121</v>
      </c>
      <c r="D40" s="1" t="s">
        <v>65</v>
      </c>
      <c r="E40" s="1" t="s">
        <v>122</v>
      </c>
      <c r="F40" s="1" t="s">
        <v>12</v>
      </c>
      <c r="G40" s="1" t="s">
        <v>76</v>
      </c>
      <c r="H40" s="4">
        <v>45009.439062500001</v>
      </c>
      <c r="I40" s="4">
        <v>45061.161770833336</v>
      </c>
      <c r="J40" s="1" t="s">
        <v>54</v>
      </c>
    </row>
    <row r="41" spans="1:10" ht="12.75" x14ac:dyDescent="0.2">
      <c r="A41" s="1" t="s">
        <v>63</v>
      </c>
      <c r="B41" s="3" t="str">
        <f>HYPERLINK("https://pegadaian.atlassian.net/browse/ITPROJECT-1317?atlOrigin=eyJpIjoiYzgwYTQ0ZjEyNzQzNGJhN2JmNjEyZTM0NmRhZWZhNjIiLCJwIjoic2hlZXRzLWppcmEifQ","ITPROJECT-1317")</f>
        <v>ITPROJECT-1317</v>
      </c>
      <c r="C41" s="1" t="s">
        <v>123</v>
      </c>
      <c r="D41" s="1" t="s">
        <v>124</v>
      </c>
      <c r="E41" s="1" t="s">
        <v>124</v>
      </c>
      <c r="F41" s="1" t="s">
        <v>12</v>
      </c>
      <c r="G41" s="1" t="s">
        <v>72</v>
      </c>
      <c r="H41" s="4">
        <v>45006.64371527778</v>
      </c>
      <c r="I41" s="4">
        <v>45061.161770833336</v>
      </c>
      <c r="J41" s="1" t="s">
        <v>34</v>
      </c>
    </row>
    <row r="42" spans="1:10" ht="12.75" x14ac:dyDescent="0.2">
      <c r="A42" s="1" t="s">
        <v>63</v>
      </c>
      <c r="B42" s="3" t="str">
        <f>HYPERLINK("https://pegadaian.atlassian.net/browse/ITPROJECT-1316?atlOrigin=eyJpIjoiYzgwYTQ0ZjEyNzQzNGJhN2JmNjEyZTM0NmRhZWZhNjIiLCJwIjoic2hlZXRzLWppcmEifQ","ITPROJECT-1316")</f>
        <v>ITPROJECT-1316</v>
      </c>
      <c r="C42" s="1" t="s">
        <v>125</v>
      </c>
      <c r="D42" s="1" t="s">
        <v>44</v>
      </c>
      <c r="E42" s="1" t="s">
        <v>44</v>
      </c>
      <c r="F42" s="1" t="s">
        <v>12</v>
      </c>
      <c r="G42" s="1" t="s">
        <v>76</v>
      </c>
      <c r="H42" s="4">
        <v>45006.600462962961</v>
      </c>
      <c r="I42" s="4">
        <v>45061.161782407406</v>
      </c>
      <c r="J42" s="1" t="s">
        <v>45</v>
      </c>
    </row>
    <row r="43" spans="1:10" ht="12.75" x14ac:dyDescent="0.2">
      <c r="A43" s="1" t="s">
        <v>63</v>
      </c>
      <c r="B43" s="3" t="str">
        <f>HYPERLINK("https://pegadaian.atlassian.net/browse/ITPROJECT-1315?atlOrigin=eyJpIjoiYzgwYTQ0ZjEyNzQzNGJhN2JmNjEyZTM0NmRhZWZhNjIiLCJwIjoic2hlZXRzLWppcmEifQ","ITPROJECT-1315")</f>
        <v>ITPROJECT-1315</v>
      </c>
      <c r="C43" s="1" t="s">
        <v>126</v>
      </c>
      <c r="D43" s="1" t="s">
        <v>44</v>
      </c>
      <c r="E43" s="1" t="s">
        <v>44</v>
      </c>
      <c r="F43" s="1" t="s">
        <v>12</v>
      </c>
      <c r="G43" s="1" t="s">
        <v>89</v>
      </c>
      <c r="H43" s="4">
        <v>45006.594976851855</v>
      </c>
      <c r="I43" s="4">
        <v>45061.161782407406</v>
      </c>
      <c r="J43" s="1" t="s">
        <v>45</v>
      </c>
    </row>
    <row r="44" spans="1:10" ht="12.75" x14ac:dyDescent="0.2">
      <c r="A44" s="1" t="s">
        <v>117</v>
      </c>
      <c r="B44" s="3" t="str">
        <f>HYPERLINK("https://pegadaian.atlassian.net/browse/ITPROJECT-1314?atlOrigin=eyJpIjoiYzgwYTQ0ZjEyNzQzNGJhN2JmNjEyZTM0NmRhZWZhNjIiLCJwIjoic2hlZXRzLWppcmEifQ","ITPROJECT-1314")</f>
        <v>ITPROJECT-1314</v>
      </c>
      <c r="C44" s="1" t="s">
        <v>127</v>
      </c>
      <c r="D44" s="1" t="s">
        <v>44</v>
      </c>
      <c r="E44" s="1" t="s">
        <v>119</v>
      </c>
      <c r="F44" s="1" t="s">
        <v>12</v>
      </c>
      <c r="G44" s="1" t="s">
        <v>76</v>
      </c>
      <c r="H44" s="4">
        <v>45006.470173611109</v>
      </c>
      <c r="I44" s="4">
        <v>45061.161793981482</v>
      </c>
      <c r="J44" s="1" t="s">
        <v>45</v>
      </c>
    </row>
    <row r="45" spans="1:10" ht="12.75" x14ac:dyDescent="0.2">
      <c r="A45" s="1" t="s">
        <v>63</v>
      </c>
      <c r="B45" s="3" t="str">
        <f>HYPERLINK("https://pegadaian.atlassian.net/browse/ITPROJECT-1313?atlOrigin=eyJpIjoiYzgwYTQ0ZjEyNzQzNGJhN2JmNjEyZTM0NmRhZWZhNjIiLCJwIjoic2hlZXRzLWppcmEifQ","ITPROJECT-1313")</f>
        <v>ITPROJECT-1313</v>
      </c>
      <c r="C45" s="1" t="s">
        <v>128</v>
      </c>
      <c r="D45" s="1" t="s">
        <v>42</v>
      </c>
      <c r="E45" s="1" t="s">
        <v>42</v>
      </c>
      <c r="F45" s="1" t="s">
        <v>12</v>
      </c>
      <c r="G45" s="1" t="s">
        <v>13</v>
      </c>
      <c r="H45" s="4">
        <v>45004.522638888891</v>
      </c>
      <c r="I45" s="4">
        <v>45061.161793981482</v>
      </c>
      <c r="J45" s="1" t="s">
        <v>15</v>
      </c>
    </row>
    <row r="46" spans="1:10" ht="12.75" x14ac:dyDescent="0.2">
      <c r="A46" s="1" t="s">
        <v>117</v>
      </c>
      <c r="B46" s="3" t="str">
        <f>HYPERLINK("https://pegadaian.atlassian.net/browse/ITPROJECT-1312?atlOrigin=eyJpIjoiYzgwYTQ0ZjEyNzQzNGJhN2JmNjEyZTM0NmRhZWZhNjIiLCJwIjoic2hlZXRzLWppcmEifQ","ITPROJECT-1312")</f>
        <v>ITPROJECT-1312</v>
      </c>
      <c r="C46" s="1" t="s">
        <v>129</v>
      </c>
      <c r="D46" s="1" t="s">
        <v>42</v>
      </c>
      <c r="E46" s="1" t="s">
        <v>130</v>
      </c>
      <c r="F46" s="1" t="s">
        <v>12</v>
      </c>
      <c r="G46" s="1" t="s">
        <v>13</v>
      </c>
      <c r="H46" s="4">
        <v>45002.323425925926</v>
      </c>
      <c r="I46" s="4">
        <v>45061.161805555559</v>
      </c>
      <c r="J46" s="1" t="s">
        <v>131</v>
      </c>
    </row>
    <row r="47" spans="1:10" ht="12.75" x14ac:dyDescent="0.2">
      <c r="A47" s="1" t="s">
        <v>117</v>
      </c>
      <c r="B47" s="3" t="str">
        <f>HYPERLINK("https://pegadaian.atlassian.net/browse/ITPROJECT-1311?atlOrigin=eyJpIjoiYzgwYTQ0ZjEyNzQzNGJhN2JmNjEyZTM0NmRhZWZhNjIiLCJwIjoic2hlZXRzLWppcmEifQ","ITPROJECT-1311")</f>
        <v>ITPROJECT-1311</v>
      </c>
      <c r="C47" s="1" t="s">
        <v>132</v>
      </c>
      <c r="D47" s="1" t="s">
        <v>99</v>
      </c>
      <c r="E47" s="1" t="s">
        <v>122</v>
      </c>
      <c r="F47" s="1" t="s">
        <v>12</v>
      </c>
      <c r="G47" s="1" t="s">
        <v>76</v>
      </c>
      <c r="H47" s="4">
        <v>45000.647951388892</v>
      </c>
      <c r="I47" s="4">
        <v>45061.161805555559</v>
      </c>
      <c r="J47" s="1" t="s">
        <v>18</v>
      </c>
    </row>
    <row r="48" spans="1:10" ht="12.75" x14ac:dyDescent="0.2">
      <c r="A48" s="1" t="s">
        <v>117</v>
      </c>
      <c r="B48" s="3" t="str">
        <f>HYPERLINK("https://pegadaian.atlassian.net/browse/ITPROJECT-1310?atlOrigin=eyJpIjoiYzgwYTQ0ZjEyNzQzNGJhN2JmNjEyZTM0NmRhZWZhNjIiLCJwIjoic2hlZXRzLWppcmEifQ","ITPROJECT-1310")</f>
        <v>ITPROJECT-1310</v>
      </c>
      <c r="C48" s="1" t="s">
        <v>133</v>
      </c>
      <c r="D48" s="1" t="s">
        <v>134</v>
      </c>
      <c r="E48" s="1" t="s">
        <v>122</v>
      </c>
      <c r="F48" s="1" t="s">
        <v>12</v>
      </c>
      <c r="G48" s="1" t="s">
        <v>66</v>
      </c>
      <c r="H48" s="4">
        <v>45000.577986111108</v>
      </c>
      <c r="I48" s="4">
        <v>45061.161817129629</v>
      </c>
      <c r="J48" s="1" t="s">
        <v>87</v>
      </c>
    </row>
    <row r="49" spans="1:10" ht="12.75" x14ac:dyDescent="0.2">
      <c r="A49" s="1" t="s">
        <v>63</v>
      </c>
      <c r="B49" s="3" t="str">
        <f>HYPERLINK("https://pegadaian.atlassian.net/browse/ITPROJECT-1309?atlOrigin=eyJpIjoiYzgwYTQ0ZjEyNzQzNGJhN2JmNjEyZTM0NmRhZWZhNjIiLCJwIjoic2hlZXRzLWppcmEifQ","ITPROJECT-1309")</f>
        <v>ITPROJECT-1309</v>
      </c>
      <c r="C49" s="1" t="s">
        <v>135</v>
      </c>
      <c r="D49" s="1" t="s">
        <v>124</v>
      </c>
      <c r="E49" s="1" t="s">
        <v>124</v>
      </c>
      <c r="F49" s="1" t="s">
        <v>12</v>
      </c>
      <c r="G49" s="1" t="s">
        <v>72</v>
      </c>
      <c r="H49" s="4">
        <v>45000.450115740743</v>
      </c>
      <c r="I49" s="4">
        <v>45061.161828703705</v>
      </c>
      <c r="J49" s="1" t="s">
        <v>34</v>
      </c>
    </row>
    <row r="50" spans="1:10" ht="12.75" x14ac:dyDescent="0.2">
      <c r="A50" s="1" t="s">
        <v>63</v>
      </c>
      <c r="B50" s="3" t="str">
        <f>HYPERLINK("https://pegadaian.atlassian.net/browse/ITPROJECT-1307?atlOrigin=eyJpIjoiYzgwYTQ0ZjEyNzQzNGJhN2JmNjEyZTM0NmRhZWZhNjIiLCJwIjoic2hlZXRzLWppcmEifQ","ITPROJECT-1307")</f>
        <v>ITPROJECT-1307</v>
      </c>
      <c r="C50" s="1" t="s">
        <v>136</v>
      </c>
      <c r="D50" s="1" t="s">
        <v>36</v>
      </c>
      <c r="E50" s="1" t="s">
        <v>36</v>
      </c>
      <c r="F50" s="1" t="s">
        <v>12</v>
      </c>
      <c r="G50" s="1" t="s">
        <v>76</v>
      </c>
      <c r="H50" s="4">
        <v>44999.464270833334</v>
      </c>
      <c r="I50" s="4">
        <v>45061.161828703705</v>
      </c>
      <c r="J50" s="1" t="s">
        <v>37</v>
      </c>
    </row>
    <row r="51" spans="1:10" ht="12.75" x14ac:dyDescent="0.2">
      <c r="A51" s="1" t="s">
        <v>117</v>
      </c>
      <c r="B51" s="3" t="str">
        <f>HYPERLINK("https://pegadaian.atlassian.net/browse/ITPROJECT-1305?atlOrigin=eyJpIjoiYzgwYTQ0ZjEyNzQzNGJhN2JmNjEyZTM0NmRhZWZhNjIiLCJwIjoic2hlZXRzLWppcmEifQ","ITPROJECT-1305")</f>
        <v>ITPROJECT-1305</v>
      </c>
      <c r="C51" s="1" t="s">
        <v>137</v>
      </c>
      <c r="D51" s="1" t="s">
        <v>65</v>
      </c>
      <c r="E51" s="1" t="s">
        <v>130</v>
      </c>
      <c r="F51" s="1" t="s">
        <v>12</v>
      </c>
      <c r="G51" s="1" t="s">
        <v>120</v>
      </c>
      <c r="H51" s="4">
        <v>44998.736585648148</v>
      </c>
      <c r="I51" s="4">
        <v>45061.161840277775</v>
      </c>
      <c r="J51" s="1" t="s">
        <v>54</v>
      </c>
    </row>
    <row r="52" spans="1:10" ht="12.75" x14ac:dyDescent="0.2">
      <c r="A52" s="1" t="s">
        <v>63</v>
      </c>
      <c r="B52" s="3" t="str">
        <f>HYPERLINK("https://pegadaian.atlassian.net/browse/ITPROJECT-1303?atlOrigin=eyJpIjoiYzgwYTQ0ZjEyNzQzNGJhN2JmNjEyZTM0NmRhZWZhNjIiLCJwIjoic2hlZXRzLWppcmEifQ","ITPROJECT-1303")</f>
        <v>ITPROJECT-1303</v>
      </c>
      <c r="C52" s="1" t="s">
        <v>138</v>
      </c>
      <c r="D52" s="1" t="s">
        <v>139</v>
      </c>
      <c r="E52" s="1" t="s">
        <v>71</v>
      </c>
      <c r="F52" s="1" t="s">
        <v>12</v>
      </c>
      <c r="G52" s="1" t="s">
        <v>68</v>
      </c>
      <c r="H52" s="4">
        <v>44998.470717592594</v>
      </c>
      <c r="I52" s="4">
        <v>45061.161851851852</v>
      </c>
      <c r="J52" s="1" t="s">
        <v>140</v>
      </c>
    </row>
    <row r="53" spans="1:10" ht="12.75" x14ac:dyDescent="0.2">
      <c r="A53" s="1" t="s">
        <v>63</v>
      </c>
      <c r="B53" s="3" t="str">
        <f>HYPERLINK("https://pegadaian.atlassian.net/browse/ITPROJECT-1302?atlOrigin=eyJpIjoiYzgwYTQ0ZjEyNzQzNGJhN2JmNjEyZTM0NmRhZWZhNjIiLCJwIjoic2hlZXRzLWppcmEifQ","ITPROJECT-1302")</f>
        <v>ITPROJECT-1302</v>
      </c>
      <c r="C53" s="1" t="s">
        <v>141</v>
      </c>
      <c r="D53" s="1" t="s">
        <v>31</v>
      </c>
      <c r="E53" s="1" t="s">
        <v>28</v>
      </c>
      <c r="F53" s="1" t="s">
        <v>12</v>
      </c>
      <c r="G53" s="1" t="s">
        <v>13</v>
      </c>
      <c r="H53" s="4">
        <v>44996.78019675926</v>
      </c>
      <c r="I53" s="4">
        <v>45061.161863425928</v>
      </c>
      <c r="J53" s="1" t="s">
        <v>27</v>
      </c>
    </row>
    <row r="54" spans="1:10" ht="12.75" x14ac:dyDescent="0.2">
      <c r="A54" s="1" t="s">
        <v>63</v>
      </c>
      <c r="B54" s="3" t="str">
        <f>HYPERLINK("https://pegadaian.atlassian.net/browse/ITPROJECT-1301?atlOrigin=eyJpIjoiYzgwYTQ0ZjEyNzQzNGJhN2JmNjEyZTM0NmRhZWZhNjIiLCJwIjoic2hlZXRzLWppcmEifQ","ITPROJECT-1301")</f>
        <v>ITPROJECT-1301</v>
      </c>
      <c r="C54" s="1" t="s">
        <v>142</v>
      </c>
      <c r="D54" s="1" t="s">
        <v>17</v>
      </c>
      <c r="E54" s="1" t="s">
        <v>17</v>
      </c>
      <c r="F54" s="1" t="s">
        <v>12</v>
      </c>
      <c r="G54" s="1" t="s">
        <v>66</v>
      </c>
      <c r="H54" s="4">
        <v>44996.590381944443</v>
      </c>
      <c r="I54" s="4">
        <v>45061.161863425928</v>
      </c>
      <c r="J54" s="1" t="s">
        <v>18</v>
      </c>
    </row>
    <row r="55" spans="1:10" ht="12.75" x14ac:dyDescent="0.2">
      <c r="A55" s="1" t="s">
        <v>117</v>
      </c>
      <c r="B55" s="3" t="str">
        <f>HYPERLINK("https://pegadaian.atlassian.net/browse/ITPROJECT-1300?atlOrigin=eyJpIjoiYzgwYTQ0ZjEyNzQzNGJhN2JmNjEyZTM0NmRhZWZhNjIiLCJwIjoic2hlZXRzLWppcmEifQ","ITPROJECT-1300")</f>
        <v>ITPROJECT-1300</v>
      </c>
      <c r="C55" s="1" t="s">
        <v>143</v>
      </c>
      <c r="D55" s="1" t="s">
        <v>112</v>
      </c>
      <c r="E55" s="1" t="s">
        <v>119</v>
      </c>
      <c r="F55" s="1" t="s">
        <v>12</v>
      </c>
      <c r="G55" s="1" t="s">
        <v>66</v>
      </c>
      <c r="H55" s="4">
        <v>44995.650254629632</v>
      </c>
      <c r="I55" s="4">
        <v>45061.161863425928</v>
      </c>
      <c r="J55" s="1" t="s">
        <v>14</v>
      </c>
    </row>
    <row r="56" spans="1:10" ht="12.75" x14ac:dyDescent="0.2">
      <c r="A56" s="1" t="s">
        <v>63</v>
      </c>
      <c r="B56" s="3" t="str">
        <f>HYPERLINK("https://pegadaian.atlassian.net/browse/ITPROJECT-1299?atlOrigin=eyJpIjoiYzgwYTQ0ZjEyNzQzNGJhN2JmNjEyZTM0NmRhZWZhNjIiLCJwIjoic2hlZXRzLWppcmEifQ","ITPROJECT-1299")</f>
        <v>ITPROJECT-1299</v>
      </c>
      <c r="C56" s="1" t="s">
        <v>144</v>
      </c>
      <c r="D56" s="1" t="s">
        <v>145</v>
      </c>
      <c r="E56" s="1" t="s">
        <v>145</v>
      </c>
      <c r="F56" s="1" t="s">
        <v>12</v>
      </c>
      <c r="G56" s="1" t="s">
        <v>89</v>
      </c>
      <c r="H56" s="4">
        <v>44995.629351851851</v>
      </c>
      <c r="I56" s="4">
        <v>45061.161874999998</v>
      </c>
      <c r="J56" s="1" t="s">
        <v>45</v>
      </c>
    </row>
    <row r="57" spans="1:10" ht="12.75" x14ac:dyDescent="0.2">
      <c r="A57" s="1" t="s">
        <v>63</v>
      </c>
      <c r="B57" s="3" t="str">
        <f>HYPERLINK("https://pegadaian.atlassian.net/browse/ITPROJECT-1298?atlOrigin=eyJpIjoiYzgwYTQ0ZjEyNzQzNGJhN2JmNjEyZTM0NmRhZWZhNjIiLCJwIjoic2hlZXRzLWppcmEifQ","ITPROJECT-1298")</f>
        <v>ITPROJECT-1298</v>
      </c>
      <c r="C57" s="1" t="s">
        <v>146</v>
      </c>
      <c r="D57" s="1" t="s">
        <v>56</v>
      </c>
      <c r="E57" s="1" t="s">
        <v>56</v>
      </c>
      <c r="F57" s="1" t="s">
        <v>12</v>
      </c>
      <c r="G57" s="1" t="s">
        <v>72</v>
      </c>
      <c r="H57" s="4">
        <v>44994.590497685182</v>
      </c>
      <c r="I57" s="4">
        <v>45061.161874999998</v>
      </c>
      <c r="J57" s="1" t="s">
        <v>11</v>
      </c>
    </row>
    <row r="58" spans="1:10" ht="12.75" x14ac:dyDescent="0.2">
      <c r="A58" s="1" t="s">
        <v>63</v>
      </c>
      <c r="B58" s="3" t="str">
        <f>HYPERLINK("https://pegadaian.atlassian.net/browse/ITPROJECT-1297?atlOrigin=eyJpIjoiYzgwYTQ0ZjEyNzQzNGJhN2JmNjEyZTM0NmRhZWZhNjIiLCJwIjoic2hlZXRzLWppcmEifQ","ITPROJECT-1297")</f>
        <v>ITPROJECT-1297</v>
      </c>
      <c r="C58" s="1" t="s">
        <v>147</v>
      </c>
      <c r="D58" s="1" t="s">
        <v>99</v>
      </c>
      <c r="E58" s="1" t="s">
        <v>99</v>
      </c>
      <c r="F58" s="1" t="s">
        <v>12</v>
      </c>
      <c r="G58" s="1" t="s">
        <v>72</v>
      </c>
      <c r="H58" s="4">
        <v>44994.457777777781</v>
      </c>
      <c r="I58" s="4">
        <v>45061.161886574075</v>
      </c>
      <c r="J58" s="1" t="s">
        <v>148</v>
      </c>
    </row>
    <row r="59" spans="1:10" ht="12.75" x14ac:dyDescent="0.2">
      <c r="A59" s="1" t="s">
        <v>63</v>
      </c>
      <c r="B59" s="3" t="str">
        <f>HYPERLINK("https://pegadaian.atlassian.net/browse/ITPROJECT-1296?atlOrigin=eyJpIjoiYzgwYTQ0ZjEyNzQzNGJhN2JmNjEyZTM0NmRhZWZhNjIiLCJwIjoic2hlZXRzLWppcmEifQ","ITPROJECT-1296")</f>
        <v>ITPROJECT-1296</v>
      </c>
      <c r="C59" s="1" t="s">
        <v>149</v>
      </c>
      <c r="D59" s="1" t="s">
        <v>36</v>
      </c>
      <c r="E59" s="1" t="s">
        <v>36</v>
      </c>
      <c r="F59" s="1" t="s">
        <v>12</v>
      </c>
      <c r="G59" s="1" t="s">
        <v>72</v>
      </c>
      <c r="H59" s="4">
        <v>44993.709467592591</v>
      </c>
      <c r="I59" s="4">
        <v>45061.161886574075</v>
      </c>
      <c r="J59" s="1" t="s">
        <v>37</v>
      </c>
    </row>
    <row r="60" spans="1:10" ht="12.75" x14ac:dyDescent="0.2">
      <c r="A60" s="1" t="s">
        <v>63</v>
      </c>
      <c r="B60" s="3" t="str">
        <f>HYPERLINK("https://pegadaian.atlassian.net/browse/ITPROJECT-1295?atlOrigin=eyJpIjoiYzgwYTQ0ZjEyNzQzNGJhN2JmNjEyZTM0NmRhZWZhNjIiLCJwIjoic2hlZXRzLWppcmEifQ","ITPROJECT-1295")</f>
        <v>ITPROJECT-1295</v>
      </c>
      <c r="C60" s="1" t="s">
        <v>150</v>
      </c>
      <c r="D60" s="1" t="s">
        <v>36</v>
      </c>
      <c r="E60" s="1" t="s">
        <v>36</v>
      </c>
      <c r="F60" s="1" t="s">
        <v>12</v>
      </c>
      <c r="G60" s="1" t="s">
        <v>76</v>
      </c>
      <c r="H60" s="4">
        <v>44993.674120370371</v>
      </c>
      <c r="I60" s="4">
        <v>45061.161898148152</v>
      </c>
      <c r="J60" s="1" t="s">
        <v>37</v>
      </c>
    </row>
    <row r="61" spans="1:10" ht="12.75" x14ac:dyDescent="0.2">
      <c r="A61" s="1" t="s">
        <v>117</v>
      </c>
      <c r="B61" s="3" t="str">
        <f>HYPERLINK("https://pegadaian.atlassian.net/browse/ITPROJECT-1294?atlOrigin=eyJpIjoiYzgwYTQ0ZjEyNzQzNGJhN2JmNjEyZTM0NmRhZWZhNjIiLCJwIjoic2hlZXRzLWppcmEifQ","ITPROJECT-1294")</f>
        <v>ITPROJECT-1294</v>
      </c>
      <c r="C61" s="1" t="s">
        <v>151</v>
      </c>
      <c r="D61" s="1" t="s">
        <v>71</v>
      </c>
      <c r="E61" s="1" t="s">
        <v>122</v>
      </c>
      <c r="F61" s="1" t="s">
        <v>12</v>
      </c>
      <c r="G61" s="1" t="s">
        <v>72</v>
      </c>
      <c r="H61" s="4">
        <v>44993.6562037037</v>
      </c>
      <c r="I61" s="4">
        <v>45061.161909722221</v>
      </c>
      <c r="J61" s="1" t="s">
        <v>60</v>
      </c>
    </row>
    <row r="62" spans="1:10" ht="12.75" x14ac:dyDescent="0.2">
      <c r="A62" s="1" t="s">
        <v>63</v>
      </c>
      <c r="B62" s="3" t="str">
        <f>HYPERLINK("https://pegadaian.atlassian.net/browse/ITPROJECT-1293?atlOrigin=eyJpIjoiYzgwYTQ0ZjEyNzQzNGJhN2JmNjEyZTM0NmRhZWZhNjIiLCJwIjoic2hlZXRzLWppcmEifQ","ITPROJECT-1293")</f>
        <v>ITPROJECT-1293</v>
      </c>
      <c r="C62" s="1" t="s">
        <v>152</v>
      </c>
      <c r="D62" s="1" t="s">
        <v>145</v>
      </c>
      <c r="E62" s="1" t="s">
        <v>44</v>
      </c>
      <c r="F62" s="1" t="s">
        <v>12</v>
      </c>
      <c r="G62" s="1" t="s">
        <v>72</v>
      </c>
      <c r="H62" s="4">
        <v>44993.620104166665</v>
      </c>
      <c r="I62" s="4">
        <v>45061.161909722221</v>
      </c>
      <c r="J62" s="1" t="s">
        <v>45</v>
      </c>
    </row>
    <row r="63" spans="1:10" ht="12.75" x14ac:dyDescent="0.2">
      <c r="A63" s="1" t="s">
        <v>117</v>
      </c>
      <c r="B63" s="3" t="str">
        <f>HYPERLINK("https://pegadaian.atlassian.net/browse/ITPROJECT-1292?atlOrigin=eyJpIjoiYzgwYTQ0ZjEyNzQzNGJhN2JmNjEyZTM0NmRhZWZhNjIiLCJwIjoic2hlZXRzLWppcmEifQ","ITPROJECT-1292")</f>
        <v>ITPROJECT-1292</v>
      </c>
      <c r="C63" s="1" t="s">
        <v>153</v>
      </c>
      <c r="D63" s="1" t="s">
        <v>50</v>
      </c>
      <c r="E63" s="1" t="s">
        <v>130</v>
      </c>
      <c r="F63" s="1" t="s">
        <v>12</v>
      </c>
      <c r="G63" s="1" t="s">
        <v>120</v>
      </c>
      <c r="H63" s="4">
        <v>44993.613020833334</v>
      </c>
      <c r="I63" s="4">
        <v>45061.161921296298</v>
      </c>
      <c r="J63" s="1" t="s">
        <v>39</v>
      </c>
    </row>
    <row r="64" spans="1:10" ht="12.75" x14ac:dyDescent="0.2">
      <c r="A64" s="1" t="s">
        <v>63</v>
      </c>
      <c r="B64" s="3" t="str">
        <f>HYPERLINK("https://pegadaian.atlassian.net/browse/ITPROJECT-1291?atlOrigin=eyJpIjoiYzgwYTQ0ZjEyNzQzNGJhN2JmNjEyZTM0NmRhZWZhNjIiLCJwIjoic2hlZXRzLWppcmEifQ","ITPROJECT-1291")</f>
        <v>ITPROJECT-1291</v>
      </c>
      <c r="C64" s="1" t="s">
        <v>154</v>
      </c>
      <c r="D64" s="1" t="s">
        <v>31</v>
      </c>
      <c r="E64" s="1" t="s">
        <v>28</v>
      </c>
      <c r="F64" s="1" t="s">
        <v>12</v>
      </c>
      <c r="G64" s="1" t="s">
        <v>76</v>
      </c>
      <c r="H64" s="4">
        <v>44993.570752314816</v>
      </c>
      <c r="I64" s="4">
        <v>45061.161921296298</v>
      </c>
      <c r="J64" s="1" t="s">
        <v>27</v>
      </c>
    </row>
    <row r="65" spans="1:10" ht="12.75" x14ac:dyDescent="0.2">
      <c r="A65" s="1" t="s">
        <v>117</v>
      </c>
      <c r="B65" s="3" t="str">
        <f>HYPERLINK("https://pegadaian.atlassian.net/browse/ITPROJECT-1290?atlOrigin=eyJpIjoiYzgwYTQ0ZjEyNzQzNGJhN2JmNjEyZTM0NmRhZWZhNjIiLCJwIjoic2hlZXRzLWppcmEifQ","ITPROJECT-1290")</f>
        <v>ITPROJECT-1290</v>
      </c>
      <c r="C65" s="1" t="s">
        <v>155</v>
      </c>
      <c r="D65" s="1" t="s">
        <v>28</v>
      </c>
      <c r="E65" s="1" t="s">
        <v>130</v>
      </c>
      <c r="F65" s="1" t="s">
        <v>12</v>
      </c>
      <c r="G65" s="1" t="s">
        <v>76</v>
      </c>
      <c r="H65" s="4">
        <v>44993.494062500002</v>
      </c>
      <c r="I65" s="4">
        <v>45061.161932870367</v>
      </c>
      <c r="J65" s="1" t="s">
        <v>156</v>
      </c>
    </row>
    <row r="66" spans="1:10" ht="12.75" x14ac:dyDescent="0.2">
      <c r="A66" s="1" t="s">
        <v>63</v>
      </c>
      <c r="B66" s="3" t="str">
        <f>HYPERLINK("https://pegadaian.atlassian.net/browse/ITPROJECT-1289?atlOrigin=eyJpIjoiYzgwYTQ0ZjEyNzQzNGJhN2JmNjEyZTM0NmRhZWZhNjIiLCJwIjoic2hlZXRzLWppcmEifQ","ITPROJECT-1289")</f>
        <v>ITPROJECT-1289</v>
      </c>
      <c r="C66" s="1" t="s">
        <v>157</v>
      </c>
      <c r="D66" s="1" t="s">
        <v>65</v>
      </c>
      <c r="E66" s="1" t="s">
        <v>65</v>
      </c>
      <c r="F66" s="1" t="s">
        <v>12</v>
      </c>
      <c r="G66" s="1" t="s">
        <v>158</v>
      </c>
      <c r="H66" s="4">
        <v>44992.707673611112</v>
      </c>
      <c r="I66" s="4">
        <v>45061.161932870367</v>
      </c>
      <c r="J66" s="1" t="s">
        <v>54</v>
      </c>
    </row>
    <row r="67" spans="1:10" ht="12.75" x14ac:dyDescent="0.2">
      <c r="A67" s="1" t="s">
        <v>117</v>
      </c>
      <c r="B67" s="3" t="str">
        <f>HYPERLINK("https://pegadaian.atlassian.net/browse/ITPROJECT-1288?atlOrigin=eyJpIjoiYzgwYTQ0ZjEyNzQzNGJhN2JmNjEyZTM0NmRhZWZhNjIiLCJwIjoic2hlZXRzLWppcmEifQ","ITPROJECT-1288")</f>
        <v>ITPROJECT-1288</v>
      </c>
      <c r="C67" s="1" t="s">
        <v>159</v>
      </c>
      <c r="D67" s="1" t="s">
        <v>99</v>
      </c>
      <c r="E67" s="1" t="s">
        <v>122</v>
      </c>
      <c r="F67" s="1" t="s">
        <v>12</v>
      </c>
      <c r="G67" s="1" t="s">
        <v>120</v>
      </c>
      <c r="H67" s="4">
        <v>44992.680659722224</v>
      </c>
      <c r="I67" s="4">
        <v>45061.161944444444</v>
      </c>
      <c r="J67" s="1" t="s">
        <v>18</v>
      </c>
    </row>
    <row r="68" spans="1:10" ht="12.75" x14ac:dyDescent="0.2">
      <c r="A68" s="1" t="s">
        <v>117</v>
      </c>
      <c r="B68" s="3" t="str">
        <f>HYPERLINK("https://pegadaian.atlassian.net/browse/ITPROJECT-1287?atlOrigin=eyJpIjoiYzgwYTQ0ZjEyNzQzNGJhN2JmNjEyZTM0NmRhZWZhNjIiLCJwIjoic2hlZXRzLWppcmEifQ","ITPROJECT-1287")</f>
        <v>ITPROJECT-1287</v>
      </c>
      <c r="C68" s="1" t="s">
        <v>160</v>
      </c>
      <c r="D68" s="1" t="s">
        <v>36</v>
      </c>
      <c r="E68" s="1" t="s">
        <v>161</v>
      </c>
      <c r="F68" s="1" t="s">
        <v>12</v>
      </c>
      <c r="G68" s="1" t="s">
        <v>76</v>
      </c>
      <c r="H68" s="4">
        <v>44992.635787037034</v>
      </c>
      <c r="I68" s="4">
        <v>45061.161944444444</v>
      </c>
      <c r="J68" s="1" t="s">
        <v>37</v>
      </c>
    </row>
    <row r="69" spans="1:10" ht="12.75" x14ac:dyDescent="0.2">
      <c r="A69" s="1" t="s">
        <v>117</v>
      </c>
      <c r="B69" s="3" t="str">
        <f>HYPERLINK("https://pegadaian.atlassian.net/browse/ITPROJECT-1286?atlOrigin=eyJpIjoiYzgwYTQ0ZjEyNzQzNGJhN2JmNjEyZTM0NmRhZWZhNjIiLCJwIjoic2hlZXRzLWppcmEifQ","ITPROJECT-1286")</f>
        <v>ITPROJECT-1286</v>
      </c>
      <c r="C69" s="1" t="s">
        <v>162</v>
      </c>
      <c r="D69" s="1" t="s">
        <v>36</v>
      </c>
      <c r="E69" s="1" t="s">
        <v>161</v>
      </c>
      <c r="F69" s="1" t="s">
        <v>12</v>
      </c>
      <c r="G69" s="1" t="s">
        <v>72</v>
      </c>
      <c r="H69" s="4">
        <v>44992.632604166669</v>
      </c>
      <c r="I69" s="4">
        <v>45061.161956018521</v>
      </c>
      <c r="J69" s="1" t="s">
        <v>37</v>
      </c>
    </row>
    <row r="70" spans="1:10" ht="12.75" x14ac:dyDescent="0.2">
      <c r="A70" s="1" t="s">
        <v>117</v>
      </c>
      <c r="B70" s="3" t="str">
        <f>HYPERLINK("https://pegadaian.atlassian.net/browse/ITPROJECT-1285?atlOrigin=eyJpIjoiYzgwYTQ0ZjEyNzQzNGJhN2JmNjEyZTM0NmRhZWZhNjIiLCJwIjoic2hlZXRzLWppcmEifQ","ITPROJECT-1285")</f>
        <v>ITPROJECT-1285</v>
      </c>
      <c r="C70" s="1" t="s">
        <v>163</v>
      </c>
      <c r="D70" s="1" t="s">
        <v>36</v>
      </c>
      <c r="E70" s="1" t="s">
        <v>161</v>
      </c>
      <c r="F70" s="1" t="s">
        <v>12</v>
      </c>
      <c r="G70" s="1" t="s">
        <v>72</v>
      </c>
      <c r="H70" s="4">
        <v>44992.630277777775</v>
      </c>
      <c r="I70" s="4">
        <v>45061.161956018521</v>
      </c>
      <c r="J70" s="1" t="s">
        <v>37</v>
      </c>
    </row>
    <row r="71" spans="1:10" ht="12.75" x14ac:dyDescent="0.2">
      <c r="A71" s="1" t="s">
        <v>117</v>
      </c>
      <c r="B71" s="3" t="str">
        <f>HYPERLINK("https://pegadaian.atlassian.net/browse/ITPROJECT-1284?atlOrigin=eyJpIjoiYzgwYTQ0ZjEyNzQzNGJhN2JmNjEyZTM0NmRhZWZhNjIiLCJwIjoic2hlZXRzLWppcmEifQ","ITPROJECT-1284")</f>
        <v>ITPROJECT-1284</v>
      </c>
      <c r="C71" s="1" t="s">
        <v>164</v>
      </c>
      <c r="D71" s="1" t="s">
        <v>124</v>
      </c>
      <c r="E71" s="1" t="s">
        <v>161</v>
      </c>
      <c r="F71" s="1" t="s">
        <v>12</v>
      </c>
      <c r="G71" s="1" t="s">
        <v>120</v>
      </c>
      <c r="H71" s="4">
        <v>44991.642002314817</v>
      </c>
      <c r="I71" s="4">
        <v>45061.16196759259</v>
      </c>
      <c r="J71" s="1" t="s">
        <v>34</v>
      </c>
    </row>
    <row r="72" spans="1:10" ht="12.75" x14ac:dyDescent="0.2">
      <c r="A72" s="1" t="s">
        <v>117</v>
      </c>
      <c r="B72" s="3" t="str">
        <f>HYPERLINK("https://pegadaian.atlassian.net/browse/ITPROJECT-1283?atlOrigin=eyJpIjoiYzgwYTQ0ZjEyNzQzNGJhN2JmNjEyZTM0NmRhZWZhNjIiLCJwIjoic2hlZXRzLWppcmEifQ","ITPROJECT-1283")</f>
        <v>ITPROJECT-1283</v>
      </c>
      <c r="C72" s="1" t="s">
        <v>165</v>
      </c>
      <c r="D72" s="1" t="s">
        <v>124</v>
      </c>
      <c r="E72" s="1" t="s">
        <v>161</v>
      </c>
      <c r="F72" s="1" t="s">
        <v>12</v>
      </c>
      <c r="G72" s="1" t="s">
        <v>120</v>
      </c>
      <c r="H72" s="4">
        <v>44991.623622685183</v>
      </c>
      <c r="I72" s="4">
        <v>45061.16196759259</v>
      </c>
      <c r="J72" s="1" t="s">
        <v>34</v>
      </c>
    </row>
    <row r="73" spans="1:10" ht="12.75" x14ac:dyDescent="0.2">
      <c r="A73" s="1" t="s">
        <v>63</v>
      </c>
      <c r="B73" s="3" t="str">
        <f>HYPERLINK("https://pegadaian.atlassian.net/browse/ITPROJECT-1282?atlOrigin=eyJpIjoiYzgwYTQ0ZjEyNzQzNGJhN2JmNjEyZTM0NmRhZWZhNjIiLCJwIjoic2hlZXRzLWppcmEifQ","ITPROJECT-1282")</f>
        <v>ITPROJECT-1282</v>
      </c>
      <c r="C73" s="1" t="s">
        <v>166</v>
      </c>
      <c r="D73" s="1" t="s">
        <v>65</v>
      </c>
      <c r="E73" s="1" t="s">
        <v>65</v>
      </c>
      <c r="F73" s="1" t="s">
        <v>12</v>
      </c>
      <c r="G73" s="1" t="s">
        <v>68</v>
      </c>
      <c r="H73" s="4">
        <v>44991.558923611112</v>
      </c>
      <c r="I73" s="4">
        <v>45061.161979166667</v>
      </c>
      <c r="J73" s="1" t="s">
        <v>54</v>
      </c>
    </row>
    <row r="74" spans="1:10" ht="12.75" x14ac:dyDescent="0.2">
      <c r="A74" s="1" t="s">
        <v>63</v>
      </c>
      <c r="B74" s="3" t="str">
        <f>HYPERLINK("https://pegadaian.atlassian.net/browse/ITPROJECT-1281?atlOrigin=eyJpIjoiYzgwYTQ0ZjEyNzQzNGJhN2JmNjEyZTM0NmRhZWZhNjIiLCJwIjoic2hlZXRzLWppcmEifQ","ITPROJECT-1281")</f>
        <v>ITPROJECT-1281</v>
      </c>
      <c r="C74" s="1" t="s">
        <v>59</v>
      </c>
      <c r="D74" s="1" t="s">
        <v>79</v>
      </c>
      <c r="E74" s="1" t="s">
        <v>79</v>
      </c>
      <c r="F74" s="1" t="s">
        <v>12</v>
      </c>
      <c r="G74" s="1" t="s">
        <v>68</v>
      </c>
      <c r="H74" s="4">
        <v>44991.475069444445</v>
      </c>
      <c r="I74" s="4">
        <v>45061.161979166667</v>
      </c>
      <c r="J74" s="1" t="s">
        <v>35</v>
      </c>
    </row>
    <row r="75" spans="1:10" ht="12.75" x14ac:dyDescent="0.2">
      <c r="A75" s="1" t="s">
        <v>63</v>
      </c>
      <c r="B75" s="3" t="str">
        <f>HYPERLINK("https://pegadaian.atlassian.net/browse/ITPROJECT-1280?atlOrigin=eyJpIjoiYzgwYTQ0ZjEyNzQzNGJhN2JmNjEyZTM0NmRhZWZhNjIiLCJwIjoic2hlZXRzLWppcmEifQ","ITPROJECT-1280")</f>
        <v>ITPROJECT-1280</v>
      </c>
      <c r="C75" s="1" t="s">
        <v>167</v>
      </c>
      <c r="D75" s="1" t="s">
        <v>168</v>
      </c>
      <c r="E75" s="1" t="s">
        <v>168</v>
      </c>
      <c r="F75" s="1" t="s">
        <v>12</v>
      </c>
      <c r="G75" s="1" t="s">
        <v>89</v>
      </c>
      <c r="H75" s="4">
        <v>44991.461053240739</v>
      </c>
      <c r="I75" s="4">
        <v>45061.161990740744</v>
      </c>
      <c r="J75" s="1" t="s">
        <v>35</v>
      </c>
    </row>
    <row r="76" spans="1:10" ht="12.75" x14ac:dyDescent="0.2">
      <c r="A76" s="1" t="s">
        <v>63</v>
      </c>
      <c r="B76" s="3" t="str">
        <f>HYPERLINK("https://pegadaian.atlassian.net/browse/ITPROJECT-1279?atlOrigin=eyJpIjoiYzgwYTQ0ZjEyNzQzNGJhN2JmNjEyZTM0NmRhZWZhNjIiLCJwIjoic2hlZXRzLWppcmEifQ","ITPROJECT-1279")</f>
        <v>ITPROJECT-1279</v>
      </c>
      <c r="C76" s="1" t="s">
        <v>169</v>
      </c>
      <c r="D76" s="1" t="s">
        <v>79</v>
      </c>
      <c r="E76" s="1" t="s">
        <v>79</v>
      </c>
      <c r="F76" s="1" t="s">
        <v>12</v>
      </c>
      <c r="G76" s="1" t="s">
        <v>68</v>
      </c>
      <c r="H76" s="4">
        <v>44988.37259259259</v>
      </c>
      <c r="I76" s="4">
        <v>45061.161990740744</v>
      </c>
      <c r="J76" s="1" t="s">
        <v>80</v>
      </c>
    </row>
    <row r="77" spans="1:10" ht="12.75" x14ac:dyDescent="0.2">
      <c r="A77" s="1" t="s">
        <v>63</v>
      </c>
      <c r="B77" s="3" t="str">
        <f>HYPERLINK("https://pegadaian.atlassian.net/browse/ITPROJECT-1278?atlOrigin=eyJpIjoiYzgwYTQ0ZjEyNzQzNGJhN2JmNjEyZTM0NmRhZWZhNjIiLCJwIjoic2hlZXRzLWppcmEifQ","ITPROJECT-1278")</f>
        <v>ITPROJECT-1278</v>
      </c>
      <c r="C77" s="1" t="s">
        <v>170</v>
      </c>
      <c r="D77" s="1" t="s">
        <v>42</v>
      </c>
      <c r="E77" s="1" t="s">
        <v>42</v>
      </c>
      <c r="F77" s="1" t="s">
        <v>12</v>
      </c>
      <c r="G77" s="1" t="s">
        <v>13</v>
      </c>
      <c r="H77" s="4">
        <v>44988.313900462963</v>
      </c>
      <c r="I77" s="4">
        <v>45061.162002314813</v>
      </c>
      <c r="J77" s="1" t="s">
        <v>15</v>
      </c>
    </row>
    <row r="78" spans="1:10" ht="12.75" x14ac:dyDescent="0.2">
      <c r="A78" s="1" t="s">
        <v>63</v>
      </c>
      <c r="B78" s="3" t="str">
        <f>HYPERLINK("https://pegadaian.atlassian.net/browse/ITPROJECT-1277?atlOrigin=eyJpIjoiYzgwYTQ0ZjEyNzQzNGJhN2JmNjEyZTM0NmRhZWZhNjIiLCJwIjoic2hlZXRzLWppcmEifQ","ITPROJECT-1277")</f>
        <v>ITPROJECT-1277</v>
      </c>
      <c r="C78" s="1" t="s">
        <v>171</v>
      </c>
      <c r="D78" s="1" t="s">
        <v>17</v>
      </c>
      <c r="E78" s="1" t="s">
        <v>17</v>
      </c>
      <c r="F78" s="1" t="s">
        <v>12</v>
      </c>
      <c r="G78" s="1" t="s">
        <v>68</v>
      </c>
      <c r="H78" s="4">
        <v>44987.475358796299</v>
      </c>
      <c r="I78" s="4">
        <v>45061.162002314813</v>
      </c>
      <c r="J78" s="1" t="s">
        <v>18</v>
      </c>
    </row>
    <row r="79" spans="1:10" ht="12.75" x14ac:dyDescent="0.2">
      <c r="A79" s="1" t="s">
        <v>63</v>
      </c>
      <c r="B79" s="3" t="str">
        <f>HYPERLINK("https://pegadaian.atlassian.net/browse/ITPROJECT-1276?atlOrigin=eyJpIjoiYzgwYTQ0ZjEyNzQzNGJhN2JmNjEyZTM0NmRhZWZhNjIiLCJwIjoic2hlZXRzLWppcmEifQ","ITPROJECT-1276")</f>
        <v>ITPROJECT-1276</v>
      </c>
      <c r="C79" s="1" t="s">
        <v>172</v>
      </c>
      <c r="D79" s="1" t="s">
        <v>75</v>
      </c>
      <c r="E79" s="1" t="s">
        <v>75</v>
      </c>
      <c r="F79" s="1" t="s">
        <v>12</v>
      </c>
      <c r="G79" s="1" t="s">
        <v>68</v>
      </c>
      <c r="H79" s="4">
        <v>44986.76766203704</v>
      </c>
      <c r="I79" s="4">
        <v>45061.16201388889</v>
      </c>
      <c r="J79" s="1" t="s">
        <v>40</v>
      </c>
    </row>
    <row r="80" spans="1:10" ht="12.75" x14ac:dyDescent="0.2">
      <c r="A80" s="1" t="s">
        <v>117</v>
      </c>
      <c r="B80" s="3" t="str">
        <f>HYPERLINK("https://pegadaian.atlassian.net/browse/ITPROJECT-1275?atlOrigin=eyJpIjoiYzgwYTQ0ZjEyNzQzNGJhN2JmNjEyZTM0NmRhZWZhNjIiLCJwIjoic2hlZXRzLWppcmEifQ","ITPROJECT-1275")</f>
        <v>ITPROJECT-1275</v>
      </c>
      <c r="C80" s="1" t="s">
        <v>173</v>
      </c>
      <c r="D80" s="1" t="s">
        <v>42</v>
      </c>
      <c r="E80" s="1" t="s">
        <v>130</v>
      </c>
      <c r="F80" s="1" t="s">
        <v>12</v>
      </c>
      <c r="G80" s="1" t="s">
        <v>13</v>
      </c>
      <c r="H80" s="4">
        <v>44986.548796296294</v>
      </c>
      <c r="I80" s="4">
        <v>45061.16201388889</v>
      </c>
      <c r="J80" s="1" t="s">
        <v>15</v>
      </c>
    </row>
    <row r="81" spans="1:10" ht="12.75" x14ac:dyDescent="0.2">
      <c r="A81" s="1" t="s">
        <v>63</v>
      </c>
      <c r="B81" s="3" t="str">
        <f>HYPERLINK("https://pegadaian.atlassian.net/browse/ITPROJECT-1274?atlOrigin=eyJpIjoiYzgwYTQ0ZjEyNzQzNGJhN2JmNjEyZTM0NmRhZWZhNjIiLCJwIjoic2hlZXRzLWppcmEifQ","ITPROJECT-1274")</f>
        <v>ITPROJECT-1274</v>
      </c>
      <c r="C81" s="1" t="s">
        <v>174</v>
      </c>
      <c r="D81" s="1" t="s">
        <v>57</v>
      </c>
      <c r="E81" s="1" t="s">
        <v>57</v>
      </c>
      <c r="F81" s="1" t="s">
        <v>12</v>
      </c>
      <c r="G81" s="1" t="s">
        <v>76</v>
      </c>
      <c r="H81" s="4">
        <v>44986.45108796296</v>
      </c>
      <c r="I81" s="4">
        <v>45061.16202546296</v>
      </c>
      <c r="J81" s="1" t="s">
        <v>16</v>
      </c>
    </row>
    <row r="82" spans="1:10" ht="12.75" x14ac:dyDescent="0.2">
      <c r="A82" s="1" t="s">
        <v>63</v>
      </c>
      <c r="B82" s="3" t="str">
        <f>HYPERLINK("https://pegadaian.atlassian.net/browse/ITPROJECT-1273?atlOrigin=eyJpIjoiYzgwYTQ0ZjEyNzQzNGJhN2JmNjEyZTM0NmRhZWZhNjIiLCJwIjoic2hlZXRzLWppcmEifQ","ITPROJECT-1273")</f>
        <v>ITPROJECT-1273</v>
      </c>
      <c r="C82" s="1" t="s">
        <v>175</v>
      </c>
      <c r="D82" s="1" t="s">
        <v>42</v>
      </c>
      <c r="E82" s="1" t="s">
        <v>42</v>
      </c>
      <c r="F82" s="1" t="s">
        <v>12</v>
      </c>
      <c r="G82" s="1" t="s">
        <v>68</v>
      </c>
      <c r="H82" s="4">
        <v>44985.763333333336</v>
      </c>
      <c r="I82" s="4">
        <v>45061.16202546296</v>
      </c>
      <c r="J82" s="1" t="s">
        <v>15</v>
      </c>
    </row>
    <row r="83" spans="1:10" ht="12.75" x14ac:dyDescent="0.2">
      <c r="A83" s="1" t="s">
        <v>63</v>
      </c>
      <c r="B83" s="3" t="str">
        <f>HYPERLINK("https://pegadaian.atlassian.net/browse/ITPROJECT-1272?atlOrigin=eyJpIjoiYzgwYTQ0ZjEyNzQzNGJhN2JmNjEyZTM0NmRhZWZhNjIiLCJwIjoic2hlZXRzLWppcmEifQ","ITPROJECT-1272")</f>
        <v>ITPROJECT-1272</v>
      </c>
      <c r="C83" s="1" t="s">
        <v>176</v>
      </c>
      <c r="D83" s="1" t="s">
        <v>25</v>
      </c>
      <c r="E83" s="1" t="s">
        <v>25</v>
      </c>
      <c r="F83" s="1" t="s">
        <v>12</v>
      </c>
      <c r="G83" s="1" t="s">
        <v>89</v>
      </c>
      <c r="H83" s="4">
        <v>44985.685011574074</v>
      </c>
      <c r="I83" s="4">
        <v>45061.162037037036</v>
      </c>
      <c r="J83" s="1" t="s">
        <v>26</v>
      </c>
    </row>
    <row r="84" spans="1:10" ht="12.75" x14ac:dyDescent="0.2">
      <c r="A84" s="1" t="s">
        <v>63</v>
      </c>
      <c r="B84" s="3" t="str">
        <f>HYPERLINK("https://pegadaian.atlassian.net/browse/ITPROJECT-1271?atlOrigin=eyJpIjoiYzgwYTQ0ZjEyNzQzNGJhN2JmNjEyZTM0NmRhZWZhNjIiLCJwIjoic2hlZXRzLWppcmEifQ","ITPROJECT-1271")</f>
        <v>ITPROJECT-1271</v>
      </c>
      <c r="C84" s="1" t="s">
        <v>177</v>
      </c>
      <c r="D84" s="1" t="s">
        <v>56</v>
      </c>
      <c r="E84" s="1" t="s">
        <v>56</v>
      </c>
      <c r="F84" s="1" t="s">
        <v>12</v>
      </c>
      <c r="G84" s="1" t="s">
        <v>13</v>
      </c>
      <c r="H84" s="4">
        <v>44985.407060185185</v>
      </c>
      <c r="I84" s="4">
        <v>45061.162048611113</v>
      </c>
      <c r="J84" s="1" t="s">
        <v>11</v>
      </c>
    </row>
    <row r="85" spans="1:10" ht="12.75" x14ac:dyDescent="0.2">
      <c r="A85" s="1" t="s">
        <v>117</v>
      </c>
      <c r="B85" s="3" t="str">
        <f>HYPERLINK("https://pegadaian.atlassian.net/browse/ITPROJECT-1270?atlOrigin=eyJpIjoiYzgwYTQ0ZjEyNzQzNGJhN2JmNjEyZTM0NmRhZWZhNjIiLCJwIjoic2hlZXRzLWppcmEifQ","ITPROJECT-1270")</f>
        <v>ITPROJECT-1270</v>
      </c>
      <c r="C85" s="1" t="s">
        <v>178</v>
      </c>
      <c r="D85" s="1" t="s">
        <v>75</v>
      </c>
      <c r="E85" s="1" t="s">
        <v>130</v>
      </c>
      <c r="F85" s="1" t="s">
        <v>12</v>
      </c>
      <c r="G85" s="1" t="s">
        <v>68</v>
      </c>
      <c r="H85" s="4">
        <v>44984.616307870368</v>
      </c>
      <c r="I85" s="4">
        <v>45061.162048611113</v>
      </c>
      <c r="J85" s="1" t="s">
        <v>40</v>
      </c>
    </row>
    <row r="86" spans="1:10" ht="12.75" x14ac:dyDescent="0.2">
      <c r="A86" s="1" t="s">
        <v>63</v>
      </c>
      <c r="B86" s="3" t="str">
        <f>HYPERLINK("https://pegadaian.atlassian.net/browse/ITPROJECT-1269?atlOrigin=eyJpIjoiYzgwYTQ0ZjEyNzQzNGJhN2JmNjEyZTM0NmRhZWZhNjIiLCJwIjoic2hlZXRzLWppcmEifQ","ITPROJECT-1269")</f>
        <v>ITPROJECT-1269</v>
      </c>
      <c r="C86" s="1" t="s">
        <v>179</v>
      </c>
      <c r="D86" s="1" t="s">
        <v>112</v>
      </c>
      <c r="E86" s="1" t="s">
        <v>112</v>
      </c>
      <c r="F86" s="1" t="s">
        <v>12</v>
      </c>
      <c r="G86" s="1" t="s">
        <v>66</v>
      </c>
      <c r="H86" s="4">
        <v>44984.487291666665</v>
      </c>
      <c r="I86" s="4">
        <v>45061.162048611113</v>
      </c>
      <c r="J86" s="1" t="s">
        <v>14</v>
      </c>
    </row>
    <row r="87" spans="1:10" ht="12.75" x14ac:dyDescent="0.2">
      <c r="A87" s="1" t="s">
        <v>117</v>
      </c>
      <c r="B87" s="3" t="str">
        <f>HYPERLINK("https://pegadaian.atlassian.net/browse/ITPROJECT-1268?atlOrigin=eyJpIjoiYzgwYTQ0ZjEyNzQzNGJhN2JmNjEyZTM0NmRhZWZhNjIiLCJwIjoic2hlZXRzLWppcmEifQ","ITPROJECT-1268")</f>
        <v>ITPROJECT-1268</v>
      </c>
      <c r="C87" s="1" t="s">
        <v>180</v>
      </c>
      <c r="D87" s="1" t="s">
        <v>31</v>
      </c>
      <c r="E87" s="1" t="s">
        <v>122</v>
      </c>
      <c r="F87" s="1" t="s">
        <v>12</v>
      </c>
      <c r="G87" s="1" t="s">
        <v>120</v>
      </c>
      <c r="H87" s="4">
        <v>44984.463356481479</v>
      </c>
      <c r="I87" s="4">
        <v>45061.162060185183</v>
      </c>
      <c r="J87" s="1" t="s">
        <v>18</v>
      </c>
    </row>
    <row r="88" spans="1:10" ht="12.75" x14ac:dyDescent="0.2">
      <c r="A88" s="1" t="s">
        <v>117</v>
      </c>
      <c r="B88" s="3" t="str">
        <f>HYPERLINK("https://pegadaian.atlassian.net/browse/ITPROJECT-1267?atlOrigin=eyJpIjoiYzgwYTQ0ZjEyNzQzNGJhN2JmNjEyZTM0NmRhZWZhNjIiLCJwIjoic2hlZXRzLWppcmEifQ","ITPROJECT-1267")</f>
        <v>ITPROJECT-1267</v>
      </c>
      <c r="C88" s="1" t="s">
        <v>181</v>
      </c>
      <c r="D88" s="1" t="s">
        <v>31</v>
      </c>
      <c r="E88" s="1" t="s">
        <v>122</v>
      </c>
      <c r="F88" s="1" t="s">
        <v>12</v>
      </c>
      <c r="G88" s="1" t="s">
        <v>120</v>
      </c>
      <c r="H88" s="4">
        <v>44984.462094907409</v>
      </c>
      <c r="I88" s="4">
        <v>45061.16207175926</v>
      </c>
      <c r="J88" s="1" t="s">
        <v>182</v>
      </c>
    </row>
    <row r="89" spans="1:10" ht="12.75" x14ac:dyDescent="0.2">
      <c r="A89" s="1" t="s">
        <v>117</v>
      </c>
      <c r="B89" s="3" t="str">
        <f>HYPERLINK("https://pegadaian.atlassian.net/browse/ITPROJECT-1266?atlOrigin=eyJpIjoiYzgwYTQ0ZjEyNzQzNGJhN2JmNjEyZTM0NmRhZWZhNjIiLCJwIjoic2hlZXRzLWppcmEifQ","ITPROJECT-1266")</f>
        <v>ITPROJECT-1266</v>
      </c>
      <c r="C89" s="1" t="s">
        <v>183</v>
      </c>
      <c r="D89" s="1" t="s">
        <v>31</v>
      </c>
      <c r="E89" s="1" t="s">
        <v>122</v>
      </c>
      <c r="F89" s="1" t="s">
        <v>12</v>
      </c>
      <c r="G89" s="1" t="s">
        <v>120</v>
      </c>
      <c r="H89" s="4">
        <v>44984.461145833331</v>
      </c>
      <c r="I89" s="4">
        <v>45061.162083333336</v>
      </c>
      <c r="J89" s="1" t="s">
        <v>184</v>
      </c>
    </row>
    <row r="90" spans="1:10" ht="12.75" x14ac:dyDescent="0.2">
      <c r="A90" s="1" t="s">
        <v>117</v>
      </c>
      <c r="B90" s="3" t="str">
        <f>HYPERLINK("https://pegadaian.atlassian.net/browse/ITPROJECT-1265?atlOrigin=eyJpIjoiYzgwYTQ0ZjEyNzQzNGJhN2JmNjEyZTM0NmRhZWZhNjIiLCJwIjoic2hlZXRzLWppcmEifQ","ITPROJECT-1265")</f>
        <v>ITPROJECT-1265</v>
      </c>
      <c r="C90" s="1" t="s">
        <v>185</v>
      </c>
      <c r="D90" s="1" t="s">
        <v>31</v>
      </c>
      <c r="E90" s="1" t="s">
        <v>122</v>
      </c>
      <c r="F90" s="1" t="s">
        <v>12</v>
      </c>
      <c r="G90" s="1" t="s">
        <v>120</v>
      </c>
      <c r="H90" s="4">
        <v>44984.460312499999</v>
      </c>
      <c r="I90" s="4">
        <v>45061.162083333336</v>
      </c>
      <c r="J90" s="1" t="s">
        <v>184</v>
      </c>
    </row>
    <row r="91" spans="1:10" ht="12.75" x14ac:dyDescent="0.2">
      <c r="A91" s="1" t="s">
        <v>117</v>
      </c>
      <c r="B91" s="3" t="str">
        <f>HYPERLINK("https://pegadaian.atlassian.net/browse/ITPROJECT-1264?atlOrigin=eyJpIjoiYzgwYTQ0ZjEyNzQzNGJhN2JmNjEyZTM0NmRhZWZhNjIiLCJwIjoic2hlZXRzLWppcmEifQ","ITPROJECT-1264")</f>
        <v>ITPROJECT-1264</v>
      </c>
      <c r="C91" s="1" t="s">
        <v>186</v>
      </c>
      <c r="D91" s="1" t="s">
        <v>31</v>
      </c>
      <c r="E91" s="1" t="s">
        <v>122</v>
      </c>
      <c r="F91" s="1" t="s">
        <v>12</v>
      </c>
      <c r="G91" s="1" t="s">
        <v>120</v>
      </c>
      <c r="H91" s="4">
        <v>44984.459004629629</v>
      </c>
      <c r="I91" s="4">
        <v>45061.162094907406</v>
      </c>
      <c r="J91" s="1" t="s">
        <v>187</v>
      </c>
    </row>
    <row r="92" spans="1:10" ht="12.75" x14ac:dyDescent="0.2">
      <c r="A92" s="1" t="s">
        <v>117</v>
      </c>
      <c r="B92" s="3" t="str">
        <f>HYPERLINK("https://pegadaian.atlassian.net/browse/ITPROJECT-1263?atlOrigin=eyJpIjoiYzgwYTQ0ZjEyNzQzNGJhN2JmNjEyZTM0NmRhZWZhNjIiLCJwIjoic2hlZXRzLWppcmEifQ","ITPROJECT-1263")</f>
        <v>ITPROJECT-1263</v>
      </c>
      <c r="C92" s="1" t="s">
        <v>188</v>
      </c>
      <c r="D92" s="1" t="s">
        <v>31</v>
      </c>
      <c r="E92" s="1" t="s">
        <v>122</v>
      </c>
      <c r="F92" s="1" t="s">
        <v>12</v>
      </c>
      <c r="G92" s="1" t="s">
        <v>120</v>
      </c>
      <c r="H92" s="4">
        <v>44984.457986111112</v>
      </c>
      <c r="I92" s="4">
        <v>45061.162094907406</v>
      </c>
      <c r="J92" s="1" t="s">
        <v>184</v>
      </c>
    </row>
    <row r="93" spans="1:10" ht="12.75" x14ac:dyDescent="0.2">
      <c r="A93" s="1" t="s">
        <v>117</v>
      </c>
      <c r="B93" s="3" t="str">
        <f>HYPERLINK("https://pegadaian.atlassian.net/browse/ITPROJECT-1262?atlOrigin=eyJpIjoiYzgwYTQ0ZjEyNzQzNGJhN2JmNjEyZTM0NmRhZWZhNjIiLCJwIjoic2hlZXRzLWppcmEifQ","ITPROJECT-1262")</f>
        <v>ITPROJECT-1262</v>
      </c>
      <c r="C93" s="1" t="s">
        <v>189</v>
      </c>
      <c r="D93" s="1" t="s">
        <v>31</v>
      </c>
      <c r="E93" s="1" t="s">
        <v>122</v>
      </c>
      <c r="F93" s="1" t="s">
        <v>12</v>
      </c>
      <c r="G93" s="1" t="s">
        <v>120</v>
      </c>
      <c r="H93" s="4">
        <v>44984.456585648149</v>
      </c>
      <c r="I93" s="4">
        <v>45061.162094907406</v>
      </c>
      <c r="J93" s="1" t="s">
        <v>184</v>
      </c>
    </row>
    <row r="94" spans="1:10" ht="12.75" x14ac:dyDescent="0.2">
      <c r="A94" s="1" t="s">
        <v>117</v>
      </c>
      <c r="B94" s="3" t="str">
        <f>HYPERLINK("https://pegadaian.atlassian.net/browse/ITPROJECT-1261?atlOrigin=eyJpIjoiYzgwYTQ0ZjEyNzQzNGJhN2JmNjEyZTM0NmRhZWZhNjIiLCJwIjoic2hlZXRzLWppcmEifQ","ITPROJECT-1261")</f>
        <v>ITPROJECT-1261</v>
      </c>
      <c r="C94" s="1" t="s">
        <v>190</v>
      </c>
      <c r="D94" s="1" t="s">
        <v>31</v>
      </c>
      <c r="E94" s="1" t="s">
        <v>122</v>
      </c>
      <c r="F94" s="1" t="s">
        <v>12</v>
      </c>
      <c r="G94" s="1" t="s">
        <v>120</v>
      </c>
      <c r="H94" s="4">
        <v>44984.455937500003</v>
      </c>
      <c r="I94" s="4">
        <v>45061.162106481483</v>
      </c>
      <c r="J94" s="1" t="s">
        <v>191</v>
      </c>
    </row>
    <row r="95" spans="1:10" ht="12.75" x14ac:dyDescent="0.2">
      <c r="A95" s="1" t="s">
        <v>117</v>
      </c>
      <c r="B95" s="3" t="str">
        <f>HYPERLINK("https://pegadaian.atlassian.net/browse/ITPROJECT-1260?atlOrigin=eyJpIjoiYzgwYTQ0ZjEyNzQzNGJhN2JmNjEyZTM0NmRhZWZhNjIiLCJwIjoic2hlZXRzLWppcmEifQ","ITPROJECT-1260")</f>
        <v>ITPROJECT-1260</v>
      </c>
      <c r="C95" s="1" t="s">
        <v>192</v>
      </c>
      <c r="D95" s="1" t="s">
        <v>31</v>
      </c>
      <c r="E95" s="1" t="s">
        <v>122</v>
      </c>
      <c r="F95" s="1" t="s">
        <v>12</v>
      </c>
      <c r="G95" s="1" t="s">
        <v>120</v>
      </c>
      <c r="H95" s="4">
        <v>44984.454895833333</v>
      </c>
      <c r="I95" s="4">
        <v>45061.162106481483</v>
      </c>
      <c r="J95" s="1" t="s">
        <v>184</v>
      </c>
    </row>
    <row r="96" spans="1:10" ht="12.75" x14ac:dyDescent="0.2">
      <c r="A96" s="1" t="s">
        <v>117</v>
      </c>
      <c r="B96" s="3" t="str">
        <f>HYPERLINK("https://pegadaian.atlassian.net/browse/ITPROJECT-1259?atlOrigin=eyJpIjoiYzgwYTQ0ZjEyNzQzNGJhN2JmNjEyZTM0NmRhZWZhNjIiLCJwIjoic2hlZXRzLWppcmEifQ","ITPROJECT-1259")</f>
        <v>ITPROJECT-1259</v>
      </c>
      <c r="C96" s="1" t="s">
        <v>193</v>
      </c>
      <c r="D96" s="1" t="s">
        <v>31</v>
      </c>
      <c r="E96" s="1" t="s">
        <v>122</v>
      </c>
      <c r="F96" s="1" t="s">
        <v>12</v>
      </c>
      <c r="G96" s="1" t="s">
        <v>158</v>
      </c>
      <c r="H96" s="4">
        <v>44984.453692129631</v>
      </c>
      <c r="I96" s="4">
        <v>45061.162118055552</v>
      </c>
      <c r="J96" s="1" t="s">
        <v>184</v>
      </c>
    </row>
    <row r="97" spans="1:10" ht="12.75" x14ac:dyDescent="0.2">
      <c r="A97" s="1" t="s">
        <v>117</v>
      </c>
      <c r="B97" s="3" t="str">
        <f>HYPERLINK("https://pegadaian.atlassian.net/browse/ITPROJECT-1258?atlOrigin=eyJpIjoiYzgwYTQ0ZjEyNzQzNGJhN2JmNjEyZTM0NmRhZWZhNjIiLCJwIjoic2hlZXRzLWppcmEifQ","ITPROJECT-1258")</f>
        <v>ITPROJECT-1258</v>
      </c>
      <c r="C97" s="1" t="s">
        <v>194</v>
      </c>
      <c r="D97" s="1" t="s">
        <v>31</v>
      </c>
      <c r="E97" s="1" t="s">
        <v>122</v>
      </c>
      <c r="F97" s="1" t="s">
        <v>12</v>
      </c>
      <c r="G97" s="1" t="s">
        <v>76</v>
      </c>
      <c r="H97" s="4">
        <v>44984.450011574074</v>
      </c>
      <c r="I97" s="4">
        <v>45061.162118055552</v>
      </c>
      <c r="J97" s="1" t="s">
        <v>184</v>
      </c>
    </row>
    <row r="98" spans="1:10" ht="12.75" x14ac:dyDescent="0.2">
      <c r="A98" s="1" t="s">
        <v>117</v>
      </c>
      <c r="B98" s="3" t="str">
        <f>HYPERLINK("https://pegadaian.atlassian.net/browse/ITPROJECT-1256?atlOrigin=eyJpIjoiYzgwYTQ0ZjEyNzQzNGJhN2JmNjEyZTM0NmRhZWZhNjIiLCJwIjoic2hlZXRzLWppcmEifQ","ITPROJECT-1256")</f>
        <v>ITPROJECT-1256</v>
      </c>
      <c r="C98" s="1" t="s">
        <v>195</v>
      </c>
      <c r="D98" s="1" t="s">
        <v>17</v>
      </c>
      <c r="E98" s="1" t="s">
        <v>122</v>
      </c>
      <c r="F98" s="1" t="s">
        <v>12</v>
      </c>
      <c r="G98" s="1" t="s">
        <v>120</v>
      </c>
      <c r="H98" s="4">
        <v>44984.429930555554</v>
      </c>
      <c r="I98" s="4">
        <v>45061.162129629629</v>
      </c>
      <c r="J98" s="1" t="s">
        <v>18</v>
      </c>
    </row>
    <row r="99" spans="1:10" ht="12.75" x14ac:dyDescent="0.2">
      <c r="A99" s="1" t="s">
        <v>117</v>
      </c>
      <c r="B99" s="3" t="str">
        <f>HYPERLINK("https://pegadaian.atlassian.net/browse/ITPROJECT-1255?atlOrigin=eyJpIjoiYzgwYTQ0ZjEyNzQzNGJhN2JmNjEyZTM0NmRhZWZhNjIiLCJwIjoic2hlZXRzLWppcmEifQ","ITPROJECT-1255")</f>
        <v>ITPROJECT-1255</v>
      </c>
      <c r="C99" s="1" t="s">
        <v>196</v>
      </c>
      <c r="D99" s="1" t="s">
        <v>99</v>
      </c>
      <c r="E99" s="1" t="s">
        <v>122</v>
      </c>
      <c r="F99" s="1" t="s">
        <v>12</v>
      </c>
      <c r="G99" s="1" t="s">
        <v>120</v>
      </c>
      <c r="H99" s="4">
        <v>44984.418842592589</v>
      </c>
      <c r="I99" s="4">
        <v>45061.162129629629</v>
      </c>
      <c r="J99" s="1" t="s">
        <v>18</v>
      </c>
    </row>
    <row r="100" spans="1:10" ht="12.75" x14ac:dyDescent="0.2">
      <c r="A100" s="1" t="s">
        <v>117</v>
      </c>
      <c r="B100" s="3" t="str">
        <f>HYPERLINK("https://pegadaian.atlassian.net/browse/ITPROJECT-1254?atlOrigin=eyJpIjoiYzgwYTQ0ZjEyNzQzNGJhN2JmNjEyZTM0NmRhZWZhNjIiLCJwIjoic2hlZXRzLWppcmEifQ","ITPROJECT-1254")</f>
        <v>ITPROJECT-1254</v>
      </c>
      <c r="C100" s="1" t="s">
        <v>197</v>
      </c>
      <c r="D100" s="1" t="s">
        <v>31</v>
      </c>
      <c r="E100" s="1" t="s">
        <v>122</v>
      </c>
      <c r="F100" s="1" t="s">
        <v>12</v>
      </c>
      <c r="G100" s="1" t="s">
        <v>120</v>
      </c>
      <c r="H100" s="4">
        <v>44984.414490740739</v>
      </c>
      <c r="I100" s="4">
        <v>45061.162141203706</v>
      </c>
      <c r="J100" s="1" t="s">
        <v>18</v>
      </c>
    </row>
    <row r="101" spans="1:10" ht="12.75" x14ac:dyDescent="0.2">
      <c r="A101" s="1" t="s">
        <v>117</v>
      </c>
      <c r="B101" s="3" t="str">
        <f>HYPERLINK("https://pegadaian.atlassian.net/browse/ITPROJECT-1252?atlOrigin=eyJpIjoiYzgwYTQ0ZjEyNzQzNGJhN2JmNjEyZTM0NmRhZWZhNjIiLCJwIjoic2hlZXRzLWppcmEifQ","ITPROJECT-1252")</f>
        <v>ITPROJECT-1252</v>
      </c>
      <c r="C101" s="1" t="s">
        <v>198</v>
      </c>
      <c r="D101" s="1" t="s">
        <v>25</v>
      </c>
      <c r="E101" s="1" t="s">
        <v>161</v>
      </c>
      <c r="F101" s="1" t="s">
        <v>12</v>
      </c>
      <c r="G101" s="1" t="s">
        <v>72</v>
      </c>
      <c r="H101" s="4">
        <v>44981.462534722225</v>
      </c>
      <c r="I101" s="4">
        <v>45061.162141203706</v>
      </c>
      <c r="J101" s="1" t="s">
        <v>26</v>
      </c>
    </row>
    <row r="102" spans="1:10" ht="12.75" x14ac:dyDescent="0.2">
      <c r="A102" s="1" t="s">
        <v>117</v>
      </c>
      <c r="B102" s="3" t="str">
        <f>HYPERLINK("https://pegadaian.atlassian.net/browse/ITPROJECT-1251?atlOrigin=eyJpIjoiYzgwYTQ0ZjEyNzQzNGJhN2JmNjEyZTM0NmRhZWZhNjIiLCJwIjoic2hlZXRzLWppcmEifQ","ITPROJECT-1251")</f>
        <v>ITPROJECT-1251</v>
      </c>
      <c r="C102" s="1" t="s">
        <v>199</v>
      </c>
      <c r="D102" s="1" t="s">
        <v>56</v>
      </c>
      <c r="E102" s="1" t="s">
        <v>200</v>
      </c>
      <c r="F102" s="1" t="s">
        <v>12</v>
      </c>
      <c r="G102" s="1" t="s">
        <v>13</v>
      </c>
      <c r="H102" s="4">
        <v>44980.627905092595</v>
      </c>
      <c r="I102" s="4">
        <v>45061.162152777775</v>
      </c>
      <c r="J102" s="1" t="s">
        <v>11</v>
      </c>
    </row>
    <row r="103" spans="1:10" ht="12.75" x14ac:dyDescent="0.2">
      <c r="A103" s="1" t="s">
        <v>117</v>
      </c>
      <c r="B103" s="3" t="str">
        <f>HYPERLINK("https://pegadaian.atlassian.net/browse/ITPROJECT-1250?atlOrigin=eyJpIjoiYzgwYTQ0ZjEyNzQzNGJhN2JmNjEyZTM0NmRhZWZhNjIiLCJwIjoic2hlZXRzLWppcmEifQ","ITPROJECT-1250")</f>
        <v>ITPROJECT-1250</v>
      </c>
      <c r="C103" s="1" t="s">
        <v>201</v>
      </c>
      <c r="D103" s="1" t="s">
        <v>55</v>
      </c>
      <c r="E103" s="1" t="s">
        <v>161</v>
      </c>
      <c r="F103" s="1" t="s">
        <v>12</v>
      </c>
      <c r="G103" s="1" t="s">
        <v>120</v>
      </c>
      <c r="H103" s="4">
        <v>44980.448877314811</v>
      </c>
      <c r="I103" s="4">
        <v>45061.162152777775</v>
      </c>
      <c r="J103" s="1" t="s">
        <v>33</v>
      </c>
    </row>
    <row r="104" spans="1:10" ht="12.75" x14ac:dyDescent="0.2">
      <c r="A104" s="1" t="s">
        <v>117</v>
      </c>
      <c r="B104" s="3" t="str">
        <f>HYPERLINK("https://pegadaian.atlassian.net/browse/ITPROJECT-1248?atlOrigin=eyJpIjoiYzgwYTQ0ZjEyNzQzNGJhN2JmNjEyZTM0NmRhZWZhNjIiLCJwIjoic2hlZXRzLWppcmEifQ","ITPROJECT-1248")</f>
        <v>ITPROJECT-1248</v>
      </c>
      <c r="C104" s="1" t="s">
        <v>202</v>
      </c>
      <c r="D104" s="1" t="s">
        <v>28</v>
      </c>
      <c r="E104" s="1" t="s">
        <v>130</v>
      </c>
      <c r="F104" s="1" t="s">
        <v>12</v>
      </c>
      <c r="G104" s="1" t="s">
        <v>120</v>
      </c>
      <c r="H104" s="4">
        <v>44978.681793981479</v>
      </c>
      <c r="I104" s="4">
        <v>45061.162164351852</v>
      </c>
      <c r="J104" s="1" t="s">
        <v>27</v>
      </c>
    </row>
    <row r="105" spans="1:10" ht="12.75" x14ac:dyDescent="0.2">
      <c r="A105" s="1" t="s">
        <v>63</v>
      </c>
      <c r="B105" s="3" t="str">
        <f>HYPERLINK("https://pegadaian.atlassian.net/browse/ITPROJECT-1246?atlOrigin=eyJpIjoiYzgwYTQ0ZjEyNzQzNGJhN2JmNjEyZTM0NmRhZWZhNjIiLCJwIjoic2hlZXRzLWppcmEifQ","ITPROJECT-1246")</f>
        <v>ITPROJECT-1246</v>
      </c>
      <c r="C105" s="1" t="s">
        <v>203</v>
      </c>
      <c r="D105" s="1" t="s">
        <v>75</v>
      </c>
      <c r="E105" s="1" t="s">
        <v>75</v>
      </c>
      <c r="F105" s="1" t="s">
        <v>12</v>
      </c>
      <c r="G105" s="1" t="s">
        <v>68</v>
      </c>
      <c r="H105" s="4">
        <v>44978.476770833331</v>
      </c>
      <c r="I105" s="4">
        <v>45061.162175925929</v>
      </c>
      <c r="J105" s="1" t="s">
        <v>58</v>
      </c>
    </row>
    <row r="106" spans="1:10" ht="12.75" x14ac:dyDescent="0.2">
      <c r="A106" s="1" t="s">
        <v>63</v>
      </c>
      <c r="B106" s="3" t="str">
        <f>HYPERLINK("https://pegadaian.atlassian.net/browse/ITPROJECT-1245?atlOrigin=eyJpIjoiYzgwYTQ0ZjEyNzQzNGJhN2JmNjEyZTM0NmRhZWZhNjIiLCJwIjoic2hlZXRzLWppcmEifQ","ITPROJECT-1245")</f>
        <v>ITPROJECT-1245</v>
      </c>
      <c r="C106" s="1" t="s">
        <v>204</v>
      </c>
      <c r="D106" s="1" t="s">
        <v>99</v>
      </c>
      <c r="E106" s="1" t="s">
        <v>65</v>
      </c>
      <c r="F106" s="1" t="s">
        <v>12</v>
      </c>
      <c r="G106" s="1" t="s">
        <v>68</v>
      </c>
      <c r="H106" s="4">
        <v>44977.696180555555</v>
      </c>
      <c r="I106" s="4">
        <v>45061.162187499998</v>
      </c>
      <c r="J106" s="1" t="s">
        <v>148</v>
      </c>
    </row>
    <row r="107" spans="1:10" ht="12.75" x14ac:dyDescent="0.2">
      <c r="A107" s="1" t="s">
        <v>63</v>
      </c>
      <c r="B107" s="3" t="str">
        <f>HYPERLINK("https://pegadaian.atlassian.net/browse/ITPROJECT-1244?atlOrigin=eyJpIjoiYzgwYTQ0ZjEyNzQzNGJhN2JmNjEyZTM0NmRhZWZhNjIiLCJwIjoic2hlZXRzLWppcmEifQ","ITPROJECT-1244")</f>
        <v>ITPROJECT-1244</v>
      </c>
      <c r="C107" s="1" t="s">
        <v>205</v>
      </c>
      <c r="D107" s="1" t="s">
        <v>43</v>
      </c>
      <c r="E107" s="1" t="s">
        <v>43</v>
      </c>
      <c r="F107" s="1" t="s">
        <v>12</v>
      </c>
      <c r="G107" s="1" t="s">
        <v>66</v>
      </c>
      <c r="H107" s="4">
        <v>44977.621886574074</v>
      </c>
      <c r="I107" s="4">
        <v>45061.162187499998</v>
      </c>
      <c r="J107" s="1" t="s">
        <v>30</v>
      </c>
    </row>
    <row r="108" spans="1:10" ht="12.75" x14ac:dyDescent="0.2">
      <c r="A108" s="1" t="s">
        <v>117</v>
      </c>
      <c r="B108" s="3" t="str">
        <f>HYPERLINK("https://pegadaian.atlassian.net/browse/ITPROJECT-1243?atlOrigin=eyJpIjoiYzgwYTQ0ZjEyNzQzNGJhN2JmNjEyZTM0NmRhZWZhNjIiLCJwIjoic2hlZXRzLWppcmEifQ","ITPROJECT-1243")</f>
        <v>ITPROJECT-1243</v>
      </c>
      <c r="C108" s="1" t="s">
        <v>206</v>
      </c>
      <c r="D108" s="1" t="s">
        <v>43</v>
      </c>
      <c r="E108" s="1" t="s">
        <v>161</v>
      </c>
      <c r="F108" s="1" t="s">
        <v>12</v>
      </c>
      <c r="G108" s="1" t="s">
        <v>66</v>
      </c>
      <c r="H108" s="4">
        <v>44977.599074074074</v>
      </c>
      <c r="I108" s="4">
        <v>45061.162199074075</v>
      </c>
      <c r="J108" s="1" t="s">
        <v>23</v>
      </c>
    </row>
    <row r="109" spans="1:10" ht="12.75" x14ac:dyDescent="0.2">
      <c r="A109" s="1" t="s">
        <v>117</v>
      </c>
      <c r="B109" s="3" t="str">
        <f>HYPERLINK("https://pegadaian.atlassian.net/browse/ITPROJECT-1242?atlOrigin=eyJpIjoiYzgwYTQ0ZjEyNzQzNGJhN2JmNjEyZTM0NmRhZWZhNjIiLCJwIjoic2hlZXRzLWppcmEifQ","ITPROJECT-1242")</f>
        <v>ITPROJECT-1242</v>
      </c>
      <c r="C109" s="1" t="s">
        <v>207</v>
      </c>
      <c r="D109" s="1" t="s">
        <v>28</v>
      </c>
      <c r="E109" s="1" t="s">
        <v>130</v>
      </c>
      <c r="F109" s="1" t="s">
        <v>12</v>
      </c>
      <c r="G109" s="1" t="s">
        <v>120</v>
      </c>
      <c r="H109" s="4">
        <v>44977.481319444443</v>
      </c>
      <c r="I109" s="4">
        <v>45061.162199074075</v>
      </c>
      <c r="J109" s="1" t="s">
        <v>208</v>
      </c>
    </row>
    <row r="110" spans="1:10" ht="12.75" x14ac:dyDescent="0.2">
      <c r="A110" s="1" t="s">
        <v>117</v>
      </c>
      <c r="B110" s="3" t="str">
        <f>HYPERLINK("https://pegadaian.atlassian.net/browse/ITPROJECT-1241?atlOrigin=eyJpIjoiYzgwYTQ0ZjEyNzQzNGJhN2JmNjEyZTM0NmRhZWZhNjIiLCJwIjoic2hlZXRzLWppcmEifQ","ITPROJECT-1241")</f>
        <v>ITPROJECT-1241</v>
      </c>
      <c r="C110" s="1" t="s">
        <v>209</v>
      </c>
      <c r="D110" s="1" t="s">
        <v>28</v>
      </c>
      <c r="E110" s="1" t="s">
        <v>130</v>
      </c>
      <c r="F110" s="1" t="s">
        <v>12</v>
      </c>
      <c r="G110" s="1" t="s">
        <v>120</v>
      </c>
      <c r="H110" s="4">
        <v>44977.478483796294</v>
      </c>
      <c r="I110" s="4">
        <v>45061.162210648145</v>
      </c>
      <c r="J110" s="1" t="s">
        <v>27</v>
      </c>
    </row>
    <row r="111" spans="1:10" ht="12.75" x14ac:dyDescent="0.2">
      <c r="A111" s="1" t="s">
        <v>117</v>
      </c>
      <c r="B111" s="3" t="str">
        <f>HYPERLINK("https://pegadaian.atlassian.net/browse/ITPROJECT-1240?atlOrigin=eyJpIjoiYzgwYTQ0ZjEyNzQzNGJhN2JmNjEyZTM0NmRhZWZhNjIiLCJwIjoic2hlZXRzLWppcmEifQ","ITPROJECT-1240")</f>
        <v>ITPROJECT-1240</v>
      </c>
      <c r="C111" s="1" t="s">
        <v>210</v>
      </c>
      <c r="D111" s="1" t="s">
        <v>28</v>
      </c>
      <c r="E111" s="1" t="s">
        <v>130</v>
      </c>
      <c r="F111" s="1" t="s">
        <v>12</v>
      </c>
      <c r="G111" s="1" t="s">
        <v>68</v>
      </c>
      <c r="H111" s="4">
        <v>44977.469594907408</v>
      </c>
      <c r="I111" s="4">
        <v>45061.162210648145</v>
      </c>
      <c r="J111" s="1" t="s">
        <v>27</v>
      </c>
    </row>
    <row r="112" spans="1:10" ht="12.75" x14ac:dyDescent="0.2">
      <c r="A112" s="1" t="s">
        <v>117</v>
      </c>
      <c r="B112" s="3" t="str">
        <f>HYPERLINK("https://pegadaian.atlassian.net/browse/ITPROJECT-1239?atlOrigin=eyJpIjoiYzgwYTQ0ZjEyNzQzNGJhN2JmNjEyZTM0NmRhZWZhNjIiLCJwIjoic2hlZXRzLWppcmEifQ","ITPROJECT-1239")</f>
        <v>ITPROJECT-1239</v>
      </c>
      <c r="C112" s="1" t="s">
        <v>114</v>
      </c>
      <c r="D112" s="1" t="s">
        <v>115</v>
      </c>
      <c r="E112" s="1" t="s">
        <v>122</v>
      </c>
      <c r="F112" s="1" t="s">
        <v>12</v>
      </c>
      <c r="G112" s="1" t="s">
        <v>68</v>
      </c>
      <c r="H112" s="4">
        <v>44973.70853009259</v>
      </c>
      <c r="I112" s="4">
        <v>45061.162222222221</v>
      </c>
      <c r="J112" s="1" t="s">
        <v>19</v>
      </c>
    </row>
    <row r="113" spans="1:10" ht="12.75" x14ac:dyDescent="0.2">
      <c r="A113" s="1" t="s">
        <v>117</v>
      </c>
      <c r="B113" s="3" t="str">
        <f>HYPERLINK("https://pegadaian.atlassian.net/browse/ITPROJECT-1238?atlOrigin=eyJpIjoiYzgwYTQ0ZjEyNzQzNGJhN2JmNjEyZTM0NmRhZWZhNjIiLCJwIjoic2hlZXRzLWppcmEifQ","ITPROJECT-1238")</f>
        <v>ITPROJECT-1238</v>
      </c>
      <c r="C113" s="1" t="s">
        <v>211</v>
      </c>
      <c r="D113" s="1" t="s">
        <v>112</v>
      </c>
      <c r="E113" s="1" t="s">
        <v>119</v>
      </c>
      <c r="F113" s="1" t="s">
        <v>12</v>
      </c>
      <c r="G113" s="1" t="s">
        <v>66</v>
      </c>
      <c r="H113" s="4">
        <v>44973.708437499998</v>
      </c>
      <c r="I113" s="4">
        <v>45061.162222222221</v>
      </c>
      <c r="J113" s="1" t="s">
        <v>14</v>
      </c>
    </row>
    <row r="114" spans="1:10" ht="12.75" x14ac:dyDescent="0.2">
      <c r="A114" s="1" t="s">
        <v>117</v>
      </c>
      <c r="B114" s="3" t="str">
        <f>HYPERLINK("https://pegadaian.atlassian.net/browse/ITPROJECT-1237?atlOrigin=eyJpIjoiYzgwYTQ0ZjEyNzQzNGJhN2JmNjEyZTM0NmRhZWZhNjIiLCJwIjoic2hlZXRzLWppcmEifQ","ITPROJECT-1237")</f>
        <v>ITPROJECT-1237</v>
      </c>
      <c r="C114" s="1" t="s">
        <v>212</v>
      </c>
      <c r="D114" s="1" t="s">
        <v>115</v>
      </c>
      <c r="E114" s="1" t="s">
        <v>122</v>
      </c>
      <c r="F114" s="1" t="s">
        <v>12</v>
      </c>
      <c r="G114" s="1" t="s">
        <v>213</v>
      </c>
      <c r="H114" s="4">
        <v>44973.704965277779</v>
      </c>
      <c r="I114" s="4">
        <v>45061.162233796298</v>
      </c>
      <c r="J114" s="1" t="s">
        <v>19</v>
      </c>
    </row>
    <row r="115" spans="1:10" ht="12.75" x14ac:dyDescent="0.2">
      <c r="A115" s="1" t="s">
        <v>117</v>
      </c>
      <c r="B115" s="3" t="str">
        <f>HYPERLINK("https://pegadaian.atlassian.net/browse/ITPROJECT-1236?atlOrigin=eyJpIjoiYzgwYTQ0ZjEyNzQzNGJhN2JmNjEyZTM0NmRhZWZhNjIiLCJwIjoic2hlZXRzLWppcmEifQ","ITPROJECT-1236")</f>
        <v>ITPROJECT-1236</v>
      </c>
      <c r="C115" s="1" t="s">
        <v>214</v>
      </c>
      <c r="D115" s="1" t="s">
        <v>42</v>
      </c>
      <c r="E115" s="1" t="s">
        <v>130</v>
      </c>
      <c r="F115" s="1" t="s">
        <v>12</v>
      </c>
      <c r="G115" s="1" t="s">
        <v>72</v>
      </c>
      <c r="H115" s="4">
        <v>44973.704699074071</v>
      </c>
      <c r="I115" s="4">
        <v>45061.162245370368</v>
      </c>
      <c r="J115" s="1" t="s">
        <v>85</v>
      </c>
    </row>
    <row r="116" spans="1:10" ht="12.75" x14ac:dyDescent="0.2">
      <c r="A116" s="1" t="s">
        <v>117</v>
      </c>
      <c r="B116" s="3" t="str">
        <f>HYPERLINK("https://pegadaian.atlassian.net/browse/ITPROJECT-1235?atlOrigin=eyJpIjoiYzgwYTQ0ZjEyNzQzNGJhN2JmNjEyZTM0NmRhZWZhNjIiLCJwIjoic2hlZXRzLWppcmEifQ","ITPROJECT-1235")</f>
        <v>ITPROJECT-1235</v>
      </c>
      <c r="C116" s="1" t="s">
        <v>215</v>
      </c>
      <c r="D116" s="1" t="s">
        <v>65</v>
      </c>
      <c r="E116" s="1" t="s">
        <v>122</v>
      </c>
      <c r="F116" s="1" t="s">
        <v>12</v>
      </c>
      <c r="G116" s="1" t="s">
        <v>68</v>
      </c>
      <c r="H116" s="4">
        <v>44973.654814814814</v>
      </c>
      <c r="I116" s="4">
        <v>45061.162245370368</v>
      </c>
      <c r="J116" s="1" t="s">
        <v>54</v>
      </c>
    </row>
    <row r="117" spans="1:10" ht="12.75" x14ac:dyDescent="0.2">
      <c r="A117" s="1" t="s">
        <v>117</v>
      </c>
      <c r="B117" s="3" t="str">
        <f>HYPERLINK("https://pegadaian.atlassian.net/browse/ITPROJECT-1234?atlOrigin=eyJpIjoiYzgwYTQ0ZjEyNzQzNGJhN2JmNjEyZTM0NmRhZWZhNjIiLCJwIjoic2hlZXRzLWppcmEifQ","ITPROJECT-1234")</f>
        <v>ITPROJECT-1234</v>
      </c>
      <c r="C117" s="1" t="s">
        <v>216</v>
      </c>
      <c r="D117" s="1" t="s">
        <v>25</v>
      </c>
      <c r="E117" s="1" t="s">
        <v>161</v>
      </c>
      <c r="F117" s="1" t="s">
        <v>12</v>
      </c>
      <c r="G117" s="1" t="s">
        <v>120</v>
      </c>
      <c r="H117" s="4">
        <v>44973.635636574072</v>
      </c>
      <c r="I117" s="4">
        <v>45061.162256944444</v>
      </c>
      <c r="J117" s="1" t="s">
        <v>26</v>
      </c>
    </row>
    <row r="118" spans="1:10" ht="12.75" x14ac:dyDescent="0.2">
      <c r="A118" s="1" t="s">
        <v>117</v>
      </c>
      <c r="B118" s="3" t="str">
        <f>HYPERLINK("https://pegadaian.atlassian.net/browse/ITPROJECT-1233?atlOrigin=eyJpIjoiYzgwYTQ0ZjEyNzQzNGJhN2JmNjEyZTM0NmRhZWZhNjIiLCJwIjoic2hlZXRzLWppcmEifQ","ITPROJECT-1233")</f>
        <v>ITPROJECT-1233</v>
      </c>
      <c r="C118" s="1" t="s">
        <v>217</v>
      </c>
      <c r="D118" s="1" t="s">
        <v>25</v>
      </c>
      <c r="E118" s="1" t="s">
        <v>161</v>
      </c>
      <c r="F118" s="1" t="s">
        <v>12</v>
      </c>
      <c r="G118" s="1" t="s">
        <v>89</v>
      </c>
      <c r="H118" s="4">
        <v>44973.634976851848</v>
      </c>
      <c r="I118" s="4">
        <v>45061.162256944444</v>
      </c>
      <c r="J118" s="1" t="s">
        <v>26</v>
      </c>
    </row>
    <row r="119" spans="1:10" ht="12.75" x14ac:dyDescent="0.2">
      <c r="A119" s="1" t="s">
        <v>117</v>
      </c>
      <c r="B119" s="3" t="str">
        <f>HYPERLINK("https://pegadaian.atlassian.net/browse/ITPROJECT-1232?atlOrigin=eyJpIjoiYzgwYTQ0ZjEyNzQzNGJhN2JmNjEyZTM0NmRhZWZhNjIiLCJwIjoic2hlZXRzLWppcmEifQ","ITPROJECT-1232")</f>
        <v>ITPROJECT-1232</v>
      </c>
      <c r="C119" s="1" t="s">
        <v>218</v>
      </c>
      <c r="D119" s="1" t="s">
        <v>43</v>
      </c>
      <c r="E119" s="1" t="s">
        <v>200</v>
      </c>
      <c r="F119" s="1" t="s">
        <v>12</v>
      </c>
      <c r="G119" s="1" t="s">
        <v>66</v>
      </c>
      <c r="H119" s="4">
        <v>44973.609490740739</v>
      </c>
      <c r="I119" s="4">
        <v>45061.162268518521</v>
      </c>
      <c r="J119" s="1" t="s">
        <v>30</v>
      </c>
    </row>
    <row r="120" spans="1:10" ht="12.75" x14ac:dyDescent="0.2">
      <c r="A120" s="1" t="s">
        <v>117</v>
      </c>
      <c r="B120" s="3" t="str">
        <f>HYPERLINK("https://pegadaian.atlassian.net/browse/ITPROJECT-1231?atlOrigin=eyJpIjoiYzgwYTQ0ZjEyNzQzNGJhN2JmNjEyZTM0NmRhZWZhNjIiLCJwIjoic2hlZXRzLWppcmEifQ","ITPROJECT-1231")</f>
        <v>ITPROJECT-1231</v>
      </c>
      <c r="C120" s="1" t="s">
        <v>219</v>
      </c>
      <c r="D120" s="1" t="s">
        <v>57</v>
      </c>
      <c r="E120" s="1" t="s">
        <v>200</v>
      </c>
      <c r="F120" s="1" t="s">
        <v>12</v>
      </c>
      <c r="G120" s="1" t="s">
        <v>120</v>
      </c>
      <c r="H120" s="4">
        <v>44973.606817129628</v>
      </c>
      <c r="I120" s="4">
        <v>45061.162280092591</v>
      </c>
      <c r="J120" s="1" t="s">
        <v>16</v>
      </c>
    </row>
    <row r="121" spans="1:10" ht="12.75" x14ac:dyDescent="0.2">
      <c r="A121" s="1" t="s">
        <v>63</v>
      </c>
      <c r="B121" s="3" t="str">
        <f>HYPERLINK("https://pegadaian.atlassian.net/browse/ITPROJECT-1230?atlOrigin=eyJpIjoiYzgwYTQ0ZjEyNzQzNGJhN2JmNjEyZTM0NmRhZWZhNjIiLCJwIjoic2hlZXRzLWppcmEifQ","ITPROJECT-1230")</f>
        <v>ITPROJECT-1230</v>
      </c>
      <c r="C121" s="1" t="s">
        <v>220</v>
      </c>
      <c r="D121" s="1" t="s">
        <v>65</v>
      </c>
      <c r="E121" s="1" t="s">
        <v>65</v>
      </c>
      <c r="F121" s="1" t="s">
        <v>12</v>
      </c>
      <c r="G121" s="1" t="s">
        <v>68</v>
      </c>
      <c r="H121" s="4">
        <v>44973.586342592593</v>
      </c>
      <c r="I121" s="4">
        <v>45061.162280092591</v>
      </c>
      <c r="J121" s="1" t="s">
        <v>221</v>
      </c>
    </row>
    <row r="122" spans="1:10" ht="12.75" x14ac:dyDescent="0.2">
      <c r="A122" s="1" t="s">
        <v>63</v>
      </c>
      <c r="B122" s="3" t="str">
        <f>HYPERLINK("https://pegadaian.atlassian.net/browse/ITPROJECT-1229?atlOrigin=eyJpIjoiYzgwYTQ0ZjEyNzQzNGJhN2JmNjEyZTM0NmRhZWZhNjIiLCJwIjoic2hlZXRzLWppcmEifQ","ITPROJECT-1229")</f>
        <v>ITPROJECT-1229</v>
      </c>
      <c r="C122" s="1" t="s">
        <v>222</v>
      </c>
      <c r="D122" s="1" t="s">
        <v>99</v>
      </c>
      <c r="E122" s="1" t="s">
        <v>99</v>
      </c>
      <c r="F122" s="1" t="s">
        <v>12</v>
      </c>
      <c r="G122" s="1" t="s">
        <v>66</v>
      </c>
      <c r="H122" s="4">
        <v>44973.585023148145</v>
      </c>
      <c r="I122" s="4">
        <v>45061.162291666667</v>
      </c>
      <c r="J122" s="1" t="s">
        <v>18</v>
      </c>
    </row>
    <row r="123" spans="1:10" ht="12.75" x14ac:dyDescent="0.2">
      <c r="A123" s="1" t="s">
        <v>117</v>
      </c>
      <c r="B123" s="3" t="str">
        <f>HYPERLINK("https://pegadaian.atlassian.net/browse/ITPROJECT-1228?atlOrigin=eyJpIjoiYzgwYTQ0ZjEyNzQzNGJhN2JmNjEyZTM0NmRhZWZhNjIiLCJwIjoic2hlZXRzLWppcmEifQ","ITPROJECT-1228")</f>
        <v>ITPROJECT-1228</v>
      </c>
      <c r="C123" s="1" t="s">
        <v>223</v>
      </c>
      <c r="D123" s="1" t="s">
        <v>55</v>
      </c>
      <c r="E123" s="1" t="s">
        <v>122</v>
      </c>
      <c r="F123" s="1" t="s">
        <v>12</v>
      </c>
      <c r="G123" s="1" t="s">
        <v>68</v>
      </c>
      <c r="H123" s="4">
        <v>44973.47047453704</v>
      </c>
      <c r="I123" s="4">
        <v>45061.162291666667</v>
      </c>
      <c r="J123" s="1" t="s">
        <v>140</v>
      </c>
    </row>
    <row r="124" spans="1:10" ht="12.75" x14ac:dyDescent="0.2">
      <c r="A124" s="1" t="s">
        <v>63</v>
      </c>
      <c r="B124" s="3" t="str">
        <f>HYPERLINK("https://pegadaian.atlassian.net/browse/ITPROJECT-1227?atlOrigin=eyJpIjoiYzgwYTQ0ZjEyNzQzNGJhN2JmNjEyZTM0NmRhZWZhNjIiLCJwIjoic2hlZXRzLWppcmEifQ","ITPROJECT-1227")</f>
        <v>ITPROJECT-1227</v>
      </c>
      <c r="C124" s="1" t="s">
        <v>224</v>
      </c>
      <c r="D124" s="1" t="s">
        <v>44</v>
      </c>
      <c r="E124" s="1" t="s">
        <v>44</v>
      </c>
      <c r="F124" s="1" t="s">
        <v>12</v>
      </c>
      <c r="G124" s="1" t="s">
        <v>72</v>
      </c>
      <c r="H124" s="4">
        <v>44973.454479166663</v>
      </c>
      <c r="I124" s="4">
        <v>45061.162303240744</v>
      </c>
      <c r="J124" s="1" t="s">
        <v>45</v>
      </c>
    </row>
    <row r="125" spans="1:10" ht="12.75" x14ac:dyDescent="0.2">
      <c r="A125" s="1" t="s">
        <v>63</v>
      </c>
      <c r="B125" s="3" t="str">
        <f>HYPERLINK("https://pegadaian.atlassian.net/browse/ITPROJECT-1226?atlOrigin=eyJpIjoiYzgwYTQ0ZjEyNzQzNGJhN2JmNjEyZTM0NmRhZWZhNjIiLCJwIjoic2hlZXRzLWppcmEifQ","ITPROJECT-1226")</f>
        <v>ITPROJECT-1226</v>
      </c>
      <c r="C125" s="1" t="s">
        <v>225</v>
      </c>
      <c r="D125" s="1" t="s">
        <v>55</v>
      </c>
      <c r="E125" s="1" t="s">
        <v>55</v>
      </c>
      <c r="F125" s="1" t="s">
        <v>12</v>
      </c>
      <c r="G125" s="1" t="s">
        <v>72</v>
      </c>
      <c r="H125" s="4">
        <v>44973.412037037036</v>
      </c>
      <c r="I125" s="4">
        <v>45061.162303240744</v>
      </c>
      <c r="J125" s="1" t="s">
        <v>29</v>
      </c>
    </row>
    <row r="126" spans="1:10" ht="12.75" x14ac:dyDescent="0.2">
      <c r="A126" s="1" t="s">
        <v>63</v>
      </c>
      <c r="B126" s="3" t="str">
        <f>HYPERLINK("https://pegadaian.atlassian.net/browse/ITPROJECT-1225?atlOrigin=eyJpIjoiYzgwYTQ0ZjEyNzQzNGJhN2JmNjEyZTM0NmRhZWZhNjIiLCJwIjoic2hlZXRzLWppcmEifQ","ITPROJECT-1225")</f>
        <v>ITPROJECT-1225</v>
      </c>
      <c r="C126" s="1" t="s">
        <v>226</v>
      </c>
      <c r="D126" s="1" t="s">
        <v>55</v>
      </c>
      <c r="E126" s="1" t="s">
        <v>55</v>
      </c>
      <c r="F126" s="1" t="s">
        <v>12</v>
      </c>
      <c r="G126" s="1" t="s">
        <v>158</v>
      </c>
      <c r="H126" s="4">
        <v>44972.427268518521</v>
      </c>
      <c r="I126" s="4">
        <v>45061.162314814814</v>
      </c>
      <c r="J126" s="1" t="s">
        <v>29</v>
      </c>
    </row>
    <row r="127" spans="1:10" ht="12.75" x14ac:dyDescent="0.2">
      <c r="A127" s="1" t="s">
        <v>63</v>
      </c>
      <c r="B127" s="3" t="str">
        <f>HYPERLINK("https://pegadaian.atlassian.net/browse/ITPROJECT-1224?atlOrigin=eyJpIjoiYzgwYTQ0ZjEyNzQzNGJhN2JmNjEyZTM0NmRhZWZhNjIiLCJwIjoic2hlZXRzLWppcmEifQ","ITPROJECT-1224")</f>
        <v>ITPROJECT-1224</v>
      </c>
      <c r="C127" s="1" t="s">
        <v>227</v>
      </c>
      <c r="D127" s="1" t="s">
        <v>75</v>
      </c>
      <c r="E127" s="1" t="s">
        <v>75</v>
      </c>
      <c r="F127" s="1" t="s">
        <v>12</v>
      </c>
      <c r="G127" s="1" t="s">
        <v>76</v>
      </c>
      <c r="H127" s="4">
        <v>44971.645266203705</v>
      </c>
      <c r="I127" s="4">
        <v>45061.162314814814</v>
      </c>
      <c r="J127" s="1" t="s">
        <v>40</v>
      </c>
    </row>
    <row r="128" spans="1:10" ht="12.75" x14ac:dyDescent="0.2">
      <c r="A128" s="1" t="s">
        <v>63</v>
      </c>
      <c r="B128" s="3" t="str">
        <f>HYPERLINK("https://pegadaian.atlassian.net/browse/ITPROJECT-1223?atlOrigin=eyJpIjoiYzgwYTQ0ZjEyNzQzNGJhN2JmNjEyZTM0NmRhZWZhNjIiLCJwIjoic2hlZXRzLWppcmEifQ","ITPROJECT-1223")</f>
        <v>ITPROJECT-1223</v>
      </c>
      <c r="C128" s="1" t="s">
        <v>228</v>
      </c>
      <c r="D128" s="1" t="s">
        <v>31</v>
      </c>
      <c r="E128" s="1" t="s">
        <v>55</v>
      </c>
      <c r="F128" s="1" t="s">
        <v>12</v>
      </c>
      <c r="G128" s="1" t="s">
        <v>76</v>
      </c>
      <c r="H128" s="4">
        <v>44970.722430555557</v>
      </c>
      <c r="I128" s="4">
        <v>45061.162326388891</v>
      </c>
      <c r="J128" s="1" t="s">
        <v>33</v>
      </c>
    </row>
    <row r="129" spans="1:10" ht="12.75" x14ac:dyDescent="0.2">
      <c r="A129" s="1" t="s">
        <v>63</v>
      </c>
      <c r="B129" s="3" t="str">
        <f>HYPERLINK("https://pegadaian.atlassian.net/browse/ITPROJECT-1222?atlOrigin=eyJpIjoiYzgwYTQ0ZjEyNzQzNGJhN2JmNjEyZTM0NmRhZWZhNjIiLCJwIjoic2hlZXRzLWppcmEifQ","ITPROJECT-1222")</f>
        <v>ITPROJECT-1222</v>
      </c>
      <c r="C129" s="1" t="s">
        <v>229</v>
      </c>
      <c r="D129" s="1" t="s">
        <v>115</v>
      </c>
      <c r="E129" s="1" t="s">
        <v>115</v>
      </c>
      <c r="F129" s="1" t="s">
        <v>12</v>
      </c>
      <c r="G129" s="1" t="s">
        <v>89</v>
      </c>
      <c r="H129" s="4">
        <v>44970.717824074076</v>
      </c>
      <c r="I129" s="4">
        <v>45061.162326388891</v>
      </c>
      <c r="J129" s="1" t="s">
        <v>19</v>
      </c>
    </row>
    <row r="130" spans="1:10" ht="12.75" x14ac:dyDescent="0.2">
      <c r="A130" s="1" t="s">
        <v>63</v>
      </c>
      <c r="B130" s="3" t="str">
        <f>HYPERLINK("https://pegadaian.atlassian.net/browse/ITPROJECT-1221?atlOrigin=eyJpIjoiYzgwYTQ0ZjEyNzQzNGJhN2JmNjEyZTM0NmRhZWZhNjIiLCJwIjoic2hlZXRzLWppcmEifQ","ITPROJECT-1221")</f>
        <v>ITPROJECT-1221</v>
      </c>
      <c r="C130" s="1" t="s">
        <v>230</v>
      </c>
      <c r="D130" s="1" t="s">
        <v>79</v>
      </c>
      <c r="E130" s="1" t="s">
        <v>79</v>
      </c>
      <c r="F130" s="1" t="s">
        <v>12</v>
      </c>
      <c r="G130" s="1" t="s">
        <v>68</v>
      </c>
      <c r="H130" s="4">
        <v>44970.659155092595</v>
      </c>
      <c r="I130" s="4">
        <v>45061.16233796296</v>
      </c>
      <c r="J130" s="1" t="s">
        <v>35</v>
      </c>
    </row>
    <row r="131" spans="1:10" ht="12.75" x14ac:dyDescent="0.2">
      <c r="A131" s="1" t="s">
        <v>117</v>
      </c>
      <c r="B131" s="3" t="str">
        <f>HYPERLINK("https://pegadaian.atlassian.net/browse/ITPROJECT-1220?atlOrigin=eyJpIjoiYzgwYTQ0ZjEyNzQzNGJhN2JmNjEyZTM0NmRhZWZhNjIiLCJwIjoic2hlZXRzLWppcmEifQ","ITPROJECT-1220")</f>
        <v>ITPROJECT-1220</v>
      </c>
      <c r="C131" s="1" t="s">
        <v>231</v>
      </c>
      <c r="D131" s="1" t="s">
        <v>99</v>
      </c>
      <c r="E131" s="1" t="s">
        <v>122</v>
      </c>
      <c r="F131" s="1" t="s">
        <v>12</v>
      </c>
      <c r="G131" s="1" t="s">
        <v>68</v>
      </c>
      <c r="H131" s="4">
        <v>44970.562037037038</v>
      </c>
      <c r="I131" s="4">
        <v>45061.16233796296</v>
      </c>
      <c r="J131" s="1" t="s">
        <v>148</v>
      </c>
    </row>
    <row r="132" spans="1:10" ht="12.75" x14ac:dyDescent="0.2">
      <c r="A132" s="1" t="s">
        <v>117</v>
      </c>
      <c r="B132" s="3" t="str">
        <f>HYPERLINK("https://pegadaian.atlassian.net/browse/ITPROJECT-1219?atlOrigin=eyJpIjoiYzgwYTQ0ZjEyNzQzNGJhN2JmNjEyZTM0NmRhZWZhNjIiLCJwIjoic2hlZXRzLWppcmEifQ","ITPROJECT-1219")</f>
        <v>ITPROJECT-1219</v>
      </c>
      <c r="C132" s="1" t="s">
        <v>232</v>
      </c>
      <c r="D132" s="1" t="s">
        <v>65</v>
      </c>
      <c r="E132" s="1" t="s">
        <v>122</v>
      </c>
      <c r="F132" s="1" t="s">
        <v>12</v>
      </c>
      <c r="G132" s="1" t="s">
        <v>72</v>
      </c>
      <c r="H132" s="4">
        <v>44970.550821759258</v>
      </c>
      <c r="I132" s="4">
        <v>45061.162349537037</v>
      </c>
      <c r="J132" s="1" t="s">
        <v>54</v>
      </c>
    </row>
    <row r="133" spans="1:10" ht="12.75" x14ac:dyDescent="0.2">
      <c r="A133" s="1" t="s">
        <v>117</v>
      </c>
      <c r="B133" s="3" t="str">
        <f>HYPERLINK("https://pegadaian.atlassian.net/browse/ITPROJECT-1216?atlOrigin=eyJpIjoiYzgwYTQ0ZjEyNzQzNGJhN2JmNjEyZTM0NmRhZWZhNjIiLCJwIjoic2hlZXRzLWppcmEifQ","ITPROJECT-1216")</f>
        <v>ITPROJECT-1216</v>
      </c>
      <c r="C133" s="1" t="s">
        <v>233</v>
      </c>
      <c r="D133" s="1" t="s">
        <v>65</v>
      </c>
      <c r="E133" s="1" t="s">
        <v>122</v>
      </c>
      <c r="F133" s="1" t="s">
        <v>12</v>
      </c>
      <c r="G133" s="1" t="s">
        <v>72</v>
      </c>
      <c r="H133" s="4">
        <v>44970.544861111113</v>
      </c>
      <c r="I133" s="4">
        <v>45061.162349537037</v>
      </c>
      <c r="J133" s="1" t="s">
        <v>54</v>
      </c>
    </row>
    <row r="134" spans="1:10" ht="12.75" x14ac:dyDescent="0.2">
      <c r="A134" s="1" t="s">
        <v>63</v>
      </c>
      <c r="B134" s="3" t="str">
        <f>HYPERLINK("https://pegadaian.atlassian.net/browse/ITPROJECT-1215?atlOrigin=eyJpIjoiYzgwYTQ0ZjEyNzQzNGJhN2JmNjEyZTM0NmRhZWZhNjIiLCJwIjoic2hlZXRzLWppcmEifQ","ITPROJECT-1215")</f>
        <v>ITPROJECT-1215</v>
      </c>
      <c r="C134" s="1" t="s">
        <v>234</v>
      </c>
      <c r="D134" s="1" t="s">
        <v>44</v>
      </c>
      <c r="E134" s="1" t="s">
        <v>44</v>
      </c>
      <c r="F134" s="1" t="s">
        <v>12</v>
      </c>
      <c r="G134" s="1" t="s">
        <v>13</v>
      </c>
      <c r="H134" s="4">
        <v>44970.476446759261</v>
      </c>
      <c r="I134" s="4">
        <v>45061.162361111114</v>
      </c>
      <c r="J134" s="1" t="s">
        <v>45</v>
      </c>
    </row>
    <row r="135" spans="1:10" ht="12.75" x14ac:dyDescent="0.2">
      <c r="A135" s="1" t="s">
        <v>117</v>
      </c>
      <c r="B135" s="3" t="str">
        <f>HYPERLINK("https://pegadaian.atlassian.net/browse/ITPROJECT-1214?atlOrigin=eyJpIjoiYzgwYTQ0ZjEyNzQzNGJhN2JmNjEyZTM0NmRhZWZhNjIiLCJwIjoic2hlZXRzLWppcmEifQ","ITPROJECT-1214")</f>
        <v>ITPROJECT-1214</v>
      </c>
      <c r="C135" s="1" t="s">
        <v>235</v>
      </c>
      <c r="D135" s="1" t="s">
        <v>51</v>
      </c>
      <c r="E135" s="1" t="s">
        <v>119</v>
      </c>
      <c r="F135" s="1" t="s">
        <v>12</v>
      </c>
      <c r="G135" s="1" t="s">
        <v>76</v>
      </c>
      <c r="H135" s="4">
        <v>44970.406377314815</v>
      </c>
      <c r="I135" s="4">
        <v>45061.162361111114</v>
      </c>
      <c r="J135" s="1" t="s">
        <v>38</v>
      </c>
    </row>
    <row r="136" spans="1:10" ht="12.75" x14ac:dyDescent="0.2">
      <c r="A136" s="1" t="s">
        <v>117</v>
      </c>
      <c r="B136" s="3" t="str">
        <f>HYPERLINK("https://pegadaian.atlassian.net/browse/ITPROJECT-1213?atlOrigin=eyJpIjoiYzgwYTQ0ZjEyNzQzNGJhN2JmNjEyZTM0NmRhZWZhNjIiLCJwIjoic2hlZXRzLWppcmEifQ","ITPROJECT-1213")</f>
        <v>ITPROJECT-1213</v>
      </c>
      <c r="C136" s="1" t="s">
        <v>236</v>
      </c>
      <c r="D136" s="1" t="s">
        <v>44</v>
      </c>
      <c r="E136" s="1" t="s">
        <v>119</v>
      </c>
      <c r="F136" s="1" t="s">
        <v>12</v>
      </c>
      <c r="G136" s="1" t="s">
        <v>89</v>
      </c>
      <c r="H136" s="4">
        <v>44970.394375000003</v>
      </c>
      <c r="I136" s="4">
        <v>45061.162372685183</v>
      </c>
      <c r="J136" s="1" t="s">
        <v>45</v>
      </c>
    </row>
    <row r="137" spans="1:10" ht="12.75" x14ac:dyDescent="0.2">
      <c r="A137" s="1" t="s">
        <v>63</v>
      </c>
      <c r="B137" s="3" t="str">
        <f>HYPERLINK("https://pegadaian.atlassian.net/browse/ITPROJECT-1212?atlOrigin=eyJpIjoiYzgwYTQ0ZjEyNzQzNGJhN2JmNjEyZTM0NmRhZWZhNjIiLCJwIjoic2hlZXRzLWppcmEifQ","ITPROJECT-1212")</f>
        <v>ITPROJECT-1212</v>
      </c>
      <c r="C137" s="1" t="s">
        <v>237</v>
      </c>
      <c r="D137" s="1" t="s">
        <v>25</v>
      </c>
      <c r="E137" s="1" t="s">
        <v>25</v>
      </c>
      <c r="F137" s="1" t="s">
        <v>12</v>
      </c>
      <c r="G137" s="1" t="s">
        <v>68</v>
      </c>
      <c r="H137" s="4">
        <v>44967.630057870374</v>
      </c>
      <c r="I137" s="4">
        <v>45061.162372685183</v>
      </c>
      <c r="J137" s="1" t="s">
        <v>26</v>
      </c>
    </row>
    <row r="138" spans="1:10" ht="12.75" x14ac:dyDescent="0.2">
      <c r="A138" s="1" t="s">
        <v>117</v>
      </c>
      <c r="B138" s="3" t="str">
        <f>HYPERLINK("https://pegadaian.atlassian.net/browse/ITPROJECT-1211?atlOrigin=eyJpIjoiYzgwYTQ0ZjEyNzQzNGJhN2JmNjEyZTM0NmRhZWZhNjIiLCJwIjoic2hlZXRzLWppcmEifQ","ITPROJECT-1211")</f>
        <v>ITPROJECT-1211</v>
      </c>
      <c r="C138" s="1" t="s">
        <v>238</v>
      </c>
      <c r="D138" s="1" t="s">
        <v>28</v>
      </c>
      <c r="E138" s="1" t="s">
        <v>130</v>
      </c>
      <c r="F138" s="1" t="s">
        <v>12</v>
      </c>
      <c r="G138" s="1" t="s">
        <v>68</v>
      </c>
      <c r="H138" s="4">
        <v>44967.557881944442</v>
      </c>
      <c r="I138" s="4">
        <v>45061.16238425926</v>
      </c>
      <c r="J138" s="1" t="s">
        <v>27</v>
      </c>
    </row>
    <row r="139" spans="1:10" ht="12.75" x14ac:dyDescent="0.2">
      <c r="A139" s="1" t="s">
        <v>117</v>
      </c>
      <c r="B139" s="3" t="str">
        <f>HYPERLINK("https://pegadaian.atlassian.net/browse/ITPROJECT-1210?atlOrigin=eyJpIjoiYzgwYTQ0ZjEyNzQzNGJhN2JmNjEyZTM0NmRhZWZhNjIiLCJwIjoic2hlZXRzLWppcmEifQ","ITPROJECT-1210")</f>
        <v>ITPROJECT-1210</v>
      </c>
      <c r="C139" s="1" t="s">
        <v>239</v>
      </c>
      <c r="D139" s="1" t="s">
        <v>25</v>
      </c>
      <c r="E139" s="1" t="s">
        <v>161</v>
      </c>
      <c r="F139" s="1" t="s">
        <v>12</v>
      </c>
      <c r="G139" s="1" t="s">
        <v>68</v>
      </c>
      <c r="H139" s="4">
        <v>44967.466620370367</v>
      </c>
      <c r="I139" s="4">
        <v>45061.16238425926</v>
      </c>
      <c r="J139" s="1" t="s">
        <v>26</v>
      </c>
    </row>
    <row r="140" spans="1:10" ht="12.75" x14ac:dyDescent="0.2">
      <c r="A140" s="1" t="s">
        <v>63</v>
      </c>
      <c r="B140" s="3" t="str">
        <f>HYPERLINK("https://pegadaian.atlassian.net/browse/ITPROJECT-1209?atlOrigin=eyJpIjoiYzgwYTQ0ZjEyNzQzNGJhN2JmNjEyZTM0NmRhZWZhNjIiLCJwIjoic2hlZXRzLWppcmEifQ","ITPROJECT-1209")</f>
        <v>ITPROJECT-1209</v>
      </c>
      <c r="C140" s="1" t="s">
        <v>240</v>
      </c>
      <c r="D140" s="1" t="s">
        <v>28</v>
      </c>
      <c r="E140" s="1" t="s">
        <v>28</v>
      </c>
      <c r="F140" s="1" t="s">
        <v>12</v>
      </c>
      <c r="G140" s="1" t="s">
        <v>13</v>
      </c>
      <c r="H140" s="4">
        <v>44966.71539351852</v>
      </c>
      <c r="I140" s="4">
        <v>45061.162395833337</v>
      </c>
      <c r="J140" s="1" t="s">
        <v>27</v>
      </c>
    </row>
    <row r="141" spans="1:10" ht="12.75" x14ac:dyDescent="0.2">
      <c r="A141" s="1" t="s">
        <v>117</v>
      </c>
      <c r="B141" s="3" t="str">
        <f>HYPERLINK("https://pegadaian.atlassian.net/browse/ITPROJECT-1208?atlOrigin=eyJpIjoiYzgwYTQ0ZjEyNzQzNGJhN2JmNjEyZTM0NmRhZWZhNjIiLCJwIjoic2hlZXRzLWppcmEifQ","ITPROJECT-1208")</f>
        <v>ITPROJECT-1208</v>
      </c>
      <c r="C141" s="1" t="s">
        <v>241</v>
      </c>
      <c r="D141" s="1" t="s">
        <v>65</v>
      </c>
      <c r="E141" s="1" t="s">
        <v>122</v>
      </c>
      <c r="F141" s="1" t="s">
        <v>12</v>
      </c>
      <c r="G141" s="1" t="s">
        <v>68</v>
      </c>
      <c r="H141" s="4">
        <v>44966.470219907409</v>
      </c>
      <c r="I141" s="4">
        <v>45061.162395833337</v>
      </c>
      <c r="J141" s="1" t="s">
        <v>221</v>
      </c>
    </row>
    <row r="142" spans="1:10" ht="12.75" x14ac:dyDescent="0.2">
      <c r="A142" s="1" t="s">
        <v>117</v>
      </c>
      <c r="B142" s="3" t="str">
        <f>HYPERLINK("https://pegadaian.atlassian.net/browse/ITPROJECT-1207?atlOrigin=eyJpIjoiYzgwYTQ0ZjEyNzQzNGJhN2JmNjEyZTM0NmRhZWZhNjIiLCJwIjoic2hlZXRzLWppcmEifQ","ITPROJECT-1207")</f>
        <v>ITPROJECT-1207</v>
      </c>
      <c r="C142" s="1" t="s">
        <v>242</v>
      </c>
      <c r="D142" s="1" t="s">
        <v>65</v>
      </c>
      <c r="E142" s="1" t="s">
        <v>122</v>
      </c>
      <c r="F142" s="1" t="s">
        <v>12</v>
      </c>
      <c r="G142" s="1" t="s">
        <v>68</v>
      </c>
      <c r="H142" s="4">
        <v>44966.462824074071</v>
      </c>
      <c r="I142" s="4">
        <v>45061.162407407406</v>
      </c>
      <c r="J142" s="1" t="s">
        <v>54</v>
      </c>
    </row>
    <row r="143" spans="1:10" ht="12.75" x14ac:dyDescent="0.2">
      <c r="A143" s="1" t="s">
        <v>117</v>
      </c>
      <c r="B143" s="3" t="str">
        <f>HYPERLINK("https://pegadaian.atlassian.net/browse/ITPROJECT-1206?atlOrigin=eyJpIjoiYzgwYTQ0ZjEyNzQzNGJhN2JmNjEyZTM0NmRhZWZhNjIiLCJwIjoic2hlZXRzLWppcmEifQ","ITPROJECT-1206")</f>
        <v>ITPROJECT-1206</v>
      </c>
      <c r="C143" s="1" t="s">
        <v>243</v>
      </c>
      <c r="D143" s="1" t="s">
        <v>28</v>
      </c>
      <c r="E143" s="1" t="s">
        <v>130</v>
      </c>
      <c r="F143" s="1" t="s">
        <v>12</v>
      </c>
      <c r="G143" s="1" t="s">
        <v>120</v>
      </c>
      <c r="H143" s="4">
        <v>44965.674456018518</v>
      </c>
      <c r="I143" s="4">
        <v>45061.162407407406</v>
      </c>
      <c r="J143" s="1" t="s">
        <v>27</v>
      </c>
    </row>
    <row r="144" spans="1:10" ht="12.75" x14ac:dyDescent="0.2">
      <c r="A144" s="1" t="s">
        <v>117</v>
      </c>
      <c r="B144" s="3" t="str">
        <f>HYPERLINK("https://pegadaian.atlassian.net/browse/ITPROJECT-1205?atlOrigin=eyJpIjoiYzgwYTQ0ZjEyNzQzNGJhN2JmNjEyZTM0NmRhZWZhNjIiLCJwIjoic2hlZXRzLWppcmEifQ","ITPROJECT-1205")</f>
        <v>ITPROJECT-1205</v>
      </c>
      <c r="C144" s="1" t="s">
        <v>244</v>
      </c>
      <c r="D144" s="1" t="s">
        <v>28</v>
      </c>
      <c r="E144" s="1" t="s">
        <v>130</v>
      </c>
      <c r="F144" s="1" t="s">
        <v>12</v>
      </c>
      <c r="G144" s="1" t="s">
        <v>89</v>
      </c>
      <c r="H144" s="4">
        <v>44965.658819444441</v>
      </c>
      <c r="I144" s="4">
        <v>45061.162418981483</v>
      </c>
      <c r="J144" s="1" t="s">
        <v>27</v>
      </c>
    </row>
    <row r="145" spans="1:10" ht="12.75" x14ac:dyDescent="0.2">
      <c r="A145" s="1" t="s">
        <v>117</v>
      </c>
      <c r="B145" s="3" t="str">
        <f>HYPERLINK("https://pegadaian.atlassian.net/browse/ITPROJECT-1204?atlOrigin=eyJpIjoiYzgwYTQ0ZjEyNzQzNGJhN2JmNjEyZTM0NmRhZWZhNjIiLCJwIjoic2hlZXRzLWppcmEifQ","ITPROJECT-1204")</f>
        <v>ITPROJECT-1204</v>
      </c>
      <c r="C145" s="1" t="s">
        <v>245</v>
      </c>
      <c r="D145" s="1" t="s">
        <v>28</v>
      </c>
      <c r="E145" s="1" t="s">
        <v>130</v>
      </c>
      <c r="F145" s="1" t="s">
        <v>12</v>
      </c>
      <c r="G145" s="1" t="s">
        <v>72</v>
      </c>
      <c r="H145" s="4">
        <v>44965.64472222222</v>
      </c>
      <c r="I145" s="4">
        <v>45061.162418981483</v>
      </c>
      <c r="J145" s="1" t="s">
        <v>27</v>
      </c>
    </row>
    <row r="146" spans="1:10" ht="12.75" x14ac:dyDescent="0.2">
      <c r="A146" s="1" t="s">
        <v>63</v>
      </c>
      <c r="B146" s="3" t="str">
        <f>HYPERLINK("https://pegadaian.atlassian.net/browse/ITPROJECT-1203?atlOrigin=eyJpIjoiYzgwYTQ0ZjEyNzQzNGJhN2JmNjEyZTM0NmRhZWZhNjIiLCJwIjoic2hlZXRzLWppcmEifQ","ITPROJECT-1203")</f>
        <v>ITPROJECT-1203</v>
      </c>
      <c r="C146" s="1" t="s">
        <v>246</v>
      </c>
      <c r="D146" s="1" t="s">
        <v>25</v>
      </c>
      <c r="E146" s="1" t="s">
        <v>25</v>
      </c>
      <c r="F146" s="1" t="s">
        <v>12</v>
      </c>
      <c r="G146" s="1" t="s">
        <v>13</v>
      </c>
      <c r="H146" s="4">
        <v>44965.627696759257</v>
      </c>
      <c r="I146" s="4">
        <v>45061.162430555552</v>
      </c>
      <c r="J146" s="1" t="s">
        <v>26</v>
      </c>
    </row>
    <row r="147" spans="1:10" ht="12.75" x14ac:dyDescent="0.2">
      <c r="A147" s="1" t="s">
        <v>117</v>
      </c>
      <c r="B147" s="3" t="str">
        <f>HYPERLINK("https://pegadaian.atlassian.net/browse/ITPROJECT-1202?atlOrigin=eyJpIjoiYzgwYTQ0ZjEyNzQzNGJhN2JmNjEyZTM0NmRhZWZhNjIiLCJwIjoic2hlZXRzLWppcmEifQ","ITPROJECT-1202")</f>
        <v>ITPROJECT-1202</v>
      </c>
      <c r="C147" s="1" t="s">
        <v>247</v>
      </c>
      <c r="D147" s="1" t="s">
        <v>75</v>
      </c>
      <c r="E147" s="1" t="s">
        <v>130</v>
      </c>
      <c r="F147" s="1" t="s">
        <v>12</v>
      </c>
      <c r="G147" s="1" t="s">
        <v>72</v>
      </c>
      <c r="H147" s="4">
        <v>44965.490601851852</v>
      </c>
      <c r="I147" s="4">
        <v>45061.162442129629</v>
      </c>
      <c r="J147" s="1" t="s">
        <v>40</v>
      </c>
    </row>
    <row r="148" spans="1:10" ht="12.75" x14ac:dyDescent="0.2">
      <c r="A148" s="1" t="s">
        <v>63</v>
      </c>
      <c r="B148" s="3" t="str">
        <f>HYPERLINK("https://pegadaian.atlassian.net/browse/ITPROJECT-1201?atlOrigin=eyJpIjoiYzgwYTQ0ZjEyNzQzNGJhN2JmNjEyZTM0NmRhZWZhNjIiLCJwIjoic2hlZXRzLWppcmEifQ","ITPROJECT-1201")</f>
        <v>ITPROJECT-1201</v>
      </c>
      <c r="C148" s="1" t="s">
        <v>248</v>
      </c>
      <c r="D148" s="1" t="s">
        <v>46</v>
      </c>
      <c r="E148" s="1" t="s">
        <v>46</v>
      </c>
      <c r="F148" s="1" t="s">
        <v>12</v>
      </c>
      <c r="G148" s="1" t="s">
        <v>68</v>
      </c>
      <c r="H148" s="4">
        <v>44965.484675925924</v>
      </c>
      <c r="I148" s="4">
        <v>45061.162442129629</v>
      </c>
      <c r="J148" s="1" t="s">
        <v>48</v>
      </c>
    </row>
    <row r="149" spans="1:10" ht="12.75" x14ac:dyDescent="0.2">
      <c r="A149" s="1" t="s">
        <v>63</v>
      </c>
      <c r="B149" s="3" t="str">
        <f>HYPERLINK("https://pegadaian.atlassian.net/browse/ITPROJECT-1200?atlOrigin=eyJpIjoiYzgwYTQ0ZjEyNzQzNGJhN2JmNjEyZTM0NmRhZWZhNjIiLCJwIjoic2hlZXRzLWppcmEifQ","ITPROJECT-1200")</f>
        <v>ITPROJECT-1200</v>
      </c>
      <c r="C149" s="1" t="s">
        <v>249</v>
      </c>
      <c r="D149" s="1" t="s">
        <v>44</v>
      </c>
      <c r="E149" s="1" t="s">
        <v>44</v>
      </c>
      <c r="F149" s="1" t="s">
        <v>12</v>
      </c>
      <c r="G149" s="1" t="s">
        <v>72</v>
      </c>
      <c r="H149" s="4">
        <v>44965.47760416667</v>
      </c>
      <c r="I149" s="4">
        <v>45061.162453703706</v>
      </c>
      <c r="J149" s="1" t="s">
        <v>45</v>
      </c>
    </row>
    <row r="150" spans="1:10" ht="12.75" x14ac:dyDescent="0.2">
      <c r="A150" s="1" t="s">
        <v>117</v>
      </c>
      <c r="B150" s="3" t="str">
        <f>HYPERLINK("https://pegadaian.atlassian.net/browse/ITPROJECT-1199?atlOrigin=eyJpIjoiYzgwYTQ0ZjEyNzQzNGJhN2JmNjEyZTM0NmRhZWZhNjIiLCJwIjoic2hlZXRzLWppcmEifQ","ITPROJECT-1199")</f>
        <v>ITPROJECT-1199</v>
      </c>
      <c r="C150" s="1" t="s">
        <v>250</v>
      </c>
      <c r="D150" s="1" t="s">
        <v>57</v>
      </c>
      <c r="E150" s="1" t="s">
        <v>200</v>
      </c>
      <c r="F150" s="1" t="s">
        <v>12</v>
      </c>
      <c r="G150" s="1" t="s">
        <v>120</v>
      </c>
      <c r="H150" s="4">
        <v>44965.421134259261</v>
      </c>
      <c r="I150" s="4">
        <v>45061.162453703706</v>
      </c>
      <c r="J150" s="1" t="s">
        <v>16</v>
      </c>
    </row>
    <row r="151" spans="1:10" ht="12.75" x14ac:dyDescent="0.2">
      <c r="A151" s="1" t="s">
        <v>63</v>
      </c>
      <c r="B151" s="3" t="str">
        <f>HYPERLINK("https://pegadaian.atlassian.net/browse/ITPROJECT-1198?atlOrigin=eyJpIjoiYzgwYTQ0ZjEyNzQzNGJhN2JmNjEyZTM0NmRhZWZhNjIiLCJwIjoic2hlZXRzLWppcmEifQ","ITPROJECT-1198")</f>
        <v>ITPROJECT-1198</v>
      </c>
      <c r="C151" s="1" t="s">
        <v>251</v>
      </c>
      <c r="D151" s="1" t="s">
        <v>75</v>
      </c>
      <c r="E151" s="1" t="s">
        <v>75</v>
      </c>
      <c r="F151" s="1" t="s">
        <v>12</v>
      </c>
      <c r="G151" s="1" t="s">
        <v>68</v>
      </c>
      <c r="H151" s="4">
        <v>44964.663287037038</v>
      </c>
      <c r="I151" s="4">
        <v>45061.162465277775</v>
      </c>
      <c r="J151" s="1" t="s">
        <v>58</v>
      </c>
    </row>
    <row r="152" spans="1:10" ht="12.75" x14ac:dyDescent="0.2">
      <c r="A152" s="1" t="s">
        <v>63</v>
      </c>
      <c r="B152" s="3" t="str">
        <f>HYPERLINK("https://pegadaian.atlassian.net/browse/ITPROJECT-1196?atlOrigin=eyJpIjoiYzgwYTQ0ZjEyNzQzNGJhN2JmNjEyZTM0NmRhZWZhNjIiLCJwIjoic2hlZXRzLWppcmEifQ","ITPROJECT-1196")</f>
        <v>ITPROJECT-1196</v>
      </c>
      <c r="C152" s="1" t="s">
        <v>252</v>
      </c>
      <c r="D152" s="1" t="s">
        <v>115</v>
      </c>
      <c r="E152" s="1" t="s">
        <v>115</v>
      </c>
      <c r="F152" s="1" t="s">
        <v>12</v>
      </c>
      <c r="G152" s="1" t="s">
        <v>72</v>
      </c>
      <c r="H152" s="4">
        <v>44964.344641203701</v>
      </c>
      <c r="I152" s="4">
        <v>45061.162476851852</v>
      </c>
      <c r="J152" s="1" t="s">
        <v>19</v>
      </c>
    </row>
    <row r="153" spans="1:10" ht="12.75" x14ac:dyDescent="0.2">
      <c r="A153" s="1" t="s">
        <v>63</v>
      </c>
      <c r="B153" s="3" t="str">
        <f>HYPERLINK("https://pegadaian.atlassian.net/browse/ITPROJECT-1195?atlOrigin=eyJpIjoiYzgwYTQ0ZjEyNzQzNGJhN2JmNjEyZTM0NmRhZWZhNjIiLCJwIjoic2hlZXRzLWppcmEifQ","ITPROJECT-1195")</f>
        <v>ITPROJECT-1195</v>
      </c>
      <c r="C153" s="1" t="s">
        <v>253</v>
      </c>
      <c r="D153" s="1" t="s">
        <v>46</v>
      </c>
      <c r="E153" s="1" t="s">
        <v>46</v>
      </c>
      <c r="F153" s="1" t="s">
        <v>12</v>
      </c>
      <c r="G153" s="1" t="s">
        <v>72</v>
      </c>
      <c r="H153" s="4">
        <v>44963.699178240742</v>
      </c>
      <c r="I153" s="4">
        <v>45061.162476851852</v>
      </c>
      <c r="J153" s="1" t="s">
        <v>26</v>
      </c>
    </row>
    <row r="154" spans="1:10" ht="12.75" x14ac:dyDescent="0.2">
      <c r="A154" s="1" t="s">
        <v>63</v>
      </c>
      <c r="B154" s="3" t="str">
        <f>HYPERLINK("https://pegadaian.atlassian.net/browse/ITPROJECT-1194?atlOrigin=eyJpIjoiYzgwYTQ0ZjEyNzQzNGJhN2JmNjEyZTM0NmRhZWZhNjIiLCJwIjoic2hlZXRzLWppcmEifQ","ITPROJECT-1194")</f>
        <v>ITPROJECT-1194</v>
      </c>
      <c r="C154" s="1" t="s">
        <v>254</v>
      </c>
      <c r="D154" s="1" t="s">
        <v>56</v>
      </c>
      <c r="E154" s="1" t="s">
        <v>56</v>
      </c>
      <c r="F154" s="1" t="s">
        <v>12</v>
      </c>
      <c r="G154" s="1" t="s">
        <v>13</v>
      </c>
      <c r="H154" s="4">
        <v>44963.439039351855</v>
      </c>
      <c r="I154" s="4">
        <v>45061.162488425929</v>
      </c>
      <c r="J154" s="1" t="s">
        <v>11</v>
      </c>
    </row>
    <row r="155" spans="1:10" ht="12.75" x14ac:dyDescent="0.2">
      <c r="A155" s="1" t="s">
        <v>63</v>
      </c>
      <c r="B155" s="3" t="str">
        <f>HYPERLINK("https://pegadaian.atlassian.net/browse/ITPROJECT-1193?atlOrigin=eyJpIjoiYzgwYTQ0ZjEyNzQzNGJhN2JmNjEyZTM0NmRhZWZhNjIiLCJwIjoic2hlZXRzLWppcmEifQ","ITPROJECT-1193")</f>
        <v>ITPROJECT-1193</v>
      </c>
      <c r="C155" s="1" t="s">
        <v>255</v>
      </c>
      <c r="D155" s="1" t="s">
        <v>79</v>
      </c>
      <c r="E155" s="1" t="s">
        <v>79</v>
      </c>
      <c r="F155" s="1" t="s">
        <v>12</v>
      </c>
      <c r="G155" s="1" t="s">
        <v>68</v>
      </c>
      <c r="H155" s="4">
        <v>44962.620219907411</v>
      </c>
      <c r="I155" s="4">
        <v>45061.162488425929</v>
      </c>
      <c r="J155" s="1" t="s">
        <v>35</v>
      </c>
    </row>
    <row r="156" spans="1:10" ht="12.75" x14ac:dyDescent="0.2">
      <c r="A156" s="1" t="s">
        <v>63</v>
      </c>
      <c r="B156" s="3" t="str">
        <f>HYPERLINK("https://pegadaian.atlassian.net/browse/ITPROJECT-1192?atlOrigin=eyJpIjoiYzgwYTQ0ZjEyNzQzNGJhN2JmNjEyZTM0NmRhZWZhNjIiLCJwIjoic2hlZXRzLWppcmEifQ","ITPROJECT-1192")</f>
        <v>ITPROJECT-1192</v>
      </c>
      <c r="C156" s="1" t="s">
        <v>256</v>
      </c>
      <c r="D156" s="1" t="s">
        <v>79</v>
      </c>
      <c r="E156" s="1" t="s">
        <v>79</v>
      </c>
      <c r="F156" s="1" t="s">
        <v>12</v>
      </c>
      <c r="G156" s="1" t="s">
        <v>76</v>
      </c>
      <c r="H156" s="4">
        <v>44962.37841435185</v>
      </c>
      <c r="I156" s="4">
        <v>45061.162499999999</v>
      </c>
      <c r="J156" s="1" t="s">
        <v>80</v>
      </c>
    </row>
    <row r="157" spans="1:10" ht="12.75" x14ac:dyDescent="0.2">
      <c r="A157" s="1" t="s">
        <v>63</v>
      </c>
      <c r="B157" s="3" t="str">
        <f>HYPERLINK("https://pegadaian.atlassian.net/browse/ITPROJECT-1191?atlOrigin=eyJpIjoiYzgwYTQ0ZjEyNzQzNGJhN2JmNjEyZTM0NmRhZWZhNjIiLCJwIjoic2hlZXRzLWppcmEifQ","ITPROJECT-1191")</f>
        <v>ITPROJECT-1191</v>
      </c>
      <c r="C157" s="1" t="s">
        <v>257</v>
      </c>
      <c r="D157" s="1" t="s">
        <v>75</v>
      </c>
      <c r="E157" s="1" t="s">
        <v>75</v>
      </c>
      <c r="F157" s="1" t="s">
        <v>12</v>
      </c>
      <c r="G157" s="1" t="s">
        <v>68</v>
      </c>
      <c r="H157" s="4">
        <v>44960.668715277781</v>
      </c>
      <c r="I157" s="4">
        <v>45061.162499999999</v>
      </c>
      <c r="J157" s="1" t="s">
        <v>58</v>
      </c>
    </row>
    <row r="158" spans="1:10" ht="12.75" x14ac:dyDescent="0.2">
      <c r="A158" s="1" t="s">
        <v>117</v>
      </c>
      <c r="B158" s="3" t="str">
        <f>HYPERLINK("https://pegadaian.atlassian.net/browse/ITPROJECT-1190?atlOrigin=eyJpIjoiYzgwYTQ0ZjEyNzQzNGJhN2JmNjEyZTM0NmRhZWZhNjIiLCJwIjoic2hlZXRzLWppcmEifQ","ITPROJECT-1190")</f>
        <v>ITPROJECT-1190</v>
      </c>
      <c r="C158" s="1" t="s">
        <v>258</v>
      </c>
      <c r="D158" s="1" t="s">
        <v>56</v>
      </c>
      <c r="E158" s="1" t="s">
        <v>200</v>
      </c>
      <c r="F158" s="1" t="s">
        <v>12</v>
      </c>
      <c r="G158" s="1" t="s">
        <v>68</v>
      </c>
      <c r="H158" s="4">
        <v>44960.633321759262</v>
      </c>
      <c r="I158" s="4">
        <v>45061.162511574075</v>
      </c>
      <c r="J158" s="1" t="s">
        <v>11</v>
      </c>
    </row>
    <row r="159" spans="1:10" ht="12.75" x14ac:dyDescent="0.2">
      <c r="A159" s="1" t="s">
        <v>117</v>
      </c>
      <c r="B159" s="3" t="str">
        <f>HYPERLINK("https://pegadaian.atlassian.net/browse/ITPROJECT-1189?atlOrigin=eyJpIjoiYzgwYTQ0ZjEyNzQzNGJhN2JmNjEyZTM0NmRhZWZhNjIiLCJwIjoic2hlZXRzLWppcmEifQ","ITPROJECT-1189")</f>
        <v>ITPROJECT-1189</v>
      </c>
      <c r="C159" s="1" t="s">
        <v>259</v>
      </c>
      <c r="D159" s="1" t="s">
        <v>56</v>
      </c>
      <c r="E159" s="1" t="s">
        <v>200</v>
      </c>
      <c r="F159" s="1" t="s">
        <v>12</v>
      </c>
      <c r="G159" s="1" t="s">
        <v>72</v>
      </c>
      <c r="H159" s="4">
        <v>44960.622430555559</v>
      </c>
      <c r="I159" s="4">
        <v>45061.162523148145</v>
      </c>
      <c r="J159" s="1" t="s">
        <v>11</v>
      </c>
    </row>
    <row r="160" spans="1:10" ht="12.75" x14ac:dyDescent="0.2">
      <c r="A160" s="1" t="s">
        <v>117</v>
      </c>
      <c r="B160" s="3" t="str">
        <f>HYPERLINK("https://pegadaian.atlassian.net/browse/ITPROJECT-1188?atlOrigin=eyJpIjoiYzgwYTQ0ZjEyNzQzNGJhN2JmNjEyZTM0NmRhZWZhNjIiLCJwIjoic2hlZXRzLWppcmEifQ","ITPROJECT-1188")</f>
        <v>ITPROJECT-1188</v>
      </c>
      <c r="C160" s="1" t="s">
        <v>260</v>
      </c>
      <c r="D160" s="1" t="s">
        <v>44</v>
      </c>
      <c r="E160" s="1" t="s">
        <v>119</v>
      </c>
      <c r="F160" s="1" t="s">
        <v>12</v>
      </c>
      <c r="G160" s="1" t="s">
        <v>72</v>
      </c>
      <c r="H160" s="4">
        <v>44960.603321759256</v>
      </c>
      <c r="I160" s="4">
        <v>45061.162523148145</v>
      </c>
      <c r="J160" s="1" t="s">
        <v>45</v>
      </c>
    </row>
    <row r="161" spans="1:10" ht="12.75" x14ac:dyDescent="0.2">
      <c r="A161" s="1" t="s">
        <v>63</v>
      </c>
      <c r="B161" s="3" t="str">
        <f>HYPERLINK("https://pegadaian.atlassian.net/browse/ITPROJECT-1187?atlOrigin=eyJpIjoiYzgwYTQ0ZjEyNzQzNGJhN2JmNjEyZTM0NmRhZWZhNjIiLCJwIjoic2hlZXRzLWppcmEifQ","ITPROJECT-1187")</f>
        <v>ITPROJECT-1187</v>
      </c>
      <c r="C161" s="1" t="s">
        <v>261</v>
      </c>
      <c r="D161" s="1" t="s">
        <v>75</v>
      </c>
      <c r="E161" s="1" t="s">
        <v>75</v>
      </c>
      <c r="F161" s="1" t="s">
        <v>12</v>
      </c>
      <c r="G161" s="1" t="s">
        <v>68</v>
      </c>
      <c r="H161" s="4">
        <v>44960.594722222224</v>
      </c>
      <c r="I161" s="4">
        <v>45061.162534722222</v>
      </c>
      <c r="J161" s="1" t="s">
        <v>40</v>
      </c>
    </row>
    <row r="162" spans="1:10" ht="12.75" x14ac:dyDescent="0.2">
      <c r="A162" s="1" t="s">
        <v>63</v>
      </c>
      <c r="B162" s="3" t="str">
        <f>HYPERLINK("https://pegadaian.atlassian.net/browse/ITPROJECT-1186?atlOrigin=eyJpIjoiYzgwYTQ0ZjEyNzQzNGJhN2JmNjEyZTM0NmRhZWZhNjIiLCJwIjoic2hlZXRzLWppcmEifQ","ITPROJECT-1186")</f>
        <v>ITPROJECT-1186</v>
      </c>
      <c r="C162" s="1" t="s">
        <v>262</v>
      </c>
      <c r="D162" s="1" t="s">
        <v>57</v>
      </c>
      <c r="E162" s="1" t="s">
        <v>57</v>
      </c>
      <c r="F162" s="1" t="s">
        <v>12</v>
      </c>
      <c r="G162" s="1" t="s">
        <v>89</v>
      </c>
      <c r="H162" s="4">
        <v>44960.381631944445</v>
      </c>
      <c r="I162" s="4">
        <v>45061.162534722222</v>
      </c>
      <c r="J162" s="1" t="s">
        <v>16</v>
      </c>
    </row>
    <row r="163" spans="1:10" ht="12.75" x14ac:dyDescent="0.2">
      <c r="A163" s="1" t="s">
        <v>63</v>
      </c>
      <c r="B163" s="3" t="str">
        <f>HYPERLINK("https://pegadaian.atlassian.net/browse/ITPROJECT-1185?atlOrigin=eyJpIjoiYzgwYTQ0ZjEyNzQzNGJhN2JmNjEyZTM0NmRhZWZhNjIiLCJwIjoic2hlZXRzLWppcmEifQ","ITPROJECT-1185")</f>
        <v>ITPROJECT-1185</v>
      </c>
      <c r="C163" s="1" t="s">
        <v>263</v>
      </c>
      <c r="D163" s="1" t="s">
        <v>28</v>
      </c>
      <c r="E163" s="1" t="s">
        <v>28</v>
      </c>
      <c r="F163" s="1" t="s">
        <v>12</v>
      </c>
      <c r="G163" s="1" t="s">
        <v>13</v>
      </c>
      <c r="H163" s="4">
        <v>44959.646701388891</v>
      </c>
      <c r="I163" s="4">
        <v>45061.162546296298</v>
      </c>
      <c r="J163" s="1" t="s">
        <v>27</v>
      </c>
    </row>
    <row r="164" spans="1:10" ht="12.75" x14ac:dyDescent="0.2">
      <c r="A164" s="1" t="s">
        <v>117</v>
      </c>
      <c r="B164" s="3" t="str">
        <f>HYPERLINK("https://pegadaian.atlassian.net/browse/ITPROJECT-1184?atlOrigin=eyJpIjoiYzgwYTQ0ZjEyNzQzNGJhN2JmNjEyZTM0NmRhZWZhNjIiLCJwIjoic2hlZXRzLWppcmEifQ","ITPROJECT-1184")</f>
        <v>ITPROJECT-1184</v>
      </c>
      <c r="C164" s="1" t="s">
        <v>264</v>
      </c>
      <c r="D164" s="1" t="s">
        <v>99</v>
      </c>
      <c r="E164" s="1" t="s">
        <v>122</v>
      </c>
      <c r="F164" s="1" t="s">
        <v>12</v>
      </c>
      <c r="G164" s="1" t="s">
        <v>120</v>
      </c>
      <c r="H164" s="4">
        <v>44959.623101851852</v>
      </c>
      <c r="I164" s="4">
        <v>45061.162546296298</v>
      </c>
      <c r="J164" s="1" t="s">
        <v>18</v>
      </c>
    </row>
    <row r="165" spans="1:10" ht="12.75" x14ac:dyDescent="0.2">
      <c r="A165" s="1" t="s">
        <v>63</v>
      </c>
      <c r="B165" s="3" t="str">
        <f>HYPERLINK("https://pegadaian.atlassian.net/browse/ITPROJECT-1183?atlOrigin=eyJpIjoiYzgwYTQ0ZjEyNzQzNGJhN2JmNjEyZTM0NmRhZWZhNjIiLCJwIjoic2hlZXRzLWppcmEifQ","ITPROJECT-1183")</f>
        <v>ITPROJECT-1183</v>
      </c>
      <c r="C165" s="1" t="s">
        <v>265</v>
      </c>
      <c r="D165" s="1" t="s">
        <v>139</v>
      </c>
      <c r="E165" s="1" t="s">
        <v>71</v>
      </c>
      <c r="F165" s="1" t="s">
        <v>12</v>
      </c>
      <c r="G165" s="1" t="s">
        <v>68</v>
      </c>
      <c r="H165" s="4">
        <v>44959.621481481481</v>
      </c>
      <c r="I165" s="4">
        <v>45061.162557870368</v>
      </c>
      <c r="J165" s="1" t="s">
        <v>266</v>
      </c>
    </row>
    <row r="166" spans="1:10" ht="12.75" x14ac:dyDescent="0.2">
      <c r="A166" s="1" t="s">
        <v>117</v>
      </c>
      <c r="B166" s="3" t="str">
        <f>HYPERLINK("https://pegadaian.atlassian.net/browse/ITPROJECT-1182?atlOrigin=eyJpIjoiYzgwYTQ0ZjEyNzQzNGJhN2JmNjEyZTM0NmRhZWZhNjIiLCJwIjoic2hlZXRzLWppcmEifQ","ITPROJECT-1182")</f>
        <v>ITPROJECT-1182</v>
      </c>
      <c r="C166" s="1" t="s">
        <v>267</v>
      </c>
      <c r="D166" s="1" t="s">
        <v>79</v>
      </c>
      <c r="E166" s="1" t="s">
        <v>161</v>
      </c>
      <c r="F166" s="1" t="s">
        <v>12</v>
      </c>
      <c r="G166" s="1" t="s">
        <v>68</v>
      </c>
      <c r="H166" s="4">
        <v>44959.61041666667</v>
      </c>
      <c r="I166" s="4">
        <v>45061.162569444445</v>
      </c>
      <c r="J166" s="1" t="s">
        <v>266</v>
      </c>
    </row>
    <row r="167" spans="1:10" ht="12.75" x14ac:dyDescent="0.2">
      <c r="A167" s="1" t="s">
        <v>117</v>
      </c>
      <c r="B167" s="3" t="str">
        <f>HYPERLINK("https://pegadaian.atlassian.net/browse/ITPROJECT-1181?atlOrigin=eyJpIjoiYzgwYTQ0ZjEyNzQzNGJhN2JmNjEyZTM0NmRhZWZhNjIiLCJwIjoic2hlZXRzLWppcmEifQ","ITPROJECT-1181")</f>
        <v>ITPROJECT-1181</v>
      </c>
      <c r="C167" s="1" t="s">
        <v>268</v>
      </c>
      <c r="D167" s="1" t="s">
        <v>28</v>
      </c>
      <c r="E167" s="1" t="s">
        <v>130</v>
      </c>
      <c r="F167" s="1" t="s">
        <v>12</v>
      </c>
      <c r="G167" s="1" t="s">
        <v>13</v>
      </c>
      <c r="H167" s="4">
        <v>44959.51635416667</v>
      </c>
      <c r="I167" s="4">
        <v>45061.162569444445</v>
      </c>
      <c r="J167" s="1" t="s">
        <v>27</v>
      </c>
    </row>
    <row r="168" spans="1:10" ht="12.75" x14ac:dyDescent="0.2">
      <c r="A168" s="1" t="s">
        <v>63</v>
      </c>
      <c r="B168" s="3" t="str">
        <f>HYPERLINK("https://pegadaian.atlassian.net/browse/ITPROJECT-1180?atlOrigin=eyJpIjoiYzgwYTQ0ZjEyNzQzNGJhN2JmNjEyZTM0NmRhZWZhNjIiLCJwIjoic2hlZXRzLWppcmEifQ","ITPROJECT-1180")</f>
        <v>ITPROJECT-1180</v>
      </c>
      <c r="C168" s="1" t="s">
        <v>269</v>
      </c>
      <c r="D168" s="1" t="s">
        <v>24</v>
      </c>
      <c r="E168" s="1" t="s">
        <v>24</v>
      </c>
      <c r="F168" s="1" t="s">
        <v>12</v>
      </c>
      <c r="G168" s="1" t="s">
        <v>68</v>
      </c>
      <c r="H168" s="4">
        <v>44959.468194444446</v>
      </c>
      <c r="I168" s="4">
        <v>45061.162581018521</v>
      </c>
      <c r="J168" s="1" t="s">
        <v>21</v>
      </c>
    </row>
    <row r="169" spans="1:10" ht="12.75" x14ac:dyDescent="0.2">
      <c r="A169" s="1" t="s">
        <v>117</v>
      </c>
      <c r="B169" s="3" t="str">
        <f>HYPERLINK("https://pegadaian.atlassian.net/browse/ITPROJECT-1179?atlOrigin=eyJpIjoiYzgwYTQ0ZjEyNzQzNGJhN2JmNjEyZTM0NmRhZWZhNjIiLCJwIjoic2hlZXRzLWppcmEifQ","ITPROJECT-1179")</f>
        <v>ITPROJECT-1179</v>
      </c>
      <c r="C169" s="1" t="s">
        <v>270</v>
      </c>
      <c r="D169" s="1" t="s">
        <v>75</v>
      </c>
      <c r="E169" s="1" t="s">
        <v>130</v>
      </c>
      <c r="F169" s="1" t="s">
        <v>12</v>
      </c>
      <c r="G169" s="1" t="s">
        <v>68</v>
      </c>
      <c r="H169" s="4">
        <v>44959.468009259261</v>
      </c>
      <c r="I169" s="4">
        <v>45061.162581018521</v>
      </c>
      <c r="J169" s="1" t="s">
        <v>40</v>
      </c>
    </row>
    <row r="170" spans="1:10" ht="12.75" x14ac:dyDescent="0.2">
      <c r="A170" s="1" t="s">
        <v>117</v>
      </c>
      <c r="B170" s="3" t="str">
        <f>HYPERLINK("https://pegadaian.atlassian.net/browse/ITPROJECT-1178?atlOrigin=eyJpIjoiYzgwYTQ0ZjEyNzQzNGJhN2JmNjEyZTM0NmRhZWZhNjIiLCJwIjoic2hlZXRzLWppcmEifQ","ITPROJECT-1178")</f>
        <v>ITPROJECT-1178</v>
      </c>
      <c r="C170" s="1" t="s">
        <v>271</v>
      </c>
      <c r="D170" s="1" t="s">
        <v>25</v>
      </c>
      <c r="E170" s="1" t="s">
        <v>161</v>
      </c>
      <c r="F170" s="1" t="s">
        <v>12</v>
      </c>
      <c r="G170" s="1" t="s">
        <v>13</v>
      </c>
      <c r="H170" s="4">
        <v>44958.709374999999</v>
      </c>
      <c r="I170" s="4">
        <v>45061.162592592591</v>
      </c>
      <c r="J170" s="1" t="s">
        <v>26</v>
      </c>
    </row>
    <row r="171" spans="1:10" ht="12.75" x14ac:dyDescent="0.2">
      <c r="A171" s="1" t="s">
        <v>117</v>
      </c>
      <c r="B171" s="3" t="str">
        <f>HYPERLINK("https://pegadaian.atlassian.net/browse/ITPROJECT-1177?atlOrigin=eyJpIjoiYzgwYTQ0ZjEyNzQzNGJhN2JmNjEyZTM0NmRhZWZhNjIiLCJwIjoic2hlZXRzLWppcmEifQ","ITPROJECT-1177")</f>
        <v>ITPROJECT-1177</v>
      </c>
      <c r="C171" s="1" t="s">
        <v>272</v>
      </c>
      <c r="D171" s="1" t="s">
        <v>56</v>
      </c>
      <c r="E171" s="1" t="s">
        <v>200</v>
      </c>
      <c r="F171" s="1" t="s">
        <v>12</v>
      </c>
      <c r="G171" s="1" t="s">
        <v>72</v>
      </c>
      <c r="H171" s="4">
        <v>44958.587094907409</v>
      </c>
      <c r="I171" s="4">
        <v>45061.162592592591</v>
      </c>
      <c r="J171" s="1" t="s">
        <v>11</v>
      </c>
    </row>
    <row r="172" spans="1:10" ht="12.75" x14ac:dyDescent="0.2">
      <c r="A172" s="1" t="s">
        <v>63</v>
      </c>
      <c r="B172" s="3" t="str">
        <f>HYPERLINK("https://pegadaian.atlassian.net/browse/ITPROJECT-1176?atlOrigin=eyJpIjoiYzgwYTQ0ZjEyNzQzNGJhN2JmNjEyZTM0NmRhZWZhNjIiLCJwIjoic2hlZXRzLWppcmEifQ","ITPROJECT-1176")</f>
        <v>ITPROJECT-1176</v>
      </c>
      <c r="C172" s="1" t="s">
        <v>273</v>
      </c>
      <c r="D172" s="1" t="s">
        <v>71</v>
      </c>
      <c r="E172" s="1" t="s">
        <v>71</v>
      </c>
      <c r="F172" s="1" t="s">
        <v>12</v>
      </c>
      <c r="G172" s="1" t="s">
        <v>68</v>
      </c>
      <c r="H172" s="4">
        <v>44956.619340277779</v>
      </c>
      <c r="I172" s="4">
        <v>45061.162604166668</v>
      </c>
      <c r="J172" s="1" t="s">
        <v>60</v>
      </c>
    </row>
    <row r="173" spans="1:10" ht="12.75" x14ac:dyDescent="0.2">
      <c r="A173" s="1" t="s">
        <v>63</v>
      </c>
      <c r="B173" s="3" t="str">
        <f>HYPERLINK("https://pegadaian.atlassian.net/browse/ITPROJECT-1174?atlOrigin=eyJpIjoiYzgwYTQ0ZjEyNzQzNGJhN2JmNjEyZTM0NmRhZWZhNjIiLCJwIjoic2hlZXRzLWppcmEifQ","ITPROJECT-1174")</f>
        <v>ITPROJECT-1174</v>
      </c>
      <c r="C173" s="1" t="s">
        <v>274</v>
      </c>
      <c r="D173" s="1" t="s">
        <v>139</v>
      </c>
      <c r="E173" s="1" t="s">
        <v>71</v>
      </c>
      <c r="F173" s="1" t="s">
        <v>12</v>
      </c>
      <c r="G173" s="1" t="s">
        <v>13</v>
      </c>
      <c r="H173" s="4">
        <v>44956.598460648151</v>
      </c>
      <c r="I173" s="4">
        <v>45061.162604166668</v>
      </c>
      <c r="J173" s="1" t="s">
        <v>275</v>
      </c>
    </row>
    <row r="174" spans="1:10" ht="12.75" x14ac:dyDescent="0.2">
      <c r="A174" s="1" t="s">
        <v>63</v>
      </c>
      <c r="B174" s="3" t="str">
        <f>HYPERLINK("https://pegadaian.atlassian.net/browse/ITPROJECT-1173?atlOrigin=eyJpIjoiYzgwYTQ0ZjEyNzQzNGJhN2JmNjEyZTM0NmRhZWZhNjIiLCJwIjoic2hlZXRzLWppcmEifQ","ITPROJECT-1173")</f>
        <v>ITPROJECT-1173</v>
      </c>
      <c r="C174" s="1" t="s">
        <v>276</v>
      </c>
      <c r="D174" s="1" t="s">
        <v>36</v>
      </c>
      <c r="E174" s="1" t="s">
        <v>36</v>
      </c>
      <c r="F174" s="1" t="s">
        <v>12</v>
      </c>
      <c r="G174" s="1" t="s">
        <v>158</v>
      </c>
      <c r="H174" s="4">
        <v>44956.568344907406</v>
      </c>
      <c r="I174" s="4">
        <v>45061.162615740737</v>
      </c>
      <c r="J174" s="1" t="s">
        <v>37</v>
      </c>
    </row>
    <row r="175" spans="1:10" ht="12.75" x14ac:dyDescent="0.2">
      <c r="A175" s="1" t="s">
        <v>117</v>
      </c>
      <c r="B175" s="3" t="str">
        <f>HYPERLINK("https://pegadaian.atlassian.net/browse/ITPROJECT-1172?atlOrigin=eyJpIjoiYzgwYTQ0ZjEyNzQzNGJhN2JmNjEyZTM0NmRhZWZhNjIiLCJwIjoic2hlZXRzLWppcmEifQ","ITPROJECT-1172")</f>
        <v>ITPROJECT-1172</v>
      </c>
      <c r="C175" s="1" t="s">
        <v>277</v>
      </c>
      <c r="D175" s="1" t="s">
        <v>44</v>
      </c>
      <c r="E175" s="1" t="s">
        <v>119</v>
      </c>
      <c r="F175" s="1" t="s">
        <v>12</v>
      </c>
      <c r="G175" s="1" t="s">
        <v>72</v>
      </c>
      <c r="H175" s="4">
        <v>44956.566446759258</v>
      </c>
      <c r="I175" s="4">
        <v>45061.162615740737</v>
      </c>
      <c r="J175" s="1" t="s">
        <v>45</v>
      </c>
    </row>
    <row r="176" spans="1:10" ht="12.75" x14ac:dyDescent="0.2">
      <c r="A176" s="1" t="s">
        <v>117</v>
      </c>
      <c r="B176" s="3" t="str">
        <f>HYPERLINK("https://pegadaian.atlassian.net/browse/ITPROJECT-1169?atlOrigin=eyJpIjoiYzgwYTQ0ZjEyNzQzNGJhN2JmNjEyZTM0NmRhZWZhNjIiLCJwIjoic2hlZXRzLWppcmEifQ","ITPROJECT-1169")</f>
        <v>ITPROJECT-1169</v>
      </c>
      <c r="C176" s="1" t="s">
        <v>278</v>
      </c>
      <c r="D176" s="1" t="s">
        <v>79</v>
      </c>
      <c r="E176" s="1" t="s">
        <v>122</v>
      </c>
      <c r="F176" s="1" t="s">
        <v>12</v>
      </c>
      <c r="G176" s="1" t="s">
        <v>68</v>
      </c>
      <c r="H176" s="4">
        <v>44952.65556712963</v>
      </c>
      <c r="I176" s="4">
        <v>45061.162638888891</v>
      </c>
      <c r="J176" s="1" t="s">
        <v>80</v>
      </c>
    </row>
    <row r="177" spans="1:10" ht="12.75" x14ac:dyDescent="0.2">
      <c r="A177" s="1" t="s">
        <v>117</v>
      </c>
      <c r="B177" s="3" t="str">
        <f>HYPERLINK("https://pegadaian.atlassian.net/browse/ITPROJECT-1168?atlOrigin=eyJpIjoiYzgwYTQ0ZjEyNzQzNGJhN2JmNjEyZTM0NmRhZWZhNjIiLCJwIjoic2hlZXRzLWppcmEifQ","ITPROJECT-1168")</f>
        <v>ITPROJECT-1168</v>
      </c>
      <c r="C177" s="1" t="s">
        <v>279</v>
      </c>
      <c r="D177" s="1" t="s">
        <v>79</v>
      </c>
      <c r="E177" s="1" t="s">
        <v>122</v>
      </c>
      <c r="F177" s="1" t="s">
        <v>12</v>
      </c>
      <c r="G177" s="1" t="s">
        <v>66</v>
      </c>
      <c r="H177" s="4">
        <v>44952.653657407405</v>
      </c>
      <c r="I177" s="4">
        <v>45061.162638888891</v>
      </c>
      <c r="J177" s="1" t="s">
        <v>80</v>
      </c>
    </row>
    <row r="178" spans="1:10" ht="12.75" x14ac:dyDescent="0.2">
      <c r="A178" s="1" t="s">
        <v>117</v>
      </c>
      <c r="B178" s="3" t="str">
        <f>HYPERLINK("https://pegadaian.atlassian.net/browse/ITPROJECT-1167?atlOrigin=eyJpIjoiYzgwYTQ0ZjEyNzQzNGJhN2JmNjEyZTM0NmRhZWZhNjIiLCJwIjoic2hlZXRzLWppcmEifQ","ITPROJECT-1167")</f>
        <v>ITPROJECT-1167</v>
      </c>
      <c r="C178" s="1" t="s">
        <v>280</v>
      </c>
      <c r="D178" s="1" t="s">
        <v>57</v>
      </c>
      <c r="E178" s="1" t="s">
        <v>200</v>
      </c>
      <c r="F178" s="1" t="s">
        <v>12</v>
      </c>
      <c r="G178" s="1" t="s">
        <v>120</v>
      </c>
      <c r="H178" s="4">
        <v>44952.65179398148</v>
      </c>
      <c r="I178" s="4">
        <v>45061.16265046296</v>
      </c>
      <c r="J178" s="1" t="s">
        <v>16</v>
      </c>
    </row>
    <row r="179" spans="1:10" ht="12.75" x14ac:dyDescent="0.2">
      <c r="A179" s="1" t="s">
        <v>117</v>
      </c>
      <c r="B179" s="3" t="str">
        <f>HYPERLINK("https://pegadaian.atlassian.net/browse/ITPROJECT-1165?atlOrigin=eyJpIjoiYzgwYTQ0ZjEyNzQzNGJhN2JmNjEyZTM0NmRhZWZhNjIiLCJwIjoic2hlZXRzLWppcmEifQ","ITPROJECT-1165")</f>
        <v>ITPROJECT-1165</v>
      </c>
      <c r="C179" s="1" t="s">
        <v>281</v>
      </c>
      <c r="D179" s="1" t="s">
        <v>79</v>
      </c>
      <c r="E179" s="1" t="s">
        <v>122</v>
      </c>
      <c r="F179" s="1" t="s">
        <v>12</v>
      </c>
      <c r="G179" s="1" t="s">
        <v>76</v>
      </c>
      <c r="H179" s="4">
        <v>44952.637928240743</v>
      </c>
      <c r="I179" s="4">
        <v>45061.162662037037</v>
      </c>
      <c r="J179" s="1" t="s">
        <v>80</v>
      </c>
    </row>
    <row r="180" spans="1:10" ht="12.75" x14ac:dyDescent="0.2">
      <c r="A180" s="1" t="s">
        <v>117</v>
      </c>
      <c r="B180" s="3" t="str">
        <f>HYPERLINK("https://pegadaian.atlassian.net/browse/ITPROJECT-1164?atlOrigin=eyJpIjoiYzgwYTQ0ZjEyNzQzNGJhN2JmNjEyZTM0NmRhZWZhNjIiLCJwIjoic2hlZXRzLWppcmEifQ","ITPROJECT-1164")</f>
        <v>ITPROJECT-1164</v>
      </c>
      <c r="C180" s="1" t="s">
        <v>282</v>
      </c>
      <c r="D180" s="1" t="s">
        <v>46</v>
      </c>
      <c r="E180" s="1" t="s">
        <v>161</v>
      </c>
      <c r="F180" s="1" t="s">
        <v>12</v>
      </c>
      <c r="G180" s="1" t="s">
        <v>72</v>
      </c>
      <c r="H180" s="4">
        <v>44952.567881944444</v>
      </c>
      <c r="I180" s="4">
        <v>45061.162662037037</v>
      </c>
      <c r="J180" s="1" t="s">
        <v>26</v>
      </c>
    </row>
    <row r="181" spans="1:10" ht="12.75" x14ac:dyDescent="0.2">
      <c r="A181" s="1" t="s">
        <v>63</v>
      </c>
      <c r="B181" s="3" t="str">
        <f>HYPERLINK("https://pegadaian.atlassian.net/browse/ITPROJECT-1163?atlOrigin=eyJpIjoiYzgwYTQ0ZjEyNzQzNGJhN2JmNjEyZTM0NmRhZWZhNjIiLCJwIjoic2hlZXRzLWppcmEifQ","ITPROJECT-1163")</f>
        <v>ITPROJECT-1163</v>
      </c>
      <c r="C181" s="1" t="s">
        <v>283</v>
      </c>
      <c r="D181" s="1" t="s">
        <v>65</v>
      </c>
      <c r="E181" s="1" t="s">
        <v>65</v>
      </c>
      <c r="F181" s="1" t="s">
        <v>12</v>
      </c>
      <c r="G181" s="1" t="s">
        <v>68</v>
      </c>
      <c r="H181" s="4">
        <v>44952.564722222225</v>
      </c>
      <c r="I181" s="4">
        <v>45061.162662037037</v>
      </c>
      <c r="J181" s="1" t="s">
        <v>54</v>
      </c>
    </row>
    <row r="182" spans="1:10" ht="12.75" x14ac:dyDescent="0.2">
      <c r="A182" s="1" t="s">
        <v>63</v>
      </c>
      <c r="B182" s="3" t="str">
        <f>HYPERLINK("https://pegadaian.atlassian.net/browse/ITPROJECT-1162?atlOrigin=eyJpIjoiYzgwYTQ0ZjEyNzQzNGJhN2JmNjEyZTM0NmRhZWZhNjIiLCJwIjoic2hlZXRzLWppcmEifQ","ITPROJECT-1162")</f>
        <v>ITPROJECT-1162</v>
      </c>
      <c r="C182" s="1" t="s">
        <v>284</v>
      </c>
      <c r="D182" s="1" t="s">
        <v>50</v>
      </c>
      <c r="E182" s="1" t="s">
        <v>50</v>
      </c>
      <c r="F182" s="1" t="s">
        <v>12</v>
      </c>
      <c r="G182" s="1" t="s">
        <v>158</v>
      </c>
      <c r="H182" s="4">
        <v>44952.514791666668</v>
      </c>
      <c r="I182" s="4">
        <v>45061.162673611114</v>
      </c>
      <c r="J182" s="1" t="s">
        <v>285</v>
      </c>
    </row>
    <row r="183" spans="1:10" ht="12.75" x14ac:dyDescent="0.2">
      <c r="A183" s="1" t="s">
        <v>63</v>
      </c>
      <c r="B183" s="3" t="str">
        <f>HYPERLINK("https://pegadaian.atlassian.net/browse/ITPROJECT-1161?atlOrigin=eyJpIjoiYzgwYTQ0ZjEyNzQzNGJhN2JmNjEyZTM0NmRhZWZhNjIiLCJwIjoic2hlZXRzLWppcmEifQ","ITPROJECT-1161")</f>
        <v>ITPROJECT-1161</v>
      </c>
      <c r="C183" s="1" t="s">
        <v>286</v>
      </c>
      <c r="D183" s="1" t="s">
        <v>50</v>
      </c>
      <c r="E183" s="1" t="s">
        <v>50</v>
      </c>
      <c r="F183" s="1" t="s">
        <v>12</v>
      </c>
      <c r="G183" s="1" t="s">
        <v>89</v>
      </c>
      <c r="H183" s="4">
        <v>44952.514236111114</v>
      </c>
      <c r="I183" s="4">
        <v>45061.162685185183</v>
      </c>
      <c r="J183" s="1" t="s">
        <v>285</v>
      </c>
    </row>
    <row r="184" spans="1:10" ht="12.75" x14ac:dyDescent="0.2">
      <c r="A184" s="1" t="s">
        <v>63</v>
      </c>
      <c r="B184" s="3" t="str">
        <f>HYPERLINK("https://pegadaian.atlassian.net/browse/ITPROJECT-1160?atlOrigin=eyJpIjoiYzgwYTQ0ZjEyNzQzNGJhN2JmNjEyZTM0NmRhZWZhNjIiLCJwIjoic2hlZXRzLWppcmEifQ","ITPROJECT-1160")</f>
        <v>ITPROJECT-1160</v>
      </c>
      <c r="C184" s="1" t="s">
        <v>287</v>
      </c>
      <c r="D184" s="1" t="s">
        <v>50</v>
      </c>
      <c r="E184" s="1" t="s">
        <v>50</v>
      </c>
      <c r="F184" s="1" t="s">
        <v>12</v>
      </c>
      <c r="G184" s="1" t="s">
        <v>89</v>
      </c>
      <c r="H184" s="4">
        <v>44952.513495370367</v>
      </c>
      <c r="I184" s="4">
        <v>45061.16269675926</v>
      </c>
      <c r="J184" s="1" t="s">
        <v>285</v>
      </c>
    </row>
    <row r="185" spans="1:10" ht="12.75" x14ac:dyDescent="0.2">
      <c r="A185" s="1" t="s">
        <v>63</v>
      </c>
      <c r="B185" s="3" t="str">
        <f>HYPERLINK("https://pegadaian.atlassian.net/browse/ITPROJECT-1159?atlOrigin=eyJpIjoiYzgwYTQ0ZjEyNzQzNGJhN2JmNjEyZTM0NmRhZWZhNjIiLCJwIjoic2hlZXRzLWppcmEifQ","ITPROJECT-1159")</f>
        <v>ITPROJECT-1159</v>
      </c>
      <c r="C185" s="1" t="s">
        <v>288</v>
      </c>
      <c r="D185" s="1" t="s">
        <v>25</v>
      </c>
      <c r="E185" s="1" t="s">
        <v>25</v>
      </c>
      <c r="F185" s="1" t="s">
        <v>12</v>
      </c>
      <c r="G185" s="1" t="s">
        <v>13</v>
      </c>
      <c r="H185" s="4">
        <v>44952.394293981481</v>
      </c>
      <c r="I185" s="4">
        <v>45061.162708333337</v>
      </c>
      <c r="J185" s="1" t="s">
        <v>26</v>
      </c>
    </row>
    <row r="186" spans="1:10" ht="12.75" x14ac:dyDescent="0.2">
      <c r="A186" s="1" t="s">
        <v>63</v>
      </c>
      <c r="B186" s="3" t="str">
        <f>HYPERLINK("https://pegadaian.atlassian.net/browse/ITPROJECT-1158?atlOrigin=eyJpIjoiYzgwYTQ0ZjEyNzQzNGJhN2JmNjEyZTM0NmRhZWZhNjIiLCJwIjoic2hlZXRzLWppcmEifQ","ITPROJECT-1158")</f>
        <v>ITPROJECT-1158</v>
      </c>
      <c r="C186" s="1" t="s">
        <v>289</v>
      </c>
      <c r="D186" s="1" t="s">
        <v>115</v>
      </c>
      <c r="E186" s="1" t="s">
        <v>115</v>
      </c>
      <c r="F186" s="1" t="s">
        <v>12</v>
      </c>
      <c r="G186" s="1" t="s">
        <v>13</v>
      </c>
      <c r="H186" s="4">
        <v>44952.378182870372</v>
      </c>
      <c r="I186" s="4">
        <v>45061.162708333337</v>
      </c>
      <c r="J186" s="1" t="s">
        <v>19</v>
      </c>
    </row>
    <row r="187" spans="1:10" ht="12.75" x14ac:dyDescent="0.2">
      <c r="A187" s="1" t="s">
        <v>117</v>
      </c>
      <c r="B187" s="3" t="str">
        <f>HYPERLINK("https://pegadaian.atlassian.net/browse/ITPROJECT-1157?atlOrigin=eyJpIjoiYzgwYTQ0ZjEyNzQzNGJhN2JmNjEyZTM0NmRhZWZhNjIiLCJwIjoic2hlZXRzLWppcmEifQ","ITPROJECT-1157")</f>
        <v>ITPROJECT-1157</v>
      </c>
      <c r="C187" s="1" t="s">
        <v>290</v>
      </c>
      <c r="D187" s="1" t="s">
        <v>99</v>
      </c>
      <c r="E187" s="1" t="s">
        <v>122</v>
      </c>
      <c r="F187" s="1" t="s">
        <v>12</v>
      </c>
      <c r="G187" s="1" t="s">
        <v>120</v>
      </c>
      <c r="H187" s="4">
        <v>44951.634965277779</v>
      </c>
      <c r="I187" s="4">
        <v>45061.162719907406</v>
      </c>
      <c r="J187" s="1" t="s">
        <v>148</v>
      </c>
    </row>
    <row r="188" spans="1:10" ht="12.75" x14ac:dyDescent="0.2">
      <c r="A188" s="1" t="s">
        <v>117</v>
      </c>
      <c r="B188" s="3" t="str">
        <f>HYPERLINK("https://pegadaian.atlassian.net/browse/ITPROJECT-1155?atlOrigin=eyJpIjoiYzgwYTQ0ZjEyNzQzNGJhN2JmNjEyZTM0NmRhZWZhNjIiLCJwIjoic2hlZXRzLWppcmEifQ","ITPROJECT-1155")</f>
        <v>ITPROJECT-1155</v>
      </c>
      <c r="C188" s="1" t="s">
        <v>291</v>
      </c>
      <c r="D188" s="1" t="s">
        <v>99</v>
      </c>
      <c r="E188" s="1" t="s">
        <v>122</v>
      </c>
      <c r="F188" s="1" t="s">
        <v>12</v>
      </c>
      <c r="G188" s="1" t="s">
        <v>72</v>
      </c>
      <c r="H188" s="4">
        <v>44951.623495370368</v>
      </c>
      <c r="I188" s="4">
        <v>45061.162731481483</v>
      </c>
      <c r="J188" s="1" t="s">
        <v>148</v>
      </c>
    </row>
    <row r="189" spans="1:10" ht="12.75" x14ac:dyDescent="0.2">
      <c r="A189" s="1" t="s">
        <v>63</v>
      </c>
      <c r="B189" s="3" t="str">
        <f>HYPERLINK("https://pegadaian.atlassian.net/browse/ITPROJECT-1154?atlOrigin=eyJpIjoiYzgwYTQ0ZjEyNzQzNGJhN2JmNjEyZTM0NmRhZWZhNjIiLCJwIjoic2hlZXRzLWppcmEifQ","ITPROJECT-1154")</f>
        <v>ITPROJECT-1154</v>
      </c>
      <c r="C189" s="1" t="s">
        <v>292</v>
      </c>
      <c r="D189" s="1" t="s">
        <v>56</v>
      </c>
      <c r="E189" s="1" t="s">
        <v>56</v>
      </c>
      <c r="F189" s="1" t="s">
        <v>12</v>
      </c>
      <c r="G189" s="1" t="s">
        <v>13</v>
      </c>
      <c r="H189" s="4">
        <v>44951.602395833332</v>
      </c>
      <c r="I189" s="4">
        <v>45061.162731481483</v>
      </c>
      <c r="J189" s="1" t="s">
        <v>11</v>
      </c>
    </row>
    <row r="190" spans="1:10" ht="12.75" x14ac:dyDescent="0.2">
      <c r="A190" s="1" t="s">
        <v>117</v>
      </c>
      <c r="B190" s="3" t="str">
        <f>HYPERLINK("https://pegadaian.atlassian.net/browse/ITPROJECT-1153?atlOrigin=eyJpIjoiYzgwYTQ0ZjEyNzQzNGJhN2JmNjEyZTM0NmRhZWZhNjIiLCJwIjoic2hlZXRzLWppcmEifQ","ITPROJECT-1153")</f>
        <v>ITPROJECT-1153</v>
      </c>
      <c r="C190" s="1" t="s">
        <v>293</v>
      </c>
      <c r="D190" s="1" t="s">
        <v>115</v>
      </c>
      <c r="E190" s="1" t="s">
        <v>122</v>
      </c>
      <c r="F190" s="1" t="s">
        <v>12</v>
      </c>
      <c r="G190" s="1" t="s">
        <v>72</v>
      </c>
      <c r="H190" s="4">
        <v>44951.596493055556</v>
      </c>
      <c r="I190" s="4">
        <v>45061.162743055553</v>
      </c>
      <c r="J190" s="1" t="s">
        <v>19</v>
      </c>
    </row>
    <row r="191" spans="1:10" ht="12.75" x14ac:dyDescent="0.2">
      <c r="A191" s="1" t="s">
        <v>117</v>
      </c>
      <c r="B191" s="3" t="str">
        <f>HYPERLINK("https://pegadaian.atlassian.net/browse/ITPROJECT-1152?atlOrigin=eyJpIjoiYzgwYTQ0ZjEyNzQzNGJhN2JmNjEyZTM0NmRhZWZhNjIiLCJwIjoic2hlZXRzLWppcmEifQ","ITPROJECT-1152")</f>
        <v>ITPROJECT-1152</v>
      </c>
      <c r="C191" s="1" t="s">
        <v>294</v>
      </c>
      <c r="D191" s="1" t="s">
        <v>24</v>
      </c>
      <c r="E191" s="1" t="s">
        <v>119</v>
      </c>
      <c r="F191" s="1" t="s">
        <v>12</v>
      </c>
      <c r="G191" s="1" t="s">
        <v>68</v>
      </c>
      <c r="H191" s="4">
        <v>44951.592002314814</v>
      </c>
      <c r="I191" s="4">
        <v>45061.162743055553</v>
      </c>
      <c r="J191" s="1" t="s">
        <v>21</v>
      </c>
    </row>
    <row r="192" spans="1:10" ht="12.75" x14ac:dyDescent="0.2">
      <c r="A192" s="1" t="s">
        <v>117</v>
      </c>
      <c r="B192" s="3" t="str">
        <f>HYPERLINK("https://pegadaian.atlassian.net/browse/ITPROJECT-1151?atlOrigin=eyJpIjoiYzgwYTQ0ZjEyNzQzNGJhN2JmNjEyZTM0NmRhZWZhNjIiLCJwIjoic2hlZXRzLWppcmEifQ","ITPROJECT-1151")</f>
        <v>ITPROJECT-1151</v>
      </c>
      <c r="C192" s="1" t="s">
        <v>295</v>
      </c>
      <c r="D192" s="1" t="s">
        <v>296</v>
      </c>
      <c r="E192" s="1" t="s">
        <v>161</v>
      </c>
      <c r="F192" s="1" t="s">
        <v>12</v>
      </c>
      <c r="G192" s="1" t="s">
        <v>120</v>
      </c>
      <c r="H192" s="4">
        <v>44951.413425925923</v>
      </c>
      <c r="I192" s="4">
        <v>45061.162754629629</v>
      </c>
      <c r="J192" s="1" t="s">
        <v>26</v>
      </c>
    </row>
    <row r="193" spans="1:10" ht="12.75" x14ac:dyDescent="0.2">
      <c r="A193" s="1" t="s">
        <v>117</v>
      </c>
      <c r="B193" s="3" t="str">
        <f>HYPERLINK("https://pegadaian.atlassian.net/browse/ITPROJECT-1150?atlOrigin=eyJpIjoiYzgwYTQ0ZjEyNzQzNGJhN2JmNjEyZTM0NmRhZWZhNjIiLCJwIjoic2hlZXRzLWppcmEifQ","ITPROJECT-1150")</f>
        <v>ITPROJECT-1150</v>
      </c>
      <c r="C193" s="1" t="s">
        <v>297</v>
      </c>
      <c r="D193" s="1" t="s">
        <v>56</v>
      </c>
      <c r="E193" s="1" t="s">
        <v>200</v>
      </c>
      <c r="F193" s="1" t="s">
        <v>12</v>
      </c>
      <c r="G193" s="1" t="s">
        <v>13</v>
      </c>
      <c r="H193" s="4">
        <v>44951.412083333336</v>
      </c>
      <c r="I193" s="4">
        <v>45061.162754629629</v>
      </c>
      <c r="J193" s="1" t="s">
        <v>11</v>
      </c>
    </row>
    <row r="194" spans="1:10" ht="12.75" x14ac:dyDescent="0.2">
      <c r="A194" s="1" t="s">
        <v>117</v>
      </c>
      <c r="B194" s="3" t="str">
        <f>HYPERLINK("https://pegadaian.atlassian.net/browse/ITPROJECT-1149?atlOrigin=eyJpIjoiYzgwYTQ0ZjEyNzQzNGJhN2JmNjEyZTM0NmRhZWZhNjIiLCJwIjoic2hlZXRzLWppcmEifQ","ITPROJECT-1149")</f>
        <v>ITPROJECT-1149</v>
      </c>
      <c r="C194" s="1" t="s">
        <v>298</v>
      </c>
      <c r="D194" s="1" t="s">
        <v>43</v>
      </c>
      <c r="E194" s="1" t="s">
        <v>161</v>
      </c>
      <c r="F194" s="1" t="s">
        <v>12</v>
      </c>
      <c r="G194" s="1" t="s">
        <v>89</v>
      </c>
      <c r="H194" s="4">
        <v>44951.405844907407</v>
      </c>
      <c r="I194" s="4">
        <v>45061.162766203706</v>
      </c>
      <c r="J194" s="1" t="s">
        <v>23</v>
      </c>
    </row>
    <row r="195" spans="1:10" ht="12.75" x14ac:dyDescent="0.2">
      <c r="A195" s="1" t="s">
        <v>117</v>
      </c>
      <c r="B195" s="3" t="str">
        <f>HYPERLINK("https://pegadaian.atlassian.net/browse/ITPROJECT-1148?atlOrigin=eyJpIjoiYzgwYTQ0ZjEyNzQzNGJhN2JmNjEyZTM0NmRhZWZhNjIiLCJwIjoic2hlZXRzLWppcmEifQ","ITPROJECT-1148")</f>
        <v>ITPROJECT-1148</v>
      </c>
      <c r="C195" s="1" t="s">
        <v>299</v>
      </c>
      <c r="D195" s="1" t="s">
        <v>43</v>
      </c>
      <c r="E195" s="1" t="s">
        <v>161</v>
      </c>
      <c r="F195" s="1" t="s">
        <v>12</v>
      </c>
      <c r="G195" s="1" t="s">
        <v>76</v>
      </c>
      <c r="H195" s="4">
        <v>44951.373252314814</v>
      </c>
      <c r="I195" s="4">
        <v>45061.162777777776</v>
      </c>
      <c r="J195" s="1" t="s">
        <v>23</v>
      </c>
    </row>
    <row r="196" spans="1:10" ht="12.75" x14ac:dyDescent="0.2">
      <c r="A196" s="1" t="s">
        <v>63</v>
      </c>
      <c r="B196" s="3" t="str">
        <f>HYPERLINK("https://pegadaian.atlassian.net/browse/ITPROJECT-1147?atlOrigin=eyJpIjoiYzgwYTQ0ZjEyNzQzNGJhN2JmNjEyZTM0NmRhZWZhNjIiLCJwIjoic2hlZXRzLWppcmEifQ","ITPROJECT-1147")</f>
        <v>ITPROJECT-1147</v>
      </c>
      <c r="C196" s="1" t="s">
        <v>300</v>
      </c>
      <c r="D196" s="1" t="s">
        <v>42</v>
      </c>
      <c r="E196" s="1" t="s">
        <v>42</v>
      </c>
      <c r="F196" s="1" t="s">
        <v>12</v>
      </c>
      <c r="G196" s="1" t="s">
        <v>13</v>
      </c>
      <c r="H196" s="4">
        <v>44950.749212962961</v>
      </c>
      <c r="I196" s="4">
        <v>45061.162777777776</v>
      </c>
      <c r="J196" s="1" t="s">
        <v>15</v>
      </c>
    </row>
    <row r="197" spans="1:10" ht="12.75" x14ac:dyDescent="0.2">
      <c r="A197" s="1" t="s">
        <v>63</v>
      </c>
      <c r="B197" s="3" t="str">
        <f>HYPERLINK("https://pegadaian.atlassian.net/browse/ITPROJECT-1146?atlOrigin=eyJpIjoiYzgwYTQ0ZjEyNzQzNGJhN2JmNjEyZTM0NmRhZWZhNjIiLCJwIjoic2hlZXRzLWppcmEifQ","ITPROJECT-1146")</f>
        <v>ITPROJECT-1146</v>
      </c>
      <c r="C197" s="1" t="s">
        <v>301</v>
      </c>
      <c r="D197" s="1" t="s">
        <v>44</v>
      </c>
      <c r="E197" s="1" t="s">
        <v>44</v>
      </c>
      <c r="F197" s="1" t="s">
        <v>12</v>
      </c>
      <c r="G197" s="1" t="s">
        <v>13</v>
      </c>
      <c r="H197" s="4">
        <v>44950.658912037034</v>
      </c>
      <c r="I197" s="4">
        <v>45061.162789351853</v>
      </c>
      <c r="J197" s="1" t="s">
        <v>45</v>
      </c>
    </row>
    <row r="198" spans="1:10" ht="12.75" x14ac:dyDescent="0.2">
      <c r="A198" s="1" t="s">
        <v>117</v>
      </c>
      <c r="B198" s="3" t="str">
        <f>HYPERLINK("https://pegadaian.atlassian.net/browse/ITPROJECT-1145?atlOrigin=eyJpIjoiYzgwYTQ0ZjEyNzQzNGJhN2JmNjEyZTM0NmRhZWZhNjIiLCJwIjoic2hlZXRzLWppcmEifQ","ITPROJECT-1145")</f>
        <v>ITPROJECT-1145</v>
      </c>
      <c r="C198" s="1" t="s">
        <v>302</v>
      </c>
      <c r="D198" s="1" t="s">
        <v>75</v>
      </c>
      <c r="E198" s="1" t="s">
        <v>200</v>
      </c>
      <c r="F198" s="1" t="s">
        <v>12</v>
      </c>
      <c r="G198" s="1" t="s">
        <v>68</v>
      </c>
      <c r="H198" s="4">
        <v>44950.613240740742</v>
      </c>
      <c r="I198" s="4">
        <v>45061.162789351853</v>
      </c>
      <c r="J198" s="1" t="s">
        <v>58</v>
      </c>
    </row>
    <row r="199" spans="1:10" ht="12.75" x14ac:dyDescent="0.2">
      <c r="A199" s="1" t="s">
        <v>117</v>
      </c>
      <c r="B199" s="3" t="str">
        <f>HYPERLINK("https://pegadaian.atlassian.net/browse/ITPROJECT-1144?atlOrigin=eyJpIjoiYzgwYTQ0ZjEyNzQzNGJhN2JmNjEyZTM0NmRhZWZhNjIiLCJwIjoic2hlZXRzLWppcmEifQ","ITPROJECT-1144")</f>
        <v>ITPROJECT-1144</v>
      </c>
      <c r="C199" s="1" t="s">
        <v>303</v>
      </c>
      <c r="D199" s="1" t="s">
        <v>75</v>
      </c>
      <c r="E199" s="1" t="s">
        <v>200</v>
      </c>
      <c r="F199" s="1" t="s">
        <v>12</v>
      </c>
      <c r="G199" s="1" t="s">
        <v>120</v>
      </c>
      <c r="H199" s="4">
        <v>44950.610081018516</v>
      </c>
      <c r="I199" s="4">
        <v>45061.162800925929</v>
      </c>
      <c r="J199" s="1" t="s">
        <v>304</v>
      </c>
    </row>
    <row r="200" spans="1:10" ht="12.75" x14ac:dyDescent="0.2">
      <c r="A200" s="1" t="s">
        <v>117</v>
      </c>
      <c r="B200" s="3" t="str">
        <f>HYPERLINK("https://pegadaian.atlassian.net/browse/ITPROJECT-1143?atlOrigin=eyJpIjoiYzgwYTQ0ZjEyNzQzNGJhN2JmNjEyZTM0NmRhZWZhNjIiLCJwIjoic2hlZXRzLWppcmEifQ","ITPROJECT-1143")</f>
        <v>ITPROJECT-1143</v>
      </c>
      <c r="C200" s="1" t="s">
        <v>305</v>
      </c>
      <c r="D200" s="1" t="s">
        <v>71</v>
      </c>
      <c r="E200" s="1" t="s">
        <v>122</v>
      </c>
      <c r="F200" s="1" t="s">
        <v>12</v>
      </c>
      <c r="G200" s="1" t="s">
        <v>68</v>
      </c>
      <c r="H200" s="4">
        <v>44950.570648148147</v>
      </c>
      <c r="I200" s="4">
        <v>45061.162800925929</v>
      </c>
      <c r="J200" s="1" t="s">
        <v>306</v>
      </c>
    </row>
    <row r="201" spans="1:10" ht="12.75" x14ac:dyDescent="0.2">
      <c r="A201" s="1" t="s">
        <v>117</v>
      </c>
      <c r="B201" s="3" t="str">
        <f>HYPERLINK("https://pegadaian.atlassian.net/browse/ITPROJECT-1141?atlOrigin=eyJpIjoiYzgwYTQ0ZjEyNzQzNGJhN2JmNjEyZTM0NmRhZWZhNjIiLCJwIjoic2hlZXRzLWppcmEifQ","ITPROJECT-1141")</f>
        <v>ITPROJECT-1141</v>
      </c>
      <c r="C201" s="1" t="s">
        <v>307</v>
      </c>
      <c r="D201" s="1" t="s">
        <v>79</v>
      </c>
      <c r="E201" s="1" t="s">
        <v>161</v>
      </c>
      <c r="F201" s="1" t="s">
        <v>12</v>
      </c>
      <c r="G201" s="1" t="s">
        <v>120</v>
      </c>
      <c r="H201" s="4">
        <v>44950.474861111114</v>
      </c>
      <c r="I201" s="4">
        <v>45061.162812499999</v>
      </c>
      <c r="J201" s="1" t="s">
        <v>35</v>
      </c>
    </row>
    <row r="202" spans="1:10" ht="12.75" x14ac:dyDescent="0.2">
      <c r="A202" s="1" t="s">
        <v>117</v>
      </c>
      <c r="B202" s="3" t="str">
        <f>HYPERLINK("https://pegadaian.atlassian.net/browse/ITPROJECT-1140?atlOrigin=eyJpIjoiYzgwYTQ0ZjEyNzQzNGJhN2JmNjEyZTM0NmRhZWZhNjIiLCJwIjoic2hlZXRzLWppcmEifQ","ITPROJECT-1140")</f>
        <v>ITPROJECT-1140</v>
      </c>
      <c r="C202" s="1" t="s">
        <v>308</v>
      </c>
      <c r="D202" s="1" t="s">
        <v>79</v>
      </c>
      <c r="E202" s="1" t="s">
        <v>161</v>
      </c>
      <c r="F202" s="1" t="s">
        <v>12</v>
      </c>
      <c r="G202" s="1" t="s">
        <v>72</v>
      </c>
      <c r="H202" s="4">
        <v>44950.473402777781</v>
      </c>
      <c r="I202" s="4">
        <v>45061.162812499999</v>
      </c>
      <c r="J202" s="1" t="s">
        <v>35</v>
      </c>
    </row>
    <row r="203" spans="1:10" ht="12.75" x14ac:dyDescent="0.2">
      <c r="A203" s="1" t="s">
        <v>117</v>
      </c>
      <c r="B203" s="3" t="str">
        <f>HYPERLINK("https://pegadaian.atlassian.net/browse/ITPROJECT-1139?atlOrigin=eyJpIjoiYzgwYTQ0ZjEyNzQzNGJhN2JmNjEyZTM0NmRhZWZhNjIiLCJwIjoic2hlZXRzLWppcmEifQ","ITPROJECT-1139")</f>
        <v>ITPROJECT-1139</v>
      </c>
      <c r="C203" s="1" t="s">
        <v>309</v>
      </c>
      <c r="D203" s="1" t="s">
        <v>79</v>
      </c>
      <c r="E203" s="1" t="s">
        <v>161</v>
      </c>
      <c r="F203" s="1" t="s">
        <v>12</v>
      </c>
      <c r="G203" s="1" t="s">
        <v>68</v>
      </c>
      <c r="H203" s="4">
        <v>44950.471828703703</v>
      </c>
      <c r="I203" s="4">
        <v>45061.162824074076</v>
      </c>
      <c r="J203" s="1" t="s">
        <v>35</v>
      </c>
    </row>
    <row r="204" spans="1:10" ht="12.75" x14ac:dyDescent="0.2">
      <c r="A204" s="1" t="s">
        <v>117</v>
      </c>
      <c r="B204" s="3" t="str">
        <f>HYPERLINK("https://pegadaian.atlassian.net/browse/ITPROJECT-1138?atlOrigin=eyJpIjoiYzgwYTQ0ZjEyNzQzNGJhN2JmNjEyZTM0NmRhZWZhNjIiLCJwIjoic2hlZXRzLWppcmEifQ","ITPROJECT-1138")</f>
        <v>ITPROJECT-1138</v>
      </c>
      <c r="C204" s="1" t="s">
        <v>310</v>
      </c>
      <c r="D204" s="1" t="s">
        <v>44</v>
      </c>
      <c r="E204" s="1" t="s">
        <v>119</v>
      </c>
      <c r="F204" s="1" t="s">
        <v>12</v>
      </c>
      <c r="G204" s="1" t="s">
        <v>13</v>
      </c>
      <c r="H204" s="4">
        <v>44946.677511574075</v>
      </c>
      <c r="I204" s="4">
        <v>45061.162835648145</v>
      </c>
      <c r="J204" s="1" t="s">
        <v>45</v>
      </c>
    </row>
    <row r="205" spans="1:10" ht="12.75" x14ac:dyDescent="0.2">
      <c r="A205" s="1" t="s">
        <v>117</v>
      </c>
      <c r="B205" s="3" t="str">
        <f>HYPERLINK("https://pegadaian.atlassian.net/browse/ITPROJECT-1137?atlOrigin=eyJpIjoiYzgwYTQ0ZjEyNzQzNGJhN2JmNjEyZTM0NmRhZWZhNjIiLCJwIjoic2hlZXRzLWppcmEifQ","ITPROJECT-1137")</f>
        <v>ITPROJECT-1137</v>
      </c>
      <c r="C205" s="1" t="s">
        <v>311</v>
      </c>
      <c r="D205" s="1" t="s">
        <v>44</v>
      </c>
      <c r="E205" s="1" t="s">
        <v>119</v>
      </c>
      <c r="F205" s="1" t="s">
        <v>12</v>
      </c>
      <c r="G205" s="1" t="s">
        <v>13</v>
      </c>
      <c r="H205" s="4">
        <v>44946.676469907405</v>
      </c>
      <c r="I205" s="4">
        <v>45061.162835648145</v>
      </c>
      <c r="J205" s="1" t="s">
        <v>45</v>
      </c>
    </row>
    <row r="206" spans="1:10" ht="12.75" x14ac:dyDescent="0.2">
      <c r="A206" s="1" t="s">
        <v>63</v>
      </c>
      <c r="B206" s="3" t="str">
        <f>HYPERLINK("https://pegadaian.atlassian.net/browse/ITPROJECT-1135?atlOrigin=eyJpIjoiYzgwYTQ0ZjEyNzQzNGJhN2JmNjEyZTM0NmRhZWZhNjIiLCJwIjoic2hlZXRzLWppcmEifQ","ITPROJECT-1135")</f>
        <v>ITPROJECT-1135</v>
      </c>
      <c r="C206" s="1" t="s">
        <v>312</v>
      </c>
      <c r="D206" s="1" t="s">
        <v>42</v>
      </c>
      <c r="E206" s="1" t="s">
        <v>42</v>
      </c>
      <c r="F206" s="1" t="s">
        <v>12</v>
      </c>
      <c r="G206" s="1" t="s">
        <v>13</v>
      </c>
      <c r="H206" s="4">
        <v>44946.639513888891</v>
      </c>
      <c r="I206" s="4">
        <v>45061.162847222222</v>
      </c>
      <c r="J206" s="1" t="s">
        <v>15</v>
      </c>
    </row>
    <row r="207" spans="1:10" ht="12.75" x14ac:dyDescent="0.2">
      <c r="A207" s="1" t="s">
        <v>117</v>
      </c>
      <c r="B207" s="3" t="str">
        <f>HYPERLINK("https://pegadaian.atlassian.net/browse/ITPROJECT-1134?atlOrigin=eyJpIjoiYzgwYTQ0ZjEyNzQzNGJhN2JmNjEyZTM0NmRhZWZhNjIiLCJwIjoic2hlZXRzLWppcmEifQ","ITPROJECT-1134")</f>
        <v>ITPROJECT-1134</v>
      </c>
      <c r="C207" s="1" t="s">
        <v>313</v>
      </c>
      <c r="D207" s="1" t="s">
        <v>42</v>
      </c>
      <c r="E207" s="1" t="s">
        <v>130</v>
      </c>
      <c r="F207" s="1" t="s">
        <v>12</v>
      </c>
      <c r="G207" s="1" t="s">
        <v>213</v>
      </c>
      <c r="H207" s="4">
        <v>44946.428287037037</v>
      </c>
      <c r="I207" s="4">
        <v>45061.162847222222</v>
      </c>
      <c r="J207" s="1" t="s">
        <v>15</v>
      </c>
    </row>
    <row r="208" spans="1:10" ht="12.75" x14ac:dyDescent="0.2">
      <c r="A208" s="1" t="s">
        <v>63</v>
      </c>
      <c r="B208" s="3" t="str">
        <f>HYPERLINK("https://pegadaian.atlassian.net/browse/ITPROJECT-1133?atlOrigin=eyJpIjoiYzgwYTQ0ZjEyNzQzNGJhN2JmNjEyZTM0NmRhZWZhNjIiLCJwIjoic2hlZXRzLWppcmEifQ","ITPROJECT-1133")</f>
        <v>ITPROJECT-1133</v>
      </c>
      <c r="C208" s="1" t="s">
        <v>314</v>
      </c>
      <c r="D208" s="1" t="s">
        <v>65</v>
      </c>
      <c r="E208" s="1" t="s">
        <v>65</v>
      </c>
      <c r="F208" s="1" t="s">
        <v>12</v>
      </c>
      <c r="G208" s="1" t="s">
        <v>68</v>
      </c>
      <c r="H208" s="4">
        <v>44946.393634259257</v>
      </c>
      <c r="I208" s="4">
        <v>45061.162858796299</v>
      </c>
      <c r="J208" s="1" t="s">
        <v>54</v>
      </c>
    </row>
    <row r="209" spans="1:10" ht="12.75" x14ac:dyDescent="0.2">
      <c r="A209" s="1" t="s">
        <v>117</v>
      </c>
      <c r="B209" s="3" t="str">
        <f>HYPERLINK("https://pegadaian.atlassian.net/browse/ITPROJECT-1131?atlOrigin=eyJpIjoiYzgwYTQ0ZjEyNzQzNGJhN2JmNjEyZTM0NmRhZWZhNjIiLCJwIjoic2hlZXRzLWppcmEifQ","ITPROJECT-1131")</f>
        <v>ITPROJECT-1131</v>
      </c>
      <c r="C209" s="1" t="s">
        <v>315</v>
      </c>
      <c r="D209" s="1" t="s">
        <v>75</v>
      </c>
      <c r="E209" s="1" t="s">
        <v>130</v>
      </c>
      <c r="F209" s="1" t="s">
        <v>12</v>
      </c>
      <c r="G209" s="1" t="s">
        <v>72</v>
      </c>
      <c r="H209" s="4">
        <v>44945.563877314817</v>
      </c>
      <c r="I209" s="4">
        <v>45061.162870370368</v>
      </c>
      <c r="J209" s="1" t="s">
        <v>40</v>
      </c>
    </row>
    <row r="210" spans="1:10" ht="12.75" x14ac:dyDescent="0.2">
      <c r="A210" s="1" t="s">
        <v>117</v>
      </c>
      <c r="B210" s="3" t="str">
        <f>HYPERLINK("https://pegadaian.atlassian.net/browse/ITPROJECT-1130?atlOrigin=eyJpIjoiYzgwYTQ0ZjEyNzQzNGJhN2JmNjEyZTM0NmRhZWZhNjIiLCJwIjoic2hlZXRzLWppcmEifQ","ITPROJECT-1130")</f>
        <v>ITPROJECT-1130</v>
      </c>
      <c r="C210" s="1" t="s">
        <v>316</v>
      </c>
      <c r="D210" s="1" t="s">
        <v>51</v>
      </c>
      <c r="E210" s="1" t="s">
        <v>119</v>
      </c>
      <c r="F210" s="1" t="s">
        <v>12</v>
      </c>
      <c r="G210" s="1" t="s">
        <v>13</v>
      </c>
      <c r="H210" s="4">
        <v>44945.538275462961</v>
      </c>
      <c r="I210" s="4">
        <v>45061.162881944445</v>
      </c>
      <c r="J210" s="1" t="s">
        <v>38</v>
      </c>
    </row>
    <row r="211" spans="1:10" ht="12.75" x14ac:dyDescent="0.2">
      <c r="A211" s="1" t="s">
        <v>117</v>
      </c>
      <c r="B211" s="3" t="str">
        <f>HYPERLINK("https://pegadaian.atlassian.net/browse/ITPROJECT-1129?atlOrigin=eyJpIjoiYzgwYTQ0ZjEyNzQzNGJhN2JmNjEyZTM0NmRhZWZhNjIiLCJwIjoic2hlZXRzLWppcmEifQ","ITPROJECT-1129")</f>
        <v>ITPROJECT-1129</v>
      </c>
      <c r="C211" s="1" t="s">
        <v>317</v>
      </c>
      <c r="D211" s="1" t="s">
        <v>318</v>
      </c>
      <c r="E211" s="1" t="s">
        <v>119</v>
      </c>
      <c r="F211" s="1" t="s">
        <v>12</v>
      </c>
      <c r="G211" s="1" t="s">
        <v>120</v>
      </c>
      <c r="H211" s="4">
        <v>44945.532314814816</v>
      </c>
      <c r="I211" s="4">
        <v>45061.162881944445</v>
      </c>
      <c r="J211" s="1" t="s">
        <v>38</v>
      </c>
    </row>
    <row r="212" spans="1:10" ht="12.75" x14ac:dyDescent="0.2">
      <c r="A212" s="1" t="s">
        <v>117</v>
      </c>
      <c r="B212" s="3" t="str">
        <f>HYPERLINK("https://pegadaian.atlassian.net/browse/ITPROJECT-1128?atlOrigin=eyJpIjoiYzgwYTQ0ZjEyNzQzNGJhN2JmNjEyZTM0NmRhZWZhNjIiLCJwIjoic2hlZXRzLWppcmEifQ","ITPROJECT-1128")</f>
        <v>ITPROJECT-1128</v>
      </c>
      <c r="C212" s="1" t="s">
        <v>319</v>
      </c>
      <c r="D212" s="1" t="s">
        <v>46</v>
      </c>
      <c r="E212" s="1" t="s">
        <v>200</v>
      </c>
      <c r="F212" s="1" t="s">
        <v>12</v>
      </c>
      <c r="G212" s="1" t="s">
        <v>76</v>
      </c>
      <c r="H212" s="4">
        <v>44945.518877314818</v>
      </c>
      <c r="I212" s="4">
        <v>45061.162893518522</v>
      </c>
      <c r="J212" s="1" t="s">
        <v>48</v>
      </c>
    </row>
    <row r="213" spans="1:10" ht="12.75" x14ac:dyDescent="0.2">
      <c r="A213" s="1" t="s">
        <v>117</v>
      </c>
      <c r="B213" s="3" t="str">
        <f>HYPERLINK("https://pegadaian.atlassian.net/browse/ITPROJECT-1127?atlOrigin=eyJpIjoiYzgwYTQ0ZjEyNzQzNGJhN2JmNjEyZTM0NmRhZWZhNjIiLCJwIjoic2hlZXRzLWppcmEifQ","ITPROJECT-1127")</f>
        <v>ITPROJECT-1127</v>
      </c>
      <c r="C213" s="1" t="s">
        <v>320</v>
      </c>
      <c r="D213" s="1" t="s">
        <v>57</v>
      </c>
      <c r="E213" s="1" t="s">
        <v>200</v>
      </c>
      <c r="F213" s="1" t="s">
        <v>12</v>
      </c>
      <c r="G213" s="1" t="s">
        <v>76</v>
      </c>
      <c r="H213" s="4">
        <v>44945.495891203704</v>
      </c>
      <c r="I213" s="4">
        <v>45061.162893518522</v>
      </c>
      <c r="J213" s="1" t="s">
        <v>16</v>
      </c>
    </row>
    <row r="214" spans="1:10" ht="12.75" x14ac:dyDescent="0.2">
      <c r="A214" s="1" t="s">
        <v>117</v>
      </c>
      <c r="B214" s="3" t="str">
        <f>HYPERLINK("https://pegadaian.atlassian.net/browse/ITPROJECT-1126?atlOrigin=eyJpIjoiYzgwYTQ0ZjEyNzQzNGJhN2JmNjEyZTM0NmRhZWZhNjIiLCJwIjoic2hlZXRzLWppcmEifQ","ITPROJECT-1126")</f>
        <v>ITPROJECT-1126</v>
      </c>
      <c r="C214" s="1" t="s">
        <v>321</v>
      </c>
      <c r="D214" s="1" t="s">
        <v>25</v>
      </c>
      <c r="E214" s="1" t="s">
        <v>161</v>
      </c>
      <c r="F214" s="1" t="s">
        <v>12</v>
      </c>
      <c r="G214" s="1" t="s">
        <v>13</v>
      </c>
      <c r="H214" s="4">
        <v>44945.473124999997</v>
      </c>
      <c r="I214" s="4">
        <v>45061.162905092591</v>
      </c>
      <c r="J214" s="1" t="s">
        <v>26</v>
      </c>
    </row>
    <row r="215" spans="1:10" ht="12.75" x14ac:dyDescent="0.2">
      <c r="A215" s="1" t="s">
        <v>117</v>
      </c>
      <c r="B215" s="3" t="str">
        <f>HYPERLINK("https://pegadaian.atlassian.net/browse/ITPROJECT-1125?atlOrigin=eyJpIjoiYzgwYTQ0ZjEyNzQzNGJhN2JmNjEyZTM0NmRhZWZhNjIiLCJwIjoic2hlZXRzLWppcmEifQ","ITPROJECT-1125")</f>
        <v>ITPROJECT-1125</v>
      </c>
      <c r="C215" s="1" t="s">
        <v>322</v>
      </c>
      <c r="D215" s="1" t="s">
        <v>25</v>
      </c>
      <c r="E215" s="1" t="s">
        <v>161</v>
      </c>
      <c r="F215" s="1" t="s">
        <v>12</v>
      </c>
      <c r="G215" s="1" t="s">
        <v>120</v>
      </c>
      <c r="H215" s="4">
        <v>44945.472025462965</v>
      </c>
      <c r="I215" s="4">
        <v>45061.162905092591</v>
      </c>
      <c r="J215" s="1" t="s">
        <v>26</v>
      </c>
    </row>
    <row r="216" spans="1:10" ht="12.75" x14ac:dyDescent="0.2">
      <c r="A216" s="1" t="s">
        <v>117</v>
      </c>
      <c r="B216" s="3" t="str">
        <f>HYPERLINK("https://pegadaian.atlassian.net/browse/ITPROJECT-1124?atlOrigin=eyJpIjoiYzgwYTQ0ZjEyNzQzNGJhN2JmNjEyZTM0NmRhZWZhNjIiLCJwIjoic2hlZXRzLWppcmEifQ","ITPROJECT-1124")</f>
        <v>ITPROJECT-1124</v>
      </c>
      <c r="C216" s="1" t="s">
        <v>323</v>
      </c>
      <c r="D216" s="1" t="s">
        <v>55</v>
      </c>
      <c r="E216" s="1" t="s">
        <v>200</v>
      </c>
      <c r="F216" s="1" t="s">
        <v>12</v>
      </c>
      <c r="G216" s="1" t="s">
        <v>72</v>
      </c>
      <c r="H216" s="4">
        <v>44945.466932870368</v>
      </c>
      <c r="I216" s="4">
        <v>45061.162916666668</v>
      </c>
      <c r="J216" s="1" t="s">
        <v>29</v>
      </c>
    </row>
    <row r="217" spans="1:10" ht="12.75" x14ac:dyDescent="0.2">
      <c r="A217" s="1" t="s">
        <v>117</v>
      </c>
      <c r="B217" s="3" t="str">
        <f>HYPERLINK("https://pegadaian.atlassian.net/browse/ITPROJECT-1123?atlOrigin=eyJpIjoiYzgwYTQ0ZjEyNzQzNGJhN2JmNjEyZTM0NmRhZWZhNjIiLCJwIjoic2hlZXRzLWppcmEifQ","ITPROJECT-1123")</f>
        <v>ITPROJECT-1123</v>
      </c>
      <c r="C217" s="1" t="s">
        <v>324</v>
      </c>
      <c r="D217" s="1" t="s">
        <v>55</v>
      </c>
      <c r="E217" s="1" t="s">
        <v>200</v>
      </c>
      <c r="F217" s="1" t="s">
        <v>12</v>
      </c>
      <c r="G217" s="1" t="s">
        <v>120</v>
      </c>
      <c r="H217" s="4">
        <v>44945.460821759261</v>
      </c>
      <c r="I217" s="4">
        <v>45061.162928240738</v>
      </c>
      <c r="J217" s="1" t="s">
        <v>29</v>
      </c>
    </row>
    <row r="218" spans="1:10" ht="12.75" x14ac:dyDescent="0.2">
      <c r="A218" s="1" t="s">
        <v>117</v>
      </c>
      <c r="B218" s="3" t="str">
        <f>HYPERLINK("https://pegadaian.atlassian.net/browse/ITPROJECT-1122?atlOrigin=eyJpIjoiYzgwYTQ0ZjEyNzQzNGJhN2JmNjEyZTM0NmRhZWZhNjIiLCJwIjoic2hlZXRzLWppcmEifQ","ITPROJECT-1122")</f>
        <v>ITPROJECT-1122</v>
      </c>
      <c r="C218" s="1" t="s">
        <v>325</v>
      </c>
      <c r="D218" s="1" t="s">
        <v>57</v>
      </c>
      <c r="E218" s="1" t="s">
        <v>200</v>
      </c>
      <c r="F218" s="1" t="s">
        <v>12</v>
      </c>
      <c r="G218" s="1" t="s">
        <v>76</v>
      </c>
      <c r="H218" s="4">
        <v>44945.435312499998</v>
      </c>
      <c r="I218" s="4">
        <v>45061.162928240738</v>
      </c>
      <c r="J218" s="1" t="s">
        <v>16</v>
      </c>
    </row>
    <row r="219" spans="1:10" ht="12.75" x14ac:dyDescent="0.2">
      <c r="A219" s="1" t="s">
        <v>63</v>
      </c>
      <c r="B219" s="3" t="str">
        <f>HYPERLINK("https://pegadaian.atlassian.net/browse/ITPROJECT-1121?atlOrigin=eyJpIjoiYzgwYTQ0ZjEyNzQzNGJhN2JmNjEyZTM0NmRhZWZhNjIiLCJwIjoic2hlZXRzLWppcmEifQ","ITPROJECT-1121")</f>
        <v>ITPROJECT-1121</v>
      </c>
      <c r="C219" s="1" t="s">
        <v>326</v>
      </c>
      <c r="D219" s="1" t="s">
        <v>124</v>
      </c>
      <c r="E219" s="1" t="s">
        <v>124</v>
      </c>
      <c r="F219" s="1" t="s">
        <v>12</v>
      </c>
      <c r="G219" s="1" t="s">
        <v>72</v>
      </c>
      <c r="H219" s="4">
        <v>44944.555509259262</v>
      </c>
      <c r="I219" s="4">
        <v>45061.162939814814</v>
      </c>
      <c r="J219" s="1" t="s">
        <v>34</v>
      </c>
    </row>
    <row r="220" spans="1:10" ht="12.75" x14ac:dyDescent="0.2">
      <c r="A220" s="1" t="s">
        <v>117</v>
      </c>
      <c r="B220" s="3" t="str">
        <f>HYPERLINK("https://pegadaian.atlassian.net/browse/ITPROJECT-1120?atlOrigin=eyJpIjoiYzgwYTQ0ZjEyNzQzNGJhN2JmNjEyZTM0NmRhZWZhNjIiLCJwIjoic2hlZXRzLWppcmEifQ","ITPROJECT-1120")</f>
        <v>ITPROJECT-1120</v>
      </c>
      <c r="C220" s="1" t="s">
        <v>327</v>
      </c>
      <c r="D220" s="1" t="s">
        <v>42</v>
      </c>
      <c r="E220" s="1" t="s">
        <v>130</v>
      </c>
      <c r="F220" s="1" t="s">
        <v>12</v>
      </c>
      <c r="G220" s="1" t="s">
        <v>72</v>
      </c>
      <c r="H220" s="4">
        <v>44944.469108796293</v>
      </c>
      <c r="I220" s="4">
        <v>45061.162939814814</v>
      </c>
      <c r="J220" s="1" t="s">
        <v>15</v>
      </c>
    </row>
    <row r="221" spans="1:10" ht="12.75" x14ac:dyDescent="0.2">
      <c r="A221" s="1" t="s">
        <v>63</v>
      </c>
      <c r="B221" s="3" t="str">
        <f>HYPERLINK("https://pegadaian.atlassian.net/browse/ITPROJECT-1119?atlOrigin=eyJpIjoiYzgwYTQ0ZjEyNzQzNGJhN2JmNjEyZTM0NmRhZWZhNjIiLCJwIjoic2hlZXRzLWppcmEifQ","ITPROJECT-1119")</f>
        <v>ITPROJECT-1119</v>
      </c>
      <c r="C221" s="1" t="s">
        <v>328</v>
      </c>
      <c r="D221" s="1" t="s">
        <v>50</v>
      </c>
      <c r="E221" s="1" t="s">
        <v>50</v>
      </c>
      <c r="F221" s="1" t="s">
        <v>12</v>
      </c>
      <c r="G221" s="1" t="s">
        <v>89</v>
      </c>
      <c r="H221" s="4">
        <v>44944.463009259256</v>
      </c>
      <c r="I221" s="4">
        <v>45061.162951388891</v>
      </c>
      <c r="J221" s="1" t="s">
        <v>39</v>
      </c>
    </row>
    <row r="222" spans="1:10" ht="12.75" x14ac:dyDescent="0.2">
      <c r="A222" s="1" t="s">
        <v>63</v>
      </c>
      <c r="B222" s="3" t="str">
        <f>HYPERLINK("https://pegadaian.atlassian.net/browse/ITPROJECT-1118?atlOrigin=eyJpIjoiYzgwYTQ0ZjEyNzQzNGJhN2JmNjEyZTM0NmRhZWZhNjIiLCJwIjoic2hlZXRzLWppcmEifQ","ITPROJECT-1118")</f>
        <v>ITPROJECT-1118</v>
      </c>
      <c r="C222" s="1" t="s">
        <v>329</v>
      </c>
      <c r="D222" s="1" t="s">
        <v>124</v>
      </c>
      <c r="E222" s="1" t="s">
        <v>124</v>
      </c>
      <c r="F222" s="1" t="s">
        <v>12</v>
      </c>
      <c r="G222" s="1" t="s">
        <v>72</v>
      </c>
      <c r="H222" s="4">
        <v>44944.456932870373</v>
      </c>
      <c r="I222" s="4">
        <v>45061.162951388891</v>
      </c>
      <c r="J222" s="1" t="s">
        <v>34</v>
      </c>
    </row>
    <row r="223" spans="1:10" ht="12.75" x14ac:dyDescent="0.2">
      <c r="A223" s="1" t="s">
        <v>117</v>
      </c>
      <c r="B223" s="3" t="str">
        <f>HYPERLINK("https://pegadaian.atlassian.net/browse/ITPROJECT-1117?atlOrigin=eyJpIjoiYzgwYTQ0ZjEyNzQzNGJhN2JmNjEyZTM0NmRhZWZhNjIiLCJwIjoic2hlZXRzLWppcmEifQ","ITPROJECT-1117")</f>
        <v>ITPROJECT-1117</v>
      </c>
      <c r="C223" s="1" t="s">
        <v>330</v>
      </c>
      <c r="D223" s="1" t="s">
        <v>42</v>
      </c>
      <c r="E223" s="1" t="s">
        <v>130</v>
      </c>
      <c r="F223" s="1" t="s">
        <v>12</v>
      </c>
      <c r="G223" s="1" t="s">
        <v>68</v>
      </c>
      <c r="H223" s="4">
        <v>44943.484768518516</v>
      </c>
      <c r="I223" s="4">
        <v>45061.162962962961</v>
      </c>
      <c r="J223" s="1" t="s">
        <v>15</v>
      </c>
    </row>
    <row r="224" spans="1:10" ht="12.75" x14ac:dyDescent="0.2">
      <c r="A224" s="1" t="s">
        <v>117</v>
      </c>
      <c r="B224" s="3" t="str">
        <f>HYPERLINK("https://pegadaian.atlassian.net/browse/ITPROJECT-1116?atlOrigin=eyJpIjoiYzgwYTQ0ZjEyNzQzNGJhN2JmNjEyZTM0NmRhZWZhNjIiLCJwIjoic2hlZXRzLWppcmEifQ","ITPROJECT-1116")</f>
        <v>ITPROJECT-1116</v>
      </c>
      <c r="C224" s="1" t="s">
        <v>331</v>
      </c>
      <c r="D224" s="1" t="s">
        <v>42</v>
      </c>
      <c r="E224" s="1" t="s">
        <v>130</v>
      </c>
      <c r="F224" s="1" t="s">
        <v>12</v>
      </c>
      <c r="G224" s="1" t="s">
        <v>120</v>
      </c>
      <c r="H224" s="4">
        <v>44943.471782407411</v>
      </c>
      <c r="I224" s="4">
        <v>45061.162974537037</v>
      </c>
      <c r="J224" s="1" t="s">
        <v>15</v>
      </c>
    </row>
    <row r="225" spans="1:10" ht="12.75" x14ac:dyDescent="0.2">
      <c r="A225" s="1" t="s">
        <v>117</v>
      </c>
      <c r="B225" s="3" t="str">
        <f>HYPERLINK("https://pegadaian.atlassian.net/browse/ITPROJECT-1115?atlOrigin=eyJpIjoiYzgwYTQ0ZjEyNzQzNGJhN2JmNjEyZTM0NmRhZWZhNjIiLCJwIjoic2hlZXRzLWppcmEifQ","ITPROJECT-1115")</f>
        <v>ITPROJECT-1115</v>
      </c>
      <c r="C225" s="1" t="s">
        <v>332</v>
      </c>
      <c r="D225" s="1" t="s">
        <v>42</v>
      </c>
      <c r="E225" s="1" t="s">
        <v>130</v>
      </c>
      <c r="F225" s="1" t="s">
        <v>12</v>
      </c>
      <c r="G225" s="1" t="s">
        <v>13</v>
      </c>
      <c r="H225" s="4">
        <v>44943.467511574076</v>
      </c>
      <c r="I225" s="4">
        <v>45061.162974537037</v>
      </c>
      <c r="J225" s="1" t="s">
        <v>15</v>
      </c>
    </row>
    <row r="226" spans="1:10" ht="12.75" x14ac:dyDescent="0.2">
      <c r="A226" s="1" t="s">
        <v>117</v>
      </c>
      <c r="B226" s="3" t="str">
        <f>HYPERLINK("https://pegadaian.atlassian.net/browse/ITPROJECT-1114?atlOrigin=eyJpIjoiYzgwYTQ0ZjEyNzQzNGJhN2JmNjEyZTM0NmRhZWZhNjIiLCJwIjoic2hlZXRzLWppcmEifQ","ITPROJECT-1114")</f>
        <v>ITPROJECT-1114</v>
      </c>
      <c r="C226" s="1" t="s">
        <v>333</v>
      </c>
      <c r="D226" s="1" t="s">
        <v>42</v>
      </c>
      <c r="E226" s="1" t="s">
        <v>130</v>
      </c>
      <c r="F226" s="1" t="s">
        <v>12</v>
      </c>
      <c r="G226" s="1" t="s">
        <v>120</v>
      </c>
      <c r="H226" s="4">
        <v>44943.46434027778</v>
      </c>
      <c r="I226" s="4">
        <v>45061.162986111114</v>
      </c>
      <c r="J226" s="1" t="s">
        <v>15</v>
      </c>
    </row>
    <row r="227" spans="1:10" ht="12.75" x14ac:dyDescent="0.2">
      <c r="A227" s="1" t="s">
        <v>63</v>
      </c>
      <c r="B227" s="3" t="str">
        <f>HYPERLINK("https://pegadaian.atlassian.net/browse/ITPROJECT-1113?atlOrigin=eyJpIjoiYzgwYTQ0ZjEyNzQzNGJhN2JmNjEyZTM0NmRhZWZhNjIiLCJwIjoic2hlZXRzLWppcmEifQ","ITPROJECT-1113")</f>
        <v>ITPROJECT-1113</v>
      </c>
      <c r="C227" s="1" t="s">
        <v>334</v>
      </c>
      <c r="D227" s="1" t="s">
        <v>36</v>
      </c>
      <c r="E227" s="1" t="s">
        <v>36</v>
      </c>
      <c r="F227" s="1" t="s">
        <v>12</v>
      </c>
      <c r="G227" s="1" t="s">
        <v>68</v>
      </c>
      <c r="H227" s="4">
        <v>44943.463912037034</v>
      </c>
      <c r="I227" s="4">
        <v>45061.162986111114</v>
      </c>
      <c r="J227" s="1" t="s">
        <v>37</v>
      </c>
    </row>
    <row r="228" spans="1:10" ht="12.75" x14ac:dyDescent="0.2">
      <c r="A228" s="1" t="s">
        <v>117</v>
      </c>
      <c r="B228" s="3" t="str">
        <f>HYPERLINK("https://pegadaian.atlassian.net/browse/ITPROJECT-1112?atlOrigin=eyJpIjoiYzgwYTQ0ZjEyNzQzNGJhN2JmNjEyZTM0NmRhZWZhNjIiLCJwIjoic2hlZXRzLWppcmEifQ","ITPROJECT-1112")</f>
        <v>ITPROJECT-1112</v>
      </c>
      <c r="C228" s="1" t="s">
        <v>335</v>
      </c>
      <c r="D228" s="1" t="s">
        <v>42</v>
      </c>
      <c r="E228" s="1" t="s">
        <v>130</v>
      </c>
      <c r="F228" s="1" t="s">
        <v>12</v>
      </c>
      <c r="G228" s="1" t="s">
        <v>13</v>
      </c>
      <c r="H228" s="4">
        <v>44943.460451388892</v>
      </c>
      <c r="I228" s="4">
        <v>45061.162997685184</v>
      </c>
      <c r="J228" s="1" t="s">
        <v>15</v>
      </c>
    </row>
    <row r="229" spans="1:10" ht="12.75" x14ac:dyDescent="0.2">
      <c r="A229" s="1" t="s">
        <v>117</v>
      </c>
      <c r="B229" s="3" t="str">
        <f>HYPERLINK("https://pegadaian.atlassian.net/browse/ITPROJECT-1111?atlOrigin=eyJpIjoiYzgwYTQ0ZjEyNzQzNGJhN2JmNjEyZTM0NmRhZWZhNjIiLCJwIjoic2hlZXRzLWppcmEifQ","ITPROJECT-1111")</f>
        <v>ITPROJECT-1111</v>
      </c>
      <c r="C229" s="1" t="s">
        <v>336</v>
      </c>
      <c r="D229" s="1" t="s">
        <v>42</v>
      </c>
      <c r="E229" s="1" t="s">
        <v>130</v>
      </c>
      <c r="F229" s="1" t="s">
        <v>12</v>
      </c>
      <c r="G229" s="1" t="s">
        <v>120</v>
      </c>
      <c r="H229" s="4">
        <v>44943.451249999998</v>
      </c>
      <c r="I229" s="4">
        <v>45061.16300925926</v>
      </c>
      <c r="J229" s="1" t="s">
        <v>15</v>
      </c>
    </row>
    <row r="230" spans="1:10" ht="12.75" x14ac:dyDescent="0.2">
      <c r="A230" s="1" t="s">
        <v>117</v>
      </c>
      <c r="B230" s="3" t="str">
        <f>HYPERLINK("https://pegadaian.atlassian.net/browse/ITPROJECT-1110?atlOrigin=eyJpIjoiYzgwYTQ0ZjEyNzQzNGJhN2JmNjEyZTM0NmRhZWZhNjIiLCJwIjoic2hlZXRzLWppcmEifQ","ITPROJECT-1110")</f>
        <v>ITPROJECT-1110</v>
      </c>
      <c r="C230" s="1" t="s">
        <v>337</v>
      </c>
      <c r="D230" s="1" t="s">
        <v>42</v>
      </c>
      <c r="E230" s="1" t="s">
        <v>130</v>
      </c>
      <c r="F230" s="1" t="s">
        <v>12</v>
      </c>
      <c r="G230" s="1" t="s">
        <v>120</v>
      </c>
      <c r="H230" s="4">
        <v>44943.444895833331</v>
      </c>
      <c r="I230" s="4">
        <v>45061.16300925926</v>
      </c>
      <c r="J230" s="1" t="s">
        <v>15</v>
      </c>
    </row>
    <row r="231" spans="1:10" ht="12.75" x14ac:dyDescent="0.2">
      <c r="A231" s="1" t="s">
        <v>117</v>
      </c>
      <c r="B231" s="3" t="str">
        <f>HYPERLINK("https://pegadaian.atlassian.net/browse/ITPROJECT-1109?atlOrigin=eyJpIjoiYzgwYTQ0ZjEyNzQzNGJhN2JmNjEyZTM0NmRhZWZhNjIiLCJwIjoic2hlZXRzLWppcmEifQ","ITPROJECT-1109")</f>
        <v>ITPROJECT-1109</v>
      </c>
      <c r="C231" s="1" t="s">
        <v>338</v>
      </c>
      <c r="D231" s="1" t="s">
        <v>42</v>
      </c>
      <c r="E231" s="1" t="s">
        <v>130</v>
      </c>
      <c r="F231" s="1" t="s">
        <v>12</v>
      </c>
      <c r="G231" s="1" t="s">
        <v>76</v>
      </c>
      <c r="H231" s="4">
        <v>44943.433263888888</v>
      </c>
      <c r="I231" s="4">
        <v>45061.16300925926</v>
      </c>
      <c r="J231" s="1" t="s">
        <v>15</v>
      </c>
    </row>
    <row r="232" spans="1:10" ht="12.75" x14ac:dyDescent="0.2">
      <c r="A232" s="1" t="s">
        <v>117</v>
      </c>
      <c r="B232" s="3" t="str">
        <f>HYPERLINK("https://pegadaian.atlassian.net/browse/ITPROJECT-1108?atlOrigin=eyJpIjoiYzgwYTQ0ZjEyNzQzNGJhN2JmNjEyZTM0NmRhZWZhNjIiLCJwIjoic2hlZXRzLWppcmEifQ","ITPROJECT-1108")</f>
        <v>ITPROJECT-1108</v>
      </c>
      <c r="C232" s="1" t="s">
        <v>339</v>
      </c>
      <c r="D232" s="1" t="s">
        <v>36</v>
      </c>
      <c r="E232" s="1" t="s">
        <v>161</v>
      </c>
      <c r="F232" s="1" t="s">
        <v>12</v>
      </c>
      <c r="G232" s="1" t="s">
        <v>72</v>
      </c>
      <c r="H232" s="4">
        <v>44943.41673611111</v>
      </c>
      <c r="I232" s="4">
        <v>45061.16302083333</v>
      </c>
      <c r="J232" s="1" t="s">
        <v>37</v>
      </c>
    </row>
    <row r="233" spans="1:10" ht="12.75" x14ac:dyDescent="0.2">
      <c r="A233" s="1" t="s">
        <v>63</v>
      </c>
      <c r="B233" s="3" t="str">
        <f>HYPERLINK("https://pegadaian.atlassian.net/browse/ITPROJECT-1107?atlOrigin=eyJpIjoiYzgwYTQ0ZjEyNzQzNGJhN2JmNjEyZTM0NmRhZWZhNjIiLCJwIjoic2hlZXRzLWppcmEifQ","ITPROJECT-1107")</f>
        <v>ITPROJECT-1107</v>
      </c>
      <c r="C233" s="1" t="s">
        <v>340</v>
      </c>
      <c r="D233" s="1" t="s">
        <v>65</v>
      </c>
      <c r="E233" s="1" t="s">
        <v>65</v>
      </c>
      <c r="F233" s="1" t="s">
        <v>12</v>
      </c>
      <c r="G233" s="1" t="s">
        <v>68</v>
      </c>
      <c r="H233" s="4">
        <v>44943.412719907406</v>
      </c>
      <c r="I233" s="4">
        <v>45061.163032407407</v>
      </c>
      <c r="J233" s="1" t="s">
        <v>54</v>
      </c>
    </row>
    <row r="234" spans="1:10" ht="12.75" x14ac:dyDescent="0.2">
      <c r="A234" s="1" t="s">
        <v>63</v>
      </c>
      <c r="B234" s="3" t="str">
        <f>HYPERLINK("https://pegadaian.atlassian.net/browse/ITPROJECT-1104?atlOrigin=eyJpIjoiYzgwYTQ0ZjEyNzQzNGJhN2JmNjEyZTM0NmRhZWZhNjIiLCJwIjoic2hlZXRzLWppcmEifQ","ITPROJECT-1104")</f>
        <v>ITPROJECT-1104</v>
      </c>
      <c r="C234" s="1" t="s">
        <v>341</v>
      </c>
      <c r="D234" s="1" t="s">
        <v>46</v>
      </c>
      <c r="E234" s="1" t="s">
        <v>46</v>
      </c>
      <c r="F234" s="1" t="s">
        <v>12</v>
      </c>
      <c r="G234" s="1" t="s">
        <v>76</v>
      </c>
      <c r="H234" s="4">
        <v>44942.688506944447</v>
      </c>
      <c r="I234" s="4">
        <v>45061.163043981483</v>
      </c>
      <c r="J234" s="1" t="s">
        <v>48</v>
      </c>
    </row>
    <row r="235" spans="1:10" ht="12.75" x14ac:dyDescent="0.2">
      <c r="A235" s="1" t="s">
        <v>63</v>
      </c>
      <c r="B235" s="3" t="str">
        <f>HYPERLINK("https://pegadaian.atlassian.net/browse/ITPROJECT-1103?atlOrigin=eyJpIjoiYzgwYTQ0ZjEyNzQzNGJhN2JmNjEyZTM0NmRhZWZhNjIiLCJwIjoic2hlZXRzLWppcmEifQ","ITPROJECT-1103")</f>
        <v>ITPROJECT-1103</v>
      </c>
      <c r="C235" s="1" t="s">
        <v>342</v>
      </c>
      <c r="D235" s="1" t="s">
        <v>46</v>
      </c>
      <c r="E235" s="1" t="s">
        <v>46</v>
      </c>
      <c r="F235" s="1" t="s">
        <v>12</v>
      </c>
      <c r="G235" s="1" t="s">
        <v>68</v>
      </c>
      <c r="H235" s="4">
        <v>44942.681134259263</v>
      </c>
      <c r="I235" s="4">
        <v>45061.163055555553</v>
      </c>
      <c r="J235" s="1" t="s">
        <v>48</v>
      </c>
    </row>
    <row r="236" spans="1:10" ht="12.75" x14ac:dyDescent="0.2">
      <c r="A236" s="1" t="s">
        <v>117</v>
      </c>
      <c r="B236" s="3" t="str">
        <f>HYPERLINK("https://pegadaian.atlassian.net/browse/ITPROJECT-1102?atlOrigin=eyJpIjoiYzgwYTQ0ZjEyNzQzNGJhN2JmNjEyZTM0NmRhZWZhNjIiLCJwIjoic2hlZXRzLWppcmEifQ","ITPROJECT-1102")</f>
        <v>ITPROJECT-1102</v>
      </c>
      <c r="C236" s="1" t="s">
        <v>343</v>
      </c>
      <c r="D236" s="1" t="s">
        <v>46</v>
      </c>
      <c r="E236" s="1" t="s">
        <v>161</v>
      </c>
      <c r="F236" s="1" t="s">
        <v>12</v>
      </c>
      <c r="G236" s="1" t="s">
        <v>76</v>
      </c>
      <c r="H236" s="4">
        <v>44942.615416666667</v>
      </c>
      <c r="I236" s="4">
        <v>45061.163055555553</v>
      </c>
      <c r="J236" s="1" t="s">
        <v>48</v>
      </c>
    </row>
    <row r="237" spans="1:10" ht="12.75" x14ac:dyDescent="0.2">
      <c r="A237" s="1" t="s">
        <v>117</v>
      </c>
      <c r="B237" s="3" t="str">
        <f>HYPERLINK("https://pegadaian.atlassian.net/browse/ITPROJECT-1101?atlOrigin=eyJpIjoiYzgwYTQ0ZjEyNzQzNGJhN2JmNjEyZTM0NmRhZWZhNjIiLCJwIjoic2hlZXRzLWppcmEifQ","ITPROJECT-1101")</f>
        <v>ITPROJECT-1101</v>
      </c>
      <c r="C237" s="1" t="s">
        <v>344</v>
      </c>
      <c r="D237" s="1" t="s">
        <v>46</v>
      </c>
      <c r="E237" s="1" t="s">
        <v>200</v>
      </c>
      <c r="F237" s="1" t="s">
        <v>12</v>
      </c>
      <c r="G237" s="1" t="s">
        <v>68</v>
      </c>
      <c r="H237" s="4">
        <v>44942.501770833333</v>
      </c>
      <c r="I237" s="4">
        <v>45061.163055555553</v>
      </c>
      <c r="J237" s="1" t="s">
        <v>48</v>
      </c>
    </row>
    <row r="238" spans="1:10" ht="12.75" x14ac:dyDescent="0.2">
      <c r="A238" s="1" t="s">
        <v>117</v>
      </c>
      <c r="B238" s="3" t="str">
        <f>HYPERLINK("https://pegadaian.atlassian.net/browse/ITPROJECT-1100?atlOrigin=eyJpIjoiYzgwYTQ0ZjEyNzQzNGJhN2JmNjEyZTM0NmRhZWZhNjIiLCJwIjoic2hlZXRzLWppcmEifQ","ITPROJECT-1100")</f>
        <v>ITPROJECT-1100</v>
      </c>
      <c r="C238" s="1" t="s">
        <v>345</v>
      </c>
      <c r="D238" s="1" t="s">
        <v>115</v>
      </c>
      <c r="E238" s="1" t="s">
        <v>161</v>
      </c>
      <c r="F238" s="1" t="s">
        <v>12</v>
      </c>
      <c r="G238" s="1" t="s">
        <v>120</v>
      </c>
      <c r="H238" s="4">
        <v>44939.600856481484</v>
      </c>
      <c r="I238" s="4">
        <v>45061.16306712963</v>
      </c>
      <c r="J238" s="1" t="s">
        <v>19</v>
      </c>
    </row>
    <row r="239" spans="1:10" ht="12.75" x14ac:dyDescent="0.2">
      <c r="A239" s="1" t="s">
        <v>117</v>
      </c>
      <c r="B239" s="3" t="str">
        <f>HYPERLINK("https://pegadaian.atlassian.net/browse/ITPROJECT-1099?atlOrigin=eyJpIjoiYzgwYTQ0ZjEyNzQzNGJhN2JmNjEyZTM0NmRhZWZhNjIiLCJwIjoic2hlZXRzLWppcmEifQ","ITPROJECT-1099")</f>
        <v>ITPROJECT-1099</v>
      </c>
      <c r="C239" s="1" t="s">
        <v>346</v>
      </c>
      <c r="D239" s="1" t="s">
        <v>115</v>
      </c>
      <c r="E239" s="1" t="s">
        <v>161</v>
      </c>
      <c r="F239" s="1" t="s">
        <v>12</v>
      </c>
      <c r="G239" s="1" t="s">
        <v>120</v>
      </c>
      <c r="H239" s="4">
        <v>44939.600358796299</v>
      </c>
      <c r="I239" s="4">
        <v>45061.16306712963</v>
      </c>
      <c r="J239" s="1" t="s">
        <v>19</v>
      </c>
    </row>
    <row r="240" spans="1:10" ht="12.75" x14ac:dyDescent="0.2">
      <c r="A240" s="1" t="s">
        <v>117</v>
      </c>
      <c r="B240" s="3" t="str">
        <f>HYPERLINK("https://pegadaian.atlassian.net/browse/ITPROJECT-1098?atlOrigin=eyJpIjoiYzgwYTQ0ZjEyNzQzNGJhN2JmNjEyZTM0NmRhZWZhNjIiLCJwIjoic2hlZXRzLWppcmEifQ","ITPROJECT-1098")</f>
        <v>ITPROJECT-1098</v>
      </c>
      <c r="C240" s="1" t="s">
        <v>347</v>
      </c>
      <c r="D240" s="1" t="s">
        <v>115</v>
      </c>
      <c r="E240" s="1" t="s">
        <v>161</v>
      </c>
      <c r="F240" s="1" t="s">
        <v>12</v>
      </c>
      <c r="G240" s="1" t="s">
        <v>120</v>
      </c>
      <c r="H240" s="4">
        <v>44939.59983796296</v>
      </c>
      <c r="I240" s="4">
        <v>45061.163078703707</v>
      </c>
      <c r="J240" s="1" t="s">
        <v>19</v>
      </c>
    </row>
    <row r="241" spans="1:10" ht="12.75" x14ac:dyDescent="0.2">
      <c r="A241" s="1" t="s">
        <v>117</v>
      </c>
      <c r="B241" s="3" t="str">
        <f>HYPERLINK("https://pegadaian.atlassian.net/browse/ITPROJECT-1097?atlOrigin=eyJpIjoiYzgwYTQ0ZjEyNzQzNGJhN2JmNjEyZTM0NmRhZWZhNjIiLCJwIjoic2hlZXRzLWppcmEifQ","ITPROJECT-1097")</f>
        <v>ITPROJECT-1097</v>
      </c>
      <c r="C241" s="1" t="s">
        <v>348</v>
      </c>
      <c r="D241" s="1" t="s">
        <v>51</v>
      </c>
      <c r="E241" s="1" t="s">
        <v>119</v>
      </c>
      <c r="F241" s="1" t="s">
        <v>12</v>
      </c>
      <c r="G241" s="1" t="s">
        <v>72</v>
      </c>
      <c r="H241" s="4">
        <v>44939.481793981482</v>
      </c>
      <c r="I241" s="4">
        <v>45061.163078703707</v>
      </c>
      <c r="J241" s="1" t="s">
        <v>38</v>
      </c>
    </row>
    <row r="242" spans="1:10" ht="12.75" x14ac:dyDescent="0.2">
      <c r="A242" s="1" t="s">
        <v>117</v>
      </c>
      <c r="B242" s="3" t="str">
        <f>HYPERLINK("https://pegadaian.atlassian.net/browse/ITPROJECT-1096?atlOrigin=eyJpIjoiYzgwYTQ0ZjEyNzQzNGJhN2JmNjEyZTM0NmRhZWZhNjIiLCJwIjoic2hlZXRzLWppcmEifQ","ITPROJECT-1096")</f>
        <v>ITPROJECT-1096</v>
      </c>
      <c r="C242" s="1" t="s">
        <v>349</v>
      </c>
      <c r="D242" s="1" t="s">
        <v>44</v>
      </c>
      <c r="E242" s="1" t="s">
        <v>119</v>
      </c>
      <c r="F242" s="1" t="s">
        <v>12</v>
      </c>
      <c r="G242" s="1" t="s">
        <v>72</v>
      </c>
      <c r="H242" s="4">
        <v>44939.471805555557</v>
      </c>
      <c r="I242" s="4">
        <v>45061.163090277776</v>
      </c>
      <c r="J242" s="1" t="s">
        <v>45</v>
      </c>
    </row>
    <row r="243" spans="1:10" ht="12.75" x14ac:dyDescent="0.2">
      <c r="A243" s="1" t="s">
        <v>117</v>
      </c>
      <c r="B243" s="3" t="str">
        <f>HYPERLINK("https://pegadaian.atlassian.net/browse/ITPROJECT-1095?atlOrigin=eyJpIjoiYzgwYTQ0ZjEyNzQzNGJhN2JmNjEyZTM0NmRhZWZhNjIiLCJwIjoic2hlZXRzLWppcmEifQ","ITPROJECT-1095")</f>
        <v>ITPROJECT-1095</v>
      </c>
      <c r="C243" s="1" t="s">
        <v>350</v>
      </c>
      <c r="D243" s="1" t="s">
        <v>24</v>
      </c>
      <c r="E243" s="1" t="s">
        <v>119</v>
      </c>
      <c r="F243" s="1" t="s">
        <v>12</v>
      </c>
      <c r="G243" s="1" t="s">
        <v>68</v>
      </c>
      <c r="H243" s="4">
        <v>44939.456574074073</v>
      </c>
      <c r="I243" s="4">
        <v>45061.163090277776</v>
      </c>
      <c r="J243" s="1" t="s">
        <v>275</v>
      </c>
    </row>
    <row r="244" spans="1:10" ht="12.75" x14ac:dyDescent="0.2">
      <c r="A244" s="1" t="s">
        <v>117</v>
      </c>
      <c r="B244" s="3" t="str">
        <f>HYPERLINK("https://pegadaian.atlassian.net/browse/ITPROJECT-1094?atlOrigin=eyJpIjoiYzgwYTQ0ZjEyNzQzNGJhN2JmNjEyZTM0NmRhZWZhNjIiLCJwIjoic2hlZXRzLWppcmEifQ","ITPROJECT-1094")</f>
        <v>ITPROJECT-1094</v>
      </c>
      <c r="C244" s="1" t="s">
        <v>351</v>
      </c>
      <c r="D244" s="1" t="s">
        <v>51</v>
      </c>
      <c r="E244" s="1" t="s">
        <v>119</v>
      </c>
      <c r="F244" s="1" t="s">
        <v>12</v>
      </c>
      <c r="G244" s="1" t="s">
        <v>120</v>
      </c>
      <c r="H244" s="4">
        <v>44939.447233796294</v>
      </c>
      <c r="I244" s="4">
        <v>45061.163101851853</v>
      </c>
      <c r="J244" s="1" t="s">
        <v>38</v>
      </c>
    </row>
    <row r="245" spans="1:10" ht="12.75" x14ac:dyDescent="0.2">
      <c r="A245" s="1" t="s">
        <v>63</v>
      </c>
      <c r="B245" s="3" t="str">
        <f>HYPERLINK("https://pegadaian.atlassian.net/browse/ITPROJECT-1093?atlOrigin=eyJpIjoiYzgwYTQ0ZjEyNzQzNGJhN2JmNjEyZTM0NmRhZWZhNjIiLCJwIjoic2hlZXRzLWppcmEifQ","ITPROJECT-1093")</f>
        <v>ITPROJECT-1093</v>
      </c>
      <c r="C245" s="1" t="s">
        <v>352</v>
      </c>
      <c r="D245" s="1" t="s">
        <v>99</v>
      </c>
      <c r="E245" s="1" t="s">
        <v>99</v>
      </c>
      <c r="F245" s="1" t="s">
        <v>12</v>
      </c>
      <c r="G245" s="1" t="s">
        <v>76</v>
      </c>
      <c r="H245" s="4">
        <v>44939.346597222226</v>
      </c>
      <c r="I245" s="4">
        <v>45061.163101851853</v>
      </c>
      <c r="J245" s="1" t="s">
        <v>18</v>
      </c>
    </row>
    <row r="246" spans="1:10" ht="12.75" x14ac:dyDescent="0.2">
      <c r="A246" s="1" t="s">
        <v>63</v>
      </c>
      <c r="B246" s="3" t="str">
        <f>HYPERLINK("https://pegadaian.atlassian.net/browse/ITPROJECT-1092?atlOrigin=eyJpIjoiYzgwYTQ0ZjEyNzQzNGJhN2JmNjEyZTM0NmRhZWZhNjIiLCJwIjoic2hlZXRzLWppcmEifQ","ITPROJECT-1092")</f>
        <v>ITPROJECT-1092</v>
      </c>
      <c r="C246" s="1" t="s">
        <v>353</v>
      </c>
      <c r="D246" s="1" t="s">
        <v>24</v>
      </c>
      <c r="E246" s="1" t="s">
        <v>24</v>
      </c>
      <c r="F246" s="1" t="s">
        <v>12</v>
      </c>
      <c r="G246" s="1" t="s">
        <v>76</v>
      </c>
      <c r="H246" s="4">
        <v>44938.419849537036</v>
      </c>
      <c r="I246" s="4">
        <v>45061.163113425922</v>
      </c>
      <c r="J246" s="1" t="s">
        <v>14</v>
      </c>
    </row>
    <row r="247" spans="1:10" ht="12.75" x14ac:dyDescent="0.2">
      <c r="A247" s="1" t="s">
        <v>63</v>
      </c>
      <c r="B247" s="3" t="str">
        <f>HYPERLINK("https://pegadaian.atlassian.net/browse/ITPROJECT-1091?atlOrigin=eyJpIjoiYzgwYTQ0ZjEyNzQzNGJhN2JmNjEyZTM0NmRhZWZhNjIiLCJwIjoic2hlZXRzLWppcmEifQ","ITPROJECT-1091")</f>
        <v>ITPROJECT-1091</v>
      </c>
      <c r="C247" s="1" t="s">
        <v>354</v>
      </c>
      <c r="D247" s="1" t="s">
        <v>115</v>
      </c>
      <c r="E247" s="1" t="s">
        <v>115</v>
      </c>
      <c r="F247" s="1" t="s">
        <v>12</v>
      </c>
      <c r="G247" s="1" t="s">
        <v>13</v>
      </c>
      <c r="H247" s="4">
        <v>44938.389016203706</v>
      </c>
      <c r="I247" s="4">
        <v>45061.163113425922</v>
      </c>
      <c r="J247" s="1" t="s">
        <v>19</v>
      </c>
    </row>
    <row r="248" spans="1:10" ht="12.75" x14ac:dyDescent="0.2">
      <c r="A248" s="1" t="s">
        <v>117</v>
      </c>
      <c r="B248" s="3" t="str">
        <f>HYPERLINK("https://pegadaian.atlassian.net/browse/ITPROJECT-1090?atlOrigin=eyJpIjoiYzgwYTQ0ZjEyNzQzNGJhN2JmNjEyZTM0NmRhZWZhNjIiLCJwIjoic2hlZXRzLWppcmEifQ","ITPROJECT-1090")</f>
        <v>ITPROJECT-1090</v>
      </c>
      <c r="C248" s="1" t="s">
        <v>355</v>
      </c>
      <c r="D248" s="1" t="s">
        <v>49</v>
      </c>
      <c r="E248" s="1" t="s">
        <v>122</v>
      </c>
      <c r="F248" s="1" t="s">
        <v>12</v>
      </c>
      <c r="G248" s="1" t="s">
        <v>120</v>
      </c>
      <c r="H248" s="4">
        <v>44937.634942129633</v>
      </c>
      <c r="I248" s="4">
        <v>45061.163124999999</v>
      </c>
      <c r="J248" s="1" t="s">
        <v>33</v>
      </c>
    </row>
    <row r="249" spans="1:10" ht="12.75" x14ac:dyDescent="0.2">
      <c r="A249" s="1" t="s">
        <v>117</v>
      </c>
      <c r="B249" s="3" t="str">
        <f>HYPERLINK("https://pegadaian.atlassian.net/browse/ITPROJECT-1089?atlOrigin=eyJpIjoiYzgwYTQ0ZjEyNzQzNGJhN2JmNjEyZTM0NmRhZWZhNjIiLCJwIjoic2hlZXRzLWppcmEifQ","ITPROJECT-1089")</f>
        <v>ITPROJECT-1089</v>
      </c>
      <c r="C249" s="1" t="s">
        <v>356</v>
      </c>
      <c r="D249" s="1" t="s">
        <v>55</v>
      </c>
      <c r="E249" s="1" t="s">
        <v>161</v>
      </c>
      <c r="F249" s="1" t="s">
        <v>12</v>
      </c>
      <c r="G249" s="1" t="s">
        <v>76</v>
      </c>
      <c r="H249" s="4">
        <v>44937.614583333336</v>
      </c>
      <c r="I249" s="4">
        <v>45061.163136574076</v>
      </c>
      <c r="J249" s="1" t="s">
        <v>33</v>
      </c>
    </row>
    <row r="250" spans="1:10" ht="12.75" x14ac:dyDescent="0.2">
      <c r="A250" s="1" t="s">
        <v>63</v>
      </c>
      <c r="B250" s="3" t="str">
        <f>HYPERLINK("https://pegadaian.atlassian.net/browse/ITPROJECT-1088?atlOrigin=eyJpIjoiYzgwYTQ0ZjEyNzQzNGJhN2JmNjEyZTM0NmRhZWZhNjIiLCJwIjoic2hlZXRzLWppcmEifQ","ITPROJECT-1088")</f>
        <v>ITPROJECT-1088</v>
      </c>
      <c r="C250" s="1" t="s">
        <v>357</v>
      </c>
      <c r="D250" s="1" t="s">
        <v>124</v>
      </c>
      <c r="E250" s="1" t="s">
        <v>124</v>
      </c>
      <c r="F250" s="1" t="s">
        <v>12</v>
      </c>
      <c r="G250" s="1" t="s">
        <v>72</v>
      </c>
      <c r="H250" s="4">
        <v>44937.398564814815</v>
      </c>
      <c r="I250" s="4">
        <v>45061.163136574076</v>
      </c>
      <c r="J250" s="1" t="s">
        <v>34</v>
      </c>
    </row>
    <row r="251" spans="1:10" ht="12.75" x14ac:dyDescent="0.2">
      <c r="A251" s="1" t="s">
        <v>63</v>
      </c>
      <c r="B251" s="3" t="str">
        <f>HYPERLINK("https://pegadaian.atlassian.net/browse/ITPROJECT-1087?atlOrigin=eyJpIjoiYzgwYTQ0ZjEyNzQzNGJhN2JmNjEyZTM0NmRhZWZhNjIiLCJwIjoic2hlZXRzLWppcmEifQ","ITPROJECT-1087")</f>
        <v>ITPROJECT-1087</v>
      </c>
      <c r="C251" s="1" t="s">
        <v>358</v>
      </c>
      <c r="D251" s="1" t="s">
        <v>139</v>
      </c>
      <c r="E251" s="1" t="s">
        <v>71</v>
      </c>
      <c r="F251" s="1" t="s">
        <v>12</v>
      </c>
      <c r="G251" s="1" t="s">
        <v>68</v>
      </c>
      <c r="H251" s="4">
        <v>44936.645497685182</v>
      </c>
      <c r="I251" s="4">
        <v>45061.163148148145</v>
      </c>
      <c r="J251" s="1" t="s">
        <v>60</v>
      </c>
    </row>
    <row r="252" spans="1:10" ht="12.75" x14ac:dyDescent="0.2">
      <c r="A252" s="1" t="s">
        <v>117</v>
      </c>
      <c r="B252" s="3" t="str">
        <f>HYPERLINK("https://pegadaian.atlassian.net/browse/ITPROJECT-1086?atlOrigin=eyJpIjoiYzgwYTQ0ZjEyNzQzNGJhN2JmNjEyZTM0NmRhZWZhNjIiLCJwIjoic2hlZXRzLWppcmEifQ","ITPROJECT-1086")</f>
        <v>ITPROJECT-1086</v>
      </c>
      <c r="C252" s="1" t="s">
        <v>359</v>
      </c>
      <c r="D252" s="1" t="s">
        <v>124</v>
      </c>
      <c r="E252" s="1" t="s">
        <v>161</v>
      </c>
      <c r="F252" s="1" t="s">
        <v>12</v>
      </c>
      <c r="G252" s="1" t="s">
        <v>72</v>
      </c>
      <c r="H252" s="4">
        <v>44936.622488425928</v>
      </c>
      <c r="I252" s="4">
        <v>45061.163148148145</v>
      </c>
      <c r="J252" s="1" t="s">
        <v>34</v>
      </c>
    </row>
    <row r="253" spans="1:10" ht="12.75" x14ac:dyDescent="0.2">
      <c r="A253" s="1" t="s">
        <v>117</v>
      </c>
      <c r="B253" s="3" t="str">
        <f>HYPERLINK("https://pegadaian.atlassian.net/browse/ITPROJECT-1085?atlOrigin=eyJpIjoiYzgwYTQ0ZjEyNzQzNGJhN2JmNjEyZTM0NmRhZWZhNjIiLCJwIjoic2hlZXRzLWppcmEifQ","ITPROJECT-1085")</f>
        <v>ITPROJECT-1085</v>
      </c>
      <c r="C253" s="1" t="s">
        <v>360</v>
      </c>
      <c r="D253" s="1" t="s">
        <v>115</v>
      </c>
      <c r="E253" s="1" t="s">
        <v>122</v>
      </c>
      <c r="F253" s="1" t="s">
        <v>12</v>
      </c>
      <c r="G253" s="1" t="s">
        <v>120</v>
      </c>
      <c r="H253" s="4">
        <v>44936.488692129627</v>
      </c>
      <c r="I253" s="4">
        <v>45061.163159722222</v>
      </c>
      <c r="J253" s="1" t="s">
        <v>19</v>
      </c>
    </row>
    <row r="254" spans="1:10" ht="12.75" x14ac:dyDescent="0.2">
      <c r="A254" s="1" t="s">
        <v>117</v>
      </c>
      <c r="B254" s="3" t="str">
        <f>HYPERLINK("https://pegadaian.atlassian.net/browse/ITPROJECT-1084?atlOrigin=eyJpIjoiYzgwYTQ0ZjEyNzQzNGJhN2JmNjEyZTM0NmRhZWZhNjIiLCJwIjoic2hlZXRzLWppcmEifQ","ITPROJECT-1084")</f>
        <v>ITPROJECT-1084</v>
      </c>
      <c r="C254" s="1" t="s">
        <v>361</v>
      </c>
      <c r="D254" s="1" t="s">
        <v>115</v>
      </c>
      <c r="E254" s="1" t="s">
        <v>122</v>
      </c>
      <c r="F254" s="1" t="s">
        <v>12</v>
      </c>
      <c r="G254" s="1" t="s">
        <v>66</v>
      </c>
      <c r="H254" s="4">
        <v>44936.488113425927</v>
      </c>
      <c r="I254" s="4">
        <v>45061.163171296299</v>
      </c>
      <c r="J254" s="1" t="s">
        <v>19</v>
      </c>
    </row>
    <row r="255" spans="1:10" ht="12.75" x14ac:dyDescent="0.2">
      <c r="A255" s="1" t="s">
        <v>117</v>
      </c>
      <c r="B255" s="3" t="str">
        <f>HYPERLINK("https://pegadaian.atlassian.net/browse/ITPROJECT-1083?atlOrigin=eyJpIjoiYzgwYTQ0ZjEyNzQzNGJhN2JmNjEyZTM0NmRhZWZhNjIiLCJwIjoic2hlZXRzLWppcmEifQ","ITPROJECT-1083")</f>
        <v>ITPROJECT-1083</v>
      </c>
      <c r="C255" s="1" t="s">
        <v>362</v>
      </c>
      <c r="D255" s="1" t="s">
        <v>115</v>
      </c>
      <c r="E255" s="1" t="s">
        <v>122</v>
      </c>
      <c r="F255" s="1" t="s">
        <v>12</v>
      </c>
      <c r="G255" s="1" t="s">
        <v>13</v>
      </c>
      <c r="H255" s="4">
        <v>44936.48578703704</v>
      </c>
      <c r="I255" s="4">
        <v>45061.163171296299</v>
      </c>
      <c r="J255" s="1" t="s">
        <v>19</v>
      </c>
    </row>
    <row r="256" spans="1:10" ht="12.75" x14ac:dyDescent="0.2">
      <c r="A256" s="1" t="s">
        <v>63</v>
      </c>
      <c r="B256" s="3" t="str">
        <f>HYPERLINK("https://pegadaian.atlassian.net/browse/ITPROJECT-1082?atlOrigin=eyJpIjoiYzgwYTQ0ZjEyNzQzNGJhN2JmNjEyZTM0NmRhZWZhNjIiLCJwIjoic2hlZXRzLWppcmEifQ","ITPROJECT-1082")</f>
        <v>ITPROJECT-1082</v>
      </c>
      <c r="C256" s="1" t="s">
        <v>363</v>
      </c>
      <c r="D256" s="1" t="s">
        <v>75</v>
      </c>
      <c r="E256" s="1" t="s">
        <v>75</v>
      </c>
      <c r="F256" s="1" t="s">
        <v>12</v>
      </c>
      <c r="G256" s="1" t="s">
        <v>76</v>
      </c>
      <c r="H256" s="4">
        <v>44936.47142361111</v>
      </c>
      <c r="I256" s="4">
        <v>45061.163182870368</v>
      </c>
      <c r="J256" s="1" t="s">
        <v>40</v>
      </c>
    </row>
    <row r="257" spans="1:10" ht="12.75" x14ac:dyDescent="0.2">
      <c r="A257" s="1" t="s">
        <v>63</v>
      </c>
      <c r="B257" s="3" t="str">
        <f>HYPERLINK("https://pegadaian.atlassian.net/browse/ITPROJECT-1081?atlOrigin=eyJpIjoiYzgwYTQ0ZjEyNzQzNGJhN2JmNjEyZTM0NmRhZWZhNjIiLCJwIjoic2hlZXRzLWppcmEifQ","ITPROJECT-1081")</f>
        <v>ITPROJECT-1081</v>
      </c>
      <c r="C257" s="1" t="s">
        <v>364</v>
      </c>
      <c r="D257" s="1" t="s">
        <v>28</v>
      </c>
      <c r="E257" s="1" t="s">
        <v>28</v>
      </c>
      <c r="F257" s="1" t="s">
        <v>12</v>
      </c>
      <c r="G257" s="1" t="s">
        <v>13</v>
      </c>
      <c r="H257" s="4">
        <v>44936.423807870371</v>
      </c>
      <c r="I257" s="4">
        <v>45061.163182870368</v>
      </c>
      <c r="J257" s="1" t="s">
        <v>27</v>
      </c>
    </row>
    <row r="258" spans="1:10" ht="12.75" x14ac:dyDescent="0.2">
      <c r="A258" s="1" t="s">
        <v>63</v>
      </c>
      <c r="B258" s="3" t="str">
        <f>HYPERLINK("https://pegadaian.atlassian.net/browse/ITPROJECT-1080?atlOrigin=eyJpIjoiYzgwYTQ0ZjEyNzQzNGJhN2JmNjEyZTM0NmRhZWZhNjIiLCJwIjoic2hlZXRzLWppcmEifQ","ITPROJECT-1080")</f>
        <v>ITPROJECT-1080</v>
      </c>
      <c r="C258" s="1" t="s">
        <v>365</v>
      </c>
      <c r="D258" s="1" t="s">
        <v>56</v>
      </c>
      <c r="E258" s="1" t="s">
        <v>56</v>
      </c>
      <c r="F258" s="1" t="s">
        <v>12</v>
      </c>
      <c r="G258" s="1" t="s">
        <v>13</v>
      </c>
      <c r="H258" s="4">
        <v>44936.409467592595</v>
      </c>
      <c r="I258" s="4">
        <v>45061.163194444445</v>
      </c>
      <c r="J258" s="1" t="s">
        <v>11</v>
      </c>
    </row>
    <row r="259" spans="1:10" ht="12.75" x14ac:dyDescent="0.2">
      <c r="A259" s="1" t="s">
        <v>63</v>
      </c>
      <c r="B259" s="3" t="str">
        <f>HYPERLINK("https://pegadaian.atlassian.net/browse/ITPROJECT-1079?atlOrigin=eyJpIjoiYzgwYTQ0ZjEyNzQzNGJhN2JmNjEyZTM0NmRhZWZhNjIiLCJwIjoic2hlZXRzLWppcmEifQ","ITPROJECT-1079")</f>
        <v>ITPROJECT-1079</v>
      </c>
      <c r="C259" s="1" t="s">
        <v>366</v>
      </c>
      <c r="D259" s="1" t="s">
        <v>28</v>
      </c>
      <c r="E259" s="1" t="s">
        <v>28</v>
      </c>
      <c r="F259" s="1" t="s">
        <v>12</v>
      </c>
      <c r="G259" s="1" t="s">
        <v>13</v>
      </c>
      <c r="H259" s="4">
        <v>44935.622615740744</v>
      </c>
      <c r="I259" s="4">
        <v>45061.163194444445</v>
      </c>
      <c r="J259" s="1" t="s">
        <v>27</v>
      </c>
    </row>
    <row r="260" spans="1:10" ht="12.75" x14ac:dyDescent="0.2">
      <c r="A260" s="1" t="s">
        <v>117</v>
      </c>
      <c r="B260" s="3" t="str">
        <f>HYPERLINK("https://pegadaian.atlassian.net/browse/ITPROJECT-1078?atlOrigin=eyJpIjoiYzgwYTQ0ZjEyNzQzNGJhN2JmNjEyZTM0NmRhZWZhNjIiLCJwIjoic2hlZXRzLWppcmEifQ","ITPROJECT-1078")</f>
        <v>ITPROJECT-1078</v>
      </c>
      <c r="C260" s="1" t="s">
        <v>367</v>
      </c>
      <c r="D260" s="1" t="s">
        <v>28</v>
      </c>
      <c r="E260" s="1" t="s">
        <v>130</v>
      </c>
      <c r="F260" s="1" t="s">
        <v>12</v>
      </c>
      <c r="G260" s="1" t="s">
        <v>13</v>
      </c>
      <c r="H260" s="4">
        <v>44935.62096064815</v>
      </c>
      <c r="I260" s="4">
        <v>45061.163206018522</v>
      </c>
      <c r="J260" s="1" t="s">
        <v>27</v>
      </c>
    </row>
    <row r="261" spans="1:10" ht="12.75" x14ac:dyDescent="0.2">
      <c r="A261" s="1" t="s">
        <v>117</v>
      </c>
      <c r="B261" s="3" t="str">
        <f>HYPERLINK("https://pegadaian.atlassian.net/browse/ITPROJECT-1077?atlOrigin=eyJpIjoiYzgwYTQ0ZjEyNzQzNGJhN2JmNjEyZTM0NmRhZWZhNjIiLCJwIjoic2hlZXRzLWppcmEifQ","ITPROJECT-1077")</f>
        <v>ITPROJECT-1077</v>
      </c>
      <c r="C261" s="1" t="s">
        <v>368</v>
      </c>
      <c r="D261" s="1" t="s">
        <v>75</v>
      </c>
      <c r="E261" s="1" t="s">
        <v>130</v>
      </c>
      <c r="F261" s="1" t="s">
        <v>12</v>
      </c>
      <c r="G261" s="1" t="s">
        <v>76</v>
      </c>
      <c r="H261" s="4">
        <v>44935.596712962964</v>
      </c>
      <c r="I261" s="4">
        <v>45061.163206018522</v>
      </c>
      <c r="J261" s="1" t="s">
        <v>40</v>
      </c>
    </row>
    <row r="262" spans="1:10" ht="12.75" x14ac:dyDescent="0.2">
      <c r="A262" s="1" t="s">
        <v>117</v>
      </c>
      <c r="B262" s="3" t="str">
        <f>HYPERLINK("https://pegadaian.atlassian.net/browse/ITPROJECT-1076?atlOrigin=eyJpIjoiYzgwYTQ0ZjEyNzQzNGJhN2JmNjEyZTM0NmRhZWZhNjIiLCJwIjoic2hlZXRzLWppcmEifQ","ITPROJECT-1076")</f>
        <v>ITPROJECT-1076</v>
      </c>
      <c r="C262" s="1" t="s">
        <v>369</v>
      </c>
      <c r="D262" s="1" t="s">
        <v>28</v>
      </c>
      <c r="E262" s="1" t="s">
        <v>130</v>
      </c>
      <c r="F262" s="1" t="s">
        <v>12</v>
      </c>
      <c r="G262" s="1" t="s">
        <v>13</v>
      </c>
      <c r="H262" s="4">
        <v>44935.588368055556</v>
      </c>
      <c r="I262" s="4">
        <v>45061.163217592592</v>
      </c>
      <c r="J262" s="1" t="s">
        <v>27</v>
      </c>
    </row>
    <row r="263" spans="1:10" ht="12.75" x14ac:dyDescent="0.2">
      <c r="A263" s="1" t="s">
        <v>63</v>
      </c>
      <c r="B263" s="3" t="str">
        <f>HYPERLINK("https://pegadaian.atlassian.net/browse/ITPROJECT-1075?atlOrigin=eyJpIjoiYzgwYTQ0ZjEyNzQzNGJhN2JmNjEyZTM0NmRhZWZhNjIiLCJwIjoic2hlZXRzLWppcmEifQ","ITPROJECT-1075")</f>
        <v>ITPROJECT-1075</v>
      </c>
      <c r="C263" s="1" t="s">
        <v>370</v>
      </c>
      <c r="D263" s="1" t="s">
        <v>25</v>
      </c>
      <c r="E263" s="1" t="s">
        <v>25</v>
      </c>
      <c r="F263" s="1" t="s">
        <v>12</v>
      </c>
      <c r="G263" s="1" t="s">
        <v>89</v>
      </c>
      <c r="H263" s="4">
        <v>44935.479756944442</v>
      </c>
      <c r="I263" s="4">
        <v>45061.163217592592</v>
      </c>
      <c r="J263" s="1" t="s">
        <v>26</v>
      </c>
    </row>
    <row r="264" spans="1:10" ht="12.75" x14ac:dyDescent="0.2">
      <c r="A264" s="1" t="s">
        <v>63</v>
      </c>
      <c r="B264" s="3" t="str">
        <f>HYPERLINK("https://pegadaian.atlassian.net/browse/ITPROJECT-1074?atlOrigin=eyJpIjoiYzgwYTQ0ZjEyNzQzNGJhN2JmNjEyZTM0NmRhZWZhNjIiLCJwIjoic2hlZXRzLWppcmEifQ","ITPROJECT-1074")</f>
        <v>ITPROJECT-1074</v>
      </c>
      <c r="C264" s="1" t="s">
        <v>371</v>
      </c>
      <c r="D264" s="1" t="s">
        <v>75</v>
      </c>
      <c r="E264" s="1" t="s">
        <v>75</v>
      </c>
      <c r="F264" s="1" t="s">
        <v>12</v>
      </c>
      <c r="G264" s="1" t="s">
        <v>68</v>
      </c>
      <c r="H264" s="4">
        <v>44935.420173611114</v>
      </c>
      <c r="I264" s="4">
        <v>45061.163229166668</v>
      </c>
      <c r="J264" s="1" t="s">
        <v>40</v>
      </c>
    </row>
    <row r="265" spans="1:10" ht="12.75" x14ac:dyDescent="0.2">
      <c r="A265" s="1" t="s">
        <v>117</v>
      </c>
      <c r="B265" s="3" t="str">
        <f>HYPERLINK("https://pegadaian.atlassian.net/browse/ITPROJECT-1073?atlOrigin=eyJpIjoiYzgwYTQ0ZjEyNzQzNGJhN2JmNjEyZTM0NmRhZWZhNjIiLCJwIjoic2hlZXRzLWppcmEifQ","ITPROJECT-1073")</f>
        <v>ITPROJECT-1073</v>
      </c>
      <c r="C265" s="1" t="s">
        <v>372</v>
      </c>
      <c r="D265" s="1" t="s">
        <v>50</v>
      </c>
      <c r="E265" s="1" t="s">
        <v>130</v>
      </c>
      <c r="F265" s="1" t="s">
        <v>12</v>
      </c>
      <c r="G265" s="1" t="s">
        <v>158</v>
      </c>
      <c r="H265" s="4">
        <v>44932.596145833333</v>
      </c>
      <c r="I265" s="4">
        <v>45061.163240740738</v>
      </c>
      <c r="J265" s="1" t="s">
        <v>39</v>
      </c>
    </row>
    <row r="266" spans="1:10" ht="12.75" x14ac:dyDescent="0.2">
      <c r="A266" s="1" t="s">
        <v>117</v>
      </c>
      <c r="B266" s="3" t="str">
        <f>HYPERLINK("https://pegadaian.atlassian.net/browse/ITPROJECT-1072?atlOrigin=eyJpIjoiYzgwYTQ0ZjEyNzQzNGJhN2JmNjEyZTM0NmRhZWZhNjIiLCJwIjoic2hlZXRzLWppcmEifQ","ITPROJECT-1072")</f>
        <v>ITPROJECT-1072</v>
      </c>
      <c r="C266" s="1" t="s">
        <v>373</v>
      </c>
      <c r="D266" s="1" t="s">
        <v>25</v>
      </c>
      <c r="E266" s="1" t="s">
        <v>122</v>
      </c>
      <c r="F266" s="1" t="s">
        <v>12</v>
      </c>
      <c r="G266" s="1" t="s">
        <v>89</v>
      </c>
      <c r="H266" s="4">
        <v>44932.449421296296</v>
      </c>
      <c r="I266" s="4">
        <v>45061.163240740738</v>
      </c>
      <c r="J266" s="1" t="s">
        <v>26</v>
      </c>
    </row>
    <row r="267" spans="1:10" ht="12.75" x14ac:dyDescent="0.2">
      <c r="A267" s="1" t="s">
        <v>117</v>
      </c>
      <c r="B267" s="3" t="str">
        <f>HYPERLINK("https://pegadaian.atlassian.net/browse/ITPROJECT-1071?atlOrigin=eyJpIjoiYzgwYTQ0ZjEyNzQzNGJhN2JmNjEyZTM0NmRhZWZhNjIiLCJwIjoic2hlZXRzLWppcmEifQ","ITPROJECT-1071")</f>
        <v>ITPROJECT-1071</v>
      </c>
      <c r="C267" s="1" t="s">
        <v>374</v>
      </c>
      <c r="D267" s="1" t="s">
        <v>75</v>
      </c>
      <c r="E267" s="1" t="s">
        <v>161</v>
      </c>
      <c r="F267" s="1" t="s">
        <v>12</v>
      </c>
      <c r="G267" s="1" t="s">
        <v>76</v>
      </c>
      <c r="H267" s="4">
        <v>44932.360196759262</v>
      </c>
      <c r="I267" s="4">
        <v>45061.163252314815</v>
      </c>
      <c r="J267" s="1" t="s">
        <v>40</v>
      </c>
    </row>
    <row r="268" spans="1:10" ht="12.75" x14ac:dyDescent="0.2">
      <c r="A268" s="1" t="s">
        <v>63</v>
      </c>
      <c r="B268" s="3" t="str">
        <f>HYPERLINK("https://pegadaian.atlassian.net/browse/ITPROJECT-1068?atlOrigin=eyJpIjoiYzgwYTQ0ZjEyNzQzNGJhN2JmNjEyZTM0NmRhZWZhNjIiLCJwIjoic2hlZXRzLWppcmEifQ","ITPROJECT-1068")</f>
        <v>ITPROJECT-1068</v>
      </c>
      <c r="C268" s="1" t="s">
        <v>375</v>
      </c>
      <c r="D268" s="1" t="s">
        <v>75</v>
      </c>
      <c r="E268" s="1" t="s">
        <v>75</v>
      </c>
      <c r="F268" s="1" t="s">
        <v>12</v>
      </c>
      <c r="G268" s="1" t="s">
        <v>13</v>
      </c>
      <c r="H268" s="4">
        <v>44931.674953703703</v>
      </c>
      <c r="I268" s="4">
        <v>45061.163252314815</v>
      </c>
      <c r="J268" s="1" t="s">
        <v>40</v>
      </c>
    </row>
    <row r="269" spans="1:10" ht="12.75" x14ac:dyDescent="0.2">
      <c r="A269" s="1" t="s">
        <v>117</v>
      </c>
      <c r="B269" s="3" t="str">
        <f>HYPERLINK("https://pegadaian.atlassian.net/browse/ITPROJECT-1067?atlOrigin=eyJpIjoiYzgwYTQ0ZjEyNzQzNGJhN2JmNjEyZTM0NmRhZWZhNjIiLCJwIjoic2hlZXRzLWppcmEifQ","ITPROJECT-1067")</f>
        <v>ITPROJECT-1067</v>
      </c>
      <c r="C269" s="1" t="s">
        <v>376</v>
      </c>
      <c r="D269" s="1" t="s">
        <v>75</v>
      </c>
      <c r="E269" s="1" t="s">
        <v>130</v>
      </c>
      <c r="F269" s="1" t="s">
        <v>12</v>
      </c>
      <c r="G269" s="1" t="s">
        <v>13</v>
      </c>
      <c r="H269" s="4">
        <v>44931.578761574077</v>
      </c>
      <c r="I269" s="4">
        <v>45061.163263888891</v>
      </c>
      <c r="J269" s="1" t="s">
        <v>40</v>
      </c>
    </row>
    <row r="270" spans="1:10" ht="12.75" x14ac:dyDescent="0.2">
      <c r="A270" s="1" t="s">
        <v>63</v>
      </c>
      <c r="B270" s="3" t="str">
        <f>HYPERLINK("https://pegadaian.atlassian.net/browse/ITPROJECT-1065?atlOrigin=eyJpIjoiYzgwYTQ0ZjEyNzQzNGJhN2JmNjEyZTM0NmRhZWZhNjIiLCJwIjoic2hlZXRzLWppcmEifQ","ITPROJECT-1065")</f>
        <v>ITPROJECT-1065</v>
      </c>
      <c r="C270" s="1" t="s">
        <v>377</v>
      </c>
      <c r="D270" s="1" t="s">
        <v>71</v>
      </c>
      <c r="E270" s="1" t="s">
        <v>71</v>
      </c>
      <c r="F270" s="1" t="s">
        <v>12</v>
      </c>
      <c r="G270" s="1" t="s">
        <v>72</v>
      </c>
      <c r="H270" s="4">
        <v>44930.019293981481</v>
      </c>
      <c r="I270" s="4">
        <v>45061.163275462961</v>
      </c>
      <c r="J270" s="1" t="s">
        <v>60</v>
      </c>
    </row>
    <row r="271" spans="1:10" ht="12.75" x14ac:dyDescent="0.2">
      <c r="A271" s="1" t="s">
        <v>117</v>
      </c>
      <c r="B271" s="3" t="str">
        <f>HYPERLINK("https://pegadaian.atlassian.net/browse/ITPROJECT-1063?atlOrigin=eyJpIjoiYzgwYTQ0ZjEyNzQzNGJhN2JmNjEyZTM0NmRhZWZhNjIiLCJwIjoic2hlZXRzLWppcmEifQ","ITPROJECT-1063")</f>
        <v>ITPROJECT-1063</v>
      </c>
      <c r="C271" s="1" t="s">
        <v>378</v>
      </c>
      <c r="D271" s="1" t="s">
        <v>71</v>
      </c>
      <c r="E271" s="1" t="s">
        <v>122</v>
      </c>
      <c r="F271" s="1" t="s">
        <v>12</v>
      </c>
      <c r="G271" s="1" t="s">
        <v>68</v>
      </c>
      <c r="H271" s="4">
        <v>44929.611944444441</v>
      </c>
      <c r="I271" s="4">
        <v>45061.163287037038</v>
      </c>
      <c r="J271" s="1" t="s">
        <v>60</v>
      </c>
    </row>
    <row r="272" spans="1:10" ht="12.75" x14ac:dyDescent="0.2">
      <c r="A272" s="1" t="s">
        <v>63</v>
      </c>
      <c r="B272" s="3" t="str">
        <f>HYPERLINK("https://pegadaian.atlassian.net/browse/ITPROJECT-1062?atlOrigin=eyJpIjoiYzgwYTQ0ZjEyNzQzNGJhN2JmNjEyZTM0NmRhZWZhNjIiLCJwIjoic2hlZXRzLWppcmEifQ","ITPROJECT-1062")</f>
        <v>ITPROJECT-1062</v>
      </c>
      <c r="C272" s="1" t="s">
        <v>379</v>
      </c>
      <c r="D272" s="1" t="s">
        <v>25</v>
      </c>
      <c r="E272" s="1" t="s">
        <v>25</v>
      </c>
      <c r="F272" s="1" t="s">
        <v>12</v>
      </c>
      <c r="G272" s="1" t="s">
        <v>213</v>
      </c>
      <c r="H272" s="4">
        <v>44929.390243055554</v>
      </c>
      <c r="I272" s="4">
        <v>45061.163287037038</v>
      </c>
      <c r="J272" s="1" t="s">
        <v>26</v>
      </c>
    </row>
    <row r="273" spans="1:10" ht="12.75" x14ac:dyDescent="0.2">
      <c r="A273" s="1" t="s">
        <v>63</v>
      </c>
      <c r="B273" s="3" t="str">
        <f>HYPERLINK("https://pegadaian.atlassian.net/browse/ITPROJECT-1061?atlOrigin=eyJpIjoiYzgwYTQ0ZjEyNzQzNGJhN2JmNjEyZTM0NmRhZWZhNjIiLCJwIjoic2hlZXRzLWppcmEifQ","ITPROJECT-1061")</f>
        <v>ITPROJECT-1061</v>
      </c>
      <c r="C273" s="1" t="s">
        <v>380</v>
      </c>
      <c r="D273" s="1" t="s">
        <v>50</v>
      </c>
      <c r="E273" s="1" t="s">
        <v>50</v>
      </c>
      <c r="F273" s="1" t="s">
        <v>12</v>
      </c>
      <c r="G273" s="1" t="s">
        <v>89</v>
      </c>
      <c r="H273" s="4">
        <v>44924.707638888889</v>
      </c>
      <c r="I273" s="4">
        <v>45061.163298611114</v>
      </c>
      <c r="J273" s="1" t="s">
        <v>285</v>
      </c>
    </row>
    <row r="274" spans="1:10" ht="12.75" x14ac:dyDescent="0.2">
      <c r="A274" s="1" t="s">
        <v>63</v>
      </c>
      <c r="B274" s="3" t="str">
        <f>HYPERLINK("https://pegadaian.atlassian.net/browse/ITPROJECT-1060?atlOrigin=eyJpIjoiYzgwYTQ0ZjEyNzQzNGJhN2JmNjEyZTM0NmRhZWZhNjIiLCJwIjoic2hlZXRzLWppcmEifQ","ITPROJECT-1060")</f>
        <v>ITPROJECT-1060</v>
      </c>
      <c r="C274" s="1" t="s">
        <v>381</v>
      </c>
      <c r="D274" s="1" t="s">
        <v>50</v>
      </c>
      <c r="E274" s="1" t="s">
        <v>50</v>
      </c>
      <c r="F274" s="1" t="s">
        <v>12</v>
      </c>
      <c r="G274" s="1" t="s">
        <v>89</v>
      </c>
      <c r="H274" s="4">
        <v>44924.654293981483</v>
      </c>
      <c r="I274" s="4">
        <v>45061.163298611114</v>
      </c>
      <c r="J274" s="1" t="s">
        <v>285</v>
      </c>
    </row>
    <row r="275" spans="1:10" ht="12.75" x14ac:dyDescent="0.2">
      <c r="A275" s="1" t="s">
        <v>63</v>
      </c>
      <c r="B275" s="3" t="str">
        <f>HYPERLINK("https://pegadaian.atlassian.net/browse/ITPROJECT-1055?atlOrigin=eyJpIjoiYzgwYTQ0ZjEyNzQzNGJhN2JmNjEyZTM0NmRhZWZhNjIiLCJwIjoic2hlZXRzLWppcmEifQ","ITPROJECT-1055")</f>
        <v>ITPROJECT-1055</v>
      </c>
      <c r="C275" s="1" t="s">
        <v>382</v>
      </c>
      <c r="D275" s="1" t="s">
        <v>31</v>
      </c>
      <c r="E275" s="1" t="s">
        <v>55</v>
      </c>
      <c r="F275" s="1" t="s">
        <v>12</v>
      </c>
      <c r="G275" s="1" t="s">
        <v>68</v>
      </c>
      <c r="H275" s="4">
        <v>44917.428611111114</v>
      </c>
      <c r="I275" s="4">
        <v>45061.16333333333</v>
      </c>
      <c r="J275" s="1" t="s">
        <v>60</v>
      </c>
    </row>
    <row r="276" spans="1:10" ht="12.75" x14ac:dyDescent="0.2">
      <c r="A276" s="1" t="s">
        <v>63</v>
      </c>
      <c r="B276" s="3" t="str">
        <f>HYPERLINK("https://pegadaian.atlassian.net/browse/ITPROJECT-1053?atlOrigin=eyJpIjoiYzgwYTQ0ZjEyNzQzNGJhN2JmNjEyZTM0NmRhZWZhNjIiLCJwIjoic2hlZXRzLWppcmEifQ","ITPROJECT-1053")</f>
        <v>ITPROJECT-1053</v>
      </c>
      <c r="C276" s="1" t="s">
        <v>383</v>
      </c>
      <c r="D276" s="1" t="s">
        <v>50</v>
      </c>
      <c r="E276" s="1" t="s">
        <v>50</v>
      </c>
      <c r="F276" s="1" t="s">
        <v>12</v>
      </c>
      <c r="G276" s="1" t="s">
        <v>76</v>
      </c>
      <c r="H276" s="4">
        <v>44916.561331018522</v>
      </c>
      <c r="I276" s="4">
        <v>45061.163356481484</v>
      </c>
      <c r="J276" s="1" t="s">
        <v>39</v>
      </c>
    </row>
    <row r="277" spans="1:10" ht="12.75" x14ac:dyDescent="0.2">
      <c r="A277" s="1" t="s">
        <v>117</v>
      </c>
      <c r="B277" s="3" t="str">
        <f>HYPERLINK("https://pegadaian.atlassian.net/browse/ITPROJECT-1052?atlOrigin=eyJpIjoiYzgwYTQ0ZjEyNzQzNGJhN2JmNjEyZTM0NmRhZWZhNjIiLCJwIjoic2hlZXRzLWppcmEifQ","ITPROJECT-1052")</f>
        <v>ITPROJECT-1052</v>
      </c>
      <c r="C277" s="1" t="s">
        <v>384</v>
      </c>
      <c r="D277" s="1" t="s">
        <v>99</v>
      </c>
      <c r="E277" s="1" t="s">
        <v>122</v>
      </c>
      <c r="F277" s="1" t="s">
        <v>12</v>
      </c>
      <c r="G277" s="1" t="s">
        <v>66</v>
      </c>
      <c r="H277" s="4">
        <v>44915.402731481481</v>
      </c>
      <c r="I277" s="4">
        <v>45061.163368055553</v>
      </c>
      <c r="J277" s="1" t="s">
        <v>18</v>
      </c>
    </row>
    <row r="278" spans="1:10" ht="12.75" x14ac:dyDescent="0.2">
      <c r="A278" s="1" t="s">
        <v>63</v>
      </c>
      <c r="B278" s="3" t="str">
        <f>HYPERLINK("https://pegadaian.atlassian.net/browse/ITPROJECT-1050?atlOrigin=eyJpIjoiYzgwYTQ0ZjEyNzQzNGJhN2JmNjEyZTM0NmRhZWZhNjIiLCJwIjoic2hlZXRzLWppcmEifQ","ITPROJECT-1050")</f>
        <v>ITPROJECT-1050</v>
      </c>
      <c r="C278" s="1" t="s">
        <v>385</v>
      </c>
      <c r="D278" s="1" t="s">
        <v>50</v>
      </c>
      <c r="E278" s="1" t="s">
        <v>50</v>
      </c>
      <c r="F278" s="1" t="s">
        <v>12</v>
      </c>
      <c r="G278" s="1" t="s">
        <v>68</v>
      </c>
      <c r="H278" s="4">
        <v>44912.743449074071</v>
      </c>
      <c r="I278" s="4">
        <v>45061.16337962963</v>
      </c>
      <c r="J278" s="1" t="s">
        <v>39</v>
      </c>
    </row>
    <row r="279" spans="1:10" ht="12.75" x14ac:dyDescent="0.2">
      <c r="A279" s="1" t="s">
        <v>63</v>
      </c>
      <c r="B279" s="3" t="str">
        <f>HYPERLINK("https://pegadaian.atlassian.net/browse/ITPROJECT-1049?atlOrigin=eyJpIjoiYzgwYTQ0ZjEyNzQzNGJhN2JmNjEyZTM0NmRhZWZhNjIiLCJwIjoic2hlZXRzLWppcmEifQ","ITPROJECT-1049")</f>
        <v>ITPROJECT-1049</v>
      </c>
      <c r="C279" s="1" t="s">
        <v>386</v>
      </c>
      <c r="D279" s="1" t="s">
        <v>50</v>
      </c>
      <c r="E279" s="1" t="s">
        <v>50</v>
      </c>
      <c r="F279" s="1" t="s">
        <v>12</v>
      </c>
      <c r="G279" s="1" t="s">
        <v>68</v>
      </c>
      <c r="H279" s="4">
        <v>44912.724629629629</v>
      </c>
      <c r="I279" s="4">
        <v>45061.163391203707</v>
      </c>
      <c r="J279" s="1" t="s">
        <v>39</v>
      </c>
    </row>
    <row r="280" spans="1:10" ht="12.75" x14ac:dyDescent="0.2">
      <c r="A280" s="1" t="s">
        <v>63</v>
      </c>
      <c r="B280" s="3" t="str">
        <f>HYPERLINK("https://pegadaian.atlassian.net/browse/ITPROJECT-1048?atlOrigin=eyJpIjoiYzgwYTQ0ZjEyNzQzNGJhN2JmNjEyZTM0NmRhZWZhNjIiLCJwIjoic2hlZXRzLWppcmEifQ","ITPROJECT-1048")</f>
        <v>ITPROJECT-1048</v>
      </c>
      <c r="C280" s="1" t="s">
        <v>387</v>
      </c>
      <c r="D280" s="1" t="s">
        <v>99</v>
      </c>
      <c r="E280" s="1" t="s">
        <v>99</v>
      </c>
      <c r="F280" s="1" t="s">
        <v>12</v>
      </c>
      <c r="G280" s="1" t="s">
        <v>89</v>
      </c>
      <c r="H280" s="4">
        <v>44912.330451388887</v>
      </c>
      <c r="I280" s="4">
        <v>45061.163391203707</v>
      </c>
      <c r="J280" s="1" t="s">
        <v>285</v>
      </c>
    </row>
    <row r="281" spans="1:10" ht="12.75" x14ac:dyDescent="0.2">
      <c r="A281" s="1" t="s">
        <v>117</v>
      </c>
      <c r="B281" s="3" t="str">
        <f>HYPERLINK("https://pegadaian.atlassian.net/browse/ITPROJECT-1047?atlOrigin=eyJpIjoiYzgwYTQ0ZjEyNzQzNGJhN2JmNjEyZTM0NmRhZWZhNjIiLCJwIjoic2hlZXRzLWppcmEifQ","ITPROJECT-1047")</f>
        <v>ITPROJECT-1047</v>
      </c>
      <c r="C281" s="1" t="s">
        <v>388</v>
      </c>
      <c r="D281" s="1" t="s">
        <v>50</v>
      </c>
      <c r="E281" s="1" t="s">
        <v>130</v>
      </c>
      <c r="F281" s="1" t="s">
        <v>12</v>
      </c>
      <c r="G281" s="1" t="s">
        <v>89</v>
      </c>
      <c r="H281" s="4">
        <v>44911.660046296296</v>
      </c>
      <c r="I281" s="4">
        <v>45061.163402777776</v>
      </c>
      <c r="J281" s="1" t="s">
        <v>285</v>
      </c>
    </row>
    <row r="282" spans="1:10" ht="12.75" x14ac:dyDescent="0.2">
      <c r="A282" s="1" t="s">
        <v>117</v>
      </c>
      <c r="B282" s="3" t="str">
        <f>HYPERLINK("https://pegadaian.atlassian.net/browse/ITPROJECT-1046?atlOrigin=eyJpIjoiYzgwYTQ0ZjEyNzQzNGJhN2JmNjEyZTM0NmRhZWZhNjIiLCJwIjoic2hlZXRzLWppcmEifQ","ITPROJECT-1046")</f>
        <v>ITPROJECT-1046</v>
      </c>
      <c r="C282" s="1" t="s">
        <v>389</v>
      </c>
      <c r="D282" s="1" t="s">
        <v>50</v>
      </c>
      <c r="E282" s="1" t="s">
        <v>130</v>
      </c>
      <c r="F282" s="1" t="s">
        <v>12</v>
      </c>
      <c r="G282" s="1" t="s">
        <v>68</v>
      </c>
      <c r="H282" s="4">
        <v>44911.63559027778</v>
      </c>
      <c r="I282" s="4">
        <v>45061.163414351853</v>
      </c>
      <c r="J282" s="1" t="s">
        <v>39</v>
      </c>
    </row>
    <row r="283" spans="1:10" ht="12.75" x14ac:dyDescent="0.2">
      <c r="A283" s="1" t="s">
        <v>117</v>
      </c>
      <c r="B283" s="3" t="str">
        <f>HYPERLINK("https://pegadaian.atlassian.net/browse/ITPROJECT-1045?atlOrigin=eyJpIjoiYzgwYTQ0ZjEyNzQzNGJhN2JmNjEyZTM0NmRhZWZhNjIiLCJwIjoic2hlZXRzLWppcmEifQ","ITPROJECT-1045")</f>
        <v>ITPROJECT-1045</v>
      </c>
      <c r="C283" s="1" t="s">
        <v>390</v>
      </c>
      <c r="D283" s="1" t="s">
        <v>50</v>
      </c>
      <c r="E283" s="1" t="s">
        <v>130</v>
      </c>
      <c r="F283" s="1" t="s">
        <v>12</v>
      </c>
      <c r="G283" s="1" t="s">
        <v>68</v>
      </c>
      <c r="H283" s="4">
        <v>44911.625162037039</v>
      </c>
      <c r="I283" s="4">
        <v>45061.163414351853</v>
      </c>
      <c r="J283" s="1" t="s">
        <v>39</v>
      </c>
    </row>
    <row r="284" spans="1:10" ht="12.75" x14ac:dyDescent="0.2">
      <c r="A284" s="1" t="s">
        <v>63</v>
      </c>
      <c r="B284" s="3" t="str">
        <f>HYPERLINK("https://pegadaian.atlassian.net/browse/ITPROJECT-1044?atlOrigin=eyJpIjoiYzgwYTQ0ZjEyNzQzNGJhN2JmNjEyZTM0NmRhZWZhNjIiLCJwIjoic2hlZXRzLWppcmEifQ","ITPROJECT-1044")</f>
        <v>ITPROJECT-1044</v>
      </c>
      <c r="C284" s="1" t="s">
        <v>391</v>
      </c>
      <c r="D284" s="1" t="s">
        <v>28</v>
      </c>
      <c r="E284" s="1" t="s">
        <v>28</v>
      </c>
      <c r="F284" s="1" t="s">
        <v>12</v>
      </c>
      <c r="G284" s="1" t="s">
        <v>13</v>
      </c>
      <c r="H284" s="4">
        <v>44910.402037037034</v>
      </c>
      <c r="I284" s="4">
        <v>45061.163414351853</v>
      </c>
      <c r="J284" s="1" t="s">
        <v>27</v>
      </c>
    </row>
    <row r="285" spans="1:10" ht="12.75" x14ac:dyDescent="0.2">
      <c r="A285" s="1" t="s">
        <v>63</v>
      </c>
      <c r="B285" s="3" t="str">
        <f>HYPERLINK("https://pegadaian.atlassian.net/browse/ITPROJECT-1040?atlOrigin=eyJpIjoiYzgwYTQ0ZjEyNzQzNGJhN2JmNjEyZTM0NmRhZWZhNjIiLCJwIjoic2hlZXRzLWppcmEifQ","ITPROJECT-1040")</f>
        <v>ITPROJECT-1040</v>
      </c>
      <c r="C285" s="1" t="s">
        <v>392</v>
      </c>
      <c r="D285" s="1" t="s">
        <v>115</v>
      </c>
      <c r="E285" s="1" t="s">
        <v>115</v>
      </c>
      <c r="F285" s="1" t="s">
        <v>12</v>
      </c>
      <c r="G285" s="1" t="s">
        <v>13</v>
      </c>
      <c r="H285" s="4">
        <v>44908.415636574071</v>
      </c>
      <c r="I285" s="4">
        <v>45061.163449074076</v>
      </c>
      <c r="J285" s="1" t="s">
        <v>18</v>
      </c>
    </row>
    <row r="286" spans="1:10" ht="12.75" x14ac:dyDescent="0.2">
      <c r="A286" s="1" t="s">
        <v>63</v>
      </c>
      <c r="B286" s="3" t="str">
        <f>HYPERLINK("https://pegadaian.atlassian.net/browse/ITPROJECT-1037?atlOrigin=eyJpIjoiYzgwYTQ0ZjEyNzQzNGJhN2JmNjEyZTM0NmRhZWZhNjIiLCJwIjoic2hlZXRzLWppcmEifQ","ITPROJECT-1037")</f>
        <v>ITPROJECT-1037</v>
      </c>
      <c r="C286" s="1" t="s">
        <v>393</v>
      </c>
      <c r="D286" s="1" t="s">
        <v>17</v>
      </c>
      <c r="E286" s="1" t="s">
        <v>17</v>
      </c>
      <c r="F286" s="1" t="s">
        <v>12</v>
      </c>
      <c r="G286" s="1" t="s">
        <v>76</v>
      </c>
      <c r="H286" s="4">
        <v>44902.443657407406</v>
      </c>
      <c r="I286" s="4">
        <v>45061.163460648146</v>
      </c>
      <c r="J286" s="1" t="s">
        <v>61</v>
      </c>
    </row>
    <row r="287" spans="1:10" ht="12.75" x14ac:dyDescent="0.2">
      <c r="A287" s="1" t="s">
        <v>63</v>
      </c>
      <c r="B287" s="3" t="str">
        <f>HYPERLINK("https://pegadaian.atlassian.net/browse/ITPROJECT-1036?atlOrigin=eyJpIjoiYzgwYTQ0ZjEyNzQzNGJhN2JmNjEyZTM0NmRhZWZhNjIiLCJwIjoic2hlZXRzLWppcmEifQ","ITPROJECT-1036")</f>
        <v>ITPROJECT-1036</v>
      </c>
      <c r="C287" s="1" t="s">
        <v>394</v>
      </c>
      <c r="D287" s="1" t="s">
        <v>65</v>
      </c>
      <c r="E287" s="1" t="s">
        <v>65</v>
      </c>
      <c r="F287" s="1" t="s">
        <v>12</v>
      </c>
      <c r="G287" s="1" t="s">
        <v>13</v>
      </c>
      <c r="H287" s="4">
        <v>44901.495625000003</v>
      </c>
      <c r="I287" s="4">
        <v>45061.163472222222</v>
      </c>
      <c r="J287" s="1" t="s">
        <v>87</v>
      </c>
    </row>
    <row r="288" spans="1:10" ht="12.75" x14ac:dyDescent="0.2">
      <c r="A288" s="1" t="s">
        <v>117</v>
      </c>
      <c r="B288" s="3" t="str">
        <f>HYPERLINK("https://pegadaian.atlassian.net/browse/ITPROJECT-1035?atlOrigin=eyJpIjoiYzgwYTQ0ZjEyNzQzNGJhN2JmNjEyZTM0NmRhZWZhNjIiLCJwIjoic2hlZXRzLWppcmEifQ","ITPROJECT-1035")</f>
        <v>ITPROJECT-1035</v>
      </c>
      <c r="C288" s="1" t="s">
        <v>395</v>
      </c>
      <c r="D288" s="1" t="s">
        <v>28</v>
      </c>
      <c r="E288" s="1" t="s">
        <v>130</v>
      </c>
      <c r="F288" s="1" t="s">
        <v>12</v>
      </c>
      <c r="G288" s="1" t="s">
        <v>120</v>
      </c>
      <c r="H288" s="4">
        <v>44900.612337962964</v>
      </c>
      <c r="I288" s="4">
        <v>45061.163483796299</v>
      </c>
      <c r="J288" s="1" t="s">
        <v>27</v>
      </c>
    </row>
    <row r="289" spans="1:10" ht="12.75" x14ac:dyDescent="0.2">
      <c r="A289" s="1" t="s">
        <v>117</v>
      </c>
      <c r="B289" s="3" t="str">
        <f>HYPERLINK("https://pegadaian.atlassian.net/browse/ITPROJECT-1033?atlOrigin=eyJpIjoiYzgwYTQ0ZjEyNzQzNGJhN2JmNjEyZTM0NmRhZWZhNjIiLCJwIjoic2hlZXRzLWppcmEifQ","ITPROJECT-1033")</f>
        <v>ITPROJECT-1033</v>
      </c>
      <c r="C289" s="1" t="s">
        <v>396</v>
      </c>
      <c r="D289" s="1" t="s">
        <v>56</v>
      </c>
      <c r="E289" s="1" t="s">
        <v>200</v>
      </c>
      <c r="F289" s="1" t="s">
        <v>12</v>
      </c>
      <c r="G289" s="1" t="s">
        <v>13</v>
      </c>
      <c r="H289" s="4">
        <v>44900.582928240743</v>
      </c>
      <c r="I289" s="4">
        <v>45061.163495370369</v>
      </c>
      <c r="J289" s="1" t="s">
        <v>11</v>
      </c>
    </row>
    <row r="290" spans="1:10" ht="12.75" x14ac:dyDescent="0.2">
      <c r="A290" s="1" t="s">
        <v>117</v>
      </c>
      <c r="B290" s="3" t="str">
        <f>HYPERLINK("https://pegadaian.atlassian.net/browse/ITPROJECT-1032?atlOrigin=eyJpIjoiYzgwYTQ0ZjEyNzQzNGJhN2JmNjEyZTM0NmRhZWZhNjIiLCJwIjoic2hlZXRzLWppcmEifQ","ITPROJECT-1032")</f>
        <v>ITPROJECT-1032</v>
      </c>
      <c r="C290" s="1" t="s">
        <v>397</v>
      </c>
      <c r="D290" s="1" t="s">
        <v>65</v>
      </c>
      <c r="E290" s="1" t="s">
        <v>130</v>
      </c>
      <c r="F290" s="1" t="s">
        <v>12</v>
      </c>
      <c r="G290" s="1" t="s">
        <v>13</v>
      </c>
      <c r="H290" s="4">
        <v>44897.896203703705</v>
      </c>
      <c r="I290" s="4">
        <v>45061.163495370369</v>
      </c>
      <c r="J290" s="1" t="s">
        <v>87</v>
      </c>
    </row>
    <row r="291" spans="1:10" ht="12.75" x14ac:dyDescent="0.2">
      <c r="A291" s="1" t="s">
        <v>63</v>
      </c>
      <c r="B291" s="3" t="str">
        <f>HYPERLINK("https://pegadaian.atlassian.net/browse/ITPROJECT-1030?atlOrigin=eyJpIjoiYzgwYTQ0ZjEyNzQzNGJhN2JmNjEyZTM0NmRhZWZhNjIiLCJwIjoic2hlZXRzLWppcmEifQ","ITPROJECT-1030")</f>
        <v>ITPROJECT-1030</v>
      </c>
      <c r="C291" s="1" t="s">
        <v>398</v>
      </c>
      <c r="D291" s="1" t="s">
        <v>46</v>
      </c>
      <c r="E291" s="1" t="s">
        <v>46</v>
      </c>
      <c r="F291" s="1" t="s">
        <v>12</v>
      </c>
      <c r="G291" s="1" t="s">
        <v>68</v>
      </c>
      <c r="H291" s="4">
        <v>44897.432199074072</v>
      </c>
      <c r="I291" s="4">
        <v>45061.163518518515</v>
      </c>
      <c r="J291" s="1" t="s">
        <v>48</v>
      </c>
    </row>
    <row r="292" spans="1:10" ht="12.75" x14ac:dyDescent="0.2">
      <c r="A292" s="1" t="s">
        <v>63</v>
      </c>
      <c r="B292" s="3" t="str">
        <f>HYPERLINK("https://pegadaian.atlassian.net/browse/ITPROJECT-1029?atlOrigin=eyJpIjoiYzgwYTQ0ZjEyNzQzNGJhN2JmNjEyZTM0NmRhZWZhNjIiLCJwIjoic2hlZXRzLWppcmEifQ","ITPROJECT-1029")</f>
        <v>ITPROJECT-1029</v>
      </c>
      <c r="C292" s="1" t="s">
        <v>399</v>
      </c>
      <c r="D292" s="1" t="s">
        <v>56</v>
      </c>
      <c r="E292" s="1" t="s">
        <v>56</v>
      </c>
      <c r="F292" s="1" t="s">
        <v>12</v>
      </c>
      <c r="G292" s="1" t="s">
        <v>13</v>
      </c>
      <c r="H292" s="4">
        <v>44896.50540509259</v>
      </c>
      <c r="I292" s="4">
        <v>45061.163518518515</v>
      </c>
      <c r="J292" s="1" t="s">
        <v>11</v>
      </c>
    </row>
    <row r="293" spans="1:10" ht="12.75" x14ac:dyDescent="0.2">
      <c r="A293" s="1" t="s">
        <v>117</v>
      </c>
      <c r="B293" s="3" t="str">
        <f>HYPERLINK("https://pegadaian.atlassian.net/browse/ITPROJECT-1028?atlOrigin=eyJpIjoiYzgwYTQ0ZjEyNzQzNGJhN2JmNjEyZTM0NmRhZWZhNjIiLCJwIjoic2hlZXRzLWppcmEifQ","ITPROJECT-1028")</f>
        <v>ITPROJECT-1028</v>
      </c>
      <c r="C293" s="1" t="s">
        <v>400</v>
      </c>
      <c r="D293" s="1" t="s">
        <v>65</v>
      </c>
      <c r="E293" s="1" t="s">
        <v>122</v>
      </c>
      <c r="F293" s="1" t="s">
        <v>12</v>
      </c>
      <c r="G293" s="1" t="s">
        <v>68</v>
      </c>
      <c r="H293" s="4">
        <v>44896.360648148147</v>
      </c>
      <c r="I293" s="4">
        <v>45061.163530092592</v>
      </c>
      <c r="J293" s="1" t="s">
        <v>54</v>
      </c>
    </row>
    <row r="294" spans="1:10" ht="12.75" x14ac:dyDescent="0.2">
      <c r="A294" s="1" t="s">
        <v>63</v>
      </c>
      <c r="B294" s="3" t="str">
        <f>HYPERLINK("https://pegadaian.atlassian.net/browse/ITPROJECT-1027?atlOrigin=eyJpIjoiYzgwYTQ0ZjEyNzQzNGJhN2JmNjEyZTM0NmRhZWZhNjIiLCJwIjoic2hlZXRzLWppcmEifQ","ITPROJECT-1027")</f>
        <v>ITPROJECT-1027</v>
      </c>
      <c r="C294" s="1" t="s">
        <v>401</v>
      </c>
      <c r="D294" s="1" t="s">
        <v>42</v>
      </c>
      <c r="E294" s="1" t="s">
        <v>42</v>
      </c>
      <c r="F294" s="1" t="s">
        <v>12</v>
      </c>
      <c r="G294" s="1" t="s">
        <v>13</v>
      </c>
      <c r="H294" s="4">
        <v>44894.719444444447</v>
      </c>
      <c r="I294" s="4">
        <v>45061.163530092592</v>
      </c>
      <c r="J294" s="1" t="s">
        <v>15</v>
      </c>
    </row>
    <row r="295" spans="1:10" ht="12.75" x14ac:dyDescent="0.2">
      <c r="A295" s="1" t="s">
        <v>63</v>
      </c>
      <c r="B295" s="3" t="str">
        <f>HYPERLINK("https://pegadaian.atlassian.net/browse/ITPROJECT-1026?atlOrigin=eyJpIjoiYzgwYTQ0ZjEyNzQzNGJhN2JmNjEyZTM0NmRhZWZhNjIiLCJwIjoic2hlZXRzLWppcmEifQ","ITPROJECT-1026")</f>
        <v>ITPROJECT-1026</v>
      </c>
      <c r="C295" s="1" t="s">
        <v>402</v>
      </c>
      <c r="D295" s="1" t="s">
        <v>28</v>
      </c>
      <c r="E295" s="1" t="s">
        <v>28</v>
      </c>
      <c r="F295" s="1" t="s">
        <v>12</v>
      </c>
      <c r="G295" s="1" t="s">
        <v>13</v>
      </c>
      <c r="H295" s="4">
        <v>44894.638194444444</v>
      </c>
      <c r="I295" s="4">
        <v>45061.163541666669</v>
      </c>
      <c r="J295" s="1" t="s">
        <v>27</v>
      </c>
    </row>
    <row r="296" spans="1:10" ht="12.75" x14ac:dyDescent="0.2">
      <c r="A296" s="1" t="s">
        <v>63</v>
      </c>
      <c r="B296" s="3" t="str">
        <f>HYPERLINK("https://pegadaian.atlassian.net/browse/ITPROJECT-1023?atlOrigin=eyJpIjoiYzgwYTQ0ZjEyNzQzNGJhN2JmNjEyZTM0NmRhZWZhNjIiLCJwIjoic2hlZXRzLWppcmEifQ","ITPROJECT-1023")</f>
        <v>ITPROJECT-1023</v>
      </c>
      <c r="C296" s="1" t="s">
        <v>403</v>
      </c>
      <c r="D296" s="1" t="s">
        <v>17</v>
      </c>
      <c r="E296" s="1" t="s">
        <v>17</v>
      </c>
      <c r="F296" s="1" t="s">
        <v>12</v>
      </c>
      <c r="G296" s="1" t="s">
        <v>76</v>
      </c>
      <c r="H296" s="4">
        <v>44893.629421296297</v>
      </c>
      <c r="I296" s="4">
        <v>45061.163564814815</v>
      </c>
      <c r="J296" s="1" t="s">
        <v>61</v>
      </c>
    </row>
    <row r="297" spans="1:10" ht="12.75" x14ac:dyDescent="0.2">
      <c r="A297" s="1" t="s">
        <v>63</v>
      </c>
      <c r="B297" s="3" t="str">
        <f>HYPERLINK("https://pegadaian.atlassian.net/browse/ITPROJECT-1022?atlOrigin=eyJpIjoiYzgwYTQ0ZjEyNzQzNGJhN2JmNjEyZTM0NmRhZWZhNjIiLCJwIjoic2hlZXRzLWppcmEifQ","ITPROJECT-1022")</f>
        <v>ITPROJECT-1022</v>
      </c>
      <c r="C297" s="1" t="s">
        <v>404</v>
      </c>
      <c r="D297" s="1" t="s">
        <v>17</v>
      </c>
      <c r="E297" s="1" t="s">
        <v>17</v>
      </c>
      <c r="F297" s="1" t="s">
        <v>12</v>
      </c>
      <c r="G297" s="1" t="s">
        <v>89</v>
      </c>
      <c r="H297" s="4">
        <v>44893.602951388886</v>
      </c>
      <c r="I297" s="4">
        <v>45061.163564814815</v>
      </c>
      <c r="J297" s="1" t="s">
        <v>32</v>
      </c>
    </row>
    <row r="298" spans="1:10" ht="12.75" x14ac:dyDescent="0.2">
      <c r="A298" s="1" t="s">
        <v>63</v>
      </c>
      <c r="B298" s="3" t="str">
        <f>HYPERLINK("https://pegadaian.atlassian.net/browse/ITPROJECT-1021?atlOrigin=eyJpIjoiYzgwYTQ0ZjEyNzQzNGJhN2JmNjEyZTM0NmRhZWZhNjIiLCJwIjoic2hlZXRzLWppcmEifQ","ITPROJECT-1021")</f>
        <v>ITPROJECT-1021</v>
      </c>
      <c r="C298" s="1" t="s">
        <v>405</v>
      </c>
      <c r="D298" s="1" t="s">
        <v>17</v>
      </c>
      <c r="E298" s="1" t="s">
        <v>17</v>
      </c>
      <c r="F298" s="1" t="s">
        <v>12</v>
      </c>
      <c r="G298" s="1" t="s">
        <v>89</v>
      </c>
      <c r="H298" s="4">
        <v>44893.600081018521</v>
      </c>
      <c r="I298" s="4">
        <v>45061.163576388892</v>
      </c>
      <c r="J298" s="1" t="s">
        <v>32</v>
      </c>
    </row>
    <row r="299" spans="1:10" ht="12.75" x14ac:dyDescent="0.2">
      <c r="A299" s="1" t="s">
        <v>117</v>
      </c>
      <c r="B299" s="3" t="str">
        <f>HYPERLINK("https://pegadaian.atlassian.net/browse/ITPROJECT-1020?atlOrigin=eyJpIjoiYzgwYTQ0ZjEyNzQzNGJhN2JmNjEyZTM0NmRhZWZhNjIiLCJwIjoic2hlZXRzLWppcmEifQ","ITPROJECT-1020")</f>
        <v>ITPROJECT-1020</v>
      </c>
      <c r="C299" s="1" t="s">
        <v>406</v>
      </c>
      <c r="D299" s="1" t="s">
        <v>28</v>
      </c>
      <c r="E299" s="1" t="s">
        <v>130</v>
      </c>
      <c r="F299" s="1" t="s">
        <v>12</v>
      </c>
      <c r="G299" s="1" t="s">
        <v>13</v>
      </c>
      <c r="H299" s="4">
        <v>44893.481076388889</v>
      </c>
      <c r="I299" s="4">
        <v>45061.163587962961</v>
      </c>
      <c r="J299" s="1" t="s">
        <v>27</v>
      </c>
    </row>
    <row r="300" spans="1:10" ht="12.75" x14ac:dyDescent="0.2">
      <c r="A300" s="1" t="s">
        <v>117</v>
      </c>
      <c r="B300" s="3" t="str">
        <f>HYPERLINK("https://pegadaian.atlassian.net/browse/ITPROJECT-1016?atlOrigin=eyJpIjoiYzgwYTQ0ZjEyNzQzNGJhN2JmNjEyZTM0NmRhZWZhNjIiLCJwIjoic2hlZXRzLWppcmEifQ","ITPROJECT-1016")</f>
        <v>ITPROJECT-1016</v>
      </c>
      <c r="C300" s="1" t="s">
        <v>407</v>
      </c>
      <c r="D300" s="1" t="s">
        <v>43</v>
      </c>
      <c r="E300" s="1" t="s">
        <v>130</v>
      </c>
      <c r="F300" s="1" t="s">
        <v>12</v>
      </c>
      <c r="G300" s="1" t="s">
        <v>68</v>
      </c>
      <c r="H300" s="4">
        <v>44889.492048611108</v>
      </c>
      <c r="I300" s="4">
        <v>45061.163611111115</v>
      </c>
      <c r="J300" s="1" t="s">
        <v>23</v>
      </c>
    </row>
    <row r="301" spans="1:10" ht="12.75" x14ac:dyDescent="0.2">
      <c r="A301" s="1" t="s">
        <v>117</v>
      </c>
      <c r="B301" s="3" t="str">
        <f>HYPERLINK("https://pegadaian.atlassian.net/browse/ITPROJECT-1015?atlOrigin=eyJpIjoiYzgwYTQ0ZjEyNzQzNGJhN2JmNjEyZTM0NmRhZWZhNjIiLCJwIjoic2hlZXRzLWppcmEifQ","ITPROJECT-1015")</f>
        <v>ITPROJECT-1015</v>
      </c>
      <c r="C301" s="1" t="s">
        <v>408</v>
      </c>
      <c r="D301" s="1" t="s">
        <v>50</v>
      </c>
      <c r="E301" s="1" t="s">
        <v>130</v>
      </c>
      <c r="F301" s="1" t="s">
        <v>12</v>
      </c>
      <c r="G301" s="1" t="s">
        <v>76</v>
      </c>
      <c r="H301" s="4">
        <v>44889.458912037036</v>
      </c>
      <c r="I301" s="4">
        <v>45061.163611111115</v>
      </c>
      <c r="J301" s="1" t="s">
        <v>39</v>
      </c>
    </row>
    <row r="302" spans="1:10" ht="12.75" x14ac:dyDescent="0.2">
      <c r="A302" s="1" t="s">
        <v>63</v>
      </c>
      <c r="B302" s="3" t="str">
        <f>HYPERLINK("https://pegadaian.atlassian.net/browse/ITPROJECT-1014?atlOrigin=eyJpIjoiYzgwYTQ0ZjEyNzQzNGJhN2JmNjEyZTM0NmRhZWZhNjIiLCJwIjoic2hlZXRzLWppcmEifQ","ITPROJECT-1014")</f>
        <v>ITPROJECT-1014</v>
      </c>
      <c r="C302" s="1" t="s">
        <v>409</v>
      </c>
      <c r="D302" s="1" t="s">
        <v>75</v>
      </c>
      <c r="E302" s="1" t="s">
        <v>75</v>
      </c>
      <c r="F302" s="1" t="s">
        <v>12</v>
      </c>
      <c r="G302" s="1" t="s">
        <v>410</v>
      </c>
      <c r="H302" s="4">
        <v>44889.417592592596</v>
      </c>
      <c r="I302" s="4">
        <v>45061.163622685184</v>
      </c>
      <c r="J302" s="1" t="s">
        <v>40</v>
      </c>
    </row>
    <row r="303" spans="1:10" ht="12.75" x14ac:dyDescent="0.2">
      <c r="A303" s="1" t="s">
        <v>63</v>
      </c>
      <c r="B303" s="3" t="str">
        <f>HYPERLINK("https://pegadaian.atlassian.net/browse/ITPROJECT-1013?atlOrigin=eyJpIjoiYzgwYTQ0ZjEyNzQzNGJhN2JmNjEyZTM0NmRhZWZhNjIiLCJwIjoic2hlZXRzLWppcmEifQ","ITPROJECT-1013")</f>
        <v>ITPROJECT-1013</v>
      </c>
      <c r="C303" s="1" t="s">
        <v>411</v>
      </c>
      <c r="D303" s="1" t="s">
        <v>28</v>
      </c>
      <c r="E303" s="1" t="s">
        <v>28</v>
      </c>
      <c r="F303" s="1" t="s">
        <v>12</v>
      </c>
      <c r="G303" s="1" t="s">
        <v>13</v>
      </c>
      <c r="H303" s="4">
        <v>44889.385694444441</v>
      </c>
      <c r="I303" s="4">
        <v>45061.163634259261</v>
      </c>
      <c r="J303" s="1" t="s">
        <v>27</v>
      </c>
    </row>
    <row r="304" spans="1:10" ht="12.75" x14ac:dyDescent="0.2">
      <c r="A304" s="1" t="s">
        <v>117</v>
      </c>
      <c r="B304" s="3" t="str">
        <f>HYPERLINK("https://pegadaian.atlassian.net/browse/ITPROJECT-1012?atlOrigin=eyJpIjoiYzgwYTQ0ZjEyNzQzNGJhN2JmNjEyZTM0NmRhZWZhNjIiLCJwIjoic2hlZXRzLWppcmEifQ","ITPROJECT-1012")</f>
        <v>ITPROJECT-1012</v>
      </c>
      <c r="C304" s="1" t="s">
        <v>412</v>
      </c>
      <c r="D304" s="1" t="s">
        <v>9</v>
      </c>
      <c r="E304" s="1" t="s">
        <v>161</v>
      </c>
      <c r="F304" s="1" t="s">
        <v>12</v>
      </c>
      <c r="G304" s="1" t="s">
        <v>72</v>
      </c>
      <c r="H304" s="4">
        <v>44889.370625000003</v>
      </c>
      <c r="I304" s="4">
        <v>45061.163634259261</v>
      </c>
      <c r="J304" s="1" t="s">
        <v>26</v>
      </c>
    </row>
    <row r="305" spans="1:10" ht="12.75" x14ac:dyDescent="0.2">
      <c r="A305" s="1" t="s">
        <v>63</v>
      </c>
      <c r="B305" s="3" t="str">
        <f>HYPERLINK("https://pegadaian.atlassian.net/browse/ITPROJECT-1010?atlOrigin=eyJpIjoiYzgwYTQ0ZjEyNzQzNGJhN2JmNjEyZTM0NmRhZWZhNjIiLCJwIjoic2hlZXRzLWppcmEifQ","ITPROJECT-1010")</f>
        <v>ITPROJECT-1010</v>
      </c>
      <c r="C305" s="1" t="s">
        <v>413</v>
      </c>
      <c r="D305" s="1" t="s">
        <v>24</v>
      </c>
      <c r="E305" s="1" t="s">
        <v>24</v>
      </c>
      <c r="F305" s="1" t="s">
        <v>12</v>
      </c>
      <c r="G305" s="1" t="s">
        <v>76</v>
      </c>
      <c r="H305" s="4">
        <v>44888.615127314813</v>
      </c>
      <c r="I305" s="4">
        <v>45061.163645833331</v>
      </c>
      <c r="J305" s="1" t="s">
        <v>32</v>
      </c>
    </row>
    <row r="306" spans="1:10" ht="12.75" x14ac:dyDescent="0.2">
      <c r="A306" s="1" t="s">
        <v>63</v>
      </c>
      <c r="B306" s="3" t="str">
        <f>HYPERLINK("https://pegadaian.atlassian.net/browse/ITPROJECT-1009?atlOrigin=eyJpIjoiYzgwYTQ0ZjEyNzQzNGJhN2JmNjEyZTM0NmRhZWZhNjIiLCJwIjoic2hlZXRzLWppcmEifQ","ITPROJECT-1009")</f>
        <v>ITPROJECT-1009</v>
      </c>
      <c r="C306" s="1" t="s">
        <v>414</v>
      </c>
      <c r="D306" s="1" t="s">
        <v>24</v>
      </c>
      <c r="E306" s="1" t="s">
        <v>24</v>
      </c>
      <c r="F306" s="1" t="s">
        <v>12</v>
      </c>
      <c r="G306" s="1" t="s">
        <v>76</v>
      </c>
      <c r="H306" s="4">
        <v>44888.612754629627</v>
      </c>
      <c r="I306" s="4">
        <v>45061.163657407407</v>
      </c>
      <c r="J306" s="1" t="s">
        <v>32</v>
      </c>
    </row>
    <row r="307" spans="1:10" ht="12.75" x14ac:dyDescent="0.2">
      <c r="A307" s="1" t="s">
        <v>63</v>
      </c>
      <c r="B307" s="3" t="str">
        <f>HYPERLINK("https://pegadaian.atlassian.net/browse/ITPROJECT-1007?atlOrigin=eyJpIjoiYzgwYTQ0ZjEyNzQzNGJhN2JmNjEyZTM0NmRhZWZhNjIiLCJwIjoic2hlZXRzLWppcmEifQ","ITPROJECT-1007")</f>
        <v>ITPROJECT-1007</v>
      </c>
      <c r="C307" s="1" t="s">
        <v>415</v>
      </c>
      <c r="D307" s="1" t="s">
        <v>112</v>
      </c>
      <c r="E307" s="1" t="s">
        <v>112</v>
      </c>
      <c r="F307" s="1" t="s">
        <v>12</v>
      </c>
      <c r="G307" s="1" t="s">
        <v>13</v>
      </c>
      <c r="H307" s="4">
        <v>44888.409004629626</v>
      </c>
      <c r="I307" s="4">
        <v>45061.163668981484</v>
      </c>
      <c r="J307" s="1" t="s">
        <v>26</v>
      </c>
    </row>
    <row r="308" spans="1:10" ht="12.75" x14ac:dyDescent="0.2">
      <c r="A308" s="1" t="s">
        <v>117</v>
      </c>
      <c r="B308" s="3" t="str">
        <f>HYPERLINK("https://pegadaian.atlassian.net/browse/ITPROJECT-1006?atlOrigin=eyJpIjoiYzgwYTQ0ZjEyNzQzNGJhN2JmNjEyZTM0NmRhZWZhNjIiLCJwIjoic2hlZXRzLWppcmEifQ","ITPROJECT-1006")</f>
        <v>ITPROJECT-1006</v>
      </c>
      <c r="C308" s="1" t="s">
        <v>416</v>
      </c>
      <c r="D308" s="1" t="s">
        <v>75</v>
      </c>
      <c r="E308" s="1" t="s">
        <v>130</v>
      </c>
      <c r="F308" s="1" t="s">
        <v>12</v>
      </c>
      <c r="G308" s="1" t="s">
        <v>76</v>
      </c>
      <c r="H308" s="4">
        <v>44888.361932870372</v>
      </c>
      <c r="I308" s="4">
        <v>45061.163680555554</v>
      </c>
      <c r="J308" s="1" t="s">
        <v>40</v>
      </c>
    </row>
    <row r="309" spans="1:10" ht="12.75" x14ac:dyDescent="0.2">
      <c r="A309" s="1" t="s">
        <v>117</v>
      </c>
      <c r="B309" s="3" t="str">
        <f>HYPERLINK("https://pegadaian.atlassian.net/browse/ITPROJECT-1005?atlOrigin=eyJpIjoiYzgwYTQ0ZjEyNzQzNGJhN2JmNjEyZTM0NmRhZWZhNjIiLCJwIjoic2hlZXRzLWppcmEifQ","ITPROJECT-1005")</f>
        <v>ITPROJECT-1005</v>
      </c>
      <c r="C309" s="1" t="s">
        <v>417</v>
      </c>
      <c r="D309" s="1" t="s">
        <v>46</v>
      </c>
      <c r="E309" s="1" t="s">
        <v>418</v>
      </c>
      <c r="F309" s="1" t="s">
        <v>12</v>
      </c>
      <c r="G309" s="1" t="s">
        <v>68</v>
      </c>
      <c r="H309" s="4">
        <v>44887.802349537036</v>
      </c>
      <c r="I309" s="4">
        <v>45061.163680555554</v>
      </c>
      <c r="J309" s="1" t="s">
        <v>48</v>
      </c>
    </row>
    <row r="310" spans="1:10" ht="12.75" x14ac:dyDescent="0.2">
      <c r="A310" s="1" t="s">
        <v>63</v>
      </c>
      <c r="B310" s="3" t="str">
        <f>HYPERLINK("https://pegadaian.atlassian.net/browse/ITPROJECT-1003?atlOrigin=eyJpIjoiYzgwYTQ0ZjEyNzQzNGJhN2JmNjEyZTM0NmRhZWZhNjIiLCJwIjoic2hlZXRzLWppcmEifQ","ITPROJECT-1003")</f>
        <v>ITPROJECT-1003</v>
      </c>
      <c r="C310" s="1" t="s">
        <v>419</v>
      </c>
      <c r="D310" s="1" t="s">
        <v>42</v>
      </c>
      <c r="E310" s="1" t="s">
        <v>42</v>
      </c>
      <c r="F310" s="1" t="s">
        <v>12</v>
      </c>
      <c r="G310" s="1" t="s">
        <v>13</v>
      </c>
      <c r="H310" s="4">
        <v>44887.567465277774</v>
      </c>
      <c r="I310" s="4">
        <v>45061.16369212963</v>
      </c>
      <c r="J310" s="1" t="s">
        <v>15</v>
      </c>
    </row>
    <row r="311" spans="1:10" ht="12.75" x14ac:dyDescent="0.2">
      <c r="A311" s="1" t="s">
        <v>63</v>
      </c>
      <c r="B311" s="3" t="str">
        <f>HYPERLINK("https://pegadaian.atlassian.net/browse/ITPROJECT-1002?atlOrigin=eyJpIjoiYzgwYTQ0ZjEyNzQzNGJhN2JmNjEyZTM0NmRhZWZhNjIiLCJwIjoic2hlZXRzLWppcmEifQ","ITPROJECT-1002")</f>
        <v>ITPROJECT-1002</v>
      </c>
      <c r="C311" s="1" t="s">
        <v>420</v>
      </c>
      <c r="D311" s="1" t="s">
        <v>24</v>
      </c>
      <c r="E311" s="1" t="s">
        <v>24</v>
      </c>
      <c r="F311" s="1" t="s">
        <v>12</v>
      </c>
      <c r="G311" s="1" t="s">
        <v>13</v>
      </c>
      <c r="H311" s="4">
        <v>44887.354097222225</v>
      </c>
      <c r="I311" s="4">
        <v>45061.163703703707</v>
      </c>
      <c r="J311" s="1" t="s">
        <v>54</v>
      </c>
    </row>
    <row r="312" spans="1:10" ht="12.75" x14ac:dyDescent="0.2">
      <c r="A312" s="1" t="s">
        <v>63</v>
      </c>
      <c r="B312" s="3" t="str">
        <f>HYPERLINK("https://pegadaian.atlassian.net/browse/ITPROJECT-1000?atlOrigin=eyJpIjoiYzgwYTQ0ZjEyNzQzNGJhN2JmNjEyZTM0NmRhZWZhNjIiLCJwIjoic2hlZXRzLWppcmEifQ","ITPROJECT-1000")</f>
        <v>ITPROJECT-1000</v>
      </c>
      <c r="C312" s="1" t="s">
        <v>421</v>
      </c>
      <c r="D312" s="1" t="s">
        <v>65</v>
      </c>
      <c r="E312" s="1" t="s">
        <v>65</v>
      </c>
      <c r="F312" s="1" t="s">
        <v>12</v>
      </c>
      <c r="G312" s="1" t="s">
        <v>13</v>
      </c>
      <c r="H312" s="4">
        <v>44882.69090277778</v>
      </c>
      <c r="I312" s="4">
        <v>45061.163715277777</v>
      </c>
      <c r="J312" s="1" t="s">
        <v>54</v>
      </c>
    </row>
    <row r="313" spans="1:10" ht="12.75" x14ac:dyDescent="0.2">
      <c r="A313" s="1" t="s">
        <v>63</v>
      </c>
      <c r="B313" s="3" t="str">
        <f>HYPERLINK("https://pegadaian.atlassian.net/browse/ITPROJECT-996?atlOrigin=eyJpIjoiYzgwYTQ0ZjEyNzQzNGJhN2JmNjEyZTM0NmRhZWZhNjIiLCJwIjoic2hlZXRzLWppcmEifQ","ITPROJECT-996")</f>
        <v>ITPROJECT-996</v>
      </c>
      <c r="C313" s="1" t="s">
        <v>422</v>
      </c>
      <c r="D313" s="1" t="s">
        <v>43</v>
      </c>
      <c r="E313" s="1" t="s">
        <v>43</v>
      </c>
      <c r="F313" s="1" t="s">
        <v>12</v>
      </c>
      <c r="G313" s="1" t="s">
        <v>68</v>
      </c>
      <c r="H313" s="4">
        <v>44880.580300925925</v>
      </c>
      <c r="I313" s="4">
        <v>45061.163738425923</v>
      </c>
      <c r="J313" s="1" t="s">
        <v>30</v>
      </c>
    </row>
    <row r="314" spans="1:10" ht="12.75" x14ac:dyDescent="0.2">
      <c r="A314" s="1" t="s">
        <v>63</v>
      </c>
      <c r="B314" s="3" t="str">
        <f>HYPERLINK("https://pegadaian.atlassian.net/browse/ITPROJECT-995?atlOrigin=eyJpIjoiYzgwYTQ0ZjEyNzQzNGJhN2JmNjEyZTM0NmRhZWZhNjIiLCJwIjoic2hlZXRzLWppcmEifQ","ITPROJECT-995")</f>
        <v>ITPROJECT-995</v>
      </c>
      <c r="C314" s="1" t="s">
        <v>423</v>
      </c>
      <c r="D314" s="1" t="s">
        <v>424</v>
      </c>
      <c r="E314" s="1" t="s">
        <v>424</v>
      </c>
      <c r="F314" s="1" t="s">
        <v>12</v>
      </c>
      <c r="G314" s="1" t="s">
        <v>13</v>
      </c>
      <c r="H314" s="4">
        <v>44880.472337962965</v>
      </c>
      <c r="I314" s="4">
        <v>45061.16375</v>
      </c>
      <c r="J314" s="1" t="s">
        <v>27</v>
      </c>
    </row>
    <row r="315" spans="1:10" ht="12.75" x14ac:dyDescent="0.2">
      <c r="A315" s="1" t="s">
        <v>117</v>
      </c>
      <c r="B315" s="3" t="str">
        <f>HYPERLINK("https://pegadaian.atlassian.net/browse/ITPROJECT-994?atlOrigin=eyJpIjoiYzgwYTQ0ZjEyNzQzNGJhN2JmNjEyZTM0NmRhZWZhNjIiLCJwIjoic2hlZXRzLWppcmEifQ","ITPROJECT-994")</f>
        <v>ITPROJECT-994</v>
      </c>
      <c r="C315" s="1" t="s">
        <v>425</v>
      </c>
      <c r="D315" s="1" t="s">
        <v>424</v>
      </c>
      <c r="E315" s="1" t="s">
        <v>130</v>
      </c>
      <c r="F315" s="1" t="s">
        <v>12</v>
      </c>
      <c r="G315" s="1" t="s">
        <v>13</v>
      </c>
      <c r="H315" s="4">
        <v>44880.409918981481</v>
      </c>
      <c r="I315" s="4">
        <v>45061.16375</v>
      </c>
      <c r="J315" s="1" t="s">
        <v>27</v>
      </c>
    </row>
    <row r="316" spans="1:10" ht="12.75" x14ac:dyDescent="0.2">
      <c r="A316" s="1" t="s">
        <v>63</v>
      </c>
      <c r="B316" s="3" t="str">
        <f>HYPERLINK("https://pegadaian.atlassian.net/browse/ITPROJECT-993?atlOrigin=eyJpIjoiYzgwYTQ0ZjEyNzQzNGJhN2JmNjEyZTM0NmRhZWZhNjIiLCJwIjoic2hlZXRzLWppcmEifQ","ITPROJECT-993")</f>
        <v>ITPROJECT-993</v>
      </c>
      <c r="C316" s="1" t="s">
        <v>426</v>
      </c>
      <c r="D316" s="1" t="s">
        <v>112</v>
      </c>
      <c r="E316" s="1" t="s">
        <v>112</v>
      </c>
      <c r="F316" s="1" t="s">
        <v>12</v>
      </c>
      <c r="G316" s="1" t="s">
        <v>76</v>
      </c>
      <c r="H316" s="4">
        <v>44879.373240740744</v>
      </c>
      <c r="I316" s="4">
        <v>45061.163761574076</v>
      </c>
      <c r="J316" s="1" t="s">
        <v>26</v>
      </c>
    </row>
    <row r="317" spans="1:10" ht="12.75" x14ac:dyDescent="0.2">
      <c r="A317" s="1" t="s">
        <v>63</v>
      </c>
      <c r="B317" s="3" t="str">
        <f>HYPERLINK("https://pegadaian.atlassian.net/browse/ITPROJECT-992?atlOrigin=eyJpIjoiYzgwYTQ0ZjEyNzQzNGJhN2JmNjEyZTM0NmRhZWZhNjIiLCJwIjoic2hlZXRzLWppcmEifQ","ITPROJECT-992")</f>
        <v>ITPROJECT-992</v>
      </c>
      <c r="C317" s="1" t="s">
        <v>427</v>
      </c>
      <c r="D317" s="1" t="s">
        <v>75</v>
      </c>
      <c r="E317" s="1" t="s">
        <v>75</v>
      </c>
      <c r="F317" s="1" t="s">
        <v>12</v>
      </c>
      <c r="G317" s="1" t="s">
        <v>13</v>
      </c>
      <c r="H317" s="4">
        <v>44879.351481481484</v>
      </c>
      <c r="I317" s="4">
        <v>45061.163773148146</v>
      </c>
      <c r="J317" s="1" t="s">
        <v>40</v>
      </c>
    </row>
    <row r="318" spans="1:10" ht="12.75" x14ac:dyDescent="0.2">
      <c r="A318" s="1" t="s">
        <v>117</v>
      </c>
      <c r="B318" s="3" t="str">
        <f>HYPERLINK("https://pegadaian.atlassian.net/browse/ITPROJECT-991?atlOrigin=eyJpIjoiYzgwYTQ0ZjEyNzQzNGJhN2JmNjEyZTM0NmRhZWZhNjIiLCJwIjoic2hlZXRzLWppcmEifQ","ITPROJECT-991")</f>
        <v>ITPROJECT-991</v>
      </c>
      <c r="C318" s="1" t="s">
        <v>428</v>
      </c>
      <c r="D318" s="1" t="s">
        <v>75</v>
      </c>
      <c r="E318" s="1" t="s">
        <v>130</v>
      </c>
      <c r="F318" s="1" t="s">
        <v>12</v>
      </c>
      <c r="G318" s="1" t="s">
        <v>13</v>
      </c>
      <c r="H318" s="4">
        <v>44876.640462962961</v>
      </c>
      <c r="I318" s="4">
        <v>45061.163784722223</v>
      </c>
      <c r="J318" s="1" t="s">
        <v>40</v>
      </c>
    </row>
    <row r="319" spans="1:10" ht="12.75" x14ac:dyDescent="0.2">
      <c r="A319" s="1" t="s">
        <v>117</v>
      </c>
      <c r="B319" s="3" t="str">
        <f>HYPERLINK("https://pegadaian.atlassian.net/browse/ITPROJECT-990?atlOrigin=eyJpIjoiYzgwYTQ0ZjEyNzQzNGJhN2JmNjEyZTM0NmRhZWZhNjIiLCJwIjoic2hlZXRzLWppcmEifQ","ITPROJECT-990")</f>
        <v>ITPROJECT-990</v>
      </c>
      <c r="C319" s="1" t="s">
        <v>429</v>
      </c>
      <c r="D319" s="1" t="s">
        <v>42</v>
      </c>
      <c r="E319" s="1" t="s">
        <v>130</v>
      </c>
      <c r="F319" s="1" t="s">
        <v>12</v>
      </c>
      <c r="G319" s="1" t="s">
        <v>13</v>
      </c>
      <c r="H319" s="4">
        <v>44876.634236111109</v>
      </c>
      <c r="I319" s="4">
        <v>45061.163784722223</v>
      </c>
      <c r="J319" s="1" t="s">
        <v>15</v>
      </c>
    </row>
    <row r="320" spans="1:10" ht="12.75" x14ac:dyDescent="0.2">
      <c r="A320" s="1" t="s">
        <v>117</v>
      </c>
      <c r="B320" s="3" t="str">
        <f>HYPERLINK("https://pegadaian.atlassian.net/browse/ITPROJECT-987?atlOrigin=eyJpIjoiYzgwYTQ0ZjEyNzQzNGJhN2JmNjEyZTM0NmRhZWZhNjIiLCJwIjoic2hlZXRzLWppcmEifQ","ITPROJECT-987")</f>
        <v>ITPROJECT-987</v>
      </c>
      <c r="C320" s="1" t="s">
        <v>430</v>
      </c>
      <c r="D320" s="1" t="s">
        <v>112</v>
      </c>
      <c r="E320" s="1" t="s">
        <v>122</v>
      </c>
      <c r="F320" s="1" t="s">
        <v>12</v>
      </c>
      <c r="G320" s="1" t="s">
        <v>13</v>
      </c>
      <c r="H320" s="4">
        <v>44875.476446759261</v>
      </c>
      <c r="I320" s="4">
        <v>45061.163807870369</v>
      </c>
      <c r="J320" s="1" t="s">
        <v>26</v>
      </c>
    </row>
    <row r="321" spans="1:10" ht="12.75" x14ac:dyDescent="0.2">
      <c r="A321" s="1" t="s">
        <v>117</v>
      </c>
      <c r="B321" s="3" t="str">
        <f>HYPERLINK("https://pegadaian.atlassian.net/browse/ITPROJECT-983?atlOrigin=eyJpIjoiYzgwYTQ0ZjEyNzQzNGJhN2JmNjEyZTM0NmRhZWZhNjIiLCJwIjoic2hlZXRzLWppcmEifQ","ITPROJECT-983")</f>
        <v>ITPROJECT-983</v>
      </c>
      <c r="C321" s="1" t="s">
        <v>431</v>
      </c>
      <c r="D321" s="1" t="s">
        <v>42</v>
      </c>
      <c r="E321" s="1" t="s">
        <v>130</v>
      </c>
      <c r="F321" s="1" t="s">
        <v>12</v>
      </c>
      <c r="G321" s="1" t="s">
        <v>13</v>
      </c>
      <c r="H321" s="4">
        <v>44874.512800925928</v>
      </c>
      <c r="I321" s="4">
        <v>45061.163831018515</v>
      </c>
      <c r="J321" s="1" t="s">
        <v>15</v>
      </c>
    </row>
    <row r="322" spans="1:10" ht="12.75" x14ac:dyDescent="0.2">
      <c r="A322" s="1" t="s">
        <v>63</v>
      </c>
      <c r="B322" s="3" t="str">
        <f>HYPERLINK("https://pegadaian.atlassian.net/browse/ITPROJECT-978?atlOrigin=eyJpIjoiYzgwYTQ0ZjEyNzQzNGJhN2JmNjEyZTM0NmRhZWZhNjIiLCJwIjoic2hlZXRzLWppcmEifQ","ITPROJECT-978")</f>
        <v>ITPROJECT-978</v>
      </c>
      <c r="C322" s="1" t="s">
        <v>432</v>
      </c>
      <c r="D322" s="1" t="s">
        <v>50</v>
      </c>
      <c r="E322" s="1" t="s">
        <v>99</v>
      </c>
      <c r="F322" s="1" t="s">
        <v>12</v>
      </c>
      <c r="G322" s="1" t="s">
        <v>89</v>
      </c>
      <c r="H322" s="4">
        <v>44872.682974537034</v>
      </c>
      <c r="I322" s="4">
        <v>45061.163865740738</v>
      </c>
      <c r="J322" s="1" t="s">
        <v>285</v>
      </c>
    </row>
    <row r="323" spans="1:10" ht="12.75" x14ac:dyDescent="0.2">
      <c r="A323" s="1" t="s">
        <v>117</v>
      </c>
      <c r="B323" s="3" t="str">
        <f>HYPERLINK("https://pegadaian.atlassian.net/browse/ITPROJECT-977?atlOrigin=eyJpIjoiYzgwYTQ0ZjEyNzQzNGJhN2JmNjEyZTM0NmRhZWZhNjIiLCJwIjoic2hlZXRzLWppcmEifQ","ITPROJECT-977")</f>
        <v>ITPROJECT-977</v>
      </c>
      <c r="C323" s="1" t="s">
        <v>433</v>
      </c>
      <c r="D323" s="1" t="s">
        <v>42</v>
      </c>
      <c r="E323" s="1" t="s">
        <v>130</v>
      </c>
      <c r="F323" s="1" t="s">
        <v>12</v>
      </c>
      <c r="G323" s="1" t="s">
        <v>213</v>
      </c>
      <c r="H323" s="4">
        <v>44872.513738425929</v>
      </c>
      <c r="I323" s="4">
        <v>45061.163877314815</v>
      </c>
      <c r="J323" s="1" t="s">
        <v>15</v>
      </c>
    </row>
    <row r="324" spans="1:10" ht="12.75" x14ac:dyDescent="0.2">
      <c r="A324" s="1" t="s">
        <v>117</v>
      </c>
      <c r="B324" s="3" t="str">
        <f>HYPERLINK("https://pegadaian.atlassian.net/browse/ITPROJECT-975?atlOrigin=eyJpIjoiYzgwYTQ0ZjEyNzQzNGJhN2JmNjEyZTM0NmRhZWZhNjIiLCJwIjoic2hlZXRzLWppcmEifQ","ITPROJECT-975")</f>
        <v>ITPROJECT-975</v>
      </c>
      <c r="C324" s="1" t="s">
        <v>434</v>
      </c>
      <c r="D324" s="1" t="s">
        <v>24</v>
      </c>
      <c r="E324" s="1" t="s">
        <v>130</v>
      </c>
      <c r="F324" s="1" t="s">
        <v>12</v>
      </c>
      <c r="G324" s="1" t="s">
        <v>13</v>
      </c>
      <c r="H324" s="4">
        <v>44871.838101851848</v>
      </c>
      <c r="I324" s="4">
        <v>45061.163888888892</v>
      </c>
      <c r="J324" s="1" t="s">
        <v>54</v>
      </c>
    </row>
    <row r="325" spans="1:10" ht="12.75" x14ac:dyDescent="0.2">
      <c r="A325" s="1" t="s">
        <v>63</v>
      </c>
      <c r="B325" s="3" t="str">
        <f>HYPERLINK("https://pegadaian.atlassian.net/browse/ITPROJECT-972?atlOrigin=eyJpIjoiYzgwYTQ0ZjEyNzQzNGJhN2JmNjEyZTM0NmRhZWZhNjIiLCJwIjoic2hlZXRzLWppcmEifQ","ITPROJECT-972")</f>
        <v>ITPROJECT-972</v>
      </c>
      <c r="C325" s="1" t="s">
        <v>435</v>
      </c>
      <c r="D325" s="1" t="s">
        <v>112</v>
      </c>
      <c r="E325" s="1" t="s">
        <v>112</v>
      </c>
      <c r="F325" s="1" t="s">
        <v>12</v>
      </c>
      <c r="G325" s="1" t="s">
        <v>13</v>
      </c>
      <c r="H325" s="4">
        <v>44868.582569444443</v>
      </c>
      <c r="I325" s="4">
        <v>45061.163912037038</v>
      </c>
      <c r="J325" s="1" t="s">
        <v>26</v>
      </c>
    </row>
    <row r="326" spans="1:10" ht="12.75" x14ac:dyDescent="0.2">
      <c r="A326" s="1" t="s">
        <v>63</v>
      </c>
      <c r="B326" s="3" t="str">
        <f>HYPERLINK("https://pegadaian.atlassian.net/browse/ITPROJECT-971?atlOrigin=eyJpIjoiYzgwYTQ0ZjEyNzQzNGJhN2JmNjEyZTM0NmRhZWZhNjIiLCJwIjoic2hlZXRzLWppcmEifQ","ITPROJECT-971")</f>
        <v>ITPROJECT-971</v>
      </c>
      <c r="C326" s="1" t="s">
        <v>436</v>
      </c>
      <c r="D326" s="1" t="s">
        <v>71</v>
      </c>
      <c r="E326" s="1" t="s">
        <v>71</v>
      </c>
      <c r="F326" s="1" t="s">
        <v>12</v>
      </c>
      <c r="G326" s="1" t="s">
        <v>68</v>
      </c>
      <c r="H326" s="4">
        <v>44868.470682870371</v>
      </c>
      <c r="I326" s="4">
        <v>45061.163912037038</v>
      </c>
      <c r="J326" s="1" t="s">
        <v>60</v>
      </c>
    </row>
    <row r="327" spans="1:10" ht="12.75" x14ac:dyDescent="0.2">
      <c r="A327" s="1" t="s">
        <v>63</v>
      </c>
      <c r="B327" s="3" t="str">
        <f>HYPERLINK("https://pegadaian.atlassian.net/browse/ITPROJECT-965?atlOrigin=eyJpIjoiYzgwYTQ0ZjEyNzQzNGJhN2JmNjEyZTM0NmRhZWZhNjIiLCJwIjoic2hlZXRzLWppcmEifQ","ITPROJECT-965")</f>
        <v>ITPROJECT-965</v>
      </c>
      <c r="C327" s="1" t="s">
        <v>437</v>
      </c>
      <c r="D327" s="1" t="s">
        <v>65</v>
      </c>
      <c r="E327" s="1" t="s">
        <v>65</v>
      </c>
      <c r="F327" s="1" t="s">
        <v>12</v>
      </c>
      <c r="G327" s="1" t="s">
        <v>13</v>
      </c>
      <c r="H327" s="4">
        <v>44867.632789351854</v>
      </c>
      <c r="I327" s="4">
        <v>45061.163935185185</v>
      </c>
      <c r="J327" s="1" t="s">
        <v>54</v>
      </c>
    </row>
    <row r="328" spans="1:10" ht="12.75" x14ac:dyDescent="0.2">
      <c r="A328" s="1" t="s">
        <v>117</v>
      </c>
      <c r="B328" s="3" t="str">
        <f>HYPERLINK("https://pegadaian.atlassian.net/browse/ITPROJECT-964?atlOrigin=eyJpIjoiYzgwYTQ0ZjEyNzQzNGJhN2JmNjEyZTM0NmRhZWZhNjIiLCJwIjoic2hlZXRzLWppcmEifQ","ITPROJECT-964")</f>
        <v>ITPROJECT-964</v>
      </c>
      <c r="C328" s="1" t="s">
        <v>438</v>
      </c>
      <c r="D328" s="1" t="s">
        <v>25</v>
      </c>
      <c r="E328" s="1" t="s">
        <v>122</v>
      </c>
      <c r="F328" s="1" t="s">
        <v>12</v>
      </c>
      <c r="G328" s="1" t="s">
        <v>120</v>
      </c>
      <c r="H328" s="4">
        <v>44867.409930555557</v>
      </c>
      <c r="I328" s="4">
        <v>45061.163946759261</v>
      </c>
      <c r="J328" s="1" t="s">
        <v>26</v>
      </c>
    </row>
    <row r="329" spans="1:10" ht="12.75" x14ac:dyDescent="0.2">
      <c r="A329" s="1" t="s">
        <v>117</v>
      </c>
      <c r="B329" s="3" t="str">
        <f>HYPERLINK("https://pegadaian.atlassian.net/browse/ITPROJECT-963?atlOrigin=eyJpIjoiYzgwYTQ0ZjEyNzQzNGJhN2JmNjEyZTM0NmRhZWZhNjIiLCJwIjoic2hlZXRzLWppcmEifQ","ITPROJECT-963")</f>
        <v>ITPROJECT-963</v>
      </c>
      <c r="C329" s="1" t="s">
        <v>439</v>
      </c>
      <c r="D329" s="1" t="s">
        <v>17</v>
      </c>
      <c r="E329" s="1" t="s">
        <v>122</v>
      </c>
      <c r="F329" s="1" t="s">
        <v>12</v>
      </c>
      <c r="G329" s="1" t="s">
        <v>72</v>
      </c>
      <c r="H329" s="4">
        <v>44866.638449074075</v>
      </c>
      <c r="I329" s="4">
        <v>45061.163958333331</v>
      </c>
      <c r="J329" s="1" t="s">
        <v>61</v>
      </c>
    </row>
    <row r="330" spans="1:10" ht="12.75" x14ac:dyDescent="0.2">
      <c r="A330" s="1" t="s">
        <v>117</v>
      </c>
      <c r="B330" s="3" t="str">
        <f>HYPERLINK("https://pegadaian.atlassian.net/browse/ITPROJECT-962?atlOrigin=eyJpIjoiYzgwYTQ0ZjEyNzQzNGJhN2JmNjEyZTM0NmRhZWZhNjIiLCJwIjoic2hlZXRzLWppcmEifQ","ITPROJECT-962")</f>
        <v>ITPROJECT-962</v>
      </c>
      <c r="C330" s="1" t="s">
        <v>440</v>
      </c>
      <c r="D330" s="1" t="s">
        <v>112</v>
      </c>
      <c r="E330" s="1" t="s">
        <v>122</v>
      </c>
      <c r="F330" s="1" t="s">
        <v>12</v>
      </c>
      <c r="G330" s="1" t="s">
        <v>213</v>
      </c>
      <c r="H330" s="4">
        <v>44866.472928240742</v>
      </c>
      <c r="I330" s="4">
        <v>45061.163958333331</v>
      </c>
      <c r="J330" s="1" t="s">
        <v>26</v>
      </c>
    </row>
    <row r="331" spans="1:10" ht="12.75" x14ac:dyDescent="0.2">
      <c r="A331" s="1" t="s">
        <v>117</v>
      </c>
      <c r="B331" s="3" t="str">
        <f>HYPERLINK("https://pegadaian.atlassian.net/browse/ITPROJECT-961?atlOrigin=eyJpIjoiYzgwYTQ0ZjEyNzQzNGJhN2JmNjEyZTM0NmRhZWZhNjIiLCJwIjoic2hlZXRzLWppcmEifQ","ITPROJECT-961")</f>
        <v>ITPROJECT-961</v>
      </c>
      <c r="C331" s="1" t="s">
        <v>441</v>
      </c>
      <c r="D331" s="1" t="s">
        <v>46</v>
      </c>
      <c r="E331" s="1" t="s">
        <v>161</v>
      </c>
      <c r="F331" s="1" t="s">
        <v>12</v>
      </c>
      <c r="G331" s="1" t="s">
        <v>68</v>
      </c>
      <c r="H331" s="4">
        <v>44865.642951388887</v>
      </c>
      <c r="I331" s="4">
        <v>45061.163958333331</v>
      </c>
      <c r="J331" s="1" t="s">
        <v>48</v>
      </c>
    </row>
    <row r="332" spans="1:10" ht="12.75" x14ac:dyDescent="0.2">
      <c r="A332" s="1" t="s">
        <v>63</v>
      </c>
      <c r="B332" s="3" t="str">
        <f>HYPERLINK("https://pegadaian.atlassian.net/browse/ITPROJECT-956?atlOrigin=eyJpIjoiYzgwYTQ0ZjEyNzQzNGJhN2JmNjEyZTM0NmRhZWZhNjIiLCJwIjoic2hlZXRzLWppcmEifQ","ITPROJECT-956")</f>
        <v>ITPROJECT-956</v>
      </c>
      <c r="C332" s="1" t="s">
        <v>442</v>
      </c>
      <c r="D332" s="1" t="s">
        <v>75</v>
      </c>
      <c r="E332" s="1" t="s">
        <v>75</v>
      </c>
      <c r="F332" s="1" t="s">
        <v>12</v>
      </c>
      <c r="G332" s="1" t="s">
        <v>13</v>
      </c>
      <c r="H332" s="4">
        <v>44865.405590277776</v>
      </c>
      <c r="I332" s="4">
        <v>45061.163993055554</v>
      </c>
      <c r="J332" s="1" t="s">
        <v>40</v>
      </c>
    </row>
    <row r="333" spans="1:10" ht="12.75" x14ac:dyDescent="0.2">
      <c r="A333" s="1" t="s">
        <v>63</v>
      </c>
      <c r="B333" s="3" t="str">
        <f>HYPERLINK("https://pegadaian.atlassian.net/browse/ITPROJECT-952?atlOrigin=eyJpIjoiYzgwYTQ0ZjEyNzQzNGJhN2JmNjEyZTM0NmRhZWZhNjIiLCJwIjoic2hlZXRzLWppcmEifQ","ITPROJECT-952")</f>
        <v>ITPROJECT-952</v>
      </c>
      <c r="C333" s="1" t="s">
        <v>443</v>
      </c>
      <c r="D333" s="1" t="s">
        <v>65</v>
      </c>
      <c r="E333" s="1" t="s">
        <v>65</v>
      </c>
      <c r="F333" s="1" t="s">
        <v>12</v>
      </c>
      <c r="G333" s="1" t="s">
        <v>13</v>
      </c>
      <c r="H333" s="4">
        <v>44862.433009259257</v>
      </c>
      <c r="I333" s="4">
        <v>45061.164027777777</v>
      </c>
      <c r="J333" s="1" t="s">
        <v>54</v>
      </c>
    </row>
    <row r="334" spans="1:10" ht="12.75" x14ac:dyDescent="0.2">
      <c r="A334" s="1" t="s">
        <v>117</v>
      </c>
      <c r="B334" s="3" t="str">
        <f>HYPERLINK("https://pegadaian.atlassian.net/browse/ITPROJECT-949?atlOrigin=eyJpIjoiYzgwYTQ0ZjEyNzQzNGJhN2JmNjEyZTM0NmRhZWZhNjIiLCJwIjoic2hlZXRzLWppcmEifQ","ITPROJECT-949")</f>
        <v>ITPROJECT-949</v>
      </c>
      <c r="C334" s="1" t="s">
        <v>444</v>
      </c>
      <c r="D334" s="1" t="s">
        <v>71</v>
      </c>
      <c r="E334" s="1" t="s">
        <v>122</v>
      </c>
      <c r="F334" s="1" t="s">
        <v>12</v>
      </c>
      <c r="G334" s="1" t="s">
        <v>72</v>
      </c>
      <c r="H334" s="4">
        <v>44861.499664351853</v>
      </c>
      <c r="I334" s="4">
        <v>45061.1640625</v>
      </c>
      <c r="J334" s="1" t="s">
        <v>60</v>
      </c>
    </row>
    <row r="335" spans="1:10" ht="12.75" x14ac:dyDescent="0.2">
      <c r="A335" s="1" t="s">
        <v>63</v>
      </c>
      <c r="B335" s="3" t="str">
        <f>HYPERLINK("https://pegadaian.atlassian.net/browse/ITPROJECT-948?atlOrigin=eyJpIjoiYzgwYTQ0ZjEyNzQzNGJhN2JmNjEyZTM0NmRhZWZhNjIiLCJwIjoic2hlZXRzLWppcmEifQ","ITPROJECT-948")</f>
        <v>ITPROJECT-948</v>
      </c>
      <c r="C335" s="1" t="s">
        <v>445</v>
      </c>
      <c r="D335" s="1" t="s">
        <v>424</v>
      </c>
      <c r="E335" s="1" t="s">
        <v>424</v>
      </c>
      <c r="F335" s="1" t="s">
        <v>12</v>
      </c>
      <c r="G335" s="1" t="s">
        <v>13</v>
      </c>
      <c r="H335" s="4">
        <v>44860.687557870369</v>
      </c>
      <c r="I335" s="4">
        <v>45061.1640625</v>
      </c>
      <c r="J335" s="1" t="s">
        <v>27</v>
      </c>
    </row>
    <row r="336" spans="1:10" ht="12.75" x14ac:dyDescent="0.2">
      <c r="A336" s="1" t="s">
        <v>117</v>
      </c>
      <c r="B336" s="3" t="str">
        <f>HYPERLINK("https://pegadaian.atlassian.net/browse/ITPROJECT-947?atlOrigin=eyJpIjoiYzgwYTQ0ZjEyNzQzNGJhN2JmNjEyZTM0NmRhZWZhNjIiLCJwIjoic2hlZXRzLWppcmEifQ","ITPROJECT-947")</f>
        <v>ITPROJECT-947</v>
      </c>
      <c r="C336" s="1" t="s">
        <v>446</v>
      </c>
      <c r="D336" s="1" t="s">
        <v>112</v>
      </c>
      <c r="E336" s="1" t="s">
        <v>122</v>
      </c>
      <c r="F336" s="1" t="s">
        <v>12</v>
      </c>
      <c r="G336" s="1" t="s">
        <v>76</v>
      </c>
      <c r="H336" s="4">
        <v>44860.565532407411</v>
      </c>
      <c r="I336" s="4">
        <v>45061.164074074077</v>
      </c>
      <c r="J336" s="1" t="s">
        <v>26</v>
      </c>
    </row>
    <row r="337" spans="1:10" ht="12.75" x14ac:dyDescent="0.2">
      <c r="A337" s="1" t="s">
        <v>117</v>
      </c>
      <c r="B337" s="3" t="str">
        <f>HYPERLINK("https://pegadaian.atlassian.net/browse/ITPROJECT-946?atlOrigin=eyJpIjoiYzgwYTQ0ZjEyNzQzNGJhN2JmNjEyZTM0NmRhZWZhNjIiLCJwIjoic2hlZXRzLWppcmEifQ","ITPROJECT-946")</f>
        <v>ITPROJECT-946</v>
      </c>
      <c r="C337" s="1" t="s">
        <v>447</v>
      </c>
      <c r="D337" s="1" t="s">
        <v>424</v>
      </c>
      <c r="E337" s="1" t="s">
        <v>130</v>
      </c>
      <c r="F337" s="1" t="s">
        <v>12</v>
      </c>
      <c r="G337" s="1" t="s">
        <v>13</v>
      </c>
      <c r="H337" s="4">
        <v>44860.550937499997</v>
      </c>
      <c r="I337" s="4">
        <v>45061.164085648146</v>
      </c>
      <c r="J337" s="1" t="s">
        <v>27</v>
      </c>
    </row>
    <row r="338" spans="1:10" ht="12.75" x14ac:dyDescent="0.2">
      <c r="A338" s="1" t="s">
        <v>63</v>
      </c>
      <c r="B338" s="3" t="str">
        <f>HYPERLINK("https://pegadaian.atlassian.net/browse/ITPROJECT-945?atlOrigin=eyJpIjoiYzgwYTQ0ZjEyNzQzNGJhN2JmNjEyZTM0NmRhZWZhNjIiLCJwIjoic2hlZXRzLWppcmEifQ","ITPROJECT-945")</f>
        <v>ITPROJECT-945</v>
      </c>
      <c r="C338" s="1" t="s">
        <v>448</v>
      </c>
      <c r="D338" s="1" t="s">
        <v>75</v>
      </c>
      <c r="E338" s="1" t="s">
        <v>75</v>
      </c>
      <c r="F338" s="1" t="s">
        <v>12</v>
      </c>
      <c r="G338" s="1" t="s">
        <v>13</v>
      </c>
      <c r="H338" s="4">
        <v>44860.426226851851</v>
      </c>
      <c r="I338" s="4">
        <v>45061.164085648146</v>
      </c>
      <c r="J338" s="1" t="s">
        <v>58</v>
      </c>
    </row>
    <row r="339" spans="1:10" ht="12.75" x14ac:dyDescent="0.2">
      <c r="A339" s="1" t="s">
        <v>63</v>
      </c>
      <c r="B339" s="3" t="str">
        <f>HYPERLINK("https://pegadaian.atlassian.net/browse/ITPROJECT-944?atlOrigin=eyJpIjoiYzgwYTQ0ZjEyNzQzNGJhN2JmNjEyZTM0NmRhZWZhNjIiLCJwIjoic2hlZXRzLWppcmEifQ","ITPROJECT-944")</f>
        <v>ITPROJECT-944</v>
      </c>
      <c r="C339" s="1" t="s">
        <v>449</v>
      </c>
      <c r="D339" s="1" t="s">
        <v>57</v>
      </c>
      <c r="E339" s="1" t="s">
        <v>57</v>
      </c>
      <c r="F339" s="1" t="s">
        <v>12</v>
      </c>
      <c r="G339" s="1" t="s">
        <v>13</v>
      </c>
      <c r="H339" s="4">
        <v>44859.719537037039</v>
      </c>
      <c r="I339" s="4">
        <v>45061.164097222223</v>
      </c>
      <c r="J339" s="1" t="s">
        <v>54</v>
      </c>
    </row>
    <row r="340" spans="1:10" ht="12.75" x14ac:dyDescent="0.2">
      <c r="A340" s="1" t="s">
        <v>63</v>
      </c>
      <c r="B340" s="3" t="str">
        <f>HYPERLINK("https://pegadaian.atlassian.net/browse/ITPROJECT-943?atlOrigin=eyJpIjoiYzgwYTQ0ZjEyNzQzNGJhN2JmNjEyZTM0NmRhZWZhNjIiLCJwIjoic2hlZXRzLWppcmEifQ","ITPROJECT-943")</f>
        <v>ITPROJECT-943</v>
      </c>
      <c r="C340" s="1" t="s">
        <v>450</v>
      </c>
      <c r="D340" s="1" t="s">
        <v>65</v>
      </c>
      <c r="E340" s="1" t="s">
        <v>65</v>
      </c>
      <c r="F340" s="1" t="s">
        <v>12</v>
      </c>
      <c r="G340" s="1" t="s">
        <v>13</v>
      </c>
      <c r="H340" s="4">
        <v>44859.646319444444</v>
      </c>
      <c r="I340" s="4">
        <v>45061.164097222223</v>
      </c>
      <c r="J340" s="1" t="s">
        <v>54</v>
      </c>
    </row>
    <row r="341" spans="1:10" ht="12.75" x14ac:dyDescent="0.2">
      <c r="A341" s="1" t="s">
        <v>117</v>
      </c>
      <c r="B341" s="3" t="str">
        <f>HYPERLINK("https://pegadaian.atlassian.net/browse/ITPROJECT-942?atlOrigin=eyJpIjoiYzgwYTQ0ZjEyNzQzNGJhN2JmNjEyZTM0NmRhZWZhNjIiLCJwIjoic2hlZXRzLWppcmEifQ","ITPROJECT-942")</f>
        <v>ITPROJECT-942</v>
      </c>
      <c r="C341" s="1" t="s">
        <v>451</v>
      </c>
      <c r="D341" s="1" t="s">
        <v>75</v>
      </c>
      <c r="E341" s="1" t="s">
        <v>130</v>
      </c>
      <c r="F341" s="1" t="s">
        <v>12</v>
      </c>
      <c r="G341" s="1" t="s">
        <v>13</v>
      </c>
      <c r="H341" s="4">
        <v>44858.607638888891</v>
      </c>
      <c r="I341" s="4">
        <v>45061.1641087963</v>
      </c>
      <c r="J341" s="1" t="s">
        <v>40</v>
      </c>
    </row>
    <row r="342" spans="1:10" ht="12.75" x14ac:dyDescent="0.2">
      <c r="A342" s="1" t="s">
        <v>63</v>
      </c>
      <c r="B342" s="3" t="str">
        <f>HYPERLINK("https://pegadaian.atlassian.net/browse/ITPROJECT-941?atlOrigin=eyJpIjoiYzgwYTQ0ZjEyNzQzNGJhN2JmNjEyZTM0NmRhZWZhNjIiLCJwIjoic2hlZXRzLWppcmEifQ","ITPROJECT-941")</f>
        <v>ITPROJECT-941</v>
      </c>
      <c r="C342" s="1" t="s">
        <v>452</v>
      </c>
      <c r="D342" s="1" t="s">
        <v>43</v>
      </c>
      <c r="E342" s="1" t="s">
        <v>43</v>
      </c>
      <c r="F342" s="1" t="s">
        <v>12</v>
      </c>
      <c r="G342" s="1" t="s">
        <v>13</v>
      </c>
      <c r="H342" s="4">
        <v>44858.583078703705</v>
      </c>
      <c r="I342" s="4">
        <v>45061.164120370369</v>
      </c>
      <c r="J342" s="1" t="s">
        <v>30</v>
      </c>
    </row>
    <row r="343" spans="1:10" ht="12.75" x14ac:dyDescent="0.2">
      <c r="A343" s="1" t="s">
        <v>63</v>
      </c>
      <c r="B343" s="3" t="str">
        <f>HYPERLINK("https://pegadaian.atlassian.net/browse/ITPROJECT-938?atlOrigin=eyJpIjoiYzgwYTQ0ZjEyNzQzNGJhN2JmNjEyZTM0NmRhZWZhNjIiLCJwIjoic2hlZXRzLWppcmEifQ","ITPROJECT-938")</f>
        <v>ITPROJECT-938</v>
      </c>
      <c r="C343" s="1" t="s">
        <v>453</v>
      </c>
      <c r="D343" s="1" t="s">
        <v>424</v>
      </c>
      <c r="E343" s="1" t="s">
        <v>424</v>
      </c>
      <c r="F343" s="1" t="s">
        <v>12</v>
      </c>
      <c r="G343" s="1" t="s">
        <v>13</v>
      </c>
      <c r="H343" s="4">
        <v>44853.738379629627</v>
      </c>
      <c r="I343" s="4">
        <v>45061.164131944446</v>
      </c>
      <c r="J343" s="1" t="s">
        <v>27</v>
      </c>
    </row>
    <row r="344" spans="1:10" ht="12.75" x14ac:dyDescent="0.2">
      <c r="A344" s="1" t="s">
        <v>63</v>
      </c>
      <c r="B344" s="3" t="str">
        <f>HYPERLINK("https://pegadaian.atlassian.net/browse/ITPROJECT-937?atlOrigin=eyJpIjoiYzgwYTQ0ZjEyNzQzNGJhN2JmNjEyZTM0NmRhZWZhNjIiLCJwIjoic2hlZXRzLWppcmEifQ","ITPROJECT-937")</f>
        <v>ITPROJECT-937</v>
      </c>
      <c r="C344" s="1" t="s">
        <v>454</v>
      </c>
      <c r="D344" s="1" t="s">
        <v>46</v>
      </c>
      <c r="E344" s="1" t="s">
        <v>46</v>
      </c>
      <c r="F344" s="1" t="s">
        <v>12</v>
      </c>
      <c r="G344" s="1" t="s">
        <v>68</v>
      </c>
      <c r="H344" s="4">
        <v>44853.595300925925</v>
      </c>
      <c r="I344" s="4">
        <v>45061.164143518516</v>
      </c>
      <c r="J344" s="1" t="s">
        <v>48</v>
      </c>
    </row>
    <row r="345" spans="1:10" ht="12.75" x14ac:dyDescent="0.2">
      <c r="A345" s="1" t="s">
        <v>117</v>
      </c>
      <c r="B345" s="3" t="str">
        <f>HYPERLINK("https://pegadaian.atlassian.net/browse/ITPROJECT-936?atlOrigin=eyJpIjoiYzgwYTQ0ZjEyNzQzNGJhN2JmNjEyZTM0NmRhZWZhNjIiLCJwIjoic2hlZXRzLWppcmEifQ","ITPROJECT-936")</f>
        <v>ITPROJECT-936</v>
      </c>
      <c r="C345" s="1" t="s">
        <v>455</v>
      </c>
      <c r="D345" s="1" t="s">
        <v>424</v>
      </c>
      <c r="E345" s="1" t="s">
        <v>130</v>
      </c>
      <c r="F345" s="1" t="s">
        <v>12</v>
      </c>
      <c r="G345" s="1" t="s">
        <v>13</v>
      </c>
      <c r="H345" s="4">
        <v>44853.441458333335</v>
      </c>
      <c r="I345" s="4">
        <v>45061.164143518516</v>
      </c>
      <c r="J345" s="1" t="s">
        <v>27</v>
      </c>
    </row>
    <row r="346" spans="1:10" ht="12.75" x14ac:dyDescent="0.2">
      <c r="A346" s="1" t="s">
        <v>63</v>
      </c>
      <c r="B346" s="3" t="str">
        <f>HYPERLINK("https://pegadaian.atlassian.net/browse/ITPROJECT-935?atlOrigin=eyJpIjoiYzgwYTQ0ZjEyNzQzNGJhN2JmNjEyZTM0NmRhZWZhNjIiLCJwIjoic2hlZXRzLWppcmEifQ","ITPROJECT-935")</f>
        <v>ITPROJECT-935</v>
      </c>
      <c r="C346" s="1" t="s">
        <v>456</v>
      </c>
      <c r="D346" s="1" t="s">
        <v>28</v>
      </c>
      <c r="E346" s="1" t="s">
        <v>28</v>
      </c>
      <c r="F346" s="1" t="s">
        <v>12</v>
      </c>
      <c r="G346" s="1" t="s">
        <v>13</v>
      </c>
      <c r="H346" s="4">
        <v>44852.765717592592</v>
      </c>
      <c r="I346" s="4">
        <v>45061.164155092592</v>
      </c>
      <c r="J346" s="1" t="s">
        <v>15</v>
      </c>
    </row>
    <row r="347" spans="1:10" ht="12.75" x14ac:dyDescent="0.2">
      <c r="A347" s="1" t="s">
        <v>117</v>
      </c>
      <c r="B347" s="3" t="str">
        <f>HYPERLINK("https://pegadaian.atlassian.net/browse/ITPROJECT-934?atlOrigin=eyJpIjoiYzgwYTQ0ZjEyNzQzNGJhN2JmNjEyZTM0NmRhZWZhNjIiLCJwIjoic2hlZXRzLWppcmEifQ","ITPROJECT-934")</f>
        <v>ITPROJECT-934</v>
      </c>
      <c r="C347" s="1" t="s">
        <v>457</v>
      </c>
      <c r="D347" s="1" t="s">
        <v>43</v>
      </c>
      <c r="E347" s="1" t="s">
        <v>130</v>
      </c>
      <c r="F347" s="1" t="s">
        <v>12</v>
      </c>
      <c r="G347" s="1" t="s">
        <v>68</v>
      </c>
      <c r="H347" s="4">
        <v>44852.510682870372</v>
      </c>
      <c r="I347" s="4">
        <v>45061.164155092592</v>
      </c>
      <c r="J347" s="1" t="s">
        <v>23</v>
      </c>
    </row>
    <row r="348" spans="1:10" ht="12.75" x14ac:dyDescent="0.2">
      <c r="A348" s="1" t="s">
        <v>117</v>
      </c>
      <c r="B348" s="3" t="str">
        <f>HYPERLINK("https://pegadaian.atlassian.net/browse/ITPROJECT-930?atlOrigin=eyJpIjoiYzgwYTQ0ZjEyNzQzNGJhN2JmNjEyZTM0NmRhZWZhNjIiLCJwIjoic2hlZXRzLWppcmEifQ","ITPROJECT-930")</f>
        <v>ITPROJECT-930</v>
      </c>
      <c r="C348" s="1" t="s">
        <v>458</v>
      </c>
      <c r="D348" s="1" t="s">
        <v>459</v>
      </c>
      <c r="E348" s="1" t="s">
        <v>161</v>
      </c>
      <c r="F348" s="1" t="s">
        <v>12</v>
      </c>
      <c r="G348" s="1" t="s">
        <v>72</v>
      </c>
      <c r="H348" s="4">
        <v>44851.404039351852</v>
      </c>
      <c r="I348" s="4">
        <v>45061.164178240739</v>
      </c>
      <c r="J348" s="1" t="s">
        <v>48</v>
      </c>
    </row>
    <row r="349" spans="1:10" ht="12.75" x14ac:dyDescent="0.2">
      <c r="A349" s="1" t="s">
        <v>63</v>
      </c>
      <c r="B349" s="3" t="str">
        <f>HYPERLINK("https://pegadaian.atlassian.net/browse/ITPROJECT-928?atlOrigin=eyJpIjoiYzgwYTQ0ZjEyNzQzNGJhN2JmNjEyZTM0NmRhZWZhNjIiLCJwIjoic2hlZXRzLWppcmEifQ","ITPROJECT-928")</f>
        <v>ITPROJECT-928</v>
      </c>
      <c r="C349" s="1" t="s">
        <v>460</v>
      </c>
      <c r="D349" s="1" t="s">
        <v>99</v>
      </c>
      <c r="E349" s="1" t="s">
        <v>115</v>
      </c>
      <c r="F349" s="1" t="s">
        <v>12</v>
      </c>
      <c r="G349" s="1" t="s">
        <v>66</v>
      </c>
      <c r="H349" s="4">
        <v>44851.384571759256</v>
      </c>
      <c r="I349" s="4">
        <v>45061.164189814815</v>
      </c>
      <c r="J349" s="1" t="s">
        <v>18</v>
      </c>
    </row>
    <row r="350" spans="1:10" ht="12.75" x14ac:dyDescent="0.2">
      <c r="A350" s="1" t="s">
        <v>63</v>
      </c>
      <c r="B350" s="3" t="str">
        <f>HYPERLINK("https://pegadaian.atlassian.net/browse/ITPROJECT-927?atlOrigin=eyJpIjoiYzgwYTQ0ZjEyNzQzNGJhN2JmNjEyZTM0NmRhZWZhNjIiLCJwIjoic2hlZXRzLWppcmEifQ","ITPROJECT-927")</f>
        <v>ITPROJECT-927</v>
      </c>
      <c r="C350" s="1" t="s">
        <v>461</v>
      </c>
      <c r="D350" s="1" t="s">
        <v>65</v>
      </c>
      <c r="E350" s="1" t="s">
        <v>65</v>
      </c>
      <c r="F350" s="1" t="s">
        <v>12</v>
      </c>
      <c r="G350" s="1" t="s">
        <v>13</v>
      </c>
      <c r="H350" s="4">
        <v>44851.359502314815</v>
      </c>
      <c r="I350" s="4">
        <v>45061.164201388892</v>
      </c>
      <c r="J350" s="1" t="s">
        <v>54</v>
      </c>
    </row>
    <row r="351" spans="1:10" ht="12.75" x14ac:dyDescent="0.2">
      <c r="A351" s="1" t="s">
        <v>117</v>
      </c>
      <c r="B351" s="3" t="str">
        <f>HYPERLINK("https://pegadaian.atlassian.net/browse/ITPROJECT-923?atlOrigin=eyJpIjoiYzgwYTQ0ZjEyNzQzNGJhN2JmNjEyZTM0NmRhZWZhNjIiLCJwIjoic2hlZXRzLWppcmEifQ","ITPROJECT-923")</f>
        <v>ITPROJECT-923</v>
      </c>
      <c r="C351" s="1" t="s">
        <v>462</v>
      </c>
      <c r="D351" s="1" t="s">
        <v>43</v>
      </c>
      <c r="E351" s="1" t="s">
        <v>130</v>
      </c>
      <c r="F351" s="1" t="s">
        <v>12</v>
      </c>
      <c r="G351" s="1" t="s">
        <v>213</v>
      </c>
      <c r="H351" s="4">
        <v>44848.485474537039</v>
      </c>
      <c r="I351" s="4">
        <v>45061.164212962962</v>
      </c>
      <c r="J351" s="1" t="s">
        <v>23</v>
      </c>
    </row>
    <row r="352" spans="1:10" ht="12.75" x14ac:dyDescent="0.2">
      <c r="A352" s="1" t="s">
        <v>63</v>
      </c>
      <c r="B352" s="3" t="str">
        <f>HYPERLINK("https://pegadaian.atlassian.net/browse/ITPROJECT-922?atlOrigin=eyJpIjoiYzgwYTQ0ZjEyNzQzNGJhN2JmNjEyZTM0NmRhZWZhNjIiLCJwIjoic2hlZXRzLWppcmEifQ","ITPROJECT-922")</f>
        <v>ITPROJECT-922</v>
      </c>
      <c r="C352" s="1" t="s">
        <v>463</v>
      </c>
      <c r="D352" s="1" t="s">
        <v>65</v>
      </c>
      <c r="E352" s="1" t="s">
        <v>65</v>
      </c>
      <c r="F352" s="1" t="s">
        <v>12</v>
      </c>
      <c r="G352" s="1" t="s">
        <v>13</v>
      </c>
      <c r="H352" s="4">
        <v>44847.588784722226</v>
      </c>
      <c r="I352" s="4">
        <v>45061.164212962962</v>
      </c>
      <c r="J352" s="1" t="s">
        <v>54</v>
      </c>
    </row>
    <row r="353" spans="1:10" ht="12.75" x14ac:dyDescent="0.2">
      <c r="A353" s="1" t="s">
        <v>117</v>
      </c>
      <c r="B353" s="3" t="str">
        <f>HYPERLINK("https://pegadaian.atlassian.net/browse/ITPROJECT-921?atlOrigin=eyJpIjoiYzgwYTQ0ZjEyNzQzNGJhN2JmNjEyZTM0NmRhZWZhNjIiLCJwIjoic2hlZXRzLWppcmEifQ","ITPROJECT-921")</f>
        <v>ITPROJECT-921</v>
      </c>
      <c r="C353" s="1" t="s">
        <v>464</v>
      </c>
      <c r="D353" s="1" t="s">
        <v>25</v>
      </c>
      <c r="E353" s="1" t="s">
        <v>122</v>
      </c>
      <c r="F353" s="1" t="s">
        <v>12</v>
      </c>
      <c r="G353" s="1" t="s">
        <v>13</v>
      </c>
      <c r="H353" s="4">
        <v>44847.438611111109</v>
      </c>
      <c r="I353" s="4">
        <v>45061.164224537039</v>
      </c>
      <c r="J353" s="1" t="s">
        <v>26</v>
      </c>
    </row>
    <row r="354" spans="1:10" ht="12.75" x14ac:dyDescent="0.2">
      <c r="A354" s="1" t="s">
        <v>117</v>
      </c>
      <c r="B354" s="3" t="str">
        <f>HYPERLINK("https://pegadaian.atlassian.net/browse/ITPROJECT-920?atlOrigin=eyJpIjoiYzgwYTQ0ZjEyNzQzNGJhN2JmNjEyZTM0NmRhZWZhNjIiLCJwIjoic2hlZXRzLWppcmEifQ","ITPROJECT-920")</f>
        <v>ITPROJECT-920</v>
      </c>
      <c r="C354" s="1" t="s">
        <v>465</v>
      </c>
      <c r="D354" s="1" t="s">
        <v>65</v>
      </c>
      <c r="E354" s="1" t="s">
        <v>122</v>
      </c>
      <c r="F354" s="1" t="s">
        <v>12</v>
      </c>
      <c r="G354" s="1" t="s">
        <v>68</v>
      </c>
      <c r="H354" s="4">
        <v>44847.437164351853</v>
      </c>
      <c r="I354" s="4">
        <v>45061.164236111108</v>
      </c>
      <c r="J354" s="1" t="s">
        <v>54</v>
      </c>
    </row>
    <row r="355" spans="1:10" ht="12.75" x14ac:dyDescent="0.2">
      <c r="A355" s="1" t="s">
        <v>117</v>
      </c>
      <c r="B355" s="3" t="str">
        <f>HYPERLINK("https://pegadaian.atlassian.net/browse/ITPROJECT-919?atlOrigin=eyJpIjoiYzgwYTQ0ZjEyNzQzNGJhN2JmNjEyZTM0NmRhZWZhNjIiLCJwIjoic2hlZXRzLWppcmEifQ","ITPROJECT-919")</f>
        <v>ITPROJECT-919</v>
      </c>
      <c r="C355" s="1" t="s">
        <v>466</v>
      </c>
      <c r="D355" s="1" t="s">
        <v>65</v>
      </c>
      <c r="E355" s="1" t="s">
        <v>122</v>
      </c>
      <c r="F355" s="1" t="s">
        <v>12</v>
      </c>
      <c r="G355" s="1" t="s">
        <v>68</v>
      </c>
      <c r="H355" s="4">
        <v>44847.434918981482</v>
      </c>
      <c r="I355" s="4">
        <v>45061.164236111108</v>
      </c>
      <c r="J355" s="1" t="s">
        <v>54</v>
      </c>
    </row>
    <row r="356" spans="1:10" ht="12.75" x14ac:dyDescent="0.2">
      <c r="A356" s="1" t="s">
        <v>117</v>
      </c>
      <c r="B356" s="3" t="str">
        <f>HYPERLINK("https://pegadaian.atlassian.net/browse/ITPROJECT-918?atlOrigin=eyJpIjoiYzgwYTQ0ZjEyNzQzNGJhN2JmNjEyZTM0NmRhZWZhNjIiLCJwIjoic2hlZXRzLWppcmEifQ","ITPROJECT-918")</f>
        <v>ITPROJECT-918</v>
      </c>
      <c r="C356" s="1" t="s">
        <v>467</v>
      </c>
      <c r="D356" s="1" t="s">
        <v>65</v>
      </c>
      <c r="E356" s="1" t="s">
        <v>122</v>
      </c>
      <c r="F356" s="1" t="s">
        <v>12</v>
      </c>
      <c r="G356" s="1" t="s">
        <v>213</v>
      </c>
      <c r="H356" s="4">
        <v>44847.393877314818</v>
      </c>
      <c r="I356" s="4">
        <v>45061.164247685185</v>
      </c>
      <c r="J356" s="1" t="s">
        <v>54</v>
      </c>
    </row>
    <row r="357" spans="1:10" ht="12.75" x14ac:dyDescent="0.2">
      <c r="A357" s="1" t="s">
        <v>63</v>
      </c>
      <c r="B357" s="3" t="str">
        <f>HYPERLINK("https://pegadaian.atlassian.net/browse/ITPROJECT-917?atlOrigin=eyJpIjoiYzgwYTQ0ZjEyNzQzNGJhN2JmNjEyZTM0NmRhZWZhNjIiLCJwIjoic2hlZXRzLWppcmEifQ","ITPROJECT-917")</f>
        <v>ITPROJECT-917</v>
      </c>
      <c r="C357" s="1" t="s">
        <v>468</v>
      </c>
      <c r="D357" s="1" t="s">
        <v>424</v>
      </c>
      <c r="E357" s="1" t="s">
        <v>424</v>
      </c>
      <c r="F357" s="1" t="s">
        <v>12</v>
      </c>
      <c r="G357" s="1" t="s">
        <v>13</v>
      </c>
      <c r="H357" s="4">
        <v>44846.761087962965</v>
      </c>
      <c r="I357" s="4">
        <v>45061.164247685185</v>
      </c>
      <c r="J357" s="1" t="s">
        <v>27</v>
      </c>
    </row>
    <row r="358" spans="1:10" ht="12.75" x14ac:dyDescent="0.2">
      <c r="A358" s="1" t="s">
        <v>63</v>
      </c>
      <c r="B358" s="3" t="str">
        <f>HYPERLINK("https://pegadaian.atlassian.net/browse/ITPROJECT-915?atlOrigin=eyJpIjoiYzgwYTQ0ZjEyNzQzNGJhN2JmNjEyZTM0NmRhZWZhNjIiLCJwIjoic2hlZXRzLWppcmEifQ","ITPROJECT-915")</f>
        <v>ITPROJECT-915</v>
      </c>
      <c r="C358" s="1" t="s">
        <v>469</v>
      </c>
      <c r="D358" s="1" t="s">
        <v>424</v>
      </c>
      <c r="E358" s="1" t="s">
        <v>424</v>
      </c>
      <c r="F358" s="1" t="s">
        <v>12</v>
      </c>
      <c r="G358" s="1" t="s">
        <v>13</v>
      </c>
      <c r="H358" s="4">
        <v>44846.707349537035</v>
      </c>
      <c r="I358" s="4">
        <v>45061.164270833331</v>
      </c>
      <c r="J358" s="1" t="s">
        <v>27</v>
      </c>
    </row>
    <row r="359" spans="1:10" ht="12.75" x14ac:dyDescent="0.2">
      <c r="A359" s="1" t="s">
        <v>63</v>
      </c>
      <c r="B359" s="3" t="str">
        <f>HYPERLINK("https://pegadaian.atlassian.net/browse/ITPROJECT-914?atlOrigin=eyJpIjoiYzgwYTQ0ZjEyNzQzNGJhN2JmNjEyZTM0NmRhZWZhNjIiLCJwIjoic2hlZXRzLWppcmEifQ","ITPROJECT-914")</f>
        <v>ITPROJECT-914</v>
      </c>
      <c r="C359" s="1" t="s">
        <v>470</v>
      </c>
      <c r="D359" s="1" t="s">
        <v>75</v>
      </c>
      <c r="E359" s="1" t="s">
        <v>75</v>
      </c>
      <c r="F359" s="1" t="s">
        <v>12</v>
      </c>
      <c r="G359" s="1" t="s">
        <v>13</v>
      </c>
      <c r="H359" s="4">
        <v>44846.606516203705</v>
      </c>
      <c r="I359" s="4">
        <v>45061.164282407408</v>
      </c>
      <c r="J359" s="1" t="s">
        <v>40</v>
      </c>
    </row>
    <row r="360" spans="1:10" ht="12.75" x14ac:dyDescent="0.2">
      <c r="A360" s="1" t="s">
        <v>117</v>
      </c>
      <c r="B360" s="3" t="str">
        <f>HYPERLINK("https://pegadaian.atlassian.net/browse/ITPROJECT-912?atlOrigin=eyJpIjoiYzgwYTQ0ZjEyNzQzNGJhN2JmNjEyZTM0NmRhZWZhNjIiLCJwIjoic2hlZXRzLWppcmEifQ","ITPROJECT-912")</f>
        <v>ITPROJECT-912</v>
      </c>
      <c r="C360" s="1" t="s">
        <v>471</v>
      </c>
      <c r="D360" s="1" t="s">
        <v>75</v>
      </c>
      <c r="E360" s="1" t="s">
        <v>130</v>
      </c>
      <c r="F360" s="1" t="s">
        <v>12</v>
      </c>
      <c r="G360" s="1" t="s">
        <v>13</v>
      </c>
      <c r="H360" s="4">
        <v>44846.397800925923</v>
      </c>
      <c r="I360" s="4">
        <v>45061.164293981485</v>
      </c>
      <c r="J360" s="1" t="s">
        <v>40</v>
      </c>
    </row>
    <row r="361" spans="1:10" ht="12.75" x14ac:dyDescent="0.2">
      <c r="A361" s="1" t="s">
        <v>117</v>
      </c>
      <c r="B361" s="3" t="str">
        <f>HYPERLINK("https://pegadaian.atlassian.net/browse/ITPROJECT-911?atlOrigin=eyJpIjoiYzgwYTQ0ZjEyNzQzNGJhN2JmNjEyZTM0NmRhZWZhNjIiLCJwIjoic2hlZXRzLWppcmEifQ","ITPROJECT-911")</f>
        <v>ITPROJECT-911</v>
      </c>
      <c r="C361" s="1" t="s">
        <v>472</v>
      </c>
      <c r="D361" s="1" t="s">
        <v>424</v>
      </c>
      <c r="E361" s="1" t="s">
        <v>130</v>
      </c>
      <c r="F361" s="1" t="s">
        <v>12</v>
      </c>
      <c r="G361" s="1" t="s">
        <v>13</v>
      </c>
      <c r="H361" s="4">
        <v>44846.388078703705</v>
      </c>
      <c r="I361" s="4">
        <v>45061.164305555554</v>
      </c>
      <c r="J361" s="1" t="s">
        <v>27</v>
      </c>
    </row>
    <row r="362" spans="1:10" ht="12.75" x14ac:dyDescent="0.2">
      <c r="A362" s="1" t="s">
        <v>117</v>
      </c>
      <c r="B362" s="3" t="str">
        <f>HYPERLINK("https://pegadaian.atlassian.net/browse/ITPROJECT-910?atlOrigin=eyJpIjoiYzgwYTQ0ZjEyNzQzNGJhN2JmNjEyZTM0NmRhZWZhNjIiLCJwIjoic2hlZXRzLWppcmEifQ","ITPROJECT-910")</f>
        <v>ITPROJECT-910</v>
      </c>
      <c r="C362" s="1" t="s">
        <v>473</v>
      </c>
      <c r="D362" s="1" t="s">
        <v>424</v>
      </c>
      <c r="E362" s="1" t="s">
        <v>130</v>
      </c>
      <c r="F362" s="1" t="s">
        <v>12</v>
      </c>
      <c r="G362" s="1" t="s">
        <v>13</v>
      </c>
      <c r="H362" s="4">
        <v>44846.386030092595</v>
      </c>
      <c r="I362" s="4">
        <v>45061.164305555554</v>
      </c>
      <c r="J362" s="1" t="s">
        <v>27</v>
      </c>
    </row>
    <row r="363" spans="1:10" ht="12.75" x14ac:dyDescent="0.2">
      <c r="A363" s="1" t="s">
        <v>63</v>
      </c>
      <c r="B363" s="3" t="str">
        <f>HYPERLINK("https://pegadaian.atlassian.net/browse/ITPROJECT-909?atlOrigin=eyJpIjoiYzgwYTQ0ZjEyNzQzNGJhN2JmNjEyZTM0NmRhZWZhNjIiLCJwIjoic2hlZXRzLWppcmEifQ","ITPROJECT-909")</f>
        <v>ITPROJECT-909</v>
      </c>
      <c r="C363" s="1" t="s">
        <v>474</v>
      </c>
      <c r="D363" s="1" t="s">
        <v>112</v>
      </c>
      <c r="E363" s="1" t="s">
        <v>112</v>
      </c>
      <c r="F363" s="1" t="s">
        <v>12</v>
      </c>
      <c r="G363" s="1" t="s">
        <v>13</v>
      </c>
      <c r="H363" s="4">
        <v>44844.715914351851</v>
      </c>
      <c r="I363" s="4">
        <v>45061.164317129631</v>
      </c>
      <c r="J363" s="1" t="s">
        <v>26</v>
      </c>
    </row>
    <row r="364" spans="1:10" ht="12.75" x14ac:dyDescent="0.2">
      <c r="A364" s="1" t="s">
        <v>117</v>
      </c>
      <c r="B364" s="3" t="str">
        <f>HYPERLINK("https://pegadaian.atlassian.net/browse/ITPROJECT-908?atlOrigin=eyJpIjoiYzgwYTQ0ZjEyNzQzNGJhN2JmNjEyZTM0NmRhZWZhNjIiLCJwIjoic2hlZXRzLWppcmEifQ","ITPROJECT-908")</f>
        <v>ITPROJECT-908</v>
      </c>
      <c r="C364" s="1" t="s">
        <v>464</v>
      </c>
      <c r="D364" s="1" t="s">
        <v>25</v>
      </c>
      <c r="E364" s="1" t="s">
        <v>122</v>
      </c>
      <c r="F364" s="1" t="s">
        <v>12</v>
      </c>
      <c r="G364" s="1" t="s">
        <v>13</v>
      </c>
      <c r="H364" s="4">
        <v>44844.612280092595</v>
      </c>
      <c r="I364" s="4">
        <v>45061.164317129631</v>
      </c>
      <c r="J364" s="1" t="s">
        <v>26</v>
      </c>
    </row>
    <row r="365" spans="1:10" ht="12.75" x14ac:dyDescent="0.2">
      <c r="A365" s="1" t="s">
        <v>63</v>
      </c>
      <c r="B365" s="3" t="str">
        <f>HYPERLINK("https://pegadaian.atlassian.net/browse/ITPROJECT-907?atlOrigin=eyJpIjoiYzgwYTQ0ZjEyNzQzNGJhN2JmNjEyZTM0NmRhZWZhNjIiLCJwIjoic2hlZXRzLWppcmEifQ","ITPROJECT-907")</f>
        <v>ITPROJECT-907</v>
      </c>
      <c r="C365" s="1" t="s">
        <v>475</v>
      </c>
      <c r="D365" s="1" t="s">
        <v>75</v>
      </c>
      <c r="E365" s="1" t="s">
        <v>75</v>
      </c>
      <c r="F365" s="1" t="s">
        <v>12</v>
      </c>
      <c r="G365" s="1" t="s">
        <v>410</v>
      </c>
      <c r="H365" s="4">
        <v>44844.434942129628</v>
      </c>
      <c r="I365" s="4">
        <v>45061.1643287037</v>
      </c>
      <c r="J365" s="1" t="s">
        <v>40</v>
      </c>
    </row>
    <row r="366" spans="1:10" ht="12.75" x14ac:dyDescent="0.2">
      <c r="A366" s="1" t="s">
        <v>63</v>
      </c>
      <c r="B366" s="3" t="str">
        <f>HYPERLINK("https://pegadaian.atlassian.net/browse/ITPROJECT-906?atlOrigin=eyJpIjoiYzgwYTQ0ZjEyNzQzNGJhN2JmNjEyZTM0NmRhZWZhNjIiLCJwIjoic2hlZXRzLWppcmEifQ","ITPROJECT-906")</f>
        <v>ITPROJECT-906</v>
      </c>
      <c r="C366" s="1" t="s">
        <v>476</v>
      </c>
      <c r="D366" s="1" t="s">
        <v>75</v>
      </c>
      <c r="E366" s="1" t="s">
        <v>75</v>
      </c>
      <c r="F366" s="1" t="s">
        <v>12</v>
      </c>
      <c r="G366" s="1" t="s">
        <v>13</v>
      </c>
      <c r="H366" s="4">
        <v>44844.397083333337</v>
      </c>
      <c r="I366" s="4">
        <v>45061.1643287037</v>
      </c>
      <c r="J366" s="1" t="s">
        <v>40</v>
      </c>
    </row>
    <row r="367" spans="1:10" ht="12.75" x14ac:dyDescent="0.2">
      <c r="A367" s="1" t="s">
        <v>63</v>
      </c>
      <c r="B367" s="3" t="str">
        <f>HYPERLINK("https://pegadaian.atlassian.net/browse/ITPROJECT-905?atlOrigin=eyJpIjoiYzgwYTQ0ZjEyNzQzNGJhN2JmNjEyZTM0NmRhZWZhNjIiLCJwIjoic2hlZXRzLWppcmEifQ","ITPROJECT-905")</f>
        <v>ITPROJECT-905</v>
      </c>
      <c r="C367" s="1" t="s">
        <v>477</v>
      </c>
      <c r="D367" s="1" t="s">
        <v>424</v>
      </c>
      <c r="E367" s="1" t="s">
        <v>424</v>
      </c>
      <c r="F367" s="1" t="s">
        <v>12</v>
      </c>
      <c r="G367" s="1" t="s">
        <v>13</v>
      </c>
      <c r="H367" s="4">
        <v>44842.495416666665</v>
      </c>
      <c r="I367" s="4">
        <v>45061.164340277777</v>
      </c>
      <c r="J367" s="1" t="s">
        <v>27</v>
      </c>
    </row>
    <row r="368" spans="1:10" ht="12.75" x14ac:dyDescent="0.2">
      <c r="A368" s="1" t="s">
        <v>117</v>
      </c>
      <c r="B368" s="3" t="str">
        <f>HYPERLINK("https://pegadaian.atlassian.net/browse/ITPROJECT-904?atlOrigin=eyJpIjoiYzgwYTQ0ZjEyNzQzNGJhN2JmNjEyZTM0NmRhZWZhNjIiLCJwIjoic2hlZXRzLWppcmEifQ","ITPROJECT-904")</f>
        <v>ITPROJECT-904</v>
      </c>
      <c r="C368" s="1" t="s">
        <v>478</v>
      </c>
      <c r="D368" s="1" t="s">
        <v>75</v>
      </c>
      <c r="E368" s="1" t="s">
        <v>130</v>
      </c>
      <c r="F368" s="1" t="s">
        <v>12</v>
      </c>
      <c r="G368" s="1" t="s">
        <v>13</v>
      </c>
      <c r="H368" s="4">
        <v>44841.643310185187</v>
      </c>
      <c r="I368" s="4">
        <v>45061.164351851854</v>
      </c>
      <c r="J368" s="1" t="s">
        <v>40</v>
      </c>
    </row>
    <row r="369" spans="1:10" ht="12.75" x14ac:dyDescent="0.2">
      <c r="A369" s="1" t="s">
        <v>117</v>
      </c>
      <c r="B369" s="3" t="str">
        <f>HYPERLINK("https://pegadaian.atlassian.net/browse/ITPROJECT-903?atlOrigin=eyJpIjoiYzgwYTQ0ZjEyNzQzNGJhN2JmNjEyZTM0NmRhZWZhNjIiLCJwIjoic2hlZXRzLWppcmEifQ","ITPROJECT-903")</f>
        <v>ITPROJECT-903</v>
      </c>
      <c r="C369" s="1" t="s">
        <v>479</v>
      </c>
      <c r="D369" s="1" t="s">
        <v>75</v>
      </c>
      <c r="E369" s="1" t="s">
        <v>130</v>
      </c>
      <c r="F369" s="1" t="s">
        <v>12</v>
      </c>
      <c r="G369" s="1" t="s">
        <v>72</v>
      </c>
      <c r="H369" s="4">
        <v>44841.640150462961</v>
      </c>
      <c r="I369" s="4">
        <v>45061.164351851854</v>
      </c>
      <c r="J369" s="1" t="s">
        <v>40</v>
      </c>
    </row>
    <row r="370" spans="1:10" ht="12.75" x14ac:dyDescent="0.2">
      <c r="A370" s="1" t="s">
        <v>63</v>
      </c>
      <c r="B370" s="3" t="str">
        <f>HYPERLINK("https://pegadaian.atlassian.net/browse/ITPROJECT-902?atlOrigin=eyJpIjoiYzgwYTQ0ZjEyNzQzNGJhN2JmNjEyZTM0NmRhZWZhNjIiLCJwIjoic2hlZXRzLWppcmEifQ","ITPROJECT-902")</f>
        <v>ITPROJECT-902</v>
      </c>
      <c r="C370" s="1" t="s">
        <v>480</v>
      </c>
      <c r="D370" s="1" t="s">
        <v>112</v>
      </c>
      <c r="E370" s="1" t="s">
        <v>112</v>
      </c>
      <c r="F370" s="1" t="s">
        <v>12</v>
      </c>
      <c r="G370" s="1" t="s">
        <v>13</v>
      </c>
      <c r="H370" s="4">
        <v>44840.617523148147</v>
      </c>
      <c r="I370" s="4">
        <v>45061.164363425924</v>
      </c>
      <c r="J370" s="1" t="s">
        <v>26</v>
      </c>
    </row>
    <row r="371" spans="1:10" ht="12.75" x14ac:dyDescent="0.2">
      <c r="A371" s="1" t="s">
        <v>117</v>
      </c>
      <c r="B371" s="3" t="str">
        <f>HYPERLINK("https://pegadaian.atlassian.net/browse/ITPROJECT-901?atlOrigin=eyJpIjoiYzgwYTQ0ZjEyNzQzNGJhN2JmNjEyZTM0NmRhZWZhNjIiLCJwIjoic2hlZXRzLWppcmEifQ","ITPROJECT-901")</f>
        <v>ITPROJECT-901</v>
      </c>
      <c r="C371" s="1" t="s">
        <v>481</v>
      </c>
      <c r="D371" s="1" t="s">
        <v>65</v>
      </c>
      <c r="E371" s="1" t="s">
        <v>122</v>
      </c>
      <c r="F371" s="1" t="s">
        <v>12</v>
      </c>
      <c r="G371" s="1" t="s">
        <v>13</v>
      </c>
      <c r="H371" s="4">
        <v>44840.614317129628</v>
      </c>
      <c r="I371" s="4">
        <v>45061.164363425924</v>
      </c>
      <c r="J371" s="1" t="s">
        <v>54</v>
      </c>
    </row>
    <row r="372" spans="1:10" ht="12.75" x14ac:dyDescent="0.2">
      <c r="A372" s="1" t="s">
        <v>117</v>
      </c>
      <c r="B372" s="3" t="str">
        <f>HYPERLINK("https://pegadaian.atlassian.net/browse/ITPROJECT-900?atlOrigin=eyJpIjoiYzgwYTQ0ZjEyNzQzNGJhN2JmNjEyZTM0NmRhZWZhNjIiLCJwIjoic2hlZXRzLWppcmEifQ","ITPROJECT-900")</f>
        <v>ITPROJECT-900</v>
      </c>
      <c r="C372" s="1" t="s">
        <v>482</v>
      </c>
      <c r="D372" s="1" t="s">
        <v>31</v>
      </c>
      <c r="E372" s="1" t="s">
        <v>122</v>
      </c>
      <c r="F372" s="1" t="s">
        <v>12</v>
      </c>
      <c r="G372" s="1" t="s">
        <v>66</v>
      </c>
      <c r="H372" s="4">
        <v>44840.603831018518</v>
      </c>
      <c r="I372" s="4">
        <v>45061.164375</v>
      </c>
      <c r="J372" s="1" t="s">
        <v>18</v>
      </c>
    </row>
    <row r="373" spans="1:10" ht="12.75" x14ac:dyDescent="0.2">
      <c r="A373" s="1" t="s">
        <v>63</v>
      </c>
      <c r="B373" s="3" t="str">
        <f>HYPERLINK("https://pegadaian.atlassian.net/browse/ITPROJECT-899?atlOrigin=eyJpIjoiYzgwYTQ0ZjEyNzQzNGJhN2JmNjEyZTM0NmRhZWZhNjIiLCJwIjoic2hlZXRzLWppcmEifQ","ITPROJECT-899")</f>
        <v>ITPROJECT-899</v>
      </c>
      <c r="C373" s="1" t="s">
        <v>483</v>
      </c>
      <c r="D373" s="1" t="s">
        <v>71</v>
      </c>
      <c r="E373" s="1" t="s">
        <v>71</v>
      </c>
      <c r="F373" s="1" t="s">
        <v>12</v>
      </c>
      <c r="G373" s="1" t="s">
        <v>13</v>
      </c>
      <c r="H373" s="4">
        <v>44840.507210648146</v>
      </c>
      <c r="I373" s="4">
        <v>45061.164386574077</v>
      </c>
      <c r="J373" s="1" t="s">
        <v>60</v>
      </c>
    </row>
    <row r="374" spans="1:10" ht="12.75" x14ac:dyDescent="0.2">
      <c r="A374" s="1" t="s">
        <v>117</v>
      </c>
      <c r="B374" s="3" t="str">
        <f>HYPERLINK("https://pegadaian.atlassian.net/browse/ITPROJECT-897?atlOrigin=eyJpIjoiYzgwYTQ0ZjEyNzQzNGJhN2JmNjEyZTM0NmRhZWZhNjIiLCJwIjoic2hlZXRzLWppcmEifQ","ITPROJECT-897")</f>
        <v>ITPROJECT-897</v>
      </c>
      <c r="C374" s="1" t="s">
        <v>484</v>
      </c>
      <c r="D374" s="1" t="s">
        <v>112</v>
      </c>
      <c r="E374" s="1" t="s">
        <v>122</v>
      </c>
      <c r="F374" s="1" t="s">
        <v>12</v>
      </c>
      <c r="G374" s="1" t="s">
        <v>13</v>
      </c>
      <c r="H374" s="4">
        <v>44839.432060185187</v>
      </c>
      <c r="I374" s="4">
        <v>45061.164398148147</v>
      </c>
      <c r="J374" s="1" t="s">
        <v>26</v>
      </c>
    </row>
    <row r="375" spans="1:10" ht="12.75" x14ac:dyDescent="0.2">
      <c r="A375" s="1" t="s">
        <v>117</v>
      </c>
      <c r="B375" s="3" t="str">
        <f>HYPERLINK("https://pegadaian.atlassian.net/browse/ITPROJECT-895?atlOrigin=eyJpIjoiYzgwYTQ0ZjEyNzQzNGJhN2JmNjEyZTM0NmRhZWZhNjIiLCJwIjoic2hlZXRzLWppcmEifQ","ITPROJECT-895")</f>
        <v>ITPROJECT-895</v>
      </c>
      <c r="C375" s="1" t="s">
        <v>485</v>
      </c>
      <c r="D375" s="1" t="s">
        <v>112</v>
      </c>
      <c r="E375" s="1" t="s">
        <v>122</v>
      </c>
      <c r="F375" s="1" t="s">
        <v>12</v>
      </c>
      <c r="G375" s="1" t="s">
        <v>13</v>
      </c>
      <c r="H375" s="4">
        <v>44838.577650462961</v>
      </c>
      <c r="I375" s="4">
        <v>45061.164409722223</v>
      </c>
      <c r="J375" s="1" t="s">
        <v>26</v>
      </c>
    </row>
    <row r="376" spans="1:10" ht="12.75" x14ac:dyDescent="0.2">
      <c r="A376" s="1" t="s">
        <v>117</v>
      </c>
      <c r="B376" s="3" t="str">
        <f>HYPERLINK("https://pegadaian.atlassian.net/browse/ITPROJECT-894?atlOrigin=eyJpIjoiYzgwYTQ0ZjEyNzQzNGJhN2JmNjEyZTM0NmRhZWZhNjIiLCJwIjoic2hlZXRzLWppcmEifQ","ITPROJECT-894")</f>
        <v>ITPROJECT-894</v>
      </c>
      <c r="C376" s="1" t="s">
        <v>486</v>
      </c>
      <c r="D376" s="1" t="s">
        <v>44</v>
      </c>
      <c r="E376" s="1" t="s">
        <v>161</v>
      </c>
      <c r="F376" s="1" t="s">
        <v>12</v>
      </c>
      <c r="G376" s="1" t="s">
        <v>120</v>
      </c>
      <c r="H376" s="4">
        <v>44837.722395833334</v>
      </c>
      <c r="I376" s="4">
        <v>45061.164421296293</v>
      </c>
      <c r="J376" s="1" t="s">
        <v>487</v>
      </c>
    </row>
    <row r="377" spans="1:10" ht="12.75" x14ac:dyDescent="0.2">
      <c r="A377" s="1" t="s">
        <v>117</v>
      </c>
      <c r="B377" s="3" t="str">
        <f>HYPERLINK("https://pegadaian.atlassian.net/browse/ITPROJECT-893?atlOrigin=eyJpIjoiYzgwYTQ0ZjEyNzQzNGJhN2JmNjEyZTM0NmRhZWZhNjIiLCJwIjoic2hlZXRzLWppcmEifQ","ITPROJECT-893")</f>
        <v>ITPROJECT-893</v>
      </c>
      <c r="C377" s="1" t="s">
        <v>488</v>
      </c>
      <c r="D377" s="1" t="s">
        <v>65</v>
      </c>
      <c r="E377" s="1" t="s">
        <v>161</v>
      </c>
      <c r="F377" s="1" t="s">
        <v>12</v>
      </c>
      <c r="G377" s="1" t="s">
        <v>13</v>
      </c>
      <c r="H377" s="4">
        <v>44837.635636574072</v>
      </c>
      <c r="I377" s="4">
        <v>45061.164421296293</v>
      </c>
      <c r="J377" s="1" t="s">
        <v>54</v>
      </c>
    </row>
    <row r="378" spans="1:10" ht="12.75" x14ac:dyDescent="0.2">
      <c r="A378" s="1" t="s">
        <v>63</v>
      </c>
      <c r="B378" s="3" t="str">
        <f>HYPERLINK("https://pegadaian.atlassian.net/browse/ITPROJECT-889?atlOrigin=eyJpIjoiYzgwYTQ0ZjEyNzQzNGJhN2JmNjEyZTM0NmRhZWZhNjIiLCJwIjoic2hlZXRzLWppcmEifQ","ITPROJECT-889")</f>
        <v>ITPROJECT-889</v>
      </c>
      <c r="C378" s="1" t="s">
        <v>489</v>
      </c>
      <c r="D378" s="1" t="s">
        <v>75</v>
      </c>
      <c r="E378" s="1" t="s">
        <v>75</v>
      </c>
      <c r="F378" s="1" t="s">
        <v>12</v>
      </c>
      <c r="G378" s="1" t="s">
        <v>72</v>
      </c>
      <c r="H378" s="4">
        <v>44834.660428240742</v>
      </c>
      <c r="I378" s="4">
        <v>45061.164456018516</v>
      </c>
      <c r="J378" s="1" t="s">
        <v>40</v>
      </c>
    </row>
    <row r="379" spans="1:10" ht="12.75" x14ac:dyDescent="0.2">
      <c r="A379" s="1" t="s">
        <v>117</v>
      </c>
      <c r="B379" s="3" t="str">
        <f>HYPERLINK("https://pegadaian.atlassian.net/browse/ITPROJECT-886?atlOrigin=eyJpIjoiYzgwYTQ0ZjEyNzQzNGJhN2JmNjEyZTM0NmRhZWZhNjIiLCJwIjoic2hlZXRzLWppcmEifQ","ITPROJECT-886")</f>
        <v>ITPROJECT-886</v>
      </c>
      <c r="C379" s="1" t="s">
        <v>490</v>
      </c>
      <c r="D379" s="1" t="s">
        <v>75</v>
      </c>
      <c r="E379" s="1" t="s">
        <v>130</v>
      </c>
      <c r="F379" s="1" t="s">
        <v>12</v>
      </c>
      <c r="G379" s="1" t="s">
        <v>72</v>
      </c>
      <c r="H379" s="4">
        <v>44834.440567129626</v>
      </c>
      <c r="I379" s="4">
        <v>45061.164479166669</v>
      </c>
      <c r="J379" s="1" t="s">
        <v>40</v>
      </c>
    </row>
    <row r="380" spans="1:10" ht="12.75" x14ac:dyDescent="0.2">
      <c r="A380" s="1" t="s">
        <v>117</v>
      </c>
      <c r="B380" s="3" t="str">
        <f>HYPERLINK("https://pegadaian.atlassian.net/browse/ITPROJECT-885?atlOrigin=eyJpIjoiYzgwYTQ0ZjEyNzQzNGJhN2JmNjEyZTM0NmRhZWZhNjIiLCJwIjoic2hlZXRzLWppcmEifQ","ITPROJECT-885")</f>
        <v>ITPROJECT-885</v>
      </c>
      <c r="C380" s="1" t="s">
        <v>491</v>
      </c>
      <c r="D380" s="1" t="s">
        <v>43</v>
      </c>
      <c r="E380" s="1" t="s">
        <v>130</v>
      </c>
      <c r="F380" s="1" t="s">
        <v>12</v>
      </c>
      <c r="G380" s="1" t="s">
        <v>68</v>
      </c>
      <c r="H380" s="4">
        <v>44834.437164351853</v>
      </c>
      <c r="I380" s="4">
        <v>45061.164479166669</v>
      </c>
      <c r="J380" s="1" t="s">
        <v>30</v>
      </c>
    </row>
    <row r="381" spans="1:10" ht="12.75" x14ac:dyDescent="0.2">
      <c r="A381" s="1" t="s">
        <v>117</v>
      </c>
      <c r="B381" s="3" t="str">
        <f>HYPERLINK("https://pegadaian.atlassian.net/browse/ITPROJECT-884?atlOrigin=eyJpIjoiYzgwYTQ0ZjEyNzQzNGJhN2JmNjEyZTM0NmRhZWZhNjIiLCJwIjoic2hlZXRzLWppcmEifQ","ITPROJECT-884")</f>
        <v>ITPROJECT-884</v>
      </c>
      <c r="C381" s="1" t="s">
        <v>492</v>
      </c>
      <c r="D381" s="1" t="s">
        <v>43</v>
      </c>
      <c r="E381" s="1" t="s">
        <v>130</v>
      </c>
      <c r="F381" s="1" t="s">
        <v>12</v>
      </c>
      <c r="G381" s="1" t="s">
        <v>13</v>
      </c>
      <c r="H381" s="4">
        <v>44834.435949074075</v>
      </c>
      <c r="I381" s="4">
        <v>45061.164490740739</v>
      </c>
      <c r="J381" s="1" t="s">
        <v>30</v>
      </c>
    </row>
    <row r="382" spans="1:10" ht="12.75" x14ac:dyDescent="0.2">
      <c r="A382" s="1" t="s">
        <v>117</v>
      </c>
      <c r="B382" s="3" t="str">
        <f>HYPERLINK("https://pegadaian.atlassian.net/browse/ITPROJECT-883?atlOrigin=eyJpIjoiYzgwYTQ0ZjEyNzQzNGJhN2JmNjEyZTM0NmRhZWZhNjIiLCJwIjoic2hlZXRzLWppcmEifQ","ITPROJECT-883")</f>
        <v>ITPROJECT-883</v>
      </c>
      <c r="C382" s="1" t="s">
        <v>493</v>
      </c>
      <c r="D382" s="1" t="s">
        <v>112</v>
      </c>
      <c r="E382" s="1" t="s">
        <v>122</v>
      </c>
      <c r="F382" s="1" t="s">
        <v>12</v>
      </c>
      <c r="G382" s="1" t="s">
        <v>13</v>
      </c>
      <c r="H382" s="4">
        <v>44833.451863425929</v>
      </c>
      <c r="I382" s="4">
        <v>45061.164490740739</v>
      </c>
      <c r="J382" s="1" t="s">
        <v>26</v>
      </c>
    </row>
    <row r="383" spans="1:10" ht="12.75" x14ac:dyDescent="0.2">
      <c r="A383" s="1" t="s">
        <v>63</v>
      </c>
      <c r="B383" s="3" t="str">
        <f>HYPERLINK("https://pegadaian.atlassian.net/browse/ITPROJECT-881?atlOrigin=eyJpIjoiYzgwYTQ0ZjEyNzQzNGJhN2JmNjEyZTM0NmRhZWZhNjIiLCJwIjoic2hlZXRzLWppcmEifQ","ITPROJECT-881")</f>
        <v>ITPROJECT-881</v>
      </c>
      <c r="C383" s="1" t="s">
        <v>494</v>
      </c>
      <c r="D383" s="1" t="s">
        <v>65</v>
      </c>
      <c r="E383" s="1" t="s">
        <v>65</v>
      </c>
      <c r="F383" s="1" t="s">
        <v>12</v>
      </c>
      <c r="G383" s="1" t="s">
        <v>13</v>
      </c>
      <c r="H383" s="4">
        <v>44833.406805555554</v>
      </c>
      <c r="I383" s="4">
        <v>45061.164502314816</v>
      </c>
      <c r="J383" s="1" t="s">
        <v>54</v>
      </c>
    </row>
    <row r="384" spans="1:10" ht="12.75" x14ac:dyDescent="0.2">
      <c r="A384" s="1" t="s">
        <v>63</v>
      </c>
      <c r="B384" s="3" t="str">
        <f>HYPERLINK("https://pegadaian.atlassian.net/browse/ITPROJECT-876?atlOrigin=eyJpIjoiYzgwYTQ0ZjEyNzQzNGJhN2JmNjEyZTM0NmRhZWZhNjIiLCJwIjoic2hlZXRzLWppcmEifQ","ITPROJECT-876")</f>
        <v>ITPROJECT-876</v>
      </c>
      <c r="C384" s="1" t="s">
        <v>495</v>
      </c>
      <c r="D384" s="1" t="s">
        <v>65</v>
      </c>
      <c r="E384" s="1" t="s">
        <v>65</v>
      </c>
      <c r="F384" s="1" t="s">
        <v>12</v>
      </c>
      <c r="G384" s="1" t="s">
        <v>13</v>
      </c>
      <c r="H384" s="4">
        <v>44830.633136574077</v>
      </c>
      <c r="I384" s="4">
        <v>45061.164548611108</v>
      </c>
      <c r="J384" s="1" t="s">
        <v>87</v>
      </c>
    </row>
    <row r="385" spans="1:10" ht="12.75" x14ac:dyDescent="0.2">
      <c r="A385" s="1" t="s">
        <v>63</v>
      </c>
      <c r="B385" s="3" t="str">
        <f>HYPERLINK("https://pegadaian.atlassian.net/browse/ITPROJECT-871?atlOrigin=eyJpIjoiYzgwYTQ0ZjEyNzQzNGJhN2JmNjEyZTM0NmRhZWZhNjIiLCJwIjoic2hlZXRzLWppcmEifQ","ITPROJECT-871")</f>
        <v>ITPROJECT-871</v>
      </c>
      <c r="C385" s="1" t="s">
        <v>496</v>
      </c>
      <c r="D385" s="1" t="s">
        <v>75</v>
      </c>
      <c r="E385" s="1" t="s">
        <v>75</v>
      </c>
      <c r="F385" s="1" t="s">
        <v>12</v>
      </c>
      <c r="G385" s="1" t="s">
        <v>76</v>
      </c>
      <c r="H385" s="4">
        <v>44827.745300925926</v>
      </c>
      <c r="I385" s="4">
        <v>45061.164560185185</v>
      </c>
      <c r="J385" s="1" t="s">
        <v>40</v>
      </c>
    </row>
    <row r="386" spans="1:10" ht="12.75" x14ac:dyDescent="0.2">
      <c r="A386" s="1" t="s">
        <v>63</v>
      </c>
      <c r="B386" s="3" t="str">
        <f>HYPERLINK("https://pegadaian.atlassian.net/browse/ITPROJECT-869?atlOrigin=eyJpIjoiYzgwYTQ0ZjEyNzQzNGJhN2JmNjEyZTM0NmRhZWZhNjIiLCJwIjoic2hlZXRzLWppcmEifQ","ITPROJECT-869")</f>
        <v>ITPROJECT-869</v>
      </c>
      <c r="C386" s="1" t="s">
        <v>497</v>
      </c>
      <c r="D386" s="1" t="s">
        <v>99</v>
      </c>
      <c r="E386" s="1" t="s">
        <v>99</v>
      </c>
      <c r="F386" s="1" t="s">
        <v>12</v>
      </c>
      <c r="G386" s="1" t="s">
        <v>89</v>
      </c>
      <c r="H386" s="4">
        <v>44826.689791666664</v>
      </c>
      <c r="I386" s="4">
        <v>45061.164571759262</v>
      </c>
      <c r="J386" s="1" t="s">
        <v>285</v>
      </c>
    </row>
    <row r="387" spans="1:10" ht="12.75" x14ac:dyDescent="0.2">
      <c r="A387" s="1" t="s">
        <v>117</v>
      </c>
      <c r="B387" s="3" t="str">
        <f>HYPERLINK("https://pegadaian.atlassian.net/browse/ITPROJECT-863?atlOrigin=eyJpIjoiYzgwYTQ0ZjEyNzQzNGJhN2JmNjEyZTM0NmRhZWZhNjIiLCJwIjoic2hlZXRzLWppcmEifQ","ITPROJECT-863")</f>
        <v>ITPROJECT-863</v>
      </c>
      <c r="C387" s="1" t="s">
        <v>498</v>
      </c>
      <c r="D387" s="1" t="s">
        <v>75</v>
      </c>
      <c r="E387" s="1" t="s">
        <v>130</v>
      </c>
      <c r="F387" s="1" t="s">
        <v>12</v>
      </c>
      <c r="G387" s="1" t="s">
        <v>76</v>
      </c>
      <c r="H387" s="4">
        <v>44826.42150462963</v>
      </c>
      <c r="I387" s="4">
        <v>45061.164618055554</v>
      </c>
      <c r="J387" s="1" t="s">
        <v>40</v>
      </c>
    </row>
    <row r="388" spans="1:10" ht="12.75" x14ac:dyDescent="0.2">
      <c r="A388" s="1" t="s">
        <v>117</v>
      </c>
      <c r="B388" s="3" t="str">
        <f>HYPERLINK("https://pegadaian.atlassian.net/browse/ITPROJECT-862?atlOrigin=eyJpIjoiYzgwYTQ0ZjEyNzQzNGJhN2JmNjEyZTM0NmRhZWZhNjIiLCJwIjoic2hlZXRzLWppcmEifQ","ITPROJECT-862")</f>
        <v>ITPROJECT-862</v>
      </c>
      <c r="C388" s="1" t="s">
        <v>499</v>
      </c>
      <c r="D388" s="1" t="s">
        <v>24</v>
      </c>
      <c r="E388" s="1" t="s">
        <v>130</v>
      </c>
      <c r="F388" s="1" t="s">
        <v>12</v>
      </c>
      <c r="G388" s="1" t="s">
        <v>76</v>
      </c>
      <c r="H388" s="4">
        <v>44825.847800925927</v>
      </c>
      <c r="I388" s="4">
        <v>45061.164618055554</v>
      </c>
      <c r="J388" s="1" t="s">
        <v>32</v>
      </c>
    </row>
    <row r="389" spans="1:10" ht="12.75" x14ac:dyDescent="0.2">
      <c r="A389" s="1" t="s">
        <v>63</v>
      </c>
      <c r="B389" s="3" t="str">
        <f>HYPERLINK("https://pegadaian.atlassian.net/browse/ITPROJECT-856?atlOrigin=eyJpIjoiYzgwYTQ0ZjEyNzQzNGJhN2JmNjEyZTM0NmRhZWZhNjIiLCJwIjoic2hlZXRzLWppcmEifQ","ITPROJECT-856")</f>
        <v>ITPROJECT-856</v>
      </c>
      <c r="C389" s="1" t="s">
        <v>500</v>
      </c>
      <c r="D389" s="1" t="s">
        <v>115</v>
      </c>
      <c r="E389" s="1" t="s">
        <v>115</v>
      </c>
      <c r="F389" s="1" t="s">
        <v>12</v>
      </c>
      <c r="G389" s="1" t="s">
        <v>13</v>
      </c>
      <c r="H389" s="4">
        <v>44823.682025462964</v>
      </c>
      <c r="I389" s="4">
        <v>45061.164664351854</v>
      </c>
      <c r="J389" s="1" t="s">
        <v>18</v>
      </c>
    </row>
    <row r="390" spans="1:10" ht="12.75" x14ac:dyDescent="0.2">
      <c r="A390" s="1" t="s">
        <v>63</v>
      </c>
      <c r="B390" s="3" t="str">
        <f>HYPERLINK("https://pegadaian.atlassian.net/browse/ITPROJECT-855?atlOrigin=eyJpIjoiYzgwYTQ0ZjEyNzQzNGJhN2JmNjEyZTM0NmRhZWZhNjIiLCJwIjoic2hlZXRzLWppcmEifQ","ITPROJECT-855")</f>
        <v>ITPROJECT-855</v>
      </c>
      <c r="C390" s="1" t="s">
        <v>501</v>
      </c>
      <c r="D390" s="1" t="s">
        <v>75</v>
      </c>
      <c r="E390" s="1" t="s">
        <v>75</v>
      </c>
      <c r="F390" s="1" t="s">
        <v>12</v>
      </c>
      <c r="G390" s="1" t="s">
        <v>13</v>
      </c>
      <c r="H390" s="4">
        <v>44823.617685185185</v>
      </c>
      <c r="I390" s="4">
        <v>45061.164675925924</v>
      </c>
      <c r="J390" s="1" t="s">
        <v>502</v>
      </c>
    </row>
    <row r="391" spans="1:10" ht="12.75" x14ac:dyDescent="0.2">
      <c r="A391" s="1" t="s">
        <v>117</v>
      </c>
      <c r="B391" s="3" t="str">
        <f>HYPERLINK("https://pegadaian.atlassian.net/browse/ITPROJECT-852?atlOrigin=eyJpIjoiYzgwYTQ0ZjEyNzQzNGJhN2JmNjEyZTM0NmRhZWZhNjIiLCJwIjoic2hlZXRzLWppcmEifQ","ITPROJECT-852")</f>
        <v>ITPROJECT-852</v>
      </c>
      <c r="C391" s="1" t="s">
        <v>503</v>
      </c>
      <c r="D391" s="1" t="s">
        <v>424</v>
      </c>
      <c r="E391" s="1" t="s">
        <v>130</v>
      </c>
      <c r="F391" s="1" t="s">
        <v>12</v>
      </c>
      <c r="G391" s="1" t="s">
        <v>13</v>
      </c>
      <c r="H391" s="4">
        <v>44820.613888888889</v>
      </c>
      <c r="I391" s="4">
        <v>45061.164687500001</v>
      </c>
      <c r="J391" s="1" t="s">
        <v>27</v>
      </c>
    </row>
    <row r="392" spans="1:10" ht="12.75" x14ac:dyDescent="0.2">
      <c r="A392" s="1" t="s">
        <v>117</v>
      </c>
      <c r="B392" s="3" t="str">
        <f>HYPERLINK("https://pegadaian.atlassian.net/browse/ITPROJECT-848?atlOrigin=eyJpIjoiYzgwYTQ0ZjEyNzQzNGJhN2JmNjEyZTM0NmRhZWZhNjIiLCJwIjoic2hlZXRzLWppcmEifQ","ITPROJECT-848")</f>
        <v>ITPROJECT-848</v>
      </c>
      <c r="C392" s="1" t="s">
        <v>504</v>
      </c>
      <c r="D392" s="1" t="s">
        <v>57</v>
      </c>
      <c r="E392" s="1" t="s">
        <v>161</v>
      </c>
      <c r="F392" s="1" t="s">
        <v>12</v>
      </c>
      <c r="G392" s="1" t="s">
        <v>13</v>
      </c>
      <c r="H392" s="4">
        <v>44820.494328703702</v>
      </c>
      <c r="I392" s="4">
        <v>45061.164722222224</v>
      </c>
      <c r="J392" s="1" t="s">
        <v>87</v>
      </c>
    </row>
    <row r="393" spans="1:10" ht="12.75" x14ac:dyDescent="0.2">
      <c r="A393" s="1" t="s">
        <v>117</v>
      </c>
      <c r="B393" s="3" t="str">
        <f>HYPERLINK("https://pegadaian.atlassian.net/browse/ITPROJECT-844?atlOrigin=eyJpIjoiYzgwYTQ0ZjEyNzQzNGJhN2JmNjEyZTM0NmRhZWZhNjIiLCJwIjoic2hlZXRzLWppcmEifQ","ITPROJECT-844")</f>
        <v>ITPROJECT-844</v>
      </c>
      <c r="C393" s="1" t="s">
        <v>505</v>
      </c>
      <c r="D393" s="1" t="s">
        <v>56</v>
      </c>
      <c r="E393" s="1" t="s">
        <v>506</v>
      </c>
      <c r="F393" s="1" t="s">
        <v>12</v>
      </c>
      <c r="G393" s="1" t="s">
        <v>13</v>
      </c>
      <c r="H393" s="4">
        <v>44820.376481481479</v>
      </c>
      <c r="I393" s="4">
        <v>45061.16474537037</v>
      </c>
      <c r="J393" s="1" t="s">
        <v>11</v>
      </c>
    </row>
    <row r="394" spans="1:10" ht="12.75" x14ac:dyDescent="0.2">
      <c r="A394" s="1" t="s">
        <v>63</v>
      </c>
      <c r="B394" s="3" t="str">
        <f>HYPERLINK("https://pegadaian.atlassian.net/browse/ITPROJECT-843?atlOrigin=eyJpIjoiYzgwYTQ0ZjEyNzQzNGJhN2JmNjEyZTM0NmRhZWZhNjIiLCJwIjoic2hlZXRzLWppcmEifQ","ITPROJECT-843")</f>
        <v>ITPROJECT-843</v>
      </c>
      <c r="C394" s="1" t="s">
        <v>507</v>
      </c>
      <c r="D394" s="1" t="s">
        <v>424</v>
      </c>
      <c r="E394" s="1" t="s">
        <v>424</v>
      </c>
      <c r="F394" s="1" t="s">
        <v>12</v>
      </c>
      <c r="G394" s="1" t="s">
        <v>13</v>
      </c>
      <c r="H394" s="4">
        <v>44819.718935185185</v>
      </c>
      <c r="I394" s="4">
        <v>45061.164756944447</v>
      </c>
      <c r="J394" s="1" t="s">
        <v>27</v>
      </c>
    </row>
    <row r="395" spans="1:10" ht="12.75" x14ac:dyDescent="0.2">
      <c r="A395" s="1" t="s">
        <v>117</v>
      </c>
      <c r="B395" s="3" t="str">
        <f>HYPERLINK("https://pegadaian.atlassian.net/browse/ITPROJECT-839?atlOrigin=eyJpIjoiYzgwYTQ0ZjEyNzQzNGJhN2JmNjEyZTM0NmRhZWZhNjIiLCJwIjoic2hlZXRzLWppcmEifQ","ITPROJECT-839")</f>
        <v>ITPROJECT-839</v>
      </c>
      <c r="C395" s="1" t="s">
        <v>508</v>
      </c>
      <c r="D395" s="1" t="s">
        <v>46</v>
      </c>
      <c r="E395" s="1" t="s">
        <v>506</v>
      </c>
      <c r="F395" s="1" t="s">
        <v>12</v>
      </c>
      <c r="G395" s="1" t="s">
        <v>120</v>
      </c>
      <c r="H395" s="4">
        <v>44817.60328703704</v>
      </c>
      <c r="I395" s="4">
        <v>45061.164780092593</v>
      </c>
      <c r="J395" s="1" t="s">
        <v>48</v>
      </c>
    </row>
    <row r="396" spans="1:10" ht="12.75" x14ac:dyDescent="0.2">
      <c r="A396" s="1" t="s">
        <v>63</v>
      </c>
      <c r="B396" s="3" t="str">
        <f>HYPERLINK("https://pegadaian.atlassian.net/browse/ITPROJECT-838?atlOrigin=eyJpIjoiYzgwYTQ0ZjEyNzQzNGJhN2JmNjEyZTM0NmRhZWZhNjIiLCJwIjoic2hlZXRzLWppcmEifQ","ITPROJECT-838")</f>
        <v>ITPROJECT-838</v>
      </c>
      <c r="C396" s="1" t="s">
        <v>509</v>
      </c>
      <c r="D396" s="1" t="s">
        <v>44</v>
      </c>
      <c r="E396" s="1" t="s">
        <v>44</v>
      </c>
      <c r="F396" s="1" t="s">
        <v>12</v>
      </c>
      <c r="G396" s="1" t="s">
        <v>13</v>
      </c>
      <c r="H396" s="4">
        <v>44817.564791666664</v>
      </c>
      <c r="I396" s="4">
        <v>45061.16479166667</v>
      </c>
      <c r="J396" s="1" t="s">
        <v>487</v>
      </c>
    </row>
    <row r="397" spans="1:10" ht="12.75" x14ac:dyDescent="0.2">
      <c r="A397" s="1" t="s">
        <v>117</v>
      </c>
      <c r="B397" s="3" t="str">
        <f>HYPERLINK("https://pegadaian.atlassian.net/browse/ITPROJECT-837?atlOrigin=eyJpIjoiYzgwYTQ0ZjEyNzQzNGJhN2JmNjEyZTM0NmRhZWZhNjIiLCJwIjoic2hlZXRzLWppcmEifQ","ITPROJECT-837")</f>
        <v>ITPROJECT-837</v>
      </c>
      <c r="C397" s="1" t="s">
        <v>510</v>
      </c>
      <c r="D397" s="1" t="s">
        <v>57</v>
      </c>
      <c r="E397" s="1" t="s">
        <v>122</v>
      </c>
      <c r="F397" s="1" t="s">
        <v>12</v>
      </c>
      <c r="G397" s="1" t="s">
        <v>13</v>
      </c>
      <c r="H397" s="4">
        <v>44817.419178240743</v>
      </c>
      <c r="I397" s="4">
        <v>45061.16479166667</v>
      </c>
      <c r="J397" s="1" t="s">
        <v>54</v>
      </c>
    </row>
    <row r="398" spans="1:10" ht="12.75" x14ac:dyDescent="0.2">
      <c r="A398" s="1" t="s">
        <v>117</v>
      </c>
      <c r="B398" s="3" t="str">
        <f>HYPERLINK("https://pegadaian.atlassian.net/browse/ITPROJECT-836?atlOrigin=eyJpIjoiYzgwYTQ0ZjEyNzQzNGJhN2JmNjEyZTM0NmRhZWZhNjIiLCJwIjoic2hlZXRzLWppcmEifQ","ITPROJECT-836")</f>
        <v>ITPROJECT-836</v>
      </c>
      <c r="C398" s="1" t="s">
        <v>511</v>
      </c>
      <c r="D398" s="1" t="s">
        <v>65</v>
      </c>
      <c r="E398" s="1" t="s">
        <v>122</v>
      </c>
      <c r="F398" s="1" t="s">
        <v>12</v>
      </c>
      <c r="G398" s="1" t="s">
        <v>13</v>
      </c>
      <c r="H398" s="4">
        <v>44816.592905092592</v>
      </c>
      <c r="I398" s="4">
        <v>45061.164803240739</v>
      </c>
      <c r="J398" s="1" t="s">
        <v>54</v>
      </c>
    </row>
    <row r="399" spans="1:10" ht="12.75" x14ac:dyDescent="0.2">
      <c r="A399" s="1" t="s">
        <v>63</v>
      </c>
      <c r="B399" s="3" t="str">
        <f>HYPERLINK("https://pegadaian.atlassian.net/browse/ITPROJECT-831?atlOrigin=eyJpIjoiYzgwYTQ0ZjEyNzQzNGJhN2JmNjEyZTM0NmRhZWZhNjIiLCJwIjoic2hlZXRzLWppcmEifQ","ITPROJECT-831")</f>
        <v>ITPROJECT-831</v>
      </c>
      <c r="C399" s="1" t="s">
        <v>512</v>
      </c>
      <c r="D399" s="1" t="s">
        <v>99</v>
      </c>
      <c r="E399" s="1" t="s">
        <v>99</v>
      </c>
      <c r="F399" s="1" t="s">
        <v>12</v>
      </c>
      <c r="G399" s="1" t="s">
        <v>89</v>
      </c>
      <c r="H399" s="4">
        <v>44814.555115740739</v>
      </c>
      <c r="I399" s="4">
        <v>45061.164826388886</v>
      </c>
      <c r="J399" s="1" t="s">
        <v>285</v>
      </c>
    </row>
    <row r="400" spans="1:10" ht="12.75" x14ac:dyDescent="0.2">
      <c r="A400" s="1" t="s">
        <v>117</v>
      </c>
      <c r="B400" s="3" t="str">
        <f>HYPERLINK("https://pegadaian.atlassian.net/browse/ITPROJECT-830?atlOrigin=eyJpIjoiYzgwYTQ0ZjEyNzQzNGJhN2JmNjEyZTM0NmRhZWZhNjIiLCJwIjoic2hlZXRzLWppcmEifQ","ITPROJECT-830")</f>
        <v>ITPROJECT-830</v>
      </c>
      <c r="C400" s="1" t="s">
        <v>513</v>
      </c>
      <c r="D400" s="1" t="s">
        <v>44</v>
      </c>
      <c r="E400" s="1" t="s">
        <v>161</v>
      </c>
      <c r="F400" s="1" t="s">
        <v>12</v>
      </c>
      <c r="G400" s="1" t="s">
        <v>13</v>
      </c>
      <c r="H400" s="4">
        <v>44813.646249999998</v>
      </c>
      <c r="I400" s="4">
        <v>45061.164837962962</v>
      </c>
      <c r="J400" s="1" t="s">
        <v>487</v>
      </c>
    </row>
    <row r="401" spans="1:10" ht="12.75" x14ac:dyDescent="0.2">
      <c r="A401" s="1" t="s">
        <v>63</v>
      </c>
      <c r="B401" s="3" t="str">
        <f>HYPERLINK("https://pegadaian.atlassian.net/browse/ITPROJECT-829?atlOrigin=eyJpIjoiYzgwYTQ0ZjEyNzQzNGJhN2JmNjEyZTM0NmRhZWZhNjIiLCJwIjoic2hlZXRzLWppcmEifQ","ITPROJECT-829")</f>
        <v>ITPROJECT-829</v>
      </c>
      <c r="C401" s="1" t="s">
        <v>514</v>
      </c>
      <c r="D401" s="1" t="s">
        <v>65</v>
      </c>
      <c r="E401" s="1" t="s">
        <v>65</v>
      </c>
      <c r="F401" s="1" t="s">
        <v>12</v>
      </c>
      <c r="G401" s="1" t="s">
        <v>13</v>
      </c>
      <c r="H401" s="4">
        <v>44813.502511574072</v>
      </c>
      <c r="I401" s="4">
        <v>45061.164837962962</v>
      </c>
      <c r="J401" s="1" t="s">
        <v>54</v>
      </c>
    </row>
    <row r="402" spans="1:10" ht="12.75" x14ac:dyDescent="0.2">
      <c r="A402" s="1" t="s">
        <v>117</v>
      </c>
      <c r="B402" s="3" t="str">
        <f>HYPERLINK("https://pegadaian.atlassian.net/browse/ITPROJECT-828?atlOrigin=eyJpIjoiYzgwYTQ0ZjEyNzQzNGJhN2JmNjEyZTM0NmRhZWZhNjIiLCJwIjoic2hlZXRzLWppcmEifQ","ITPROJECT-828")</f>
        <v>ITPROJECT-828</v>
      </c>
      <c r="C402" s="1" t="s">
        <v>515</v>
      </c>
      <c r="D402" s="1" t="s">
        <v>71</v>
      </c>
      <c r="E402" s="1" t="s">
        <v>122</v>
      </c>
      <c r="F402" s="1" t="s">
        <v>12</v>
      </c>
      <c r="G402" s="1" t="s">
        <v>68</v>
      </c>
      <c r="H402" s="4">
        <v>44813.430775462963</v>
      </c>
      <c r="I402" s="4">
        <v>45061.164849537039</v>
      </c>
      <c r="J402" s="1" t="s">
        <v>60</v>
      </c>
    </row>
    <row r="403" spans="1:10" ht="12.75" x14ac:dyDescent="0.2">
      <c r="A403" s="1" t="s">
        <v>117</v>
      </c>
      <c r="B403" s="3" t="str">
        <f>HYPERLINK("https://pegadaian.atlassian.net/browse/ITPROJECT-824?atlOrigin=eyJpIjoiYzgwYTQ0ZjEyNzQzNGJhN2JmNjEyZTM0NmRhZWZhNjIiLCJwIjoic2hlZXRzLWppcmEifQ","ITPROJECT-824")</f>
        <v>ITPROJECT-824</v>
      </c>
      <c r="C403" s="1" t="s">
        <v>516</v>
      </c>
      <c r="D403" s="1" t="s">
        <v>75</v>
      </c>
      <c r="E403" s="1" t="s">
        <v>130</v>
      </c>
      <c r="F403" s="1" t="s">
        <v>12</v>
      </c>
      <c r="G403" s="1" t="s">
        <v>13</v>
      </c>
      <c r="H403" s="4">
        <v>44812.524872685186</v>
      </c>
      <c r="I403" s="4">
        <v>45061.164884259262</v>
      </c>
      <c r="J403" s="1" t="s">
        <v>40</v>
      </c>
    </row>
    <row r="404" spans="1:10" ht="12.75" x14ac:dyDescent="0.2">
      <c r="A404" s="1" t="s">
        <v>117</v>
      </c>
      <c r="B404" s="3" t="str">
        <f>HYPERLINK("https://pegadaian.atlassian.net/browse/ITPROJECT-823?atlOrigin=eyJpIjoiYzgwYTQ0ZjEyNzQzNGJhN2JmNjEyZTM0NmRhZWZhNjIiLCJwIjoic2hlZXRzLWppcmEifQ","ITPROJECT-823")</f>
        <v>ITPROJECT-823</v>
      </c>
      <c r="C404" s="1" t="s">
        <v>517</v>
      </c>
      <c r="D404" s="1" t="s">
        <v>28</v>
      </c>
      <c r="E404" s="1" t="s">
        <v>130</v>
      </c>
      <c r="F404" s="1" t="s">
        <v>12</v>
      </c>
      <c r="G404" s="1" t="s">
        <v>13</v>
      </c>
      <c r="H404" s="4">
        <v>44812.427719907406</v>
      </c>
      <c r="I404" s="4">
        <v>45061.164884259262</v>
      </c>
      <c r="J404" s="1" t="s">
        <v>15</v>
      </c>
    </row>
    <row r="405" spans="1:10" ht="12.75" x14ac:dyDescent="0.2">
      <c r="A405" s="1" t="s">
        <v>117</v>
      </c>
      <c r="B405" s="3" t="str">
        <f>HYPERLINK("https://pegadaian.atlassian.net/browse/ITPROJECT-821?atlOrigin=eyJpIjoiYzgwYTQ0ZjEyNzQzNGJhN2JmNjEyZTM0NmRhZWZhNjIiLCJwIjoic2hlZXRzLWppcmEifQ","ITPROJECT-821")</f>
        <v>ITPROJECT-821</v>
      </c>
      <c r="C405" s="1" t="s">
        <v>518</v>
      </c>
      <c r="D405" s="1" t="s">
        <v>65</v>
      </c>
      <c r="E405" s="1" t="s">
        <v>130</v>
      </c>
      <c r="F405" s="1" t="s">
        <v>12</v>
      </c>
      <c r="G405" s="1" t="s">
        <v>13</v>
      </c>
      <c r="H405" s="4">
        <v>44812.374594907407</v>
      </c>
      <c r="I405" s="4">
        <v>45061.164907407408</v>
      </c>
      <c r="J405" s="1" t="s">
        <v>54</v>
      </c>
    </row>
    <row r="406" spans="1:10" ht="12.75" x14ac:dyDescent="0.2">
      <c r="A406" s="1" t="s">
        <v>63</v>
      </c>
      <c r="B406" s="3" t="str">
        <f>HYPERLINK("https://pegadaian.atlassian.net/browse/ITPROJECT-820?atlOrigin=eyJpIjoiYzgwYTQ0ZjEyNzQzNGJhN2JmNjEyZTM0NmRhZWZhNjIiLCJwIjoic2hlZXRzLWppcmEifQ","ITPROJECT-820")</f>
        <v>ITPROJECT-820</v>
      </c>
      <c r="C406" s="1" t="s">
        <v>519</v>
      </c>
      <c r="D406" s="1" t="s">
        <v>43</v>
      </c>
      <c r="E406" s="1" t="s">
        <v>43</v>
      </c>
      <c r="F406" s="1" t="s">
        <v>12</v>
      </c>
      <c r="G406" s="1" t="s">
        <v>68</v>
      </c>
      <c r="H406" s="4">
        <v>44811.625416666669</v>
      </c>
      <c r="I406" s="4">
        <v>45061.164907407408</v>
      </c>
      <c r="J406" s="1" t="s">
        <v>23</v>
      </c>
    </row>
    <row r="407" spans="1:10" ht="12.75" x14ac:dyDescent="0.2">
      <c r="A407" s="1" t="s">
        <v>63</v>
      </c>
      <c r="B407" s="3" t="str">
        <f>HYPERLINK("https://pegadaian.atlassian.net/browse/ITPROJECT-818?atlOrigin=eyJpIjoiYzgwYTQ0ZjEyNzQzNGJhN2JmNjEyZTM0NmRhZWZhNjIiLCJwIjoic2hlZXRzLWppcmEifQ","ITPROJECT-818")</f>
        <v>ITPROJECT-818</v>
      </c>
      <c r="C407" s="1" t="s">
        <v>520</v>
      </c>
      <c r="D407" s="1" t="s">
        <v>65</v>
      </c>
      <c r="E407" s="1" t="s">
        <v>65</v>
      </c>
      <c r="F407" s="1" t="s">
        <v>12</v>
      </c>
      <c r="G407" s="1" t="s">
        <v>13</v>
      </c>
      <c r="H407" s="4">
        <v>44810.667118055557</v>
      </c>
      <c r="I407" s="4">
        <v>45061.164930555555</v>
      </c>
      <c r="J407" s="1" t="s">
        <v>54</v>
      </c>
    </row>
    <row r="408" spans="1:10" ht="12.75" x14ac:dyDescent="0.2">
      <c r="A408" s="1" t="s">
        <v>117</v>
      </c>
      <c r="B408" s="3" t="str">
        <f>HYPERLINK("https://pegadaian.atlassian.net/browse/ITPROJECT-816?atlOrigin=eyJpIjoiYzgwYTQ0ZjEyNzQzNGJhN2JmNjEyZTM0NmRhZWZhNjIiLCJwIjoic2hlZXRzLWppcmEifQ","ITPROJECT-816")</f>
        <v>ITPROJECT-816</v>
      </c>
      <c r="C408" s="1" t="s">
        <v>521</v>
      </c>
      <c r="D408" s="1" t="s">
        <v>65</v>
      </c>
      <c r="E408" s="1" t="s">
        <v>122</v>
      </c>
      <c r="F408" s="1" t="s">
        <v>12</v>
      </c>
      <c r="G408" s="1" t="s">
        <v>13</v>
      </c>
      <c r="H408" s="4">
        <v>44810.549780092595</v>
      </c>
      <c r="I408" s="4">
        <v>45061.164942129632</v>
      </c>
      <c r="J408" s="1" t="s">
        <v>54</v>
      </c>
    </row>
    <row r="409" spans="1:10" ht="12.75" x14ac:dyDescent="0.2">
      <c r="A409" s="1" t="s">
        <v>63</v>
      </c>
      <c r="B409" s="3" t="str">
        <f>HYPERLINK("https://pegadaian.atlassian.net/browse/ITPROJECT-814?atlOrigin=eyJpIjoiYzgwYTQ0ZjEyNzQzNGJhN2JmNjEyZTM0NmRhZWZhNjIiLCJwIjoic2hlZXRzLWppcmEifQ","ITPROJECT-814")</f>
        <v>ITPROJECT-814</v>
      </c>
      <c r="C409" s="1" t="s">
        <v>522</v>
      </c>
      <c r="D409" s="1" t="s">
        <v>115</v>
      </c>
      <c r="E409" s="1" t="s">
        <v>115</v>
      </c>
      <c r="F409" s="1" t="s">
        <v>12</v>
      </c>
      <c r="G409" s="1" t="s">
        <v>13</v>
      </c>
      <c r="H409" s="4">
        <v>44809.329942129632</v>
      </c>
      <c r="I409" s="4">
        <v>45061.164953703701</v>
      </c>
      <c r="J409" s="1" t="s">
        <v>18</v>
      </c>
    </row>
    <row r="410" spans="1:10" ht="12.75" x14ac:dyDescent="0.2">
      <c r="A410" s="1" t="s">
        <v>117</v>
      </c>
      <c r="B410" s="3" t="str">
        <f>HYPERLINK("https://pegadaian.atlassian.net/browse/ITPROJECT-811?atlOrigin=eyJpIjoiYzgwYTQ0ZjEyNzQzNGJhN2JmNjEyZTM0NmRhZWZhNjIiLCJwIjoic2hlZXRzLWppcmEifQ","ITPROJECT-811")</f>
        <v>ITPROJECT-811</v>
      </c>
      <c r="C410" s="1" t="s">
        <v>523</v>
      </c>
      <c r="D410" s="1" t="s">
        <v>424</v>
      </c>
      <c r="E410" s="1" t="s">
        <v>130</v>
      </c>
      <c r="F410" s="1" t="s">
        <v>12</v>
      </c>
      <c r="G410" s="1" t="s">
        <v>13</v>
      </c>
      <c r="H410" s="4">
        <v>44806.529062499998</v>
      </c>
      <c r="I410" s="4">
        <v>45061.164976851855</v>
      </c>
      <c r="J410" s="1" t="s">
        <v>27</v>
      </c>
    </row>
    <row r="411" spans="1:10" ht="12.75" x14ac:dyDescent="0.2">
      <c r="A411" s="1" t="s">
        <v>117</v>
      </c>
      <c r="B411" s="3" t="str">
        <f>HYPERLINK("https://pegadaian.atlassian.net/browse/ITPROJECT-810?atlOrigin=eyJpIjoiYzgwYTQ0ZjEyNzQzNGJhN2JmNjEyZTM0NmRhZWZhNjIiLCJwIjoic2hlZXRzLWppcmEifQ","ITPROJECT-810")</f>
        <v>ITPROJECT-810</v>
      </c>
      <c r="C411" s="1" t="s">
        <v>524</v>
      </c>
      <c r="D411" s="1" t="s">
        <v>43</v>
      </c>
      <c r="E411" s="1" t="s">
        <v>130</v>
      </c>
      <c r="F411" s="1" t="s">
        <v>12</v>
      </c>
      <c r="G411" s="1" t="s">
        <v>13</v>
      </c>
      <c r="H411" s="4">
        <v>44805.580949074072</v>
      </c>
      <c r="I411" s="4">
        <v>45061.164976851855</v>
      </c>
      <c r="J411" s="1" t="s">
        <v>23</v>
      </c>
    </row>
    <row r="412" spans="1:10" ht="12.75" x14ac:dyDescent="0.2">
      <c r="A412" s="1" t="s">
        <v>63</v>
      </c>
      <c r="B412" s="3" t="str">
        <f>HYPERLINK("https://pegadaian.atlassian.net/browse/ITPROJECT-807?atlOrigin=eyJpIjoiYzgwYTQ0ZjEyNzQzNGJhN2JmNjEyZTM0NmRhZWZhNjIiLCJwIjoic2hlZXRzLWppcmEifQ","ITPROJECT-807")</f>
        <v>ITPROJECT-807</v>
      </c>
      <c r="C412" s="1" t="s">
        <v>525</v>
      </c>
      <c r="D412" s="1" t="s">
        <v>65</v>
      </c>
      <c r="E412" s="1" t="s">
        <v>65</v>
      </c>
      <c r="F412" s="1" t="s">
        <v>12</v>
      </c>
      <c r="G412" s="1" t="s">
        <v>13</v>
      </c>
      <c r="H412" s="4">
        <v>44803.627418981479</v>
      </c>
      <c r="I412" s="4">
        <v>45061.165000000001</v>
      </c>
      <c r="J412" s="1" t="s">
        <v>54</v>
      </c>
    </row>
    <row r="413" spans="1:10" ht="12.75" x14ac:dyDescent="0.2">
      <c r="A413" s="1" t="s">
        <v>63</v>
      </c>
      <c r="B413" s="3" t="str">
        <f>HYPERLINK("https://pegadaian.atlassian.net/browse/ITPROJECT-806?atlOrigin=eyJpIjoiYzgwYTQ0ZjEyNzQzNGJhN2JmNjEyZTM0NmRhZWZhNjIiLCJwIjoic2hlZXRzLWppcmEifQ","ITPROJECT-806")</f>
        <v>ITPROJECT-806</v>
      </c>
      <c r="C413" s="1" t="s">
        <v>526</v>
      </c>
      <c r="D413" s="1" t="s">
        <v>71</v>
      </c>
      <c r="E413" s="1" t="s">
        <v>71</v>
      </c>
      <c r="F413" s="1" t="s">
        <v>12</v>
      </c>
      <c r="G413" s="1" t="s">
        <v>13</v>
      </c>
      <c r="H413" s="4">
        <v>44803.524756944447</v>
      </c>
      <c r="I413" s="4">
        <v>45061.165000000001</v>
      </c>
      <c r="J413" s="1" t="s">
        <v>60</v>
      </c>
    </row>
    <row r="414" spans="1:10" ht="12.75" x14ac:dyDescent="0.2">
      <c r="A414" s="1" t="s">
        <v>63</v>
      </c>
      <c r="B414" s="3" t="str">
        <f>HYPERLINK("https://pegadaian.atlassian.net/browse/ITPROJECT-805?atlOrigin=eyJpIjoiYzgwYTQ0ZjEyNzQzNGJhN2JmNjEyZTM0NmRhZWZhNjIiLCJwIjoic2hlZXRzLWppcmEifQ","ITPROJECT-805")</f>
        <v>ITPROJECT-805</v>
      </c>
      <c r="C414" s="1" t="s">
        <v>527</v>
      </c>
      <c r="D414" s="1" t="s">
        <v>424</v>
      </c>
      <c r="E414" s="1" t="s">
        <v>424</v>
      </c>
      <c r="F414" s="1" t="s">
        <v>12</v>
      </c>
      <c r="G414" s="1" t="s">
        <v>13</v>
      </c>
      <c r="H414" s="4">
        <v>44803.495011574072</v>
      </c>
      <c r="I414" s="4">
        <v>45061.165011574078</v>
      </c>
      <c r="J414" s="1" t="s">
        <v>27</v>
      </c>
    </row>
    <row r="415" spans="1:10" ht="12.75" x14ac:dyDescent="0.2">
      <c r="A415" s="1" t="s">
        <v>117</v>
      </c>
      <c r="B415" s="3" t="str">
        <f>HYPERLINK("https://pegadaian.atlassian.net/browse/ITPROJECT-804?atlOrigin=eyJpIjoiYzgwYTQ0ZjEyNzQzNGJhN2JmNjEyZTM0NmRhZWZhNjIiLCJwIjoic2hlZXRzLWppcmEifQ","ITPROJECT-804")</f>
        <v>ITPROJECT-804</v>
      </c>
      <c r="C415" s="1" t="s">
        <v>528</v>
      </c>
      <c r="D415" s="1" t="s">
        <v>424</v>
      </c>
      <c r="E415" s="1" t="s">
        <v>130</v>
      </c>
      <c r="F415" s="1" t="s">
        <v>12</v>
      </c>
      <c r="G415" s="1" t="s">
        <v>13</v>
      </c>
      <c r="H415" s="4">
        <v>44802.687962962962</v>
      </c>
      <c r="I415" s="4">
        <v>45061.165023148147</v>
      </c>
      <c r="J415" s="1" t="s">
        <v>27</v>
      </c>
    </row>
    <row r="416" spans="1:10" ht="12.75" x14ac:dyDescent="0.2">
      <c r="A416" s="1" t="s">
        <v>63</v>
      </c>
      <c r="B416" s="3" t="str">
        <f>HYPERLINK("https://pegadaian.atlassian.net/browse/ITPROJECT-803?atlOrigin=eyJpIjoiYzgwYTQ0ZjEyNzQzNGJhN2JmNjEyZTM0NmRhZWZhNjIiLCJwIjoic2hlZXRzLWppcmEifQ","ITPROJECT-803")</f>
        <v>ITPROJECT-803</v>
      </c>
      <c r="C416" s="1" t="s">
        <v>529</v>
      </c>
      <c r="D416" s="1" t="s">
        <v>424</v>
      </c>
      <c r="E416" s="1" t="s">
        <v>424</v>
      </c>
      <c r="F416" s="1" t="s">
        <v>12</v>
      </c>
      <c r="G416" s="1" t="s">
        <v>13</v>
      </c>
      <c r="H416" s="4">
        <v>44802.609699074077</v>
      </c>
      <c r="I416" s="4">
        <v>45061.165023148147</v>
      </c>
      <c r="J416" s="1" t="s">
        <v>27</v>
      </c>
    </row>
    <row r="417" spans="1:10" ht="12.75" x14ac:dyDescent="0.2">
      <c r="A417" s="1" t="s">
        <v>63</v>
      </c>
      <c r="B417" s="3" t="str">
        <f>HYPERLINK("https://pegadaian.atlassian.net/browse/ITPROJECT-802?atlOrigin=eyJpIjoiYzgwYTQ0ZjEyNzQzNGJhN2JmNjEyZTM0NmRhZWZhNjIiLCJwIjoic2hlZXRzLWppcmEifQ","ITPROJECT-802")</f>
        <v>ITPROJECT-802</v>
      </c>
      <c r="C417" s="1" t="s">
        <v>530</v>
      </c>
      <c r="D417" s="1" t="s">
        <v>112</v>
      </c>
      <c r="E417" s="1" t="s">
        <v>112</v>
      </c>
      <c r="F417" s="1" t="s">
        <v>12</v>
      </c>
      <c r="G417" s="1" t="s">
        <v>68</v>
      </c>
      <c r="H417" s="4">
        <v>44802.468854166669</v>
      </c>
      <c r="I417" s="4">
        <v>45061.165034722224</v>
      </c>
      <c r="J417" s="1" t="s">
        <v>32</v>
      </c>
    </row>
    <row r="418" spans="1:10" ht="12.75" x14ac:dyDescent="0.2">
      <c r="A418" s="1" t="s">
        <v>117</v>
      </c>
      <c r="B418" s="3" t="str">
        <f>HYPERLINK("https://pegadaian.atlassian.net/browse/ITPROJECT-801?atlOrigin=eyJpIjoiYzgwYTQ0ZjEyNzQzNGJhN2JmNjEyZTM0NmRhZWZhNjIiLCJwIjoic2hlZXRzLWppcmEifQ","ITPROJECT-801")</f>
        <v>ITPROJECT-801</v>
      </c>
      <c r="C418" s="1" t="s">
        <v>531</v>
      </c>
      <c r="D418" s="1" t="s">
        <v>31</v>
      </c>
      <c r="E418" s="1" t="s">
        <v>122</v>
      </c>
      <c r="F418" s="1" t="s">
        <v>12</v>
      </c>
      <c r="G418" s="1" t="s">
        <v>120</v>
      </c>
      <c r="H418" s="4">
        <v>44798.729016203702</v>
      </c>
      <c r="I418" s="4">
        <v>45061.165046296293</v>
      </c>
      <c r="J418" s="1" t="s">
        <v>18</v>
      </c>
    </row>
    <row r="419" spans="1:10" ht="12.75" x14ac:dyDescent="0.2">
      <c r="A419" s="1" t="s">
        <v>117</v>
      </c>
      <c r="B419" s="3" t="str">
        <f>HYPERLINK("https://pegadaian.atlassian.net/browse/ITPROJECT-800?atlOrigin=eyJpIjoiYzgwYTQ0ZjEyNzQzNGJhN2JmNjEyZTM0NmRhZWZhNjIiLCJwIjoic2hlZXRzLWppcmEifQ","ITPROJECT-800")</f>
        <v>ITPROJECT-800</v>
      </c>
      <c r="C419" s="1" t="s">
        <v>532</v>
      </c>
      <c r="D419" s="1" t="s">
        <v>31</v>
      </c>
      <c r="E419" s="1" t="s">
        <v>122</v>
      </c>
      <c r="F419" s="1" t="s">
        <v>12</v>
      </c>
      <c r="G419" s="1" t="s">
        <v>120</v>
      </c>
      <c r="H419" s="4">
        <v>44798.727256944447</v>
      </c>
      <c r="I419" s="4">
        <v>45061.165046296293</v>
      </c>
      <c r="J419" s="1" t="s">
        <v>18</v>
      </c>
    </row>
    <row r="420" spans="1:10" ht="12.75" x14ac:dyDescent="0.2">
      <c r="A420" s="1" t="s">
        <v>63</v>
      </c>
      <c r="B420" s="3" t="str">
        <f>HYPERLINK("https://pegadaian.atlassian.net/browse/ITPROJECT-797?atlOrigin=eyJpIjoiYzgwYTQ0ZjEyNzQzNGJhN2JmNjEyZTM0NmRhZWZhNjIiLCJwIjoic2hlZXRzLWppcmEifQ","ITPROJECT-797")</f>
        <v>ITPROJECT-797</v>
      </c>
      <c r="C420" s="1" t="s">
        <v>533</v>
      </c>
      <c r="D420" s="1" t="s">
        <v>71</v>
      </c>
      <c r="E420" s="1" t="s">
        <v>71</v>
      </c>
      <c r="F420" s="1" t="s">
        <v>12</v>
      </c>
      <c r="G420" s="1" t="s">
        <v>13</v>
      </c>
      <c r="H420" s="4">
        <v>44798.630995370368</v>
      </c>
      <c r="I420" s="4">
        <v>45061.165069444447</v>
      </c>
      <c r="J420" s="1" t="s">
        <v>60</v>
      </c>
    </row>
    <row r="421" spans="1:10" ht="12.75" x14ac:dyDescent="0.2">
      <c r="A421" s="1" t="s">
        <v>117</v>
      </c>
      <c r="B421" s="3" t="str">
        <f>HYPERLINK("https://pegadaian.atlassian.net/browse/ITPROJECT-796?atlOrigin=eyJpIjoiYzgwYTQ0ZjEyNzQzNGJhN2JmNjEyZTM0NmRhZWZhNjIiLCJwIjoic2hlZXRzLWppcmEifQ","ITPROJECT-796")</f>
        <v>ITPROJECT-796</v>
      </c>
      <c r="C421" s="1" t="s">
        <v>534</v>
      </c>
      <c r="D421" s="1" t="s">
        <v>424</v>
      </c>
      <c r="E421" s="1" t="s">
        <v>130</v>
      </c>
      <c r="F421" s="1" t="s">
        <v>12</v>
      </c>
      <c r="G421" s="1" t="s">
        <v>213</v>
      </c>
      <c r="H421" s="4">
        <v>44798.396655092591</v>
      </c>
      <c r="I421" s="4">
        <v>45061.165069444447</v>
      </c>
      <c r="J421" s="1" t="s">
        <v>27</v>
      </c>
    </row>
    <row r="422" spans="1:10" ht="12.75" x14ac:dyDescent="0.2">
      <c r="A422" s="1" t="s">
        <v>117</v>
      </c>
      <c r="B422" s="3" t="str">
        <f>HYPERLINK("https://pegadaian.atlassian.net/browse/ITPROJECT-792?atlOrigin=eyJpIjoiYzgwYTQ0ZjEyNzQzNGJhN2JmNjEyZTM0NmRhZWZhNjIiLCJwIjoic2hlZXRzLWppcmEifQ","ITPROJECT-792")</f>
        <v>ITPROJECT-792</v>
      </c>
      <c r="C422" s="1" t="s">
        <v>535</v>
      </c>
      <c r="D422" s="1" t="s">
        <v>24</v>
      </c>
      <c r="E422" s="1" t="s">
        <v>130</v>
      </c>
      <c r="F422" s="1" t="s">
        <v>12</v>
      </c>
      <c r="G422" s="1" t="s">
        <v>68</v>
      </c>
      <c r="H422" s="4">
        <v>44795.657268518517</v>
      </c>
      <c r="I422" s="4">
        <v>45061.165092592593</v>
      </c>
      <c r="J422" s="1" t="s">
        <v>32</v>
      </c>
    </row>
    <row r="423" spans="1:10" ht="12.75" x14ac:dyDescent="0.2">
      <c r="A423" s="1" t="s">
        <v>117</v>
      </c>
      <c r="B423" s="3" t="str">
        <f>HYPERLINK("https://pegadaian.atlassian.net/browse/ITPROJECT-791?atlOrigin=eyJpIjoiYzgwYTQ0ZjEyNzQzNGJhN2JmNjEyZTM0NmRhZWZhNjIiLCJwIjoic2hlZXRzLWppcmEifQ","ITPROJECT-791")</f>
        <v>ITPROJECT-791</v>
      </c>
      <c r="C423" s="1" t="s">
        <v>536</v>
      </c>
      <c r="D423" s="1" t="s">
        <v>112</v>
      </c>
      <c r="E423" s="1" t="s">
        <v>130</v>
      </c>
      <c r="F423" s="1" t="s">
        <v>12</v>
      </c>
      <c r="G423" s="1" t="s">
        <v>68</v>
      </c>
      <c r="H423" s="4">
        <v>44795.654629629629</v>
      </c>
      <c r="I423" s="4">
        <v>45061.165092592593</v>
      </c>
      <c r="J423" s="1" t="s">
        <v>32</v>
      </c>
    </row>
    <row r="424" spans="1:10" ht="12.75" x14ac:dyDescent="0.2">
      <c r="A424" s="1" t="s">
        <v>63</v>
      </c>
      <c r="B424" s="3" t="str">
        <f>HYPERLINK("https://pegadaian.atlassian.net/browse/ITPROJECT-790?atlOrigin=eyJpIjoiYzgwYTQ0ZjEyNzQzNGJhN2JmNjEyZTM0NmRhZWZhNjIiLCJwIjoic2hlZXRzLWppcmEifQ","ITPROJECT-790")</f>
        <v>ITPROJECT-790</v>
      </c>
      <c r="C424" s="1" t="s">
        <v>537</v>
      </c>
      <c r="D424" s="1" t="s">
        <v>75</v>
      </c>
      <c r="E424" s="1" t="s">
        <v>75</v>
      </c>
      <c r="F424" s="1" t="s">
        <v>12</v>
      </c>
      <c r="G424" s="1" t="s">
        <v>13</v>
      </c>
      <c r="H424" s="4">
        <v>44795.349004629628</v>
      </c>
      <c r="I424" s="4">
        <v>45061.16510416667</v>
      </c>
      <c r="J424" s="1" t="s">
        <v>40</v>
      </c>
    </row>
    <row r="425" spans="1:10" ht="12.75" x14ac:dyDescent="0.2">
      <c r="A425" s="1" t="s">
        <v>117</v>
      </c>
      <c r="B425" s="3" t="str">
        <f>HYPERLINK("https://pegadaian.atlassian.net/browse/ITPROJECT-789?atlOrigin=eyJpIjoiYzgwYTQ0ZjEyNzQzNGJhN2JmNjEyZTM0NmRhZWZhNjIiLCJwIjoic2hlZXRzLWppcmEifQ","ITPROJECT-789")</f>
        <v>ITPROJECT-789</v>
      </c>
      <c r="C425" s="1" t="s">
        <v>538</v>
      </c>
      <c r="D425" s="1" t="s">
        <v>65</v>
      </c>
      <c r="E425" s="1" t="s">
        <v>122</v>
      </c>
      <c r="F425" s="1" t="s">
        <v>12</v>
      </c>
      <c r="G425" s="1" t="s">
        <v>13</v>
      </c>
      <c r="H425" s="4">
        <v>44792.721203703702</v>
      </c>
      <c r="I425" s="4">
        <v>45061.16510416667</v>
      </c>
      <c r="J425" s="1" t="s">
        <v>54</v>
      </c>
    </row>
    <row r="426" spans="1:10" ht="12.75" x14ac:dyDescent="0.2">
      <c r="A426" s="1" t="s">
        <v>117</v>
      </c>
      <c r="B426" s="3" t="str">
        <f>HYPERLINK("https://pegadaian.atlassian.net/browse/ITPROJECT-788?atlOrigin=eyJpIjoiYzgwYTQ0ZjEyNzQzNGJhN2JmNjEyZTM0NmRhZWZhNjIiLCJwIjoic2hlZXRzLWppcmEifQ","ITPROJECT-788")</f>
        <v>ITPROJECT-788</v>
      </c>
      <c r="C426" s="1" t="s">
        <v>539</v>
      </c>
      <c r="D426" s="1" t="s">
        <v>75</v>
      </c>
      <c r="E426" s="1" t="s">
        <v>130</v>
      </c>
      <c r="F426" s="1" t="s">
        <v>12</v>
      </c>
      <c r="G426" s="1" t="s">
        <v>13</v>
      </c>
      <c r="H426" s="4">
        <v>44792.627696759257</v>
      </c>
      <c r="I426" s="4">
        <v>45061.16511574074</v>
      </c>
      <c r="J426" s="1" t="s">
        <v>40</v>
      </c>
    </row>
    <row r="427" spans="1:10" ht="12.75" x14ac:dyDescent="0.2">
      <c r="A427" s="1" t="s">
        <v>63</v>
      </c>
      <c r="B427" s="3" t="str">
        <f>HYPERLINK("https://pegadaian.atlassian.net/browse/ITPROJECT-786?atlOrigin=eyJpIjoiYzgwYTQ0ZjEyNzQzNGJhN2JmNjEyZTM0NmRhZWZhNjIiLCJwIjoic2hlZXRzLWppcmEifQ","ITPROJECT-786")</f>
        <v>ITPROJECT-786</v>
      </c>
      <c r="C427" s="1" t="s">
        <v>540</v>
      </c>
      <c r="D427" s="1" t="s">
        <v>17</v>
      </c>
      <c r="E427" s="1" t="s">
        <v>17</v>
      </c>
      <c r="F427" s="1" t="s">
        <v>12</v>
      </c>
      <c r="G427" s="1" t="s">
        <v>68</v>
      </c>
      <c r="H427" s="4">
        <v>44791.721504629626</v>
      </c>
      <c r="I427" s="4">
        <v>45061.165127314816</v>
      </c>
      <c r="J427" s="1" t="s">
        <v>285</v>
      </c>
    </row>
    <row r="428" spans="1:10" ht="12.75" x14ac:dyDescent="0.2">
      <c r="A428" s="1" t="s">
        <v>117</v>
      </c>
      <c r="B428" s="3" t="str">
        <f>HYPERLINK("https://pegadaian.atlassian.net/browse/ITPROJECT-785?atlOrigin=eyJpIjoiYzgwYTQ0ZjEyNzQzNGJhN2JmNjEyZTM0NmRhZWZhNjIiLCJwIjoic2hlZXRzLWppcmEifQ","ITPROJECT-785")</f>
        <v>ITPROJECT-785</v>
      </c>
      <c r="C428" s="1" t="s">
        <v>541</v>
      </c>
      <c r="D428" s="1" t="s">
        <v>25</v>
      </c>
      <c r="E428" s="1" t="s">
        <v>122</v>
      </c>
      <c r="F428" s="1" t="s">
        <v>12</v>
      </c>
      <c r="G428" s="1" t="s">
        <v>213</v>
      </c>
      <c r="H428" s="4">
        <v>44791.713796296295</v>
      </c>
      <c r="I428" s="4">
        <v>45061.165138888886</v>
      </c>
      <c r="J428" s="1" t="s">
        <v>26</v>
      </c>
    </row>
    <row r="429" spans="1:10" ht="12.75" x14ac:dyDescent="0.2">
      <c r="A429" s="1" t="s">
        <v>63</v>
      </c>
      <c r="B429" s="3" t="str">
        <f>HYPERLINK("https://pegadaian.atlassian.net/browse/ITPROJECT-783?atlOrigin=eyJpIjoiYzgwYTQ0ZjEyNzQzNGJhN2JmNjEyZTM0NmRhZWZhNjIiLCJwIjoic2hlZXRzLWppcmEifQ","ITPROJECT-783")</f>
        <v>ITPROJECT-783</v>
      </c>
      <c r="C429" s="1" t="s">
        <v>542</v>
      </c>
      <c r="D429" s="1" t="s">
        <v>43</v>
      </c>
      <c r="E429" s="1" t="s">
        <v>43</v>
      </c>
      <c r="F429" s="1" t="s">
        <v>12</v>
      </c>
      <c r="G429" s="1" t="s">
        <v>13</v>
      </c>
      <c r="H429" s="4">
        <v>44791.397037037037</v>
      </c>
      <c r="I429" s="4">
        <v>45061.165150462963</v>
      </c>
      <c r="J429" s="1" t="s">
        <v>23</v>
      </c>
    </row>
    <row r="430" spans="1:10" ht="12.75" x14ac:dyDescent="0.2">
      <c r="A430" s="1" t="s">
        <v>63</v>
      </c>
      <c r="B430" s="3" t="str">
        <f>HYPERLINK("https://pegadaian.atlassian.net/browse/ITPROJECT-780?atlOrigin=eyJpIjoiYzgwYTQ0ZjEyNzQzNGJhN2JmNjEyZTM0NmRhZWZhNjIiLCJwIjoic2hlZXRzLWppcmEifQ","ITPROJECT-780")</f>
        <v>ITPROJECT-780</v>
      </c>
      <c r="C430" s="1" t="s">
        <v>543</v>
      </c>
      <c r="D430" s="1" t="s">
        <v>75</v>
      </c>
      <c r="E430" s="1" t="s">
        <v>71</v>
      </c>
      <c r="F430" s="1" t="s">
        <v>12</v>
      </c>
      <c r="G430" s="1" t="s">
        <v>13</v>
      </c>
      <c r="H430" s="4">
        <v>44789.475787037038</v>
      </c>
      <c r="I430" s="4">
        <v>45061.165162037039</v>
      </c>
      <c r="J430" s="1" t="s">
        <v>304</v>
      </c>
    </row>
    <row r="431" spans="1:10" ht="12.75" x14ac:dyDescent="0.2">
      <c r="A431" s="1" t="s">
        <v>63</v>
      </c>
      <c r="B431" s="3" t="str">
        <f>HYPERLINK("https://pegadaian.atlassian.net/browse/ITPROJECT-779?atlOrigin=eyJpIjoiYzgwYTQ0ZjEyNzQzNGJhN2JmNjEyZTM0NmRhZWZhNjIiLCJwIjoic2hlZXRzLWppcmEifQ","ITPROJECT-779")</f>
        <v>ITPROJECT-779</v>
      </c>
      <c r="C431" s="1" t="s">
        <v>544</v>
      </c>
      <c r="D431" s="1" t="s">
        <v>25</v>
      </c>
      <c r="E431" s="1" t="s">
        <v>25</v>
      </c>
      <c r="F431" s="1" t="s">
        <v>12</v>
      </c>
      <c r="G431" s="1" t="s">
        <v>13</v>
      </c>
      <c r="H431" s="4">
        <v>44788.644976851851</v>
      </c>
      <c r="I431" s="4">
        <v>45061.165173611109</v>
      </c>
      <c r="J431" s="1" t="s">
        <v>26</v>
      </c>
    </row>
    <row r="432" spans="1:10" ht="12.75" x14ac:dyDescent="0.2">
      <c r="A432" s="1" t="s">
        <v>63</v>
      </c>
      <c r="B432" s="3" t="str">
        <f>HYPERLINK("https://pegadaian.atlassian.net/browse/ITPROJECT-774?atlOrigin=eyJpIjoiYzgwYTQ0ZjEyNzQzNGJhN2JmNjEyZTM0NmRhZWZhNjIiLCJwIjoic2hlZXRzLWppcmEifQ","ITPROJECT-774")</f>
        <v>ITPROJECT-774</v>
      </c>
      <c r="C432" s="1" t="s">
        <v>545</v>
      </c>
      <c r="D432" s="1" t="s">
        <v>28</v>
      </c>
      <c r="E432" s="1" t="s">
        <v>28</v>
      </c>
      <c r="F432" s="1" t="s">
        <v>12</v>
      </c>
      <c r="G432" s="1" t="s">
        <v>13</v>
      </c>
      <c r="H432" s="4">
        <v>44784.741053240738</v>
      </c>
      <c r="I432" s="4">
        <v>45061.165196759262</v>
      </c>
      <c r="J432" s="1" t="s">
        <v>15</v>
      </c>
    </row>
    <row r="433" spans="1:10" ht="12.75" x14ac:dyDescent="0.2">
      <c r="A433" s="1" t="s">
        <v>63</v>
      </c>
      <c r="B433" s="3" t="str">
        <f>HYPERLINK("https://pegadaian.atlassian.net/browse/ITPROJECT-773?atlOrigin=eyJpIjoiYzgwYTQ0ZjEyNzQzNGJhN2JmNjEyZTM0NmRhZWZhNjIiLCJwIjoic2hlZXRzLWppcmEifQ","ITPROJECT-773")</f>
        <v>ITPROJECT-773</v>
      </c>
      <c r="C433" s="1" t="s">
        <v>546</v>
      </c>
      <c r="D433" s="1" t="s">
        <v>424</v>
      </c>
      <c r="E433" s="1" t="s">
        <v>424</v>
      </c>
      <c r="F433" s="1" t="s">
        <v>12</v>
      </c>
      <c r="G433" s="1" t="s">
        <v>13</v>
      </c>
      <c r="H433" s="4">
        <v>44784.497581018521</v>
      </c>
      <c r="I433" s="4">
        <v>45061.165208333332</v>
      </c>
      <c r="J433" s="1" t="s">
        <v>27</v>
      </c>
    </row>
    <row r="434" spans="1:10" ht="12.75" x14ac:dyDescent="0.2">
      <c r="A434" s="1" t="s">
        <v>117</v>
      </c>
      <c r="B434" s="3" t="str">
        <f>HYPERLINK("https://pegadaian.atlassian.net/browse/ITPROJECT-772?atlOrigin=eyJpIjoiYzgwYTQ0ZjEyNzQzNGJhN2JmNjEyZTM0NmRhZWZhNjIiLCJwIjoic2hlZXRzLWppcmEifQ","ITPROJECT-772")</f>
        <v>ITPROJECT-772</v>
      </c>
      <c r="C434" s="1" t="s">
        <v>547</v>
      </c>
      <c r="D434" s="1" t="s">
        <v>424</v>
      </c>
      <c r="E434" s="1" t="s">
        <v>130</v>
      </c>
      <c r="F434" s="1" t="s">
        <v>12</v>
      </c>
      <c r="G434" s="1" t="s">
        <v>13</v>
      </c>
      <c r="H434" s="4">
        <v>44783.692743055559</v>
      </c>
      <c r="I434" s="4">
        <v>45061.165208333332</v>
      </c>
      <c r="J434" s="1" t="s">
        <v>27</v>
      </c>
    </row>
    <row r="435" spans="1:10" ht="12.75" x14ac:dyDescent="0.2">
      <c r="A435" s="1" t="s">
        <v>63</v>
      </c>
      <c r="B435" s="3" t="str">
        <f>HYPERLINK("https://pegadaian.atlassian.net/browse/ITPROJECT-766?atlOrigin=eyJpIjoiYzgwYTQ0ZjEyNzQzNGJhN2JmNjEyZTM0NmRhZWZhNjIiLCJwIjoic2hlZXRzLWppcmEifQ","ITPROJECT-766")</f>
        <v>ITPROJECT-766</v>
      </c>
      <c r="C435" s="1" t="s">
        <v>548</v>
      </c>
      <c r="D435" s="1" t="s">
        <v>43</v>
      </c>
      <c r="E435" s="1" t="s">
        <v>43</v>
      </c>
      <c r="F435" s="1" t="s">
        <v>12</v>
      </c>
      <c r="G435" s="1" t="s">
        <v>13</v>
      </c>
      <c r="H435" s="4">
        <v>44783.400254629632</v>
      </c>
      <c r="I435" s="4">
        <v>45061.165254629632</v>
      </c>
      <c r="J435" s="1" t="s">
        <v>23</v>
      </c>
    </row>
    <row r="436" spans="1:10" ht="12.75" x14ac:dyDescent="0.2">
      <c r="A436" s="1" t="s">
        <v>63</v>
      </c>
      <c r="B436" s="3" t="str">
        <f>HYPERLINK("https://pegadaian.atlassian.net/browse/ITPROJECT-764?atlOrigin=eyJpIjoiYzgwYTQ0ZjEyNzQzNGJhN2JmNjEyZTM0NmRhZWZhNjIiLCJwIjoic2hlZXRzLWppcmEifQ","ITPROJECT-764")</f>
        <v>ITPROJECT-764</v>
      </c>
      <c r="C436" s="1" t="s">
        <v>549</v>
      </c>
      <c r="D436" s="1" t="s">
        <v>25</v>
      </c>
      <c r="E436" s="1" t="s">
        <v>25</v>
      </c>
      <c r="F436" s="1" t="s">
        <v>12</v>
      </c>
      <c r="G436" s="1" t="s">
        <v>13</v>
      </c>
      <c r="H436" s="4">
        <v>44782.636273148149</v>
      </c>
      <c r="I436" s="4">
        <v>45061.165277777778</v>
      </c>
      <c r="J436" s="1" t="s">
        <v>26</v>
      </c>
    </row>
    <row r="437" spans="1:10" ht="12.75" x14ac:dyDescent="0.2">
      <c r="A437" s="1" t="s">
        <v>63</v>
      </c>
      <c r="B437" s="3" t="str">
        <f>HYPERLINK("https://pegadaian.atlassian.net/browse/ITPROJECT-763?atlOrigin=eyJpIjoiYzgwYTQ0ZjEyNzQzNGJhN2JmNjEyZTM0NmRhZWZhNjIiLCJwIjoic2hlZXRzLWppcmEifQ","ITPROJECT-763")</f>
        <v>ITPROJECT-763</v>
      </c>
      <c r="C437" s="1" t="s">
        <v>550</v>
      </c>
      <c r="D437" s="1" t="s">
        <v>57</v>
      </c>
      <c r="E437" s="1" t="s">
        <v>57</v>
      </c>
      <c r="F437" s="1" t="s">
        <v>12</v>
      </c>
      <c r="G437" s="1" t="s">
        <v>13</v>
      </c>
      <c r="H437" s="4">
        <v>44782.590254629627</v>
      </c>
      <c r="I437" s="4">
        <v>45061.165277777778</v>
      </c>
      <c r="J437" s="1" t="s">
        <v>54</v>
      </c>
    </row>
    <row r="438" spans="1:10" ht="12.75" x14ac:dyDescent="0.2">
      <c r="A438" s="1" t="s">
        <v>117</v>
      </c>
      <c r="B438" s="3" t="str">
        <f>HYPERLINK("https://pegadaian.atlassian.net/browse/ITPROJECT-759?atlOrigin=eyJpIjoiYzgwYTQ0ZjEyNzQzNGJhN2JmNjEyZTM0NmRhZWZhNjIiLCJwIjoic2hlZXRzLWppcmEifQ","ITPROJECT-759")</f>
        <v>ITPROJECT-759</v>
      </c>
      <c r="C438" s="1" t="s">
        <v>551</v>
      </c>
      <c r="D438" s="1" t="s">
        <v>71</v>
      </c>
      <c r="E438" s="1" t="s">
        <v>122</v>
      </c>
      <c r="F438" s="1" t="s">
        <v>12</v>
      </c>
      <c r="G438" s="1" t="s">
        <v>13</v>
      </c>
      <c r="H438" s="4">
        <v>44781.627789351849</v>
      </c>
      <c r="I438" s="4">
        <v>45061.165312500001</v>
      </c>
      <c r="J438" s="1" t="s">
        <v>60</v>
      </c>
    </row>
    <row r="439" spans="1:10" ht="12.75" x14ac:dyDescent="0.2">
      <c r="A439" s="1" t="s">
        <v>63</v>
      </c>
      <c r="B439" s="3" t="str">
        <f>HYPERLINK("https://pegadaian.atlassian.net/browse/ITPROJECT-757?atlOrigin=eyJpIjoiYzgwYTQ0ZjEyNzQzNGJhN2JmNjEyZTM0NmRhZWZhNjIiLCJwIjoic2hlZXRzLWppcmEifQ","ITPROJECT-757")</f>
        <v>ITPROJECT-757</v>
      </c>
      <c r="C439" s="1" t="s">
        <v>552</v>
      </c>
      <c r="D439" s="1" t="s">
        <v>46</v>
      </c>
      <c r="E439" s="1" t="s">
        <v>46</v>
      </c>
      <c r="F439" s="1" t="s">
        <v>12</v>
      </c>
      <c r="G439" s="1" t="s">
        <v>13</v>
      </c>
      <c r="H439" s="4">
        <v>44781.572581018518</v>
      </c>
      <c r="I439" s="4">
        <v>45061.165324074071</v>
      </c>
      <c r="J439" s="1" t="s">
        <v>48</v>
      </c>
    </row>
    <row r="440" spans="1:10" ht="12.75" x14ac:dyDescent="0.2">
      <c r="A440" s="1" t="s">
        <v>117</v>
      </c>
      <c r="B440" s="3" t="str">
        <f>HYPERLINK("https://pegadaian.atlassian.net/browse/ITPROJECT-752?atlOrigin=eyJpIjoiYzgwYTQ0ZjEyNzQzNGJhN2JmNjEyZTM0NmRhZWZhNjIiLCJwIjoic2hlZXRzLWppcmEifQ","ITPROJECT-752")</f>
        <v>ITPROJECT-752</v>
      </c>
      <c r="C440" s="1" t="s">
        <v>553</v>
      </c>
      <c r="D440" s="1" t="s">
        <v>71</v>
      </c>
      <c r="E440" s="1" t="s">
        <v>506</v>
      </c>
      <c r="F440" s="1" t="s">
        <v>12</v>
      </c>
      <c r="G440" s="1" t="s">
        <v>13</v>
      </c>
      <c r="H440" s="4">
        <v>44776.583356481482</v>
      </c>
      <c r="I440" s="4">
        <v>45061.165358796294</v>
      </c>
      <c r="J440" s="1" t="s">
        <v>60</v>
      </c>
    </row>
    <row r="441" spans="1:10" ht="12.75" x14ac:dyDescent="0.2">
      <c r="A441" s="1" t="s">
        <v>117</v>
      </c>
      <c r="B441" s="3" t="str">
        <f>HYPERLINK("https://pegadaian.atlassian.net/browse/ITPROJECT-751?atlOrigin=eyJpIjoiYzgwYTQ0ZjEyNzQzNGJhN2JmNjEyZTM0NmRhZWZhNjIiLCJwIjoic2hlZXRzLWppcmEifQ","ITPROJECT-751")</f>
        <v>ITPROJECT-751</v>
      </c>
      <c r="C441" s="1" t="s">
        <v>554</v>
      </c>
      <c r="D441" s="1" t="s">
        <v>65</v>
      </c>
      <c r="E441" s="1" t="s">
        <v>122</v>
      </c>
      <c r="F441" s="1" t="s">
        <v>12</v>
      </c>
      <c r="G441" s="1" t="s">
        <v>13</v>
      </c>
      <c r="H441" s="4">
        <v>44776.553680555553</v>
      </c>
      <c r="I441" s="4">
        <v>45061.165358796294</v>
      </c>
      <c r="J441" s="1" t="s">
        <v>54</v>
      </c>
    </row>
    <row r="442" spans="1:10" ht="12.75" x14ac:dyDescent="0.2">
      <c r="A442" s="1" t="s">
        <v>63</v>
      </c>
      <c r="B442" s="3" t="str">
        <f>HYPERLINK("https://pegadaian.atlassian.net/browse/ITPROJECT-750?atlOrigin=eyJpIjoiYzgwYTQ0ZjEyNzQzNGJhN2JmNjEyZTM0NmRhZWZhNjIiLCJwIjoic2hlZXRzLWppcmEifQ","ITPROJECT-750")</f>
        <v>ITPROJECT-750</v>
      </c>
      <c r="C442" s="1" t="s">
        <v>555</v>
      </c>
      <c r="D442" s="1" t="s">
        <v>43</v>
      </c>
      <c r="E442" s="1" t="s">
        <v>43</v>
      </c>
      <c r="F442" s="1" t="s">
        <v>12</v>
      </c>
      <c r="G442" s="1" t="s">
        <v>13</v>
      </c>
      <c r="H442" s="4">
        <v>44776.474074074074</v>
      </c>
      <c r="I442" s="4">
        <v>45061.165370370371</v>
      </c>
      <c r="J442" s="1" t="s">
        <v>556</v>
      </c>
    </row>
    <row r="443" spans="1:10" ht="12.75" x14ac:dyDescent="0.2">
      <c r="A443" s="1" t="s">
        <v>117</v>
      </c>
      <c r="B443" s="3" t="str">
        <f>HYPERLINK("https://pegadaian.atlassian.net/browse/ITPROJECT-749?atlOrigin=eyJpIjoiYzgwYTQ0ZjEyNzQzNGJhN2JmNjEyZTM0NmRhZWZhNjIiLCJwIjoic2hlZXRzLWppcmEifQ","ITPROJECT-749")</f>
        <v>ITPROJECT-749</v>
      </c>
      <c r="C443" s="1" t="s">
        <v>557</v>
      </c>
      <c r="D443" s="1" t="s">
        <v>46</v>
      </c>
      <c r="E443" s="1" t="s">
        <v>506</v>
      </c>
      <c r="F443" s="1" t="s">
        <v>12</v>
      </c>
      <c r="G443" s="1" t="s">
        <v>13</v>
      </c>
      <c r="H443" s="4">
        <v>44776.436284722222</v>
      </c>
      <c r="I443" s="4">
        <v>45061.165381944447</v>
      </c>
      <c r="J443" s="1" t="s">
        <v>48</v>
      </c>
    </row>
    <row r="444" spans="1:10" ht="12.75" x14ac:dyDescent="0.2">
      <c r="A444" s="1" t="s">
        <v>63</v>
      </c>
      <c r="B444" s="3" t="str">
        <f>HYPERLINK("https://pegadaian.atlassian.net/browse/ITPROJECT-748?atlOrigin=eyJpIjoiYzgwYTQ0ZjEyNzQzNGJhN2JmNjEyZTM0NmRhZWZhNjIiLCJwIjoic2hlZXRzLWppcmEifQ","ITPROJECT-748")</f>
        <v>ITPROJECT-748</v>
      </c>
      <c r="C444" s="1" t="s">
        <v>558</v>
      </c>
      <c r="D444" s="1" t="s">
        <v>46</v>
      </c>
      <c r="E444" s="1" t="s">
        <v>46</v>
      </c>
      <c r="F444" s="1" t="s">
        <v>12</v>
      </c>
      <c r="G444" s="1" t="s">
        <v>68</v>
      </c>
      <c r="H444" s="4">
        <v>44776.413368055553</v>
      </c>
      <c r="I444" s="4">
        <v>45061.165381944447</v>
      </c>
      <c r="J444" s="1" t="s">
        <v>285</v>
      </c>
    </row>
    <row r="445" spans="1:10" ht="12.75" x14ac:dyDescent="0.2">
      <c r="A445" s="1" t="s">
        <v>117</v>
      </c>
      <c r="B445" s="3" t="str">
        <f>HYPERLINK("https://pegadaian.atlassian.net/browse/ITPROJECT-743?atlOrigin=eyJpIjoiYzgwYTQ0ZjEyNzQzNGJhN2JmNjEyZTM0NmRhZWZhNjIiLCJwIjoic2hlZXRzLWppcmEifQ","ITPROJECT-743")</f>
        <v>ITPROJECT-743</v>
      </c>
      <c r="C445" s="1" t="s">
        <v>559</v>
      </c>
      <c r="D445" s="1" t="s">
        <v>115</v>
      </c>
      <c r="E445" s="1" t="s">
        <v>122</v>
      </c>
      <c r="F445" s="1" t="s">
        <v>12</v>
      </c>
      <c r="G445" s="1" t="s">
        <v>213</v>
      </c>
      <c r="H445" s="4">
        <v>44775.484085648146</v>
      </c>
      <c r="I445" s="4">
        <v>45061.165439814817</v>
      </c>
      <c r="J445" s="1" t="s">
        <v>18</v>
      </c>
    </row>
    <row r="446" spans="1:10" ht="12.75" x14ac:dyDescent="0.2">
      <c r="A446" s="1" t="s">
        <v>117</v>
      </c>
      <c r="B446" s="3" t="str">
        <f>HYPERLINK("https://pegadaian.atlassian.net/browse/ITPROJECT-742?atlOrigin=eyJpIjoiYzgwYTQ0ZjEyNzQzNGJhN2JmNjEyZTM0NmRhZWZhNjIiLCJwIjoic2hlZXRzLWppcmEifQ","ITPROJECT-742")</f>
        <v>ITPROJECT-742</v>
      </c>
      <c r="C446" s="1" t="s">
        <v>560</v>
      </c>
      <c r="D446" s="1" t="s">
        <v>25</v>
      </c>
      <c r="E446" s="1" t="s">
        <v>122</v>
      </c>
      <c r="F446" s="1" t="s">
        <v>12</v>
      </c>
      <c r="G446" s="1" t="s">
        <v>13</v>
      </c>
      <c r="H446" s="4">
        <v>44775.478877314818</v>
      </c>
      <c r="I446" s="4">
        <v>45061.165439814817</v>
      </c>
      <c r="J446" s="1" t="s">
        <v>26</v>
      </c>
    </row>
    <row r="447" spans="1:10" ht="12.75" x14ac:dyDescent="0.2">
      <c r="A447" s="1" t="s">
        <v>117</v>
      </c>
      <c r="B447" s="3" t="str">
        <f>HYPERLINK("https://pegadaian.atlassian.net/browse/ITPROJECT-740?atlOrigin=eyJpIjoiYzgwYTQ0ZjEyNzQzNGJhN2JmNjEyZTM0NmRhZWZhNjIiLCJwIjoic2hlZXRzLWppcmEifQ","ITPROJECT-740")</f>
        <v>ITPROJECT-740</v>
      </c>
      <c r="C447" s="1" t="s">
        <v>561</v>
      </c>
      <c r="D447" s="1" t="s">
        <v>65</v>
      </c>
      <c r="E447" s="1" t="s">
        <v>122</v>
      </c>
      <c r="F447" s="1" t="s">
        <v>12</v>
      </c>
      <c r="G447" s="1" t="s">
        <v>68</v>
      </c>
      <c r="H447" s="4">
        <v>44774.606689814813</v>
      </c>
      <c r="I447" s="4">
        <v>45061.165451388886</v>
      </c>
      <c r="J447" s="1" t="s">
        <v>54</v>
      </c>
    </row>
    <row r="448" spans="1:10" ht="12.75" x14ac:dyDescent="0.2">
      <c r="A448" s="1" t="s">
        <v>63</v>
      </c>
      <c r="B448" s="3" t="str">
        <f>HYPERLINK("https://pegadaian.atlassian.net/browse/ITPROJECT-738?atlOrigin=eyJpIjoiYzgwYTQ0ZjEyNzQzNGJhN2JmNjEyZTM0NmRhZWZhNjIiLCJwIjoic2hlZXRzLWppcmEifQ","ITPROJECT-738")</f>
        <v>ITPROJECT-738</v>
      </c>
      <c r="C448" s="1" t="s">
        <v>562</v>
      </c>
      <c r="D448" s="1" t="s">
        <v>65</v>
      </c>
      <c r="E448" s="1" t="s">
        <v>65</v>
      </c>
      <c r="F448" s="1" t="s">
        <v>12</v>
      </c>
      <c r="G448" s="1" t="s">
        <v>13</v>
      </c>
      <c r="H448" s="4">
        <v>44774.486388888887</v>
      </c>
      <c r="I448" s="4">
        <v>45061.165451388886</v>
      </c>
      <c r="J448" s="1" t="s">
        <v>54</v>
      </c>
    </row>
    <row r="449" spans="1:10" ht="12.75" x14ac:dyDescent="0.2">
      <c r="A449" s="1" t="s">
        <v>63</v>
      </c>
      <c r="B449" s="3" t="str">
        <f>HYPERLINK("https://pegadaian.atlassian.net/browse/ITPROJECT-733?atlOrigin=eyJpIjoiYzgwYTQ0ZjEyNzQzNGJhN2JmNjEyZTM0NmRhZWZhNjIiLCJwIjoic2hlZXRzLWppcmEifQ","ITPROJECT-733")</f>
        <v>ITPROJECT-733</v>
      </c>
      <c r="C449" s="1" t="s">
        <v>563</v>
      </c>
      <c r="D449" s="1" t="s">
        <v>43</v>
      </c>
      <c r="E449" s="1" t="s">
        <v>43</v>
      </c>
      <c r="F449" s="1" t="s">
        <v>12</v>
      </c>
      <c r="G449" s="1" t="s">
        <v>13</v>
      </c>
      <c r="H449" s="4">
        <v>44771.572442129633</v>
      </c>
      <c r="I449" s="4">
        <v>45061.165497685186</v>
      </c>
      <c r="J449" s="1" t="s">
        <v>23</v>
      </c>
    </row>
    <row r="450" spans="1:10" ht="12.75" x14ac:dyDescent="0.2">
      <c r="A450" s="1" t="s">
        <v>117</v>
      </c>
      <c r="B450" s="3" t="str">
        <f>HYPERLINK("https://pegadaian.atlassian.net/browse/ITPROJECT-731?atlOrigin=eyJpIjoiYzgwYTQ0ZjEyNzQzNGJhN2JmNjEyZTM0NmRhZWZhNjIiLCJwIjoic2hlZXRzLWppcmEifQ","ITPROJECT-731")</f>
        <v>ITPROJECT-731</v>
      </c>
      <c r="C450" s="1" t="s">
        <v>564</v>
      </c>
      <c r="D450" s="1" t="s">
        <v>565</v>
      </c>
      <c r="E450" s="1" t="s">
        <v>161</v>
      </c>
      <c r="F450" s="1" t="s">
        <v>12</v>
      </c>
      <c r="G450" s="1" t="s">
        <v>120</v>
      </c>
      <c r="H450" s="4">
        <v>44771.404166666667</v>
      </c>
      <c r="I450" s="4">
        <v>45061.165509259263</v>
      </c>
      <c r="J450" s="1" t="s">
        <v>487</v>
      </c>
    </row>
    <row r="451" spans="1:10" ht="12.75" x14ac:dyDescent="0.2">
      <c r="A451" s="1" t="s">
        <v>63</v>
      </c>
      <c r="B451" s="3" t="str">
        <f>HYPERLINK("https://pegadaian.atlassian.net/browse/ITPROJECT-730?atlOrigin=eyJpIjoiYzgwYTQ0ZjEyNzQzNGJhN2JmNjEyZTM0NmRhZWZhNjIiLCJwIjoic2hlZXRzLWppcmEifQ","ITPROJECT-730")</f>
        <v>ITPROJECT-730</v>
      </c>
      <c r="C451" s="1" t="s">
        <v>566</v>
      </c>
      <c r="D451" s="1" t="s">
        <v>75</v>
      </c>
      <c r="E451" s="1" t="s">
        <v>75</v>
      </c>
      <c r="F451" s="1" t="s">
        <v>12</v>
      </c>
      <c r="G451" s="1" t="s">
        <v>76</v>
      </c>
      <c r="H451" s="4">
        <v>44770.678611111114</v>
      </c>
      <c r="I451" s="4">
        <v>45061.165509259263</v>
      </c>
      <c r="J451" s="1" t="s">
        <v>40</v>
      </c>
    </row>
    <row r="452" spans="1:10" ht="12.75" x14ac:dyDescent="0.2">
      <c r="A452" s="1" t="s">
        <v>117</v>
      </c>
      <c r="B452" s="3" t="str">
        <f>HYPERLINK("https://pegadaian.atlassian.net/browse/ITPROJECT-727?atlOrigin=eyJpIjoiYzgwYTQ0ZjEyNzQzNGJhN2JmNjEyZTM0NmRhZWZhNjIiLCJwIjoic2hlZXRzLWppcmEifQ","ITPROJECT-727")</f>
        <v>ITPROJECT-727</v>
      </c>
      <c r="C452" s="1" t="s">
        <v>567</v>
      </c>
      <c r="D452" s="1" t="s">
        <v>43</v>
      </c>
      <c r="E452" s="1" t="s">
        <v>130</v>
      </c>
      <c r="F452" s="1" t="s">
        <v>12</v>
      </c>
      <c r="G452" s="1" t="s">
        <v>13</v>
      </c>
      <c r="H452" s="4">
        <v>44770.441041666665</v>
      </c>
      <c r="I452" s="4">
        <v>45061.165532407409</v>
      </c>
      <c r="J452" s="1" t="s">
        <v>23</v>
      </c>
    </row>
    <row r="453" spans="1:10" ht="12.75" x14ac:dyDescent="0.2">
      <c r="A453" s="1" t="s">
        <v>63</v>
      </c>
      <c r="B453" s="3" t="str">
        <f>HYPERLINK("https://pegadaian.atlassian.net/browse/ITPROJECT-726?atlOrigin=eyJpIjoiYzgwYTQ0ZjEyNzQzNGJhN2JmNjEyZTM0NmRhZWZhNjIiLCJwIjoic2hlZXRzLWppcmEifQ","ITPROJECT-726")</f>
        <v>ITPROJECT-726</v>
      </c>
      <c r="C453" s="1" t="s">
        <v>568</v>
      </c>
      <c r="D453" s="1" t="s">
        <v>424</v>
      </c>
      <c r="E453" s="1" t="s">
        <v>424</v>
      </c>
      <c r="F453" s="1" t="s">
        <v>12</v>
      </c>
      <c r="G453" s="1" t="s">
        <v>13</v>
      </c>
      <c r="H453" s="4">
        <v>44770.386504629627</v>
      </c>
      <c r="I453" s="4">
        <v>45061.165543981479</v>
      </c>
      <c r="J453" s="1" t="s">
        <v>27</v>
      </c>
    </row>
    <row r="454" spans="1:10" ht="12.75" x14ac:dyDescent="0.2">
      <c r="A454" s="1" t="s">
        <v>63</v>
      </c>
      <c r="B454" s="3" t="str">
        <f>HYPERLINK("https://pegadaian.atlassian.net/browse/ITPROJECT-724?atlOrigin=eyJpIjoiYzgwYTQ0ZjEyNzQzNGJhN2JmNjEyZTM0NmRhZWZhNjIiLCJwIjoic2hlZXRzLWppcmEifQ","ITPROJECT-724")</f>
        <v>ITPROJECT-724</v>
      </c>
      <c r="C454" s="1" t="s">
        <v>569</v>
      </c>
      <c r="D454" s="1" t="s">
        <v>28</v>
      </c>
      <c r="E454" s="1" t="s">
        <v>28</v>
      </c>
      <c r="F454" s="1" t="s">
        <v>12</v>
      </c>
      <c r="G454" s="1" t="s">
        <v>13</v>
      </c>
      <c r="H454" s="4">
        <v>44769.488738425927</v>
      </c>
      <c r="I454" s="4">
        <v>45061.165555555555</v>
      </c>
      <c r="J454" s="1" t="s">
        <v>15</v>
      </c>
    </row>
    <row r="455" spans="1:10" ht="12.75" x14ac:dyDescent="0.2">
      <c r="A455" s="1" t="s">
        <v>117</v>
      </c>
      <c r="B455" s="3" t="str">
        <f>HYPERLINK("https://pegadaian.atlassian.net/browse/ITPROJECT-722?atlOrigin=eyJpIjoiYzgwYTQ0ZjEyNzQzNGJhN2JmNjEyZTM0NmRhZWZhNjIiLCJwIjoic2hlZXRzLWppcmEifQ","ITPROJECT-722")</f>
        <v>ITPROJECT-722</v>
      </c>
      <c r="C455" s="1" t="s">
        <v>570</v>
      </c>
      <c r="D455" s="1" t="s">
        <v>424</v>
      </c>
      <c r="E455" s="1" t="s">
        <v>130</v>
      </c>
      <c r="F455" s="1" t="s">
        <v>12</v>
      </c>
      <c r="G455" s="1" t="s">
        <v>13</v>
      </c>
      <c r="H455" s="4">
        <v>44768.610914351855</v>
      </c>
      <c r="I455" s="4">
        <v>45061.165567129632</v>
      </c>
      <c r="J455" s="1" t="s">
        <v>27</v>
      </c>
    </row>
    <row r="456" spans="1:10" ht="12.75" x14ac:dyDescent="0.2">
      <c r="A456" s="1" t="s">
        <v>117</v>
      </c>
      <c r="B456" s="3" t="str">
        <f>HYPERLINK("https://pegadaian.atlassian.net/browse/ITPROJECT-717?atlOrigin=eyJpIjoiYzgwYTQ0ZjEyNzQzNGJhN2JmNjEyZTM0NmRhZWZhNjIiLCJwIjoic2hlZXRzLWppcmEifQ","ITPROJECT-717")</f>
        <v>ITPROJECT-717</v>
      </c>
      <c r="C456" s="1" t="s">
        <v>571</v>
      </c>
      <c r="D456" s="1" t="s">
        <v>25</v>
      </c>
      <c r="E456" s="1" t="s">
        <v>122</v>
      </c>
      <c r="F456" s="1" t="s">
        <v>12</v>
      </c>
      <c r="G456" s="1" t="s">
        <v>13</v>
      </c>
      <c r="H456" s="4">
        <v>44767.580740740741</v>
      </c>
      <c r="I456" s="4">
        <v>45061.165590277778</v>
      </c>
      <c r="J456" s="1" t="s">
        <v>26</v>
      </c>
    </row>
    <row r="457" spans="1:10" ht="12.75" x14ac:dyDescent="0.2">
      <c r="A457" s="1" t="s">
        <v>63</v>
      </c>
      <c r="B457" s="3" t="str">
        <f>HYPERLINK("https://pegadaian.atlassian.net/browse/ITPROJECT-716?atlOrigin=eyJpIjoiYzgwYTQ0ZjEyNzQzNGJhN2JmNjEyZTM0NmRhZWZhNjIiLCJwIjoic2hlZXRzLWppcmEifQ","ITPROJECT-716")</f>
        <v>ITPROJECT-716</v>
      </c>
      <c r="C457" s="1" t="s">
        <v>572</v>
      </c>
      <c r="D457" s="1" t="s">
        <v>79</v>
      </c>
      <c r="E457" s="1" t="s">
        <v>79</v>
      </c>
      <c r="F457" s="1" t="s">
        <v>12</v>
      </c>
      <c r="G457" s="1" t="s">
        <v>13</v>
      </c>
      <c r="H457" s="4">
        <v>44767.494201388887</v>
      </c>
      <c r="I457" s="4">
        <v>45061.165601851855</v>
      </c>
      <c r="J457" s="1" t="s">
        <v>60</v>
      </c>
    </row>
    <row r="458" spans="1:10" ht="12.75" x14ac:dyDescent="0.2">
      <c r="A458" s="1" t="s">
        <v>63</v>
      </c>
      <c r="B458" s="3" t="str">
        <f>HYPERLINK("https://pegadaian.atlassian.net/browse/ITPROJECT-715?atlOrigin=eyJpIjoiYzgwYTQ0ZjEyNzQzNGJhN2JmNjEyZTM0NmRhZWZhNjIiLCJwIjoic2hlZXRzLWppcmEifQ","ITPROJECT-715")</f>
        <v>ITPROJECT-715</v>
      </c>
      <c r="C458" s="1" t="s">
        <v>573</v>
      </c>
      <c r="D458" s="1" t="s">
        <v>65</v>
      </c>
      <c r="E458" s="1" t="s">
        <v>65</v>
      </c>
      <c r="F458" s="1" t="s">
        <v>12</v>
      </c>
      <c r="G458" s="1" t="s">
        <v>13</v>
      </c>
      <c r="H458" s="4">
        <v>44767.456435185188</v>
      </c>
      <c r="I458" s="4">
        <v>45061.165613425925</v>
      </c>
      <c r="J458" s="1" t="s">
        <v>54</v>
      </c>
    </row>
    <row r="459" spans="1:10" ht="12.75" x14ac:dyDescent="0.2">
      <c r="A459" s="1" t="s">
        <v>63</v>
      </c>
      <c r="B459" s="3" t="str">
        <f>HYPERLINK("https://pegadaian.atlassian.net/browse/ITPROJECT-713?atlOrigin=eyJpIjoiYzgwYTQ0ZjEyNzQzNGJhN2JmNjEyZTM0NmRhZWZhNjIiLCJwIjoic2hlZXRzLWppcmEifQ","ITPROJECT-713")</f>
        <v>ITPROJECT-713</v>
      </c>
      <c r="C459" s="1" t="s">
        <v>574</v>
      </c>
      <c r="D459" s="1" t="s">
        <v>46</v>
      </c>
      <c r="E459" s="1" t="s">
        <v>46</v>
      </c>
      <c r="F459" s="1" t="s">
        <v>12</v>
      </c>
      <c r="G459" s="1" t="s">
        <v>13</v>
      </c>
      <c r="H459" s="4">
        <v>44763.648668981485</v>
      </c>
      <c r="I459" s="4">
        <v>45061.165625000001</v>
      </c>
      <c r="J459" s="1" t="s">
        <v>60</v>
      </c>
    </row>
    <row r="460" spans="1:10" ht="12.75" x14ac:dyDescent="0.2">
      <c r="A460" s="1" t="s">
        <v>63</v>
      </c>
      <c r="B460" s="3" t="str">
        <f>HYPERLINK("https://pegadaian.atlassian.net/browse/ITPROJECT-708?atlOrigin=eyJpIjoiYzgwYTQ0ZjEyNzQzNGJhN2JmNjEyZTM0NmRhZWZhNjIiLCJwIjoic2hlZXRzLWppcmEifQ","ITPROJECT-708")</f>
        <v>ITPROJECT-708</v>
      </c>
      <c r="C460" s="1" t="s">
        <v>575</v>
      </c>
      <c r="D460" s="1" t="s">
        <v>424</v>
      </c>
      <c r="E460" s="1" t="s">
        <v>424</v>
      </c>
      <c r="F460" s="1" t="s">
        <v>12</v>
      </c>
      <c r="G460" s="1" t="s">
        <v>13</v>
      </c>
      <c r="H460" s="4">
        <v>44763.392314814817</v>
      </c>
      <c r="I460" s="4">
        <v>45061.165659722225</v>
      </c>
      <c r="J460" s="1" t="s">
        <v>27</v>
      </c>
    </row>
    <row r="461" spans="1:10" ht="12.75" x14ac:dyDescent="0.2">
      <c r="A461" s="1" t="s">
        <v>117</v>
      </c>
      <c r="B461" s="3" t="str">
        <f>HYPERLINK("https://pegadaian.atlassian.net/browse/ITPROJECT-707?atlOrigin=eyJpIjoiYzgwYTQ0ZjEyNzQzNGJhN2JmNjEyZTM0NmRhZWZhNjIiLCJwIjoic2hlZXRzLWppcmEifQ","ITPROJECT-707")</f>
        <v>ITPROJECT-707</v>
      </c>
      <c r="C461" s="1" t="s">
        <v>576</v>
      </c>
      <c r="D461" s="1" t="s">
        <v>112</v>
      </c>
      <c r="E461" s="1" t="s">
        <v>130</v>
      </c>
      <c r="F461" s="1" t="s">
        <v>12</v>
      </c>
      <c r="G461" s="1" t="s">
        <v>213</v>
      </c>
      <c r="H461" s="4">
        <v>44762.62096064815</v>
      </c>
      <c r="I461" s="4">
        <v>45061.165671296294</v>
      </c>
      <c r="J461" s="1" t="s">
        <v>32</v>
      </c>
    </row>
    <row r="462" spans="1:10" ht="12.75" x14ac:dyDescent="0.2">
      <c r="A462" s="1" t="s">
        <v>63</v>
      </c>
      <c r="B462" s="3" t="str">
        <f>HYPERLINK("https://pegadaian.atlassian.net/browse/ITPROJECT-706?atlOrigin=eyJpIjoiYzgwYTQ0ZjEyNzQzNGJhN2JmNjEyZTM0NmRhZWZhNjIiLCJwIjoic2hlZXRzLWppcmEifQ","ITPROJECT-706")</f>
        <v>ITPROJECT-706</v>
      </c>
      <c r="C462" s="1" t="s">
        <v>577</v>
      </c>
      <c r="D462" s="1" t="s">
        <v>115</v>
      </c>
      <c r="E462" s="1" t="s">
        <v>115</v>
      </c>
      <c r="F462" s="1" t="s">
        <v>12</v>
      </c>
      <c r="G462" s="1" t="s">
        <v>13</v>
      </c>
      <c r="H462" s="4">
        <v>44761.557268518518</v>
      </c>
      <c r="I462" s="4">
        <v>45061.165671296294</v>
      </c>
      <c r="J462" s="1" t="s">
        <v>18</v>
      </c>
    </row>
    <row r="463" spans="1:10" ht="12.75" x14ac:dyDescent="0.2">
      <c r="A463" s="1" t="s">
        <v>117</v>
      </c>
      <c r="B463" s="3" t="str">
        <f>HYPERLINK("https://pegadaian.atlassian.net/browse/ITPROJECT-705?atlOrigin=eyJpIjoiYzgwYTQ0ZjEyNzQzNGJhN2JmNjEyZTM0NmRhZWZhNjIiLCJwIjoic2hlZXRzLWppcmEifQ","ITPROJECT-705")</f>
        <v>ITPROJECT-705</v>
      </c>
      <c r="C463" s="1" t="s">
        <v>577</v>
      </c>
      <c r="D463" s="1" t="s">
        <v>115</v>
      </c>
      <c r="E463" s="1" t="s">
        <v>122</v>
      </c>
      <c r="F463" s="1" t="s">
        <v>12</v>
      </c>
      <c r="G463" s="1" t="s">
        <v>13</v>
      </c>
      <c r="H463" s="4">
        <v>44761.483310185184</v>
      </c>
      <c r="I463" s="4">
        <v>45061.165682870371</v>
      </c>
      <c r="J463" s="1" t="s">
        <v>18</v>
      </c>
    </row>
    <row r="464" spans="1:10" ht="12.75" x14ac:dyDescent="0.2">
      <c r="A464" s="1" t="s">
        <v>63</v>
      </c>
      <c r="B464" s="3" t="str">
        <f>HYPERLINK("https://pegadaian.atlassian.net/browse/ITPROJECT-699?atlOrigin=eyJpIjoiYzgwYTQ0ZjEyNzQzNGJhN2JmNjEyZTM0NmRhZWZhNjIiLCJwIjoic2hlZXRzLWppcmEifQ","ITPROJECT-699")</f>
        <v>ITPROJECT-699</v>
      </c>
      <c r="C464" s="1" t="s">
        <v>578</v>
      </c>
      <c r="D464" s="1" t="s">
        <v>24</v>
      </c>
      <c r="E464" s="1" t="s">
        <v>24</v>
      </c>
      <c r="F464" s="1" t="s">
        <v>12</v>
      </c>
      <c r="G464" s="1" t="s">
        <v>68</v>
      </c>
      <c r="H464" s="4">
        <v>44760.359594907408</v>
      </c>
      <c r="I464" s="4">
        <v>45061.165717592594</v>
      </c>
      <c r="J464" s="1" t="s">
        <v>32</v>
      </c>
    </row>
    <row r="465" spans="1:10" ht="12.75" x14ac:dyDescent="0.2">
      <c r="A465" s="1" t="s">
        <v>63</v>
      </c>
      <c r="B465" s="3" t="str">
        <f>HYPERLINK("https://pegadaian.atlassian.net/browse/ITPROJECT-698?atlOrigin=eyJpIjoiYzgwYTQ0ZjEyNzQzNGJhN2JmNjEyZTM0NmRhZWZhNjIiLCJwIjoic2hlZXRzLWppcmEifQ","ITPROJECT-698")</f>
        <v>ITPROJECT-698</v>
      </c>
      <c r="C465" s="1" t="s">
        <v>579</v>
      </c>
      <c r="D465" s="1" t="s">
        <v>65</v>
      </c>
      <c r="E465" s="1" t="s">
        <v>65</v>
      </c>
      <c r="F465" s="1" t="s">
        <v>12</v>
      </c>
      <c r="G465" s="1" t="s">
        <v>13</v>
      </c>
      <c r="H465" s="4">
        <v>44757.608553240738</v>
      </c>
      <c r="I465" s="4">
        <v>45061.165729166663</v>
      </c>
      <c r="J465" s="1" t="s">
        <v>54</v>
      </c>
    </row>
    <row r="466" spans="1:10" ht="12.75" x14ac:dyDescent="0.2">
      <c r="A466" s="1" t="s">
        <v>63</v>
      </c>
      <c r="B466" s="3" t="str">
        <f>HYPERLINK("https://pegadaian.atlassian.net/browse/ITPROJECT-695?atlOrigin=eyJpIjoiYzgwYTQ0ZjEyNzQzNGJhN2JmNjEyZTM0NmRhZWZhNjIiLCJwIjoic2hlZXRzLWppcmEifQ","ITPROJECT-695")</f>
        <v>ITPROJECT-695</v>
      </c>
      <c r="C466" s="1" t="s">
        <v>580</v>
      </c>
      <c r="D466" s="1" t="s">
        <v>75</v>
      </c>
      <c r="E466" s="1" t="s">
        <v>75</v>
      </c>
      <c r="F466" s="1" t="s">
        <v>12</v>
      </c>
      <c r="G466" s="1" t="s">
        <v>13</v>
      </c>
      <c r="H466" s="4">
        <v>44757.353680555556</v>
      </c>
      <c r="I466" s="4">
        <v>45061.165752314817</v>
      </c>
      <c r="J466" s="1" t="s">
        <v>40</v>
      </c>
    </row>
    <row r="467" spans="1:10" ht="12.75" x14ac:dyDescent="0.2">
      <c r="A467" s="1" t="s">
        <v>117</v>
      </c>
      <c r="B467" s="3" t="str">
        <f>HYPERLINK("https://pegadaian.atlassian.net/browse/ITPROJECT-694?atlOrigin=eyJpIjoiYzgwYTQ0ZjEyNzQzNGJhN2JmNjEyZTM0NmRhZWZhNjIiLCJwIjoic2hlZXRzLWppcmEifQ","ITPROJECT-694")</f>
        <v>ITPROJECT-694</v>
      </c>
      <c r="C467" s="1" t="s">
        <v>581</v>
      </c>
      <c r="D467" s="1" t="s">
        <v>75</v>
      </c>
      <c r="E467" s="1" t="s">
        <v>130</v>
      </c>
      <c r="F467" s="1" t="s">
        <v>12</v>
      </c>
      <c r="G467" s="1" t="s">
        <v>13</v>
      </c>
      <c r="H467" s="4">
        <v>44756.578217592592</v>
      </c>
      <c r="I467" s="4">
        <v>45061.165752314817</v>
      </c>
      <c r="J467" s="1" t="s">
        <v>40</v>
      </c>
    </row>
    <row r="468" spans="1:10" ht="12.75" x14ac:dyDescent="0.2">
      <c r="A468" s="1" t="s">
        <v>117</v>
      </c>
      <c r="B468" s="3" t="str">
        <f>HYPERLINK("https://pegadaian.atlassian.net/browse/ITPROJECT-693?atlOrigin=eyJpIjoiYzgwYTQ0ZjEyNzQzNGJhN2JmNjEyZTM0NmRhZWZhNjIiLCJwIjoic2hlZXRzLWppcmEifQ","ITPROJECT-693")</f>
        <v>ITPROJECT-693</v>
      </c>
      <c r="C468" s="1" t="s">
        <v>582</v>
      </c>
      <c r="D468" s="1" t="s">
        <v>46</v>
      </c>
      <c r="E468" s="1" t="s">
        <v>130</v>
      </c>
      <c r="F468" s="1" t="s">
        <v>12</v>
      </c>
      <c r="G468" s="1" t="s">
        <v>120</v>
      </c>
      <c r="H468" s="4">
        <v>44756.514317129629</v>
      </c>
      <c r="I468" s="4">
        <v>45061.165763888886</v>
      </c>
      <c r="J468" s="1" t="s">
        <v>48</v>
      </c>
    </row>
    <row r="469" spans="1:10" ht="12.75" x14ac:dyDescent="0.2">
      <c r="A469" s="1" t="s">
        <v>63</v>
      </c>
      <c r="B469" s="3" t="str">
        <f>HYPERLINK("https://pegadaian.atlassian.net/browse/ITPROJECT-692?atlOrigin=eyJpIjoiYzgwYTQ0ZjEyNzQzNGJhN2JmNjEyZTM0NmRhZWZhNjIiLCJwIjoic2hlZXRzLWppcmEifQ","ITPROJECT-692")</f>
        <v>ITPROJECT-692</v>
      </c>
      <c r="C469" s="1" t="s">
        <v>583</v>
      </c>
      <c r="D469" s="1" t="s">
        <v>71</v>
      </c>
      <c r="E469" s="1" t="s">
        <v>71</v>
      </c>
      <c r="F469" s="1" t="s">
        <v>12</v>
      </c>
      <c r="G469" s="1" t="s">
        <v>13</v>
      </c>
      <c r="H469" s="4">
        <v>44756.439525462964</v>
      </c>
      <c r="I469" s="4">
        <v>45061.165763888886</v>
      </c>
      <c r="J469" s="1" t="s">
        <v>60</v>
      </c>
    </row>
    <row r="470" spans="1:10" ht="12.75" x14ac:dyDescent="0.2">
      <c r="A470" s="1" t="s">
        <v>63</v>
      </c>
      <c r="B470" s="3" t="str">
        <f>HYPERLINK("https://pegadaian.atlassian.net/browse/ITPROJECT-689?atlOrigin=eyJpIjoiYzgwYTQ0ZjEyNzQzNGJhN2JmNjEyZTM0NmRhZWZhNjIiLCJwIjoic2hlZXRzLWppcmEifQ","ITPROJECT-689")</f>
        <v>ITPROJECT-689</v>
      </c>
      <c r="C470" s="1" t="s">
        <v>584</v>
      </c>
      <c r="D470" s="1" t="s">
        <v>44</v>
      </c>
      <c r="E470" s="1" t="s">
        <v>44</v>
      </c>
      <c r="F470" s="1" t="s">
        <v>12</v>
      </c>
      <c r="G470" s="1" t="s">
        <v>13</v>
      </c>
      <c r="H470" s="4">
        <v>44754.583171296297</v>
      </c>
      <c r="I470" s="4">
        <v>45061.165798611109</v>
      </c>
      <c r="J470" s="1" t="s">
        <v>54</v>
      </c>
    </row>
    <row r="471" spans="1:10" ht="12.75" x14ac:dyDescent="0.2">
      <c r="A471" s="1" t="s">
        <v>63</v>
      </c>
      <c r="B471" s="3" t="str">
        <f>HYPERLINK("https://pegadaian.atlassian.net/browse/ITPROJECT-687?atlOrigin=eyJpIjoiYzgwYTQ0ZjEyNzQzNGJhN2JmNjEyZTM0NmRhZWZhNjIiLCJwIjoic2hlZXRzLWppcmEifQ","ITPROJECT-687")</f>
        <v>ITPROJECT-687</v>
      </c>
      <c r="C471" s="1" t="s">
        <v>585</v>
      </c>
      <c r="D471" s="1" t="s">
        <v>46</v>
      </c>
      <c r="E471" s="1" t="s">
        <v>46</v>
      </c>
      <c r="F471" s="1" t="s">
        <v>12</v>
      </c>
      <c r="G471" s="1" t="s">
        <v>13</v>
      </c>
      <c r="H471" s="4">
        <v>44754.546157407407</v>
      </c>
      <c r="I471" s="4">
        <v>45061.165810185186</v>
      </c>
      <c r="J471" s="1" t="s">
        <v>60</v>
      </c>
    </row>
    <row r="472" spans="1:10" ht="12.75" x14ac:dyDescent="0.2">
      <c r="A472" s="1" t="s">
        <v>117</v>
      </c>
      <c r="B472" s="3" t="str">
        <f>HYPERLINK("https://pegadaian.atlassian.net/browse/ITPROJECT-686?atlOrigin=eyJpIjoiYzgwYTQ0ZjEyNzQzNGJhN2JmNjEyZTM0NmRhZWZhNjIiLCJwIjoic2hlZXRzLWppcmEifQ","ITPROJECT-686")</f>
        <v>ITPROJECT-686</v>
      </c>
      <c r="C472" s="1" t="s">
        <v>586</v>
      </c>
      <c r="D472" s="1" t="s">
        <v>71</v>
      </c>
      <c r="E472" s="1" t="s">
        <v>122</v>
      </c>
      <c r="F472" s="1" t="s">
        <v>12</v>
      </c>
      <c r="G472" s="1" t="s">
        <v>13</v>
      </c>
      <c r="H472" s="4">
        <v>44754.475624999999</v>
      </c>
      <c r="I472" s="4">
        <v>45061.165821759256</v>
      </c>
      <c r="J472" s="1" t="s">
        <v>60</v>
      </c>
    </row>
    <row r="473" spans="1:10" ht="12.75" x14ac:dyDescent="0.2">
      <c r="A473" s="1" t="s">
        <v>117</v>
      </c>
      <c r="B473" s="3" t="str">
        <f>HYPERLINK("https://pegadaian.atlassian.net/browse/ITPROJECT-685?atlOrigin=eyJpIjoiYzgwYTQ0ZjEyNzQzNGJhN2JmNjEyZTM0NmRhZWZhNjIiLCJwIjoic2hlZXRzLWppcmEifQ","ITPROJECT-685")</f>
        <v>ITPROJECT-685</v>
      </c>
      <c r="C473" s="1" t="s">
        <v>587</v>
      </c>
      <c r="D473" s="1" t="s">
        <v>71</v>
      </c>
      <c r="E473" s="1" t="s">
        <v>122</v>
      </c>
      <c r="F473" s="1" t="s">
        <v>12</v>
      </c>
      <c r="G473" s="1" t="s">
        <v>13</v>
      </c>
      <c r="H473" s="4">
        <v>44754.466053240743</v>
      </c>
      <c r="I473" s="4">
        <v>45061.165821759256</v>
      </c>
      <c r="J473" s="1" t="s">
        <v>60</v>
      </c>
    </row>
    <row r="474" spans="1:10" ht="12.75" x14ac:dyDescent="0.2">
      <c r="A474" s="1" t="s">
        <v>63</v>
      </c>
      <c r="B474" s="3" t="str">
        <f>HYPERLINK("https://pegadaian.atlassian.net/browse/ITPROJECT-670?atlOrigin=eyJpIjoiYzgwYTQ0ZjEyNzQzNGJhN2JmNjEyZTM0NmRhZWZhNjIiLCJwIjoic2hlZXRzLWppcmEifQ","ITPROJECT-670")</f>
        <v>ITPROJECT-670</v>
      </c>
      <c r="C474" s="1" t="s">
        <v>588</v>
      </c>
      <c r="D474" s="1" t="s">
        <v>25</v>
      </c>
      <c r="E474" s="1" t="s">
        <v>25</v>
      </c>
      <c r="F474" s="1" t="s">
        <v>12</v>
      </c>
      <c r="G474" s="1" t="s">
        <v>13</v>
      </c>
      <c r="H474" s="4">
        <v>44749.55809027778</v>
      </c>
      <c r="I474" s="4">
        <v>45061.165902777779</v>
      </c>
      <c r="J474" s="1" t="s">
        <v>26</v>
      </c>
    </row>
    <row r="475" spans="1:10" ht="12.75" x14ac:dyDescent="0.2">
      <c r="A475" s="1" t="s">
        <v>117</v>
      </c>
      <c r="B475" s="3" t="str">
        <f>HYPERLINK("https://pegadaian.atlassian.net/browse/ITPROJECT-665?atlOrigin=eyJpIjoiYzgwYTQ0ZjEyNzQzNGJhN2JmNjEyZTM0NmRhZWZhNjIiLCJwIjoic2hlZXRzLWppcmEifQ","ITPROJECT-665")</f>
        <v>ITPROJECT-665</v>
      </c>
      <c r="C475" s="1" t="s">
        <v>589</v>
      </c>
      <c r="D475" s="1" t="s">
        <v>25</v>
      </c>
      <c r="E475" s="1" t="s">
        <v>122</v>
      </c>
      <c r="F475" s="1" t="s">
        <v>12</v>
      </c>
      <c r="G475" s="1" t="s">
        <v>13</v>
      </c>
      <c r="H475" s="4">
        <v>44748.477418981478</v>
      </c>
      <c r="I475" s="4">
        <v>45061.165937500002</v>
      </c>
      <c r="J475" s="1" t="s">
        <v>26</v>
      </c>
    </row>
    <row r="476" spans="1:10" ht="12.75" x14ac:dyDescent="0.2">
      <c r="A476" s="1" t="s">
        <v>63</v>
      </c>
      <c r="B476" s="3" t="str">
        <f>HYPERLINK("https://pegadaian.atlassian.net/browse/ITPROJECT-663?atlOrigin=eyJpIjoiYzgwYTQ0ZjEyNzQzNGJhN2JmNjEyZTM0NmRhZWZhNjIiLCJwIjoic2hlZXRzLWppcmEifQ","ITPROJECT-663")</f>
        <v>ITPROJECT-663</v>
      </c>
      <c r="C476" s="1" t="s">
        <v>590</v>
      </c>
      <c r="D476" s="1" t="s">
        <v>44</v>
      </c>
      <c r="E476" s="1" t="s">
        <v>44</v>
      </c>
      <c r="F476" s="1" t="s">
        <v>12</v>
      </c>
      <c r="G476" s="1" t="s">
        <v>13</v>
      </c>
      <c r="H476" s="4">
        <v>44747.611655092594</v>
      </c>
      <c r="I476" s="4">
        <v>45061.165949074071</v>
      </c>
      <c r="J476" s="1" t="s">
        <v>487</v>
      </c>
    </row>
    <row r="477" spans="1:10" ht="12.75" x14ac:dyDescent="0.2">
      <c r="A477" s="1" t="s">
        <v>63</v>
      </c>
      <c r="B477" s="3" t="str">
        <f>HYPERLINK("https://pegadaian.atlassian.net/browse/ITPROJECT-662?atlOrigin=eyJpIjoiYzgwYTQ0ZjEyNzQzNGJhN2JmNjEyZTM0NmRhZWZhNjIiLCJwIjoic2hlZXRzLWppcmEifQ","ITPROJECT-662")</f>
        <v>ITPROJECT-662</v>
      </c>
      <c r="C477" s="1" t="s">
        <v>591</v>
      </c>
      <c r="D477" s="1" t="s">
        <v>424</v>
      </c>
      <c r="E477" s="1" t="s">
        <v>424</v>
      </c>
      <c r="F477" s="1" t="s">
        <v>12</v>
      </c>
      <c r="G477" s="1" t="s">
        <v>13</v>
      </c>
      <c r="H477" s="4">
        <v>44747.499444444446</v>
      </c>
      <c r="I477" s="4">
        <v>45061.165949074071</v>
      </c>
      <c r="J477" s="1" t="s">
        <v>27</v>
      </c>
    </row>
    <row r="478" spans="1:10" ht="12.75" x14ac:dyDescent="0.2">
      <c r="A478" s="1" t="s">
        <v>117</v>
      </c>
      <c r="B478" s="3" t="str">
        <f>HYPERLINK("https://pegadaian.atlassian.net/browse/ITPROJECT-658?atlOrigin=eyJpIjoiYzgwYTQ0ZjEyNzQzNGJhN2JmNjEyZTM0NmRhZWZhNjIiLCJwIjoic2hlZXRzLWppcmEifQ","ITPROJECT-658")</f>
        <v>ITPROJECT-658</v>
      </c>
      <c r="C478" s="1" t="s">
        <v>592</v>
      </c>
      <c r="D478" s="1" t="s">
        <v>75</v>
      </c>
      <c r="E478" s="1" t="s">
        <v>506</v>
      </c>
      <c r="F478" s="1" t="s">
        <v>12</v>
      </c>
      <c r="G478" s="1" t="s">
        <v>76</v>
      </c>
      <c r="H478" s="4">
        <v>44747.42596064815</v>
      </c>
      <c r="I478" s="4">
        <v>45061.165972222225</v>
      </c>
      <c r="J478" s="1" t="s">
        <v>40</v>
      </c>
    </row>
    <row r="479" spans="1:10" ht="12.75" x14ac:dyDescent="0.2">
      <c r="A479" s="1" t="s">
        <v>63</v>
      </c>
      <c r="B479" s="3" t="str">
        <f>HYPERLINK("https://pegadaian.atlassian.net/browse/ITPROJECT-657?atlOrigin=eyJpIjoiYzgwYTQ0ZjEyNzQzNGJhN2JmNjEyZTM0NmRhZWZhNjIiLCJwIjoic2hlZXRzLWppcmEifQ","ITPROJECT-657")</f>
        <v>ITPROJECT-657</v>
      </c>
      <c r="C479" s="1" t="s">
        <v>593</v>
      </c>
      <c r="D479" s="1" t="s">
        <v>424</v>
      </c>
      <c r="E479" s="1" t="s">
        <v>424</v>
      </c>
      <c r="F479" s="1" t="s">
        <v>12</v>
      </c>
      <c r="G479" s="1" t="s">
        <v>13</v>
      </c>
      <c r="H479" s="4">
        <v>44747.391759259262</v>
      </c>
      <c r="I479" s="4">
        <v>45061.165983796294</v>
      </c>
      <c r="J479" s="1" t="s">
        <v>27</v>
      </c>
    </row>
    <row r="480" spans="1:10" ht="12.75" x14ac:dyDescent="0.2">
      <c r="A480" s="1" t="s">
        <v>117</v>
      </c>
      <c r="B480" s="3" t="str">
        <f>HYPERLINK("https://pegadaian.atlassian.net/browse/ITPROJECT-656?atlOrigin=eyJpIjoiYzgwYTQ0ZjEyNzQzNGJhN2JmNjEyZTM0NmRhZWZhNjIiLCJwIjoic2hlZXRzLWppcmEifQ","ITPROJECT-656")</f>
        <v>ITPROJECT-656</v>
      </c>
      <c r="C480" s="1" t="s">
        <v>594</v>
      </c>
      <c r="D480" s="1" t="s">
        <v>424</v>
      </c>
      <c r="E480" s="1" t="s">
        <v>122</v>
      </c>
      <c r="F480" s="1" t="s">
        <v>12</v>
      </c>
      <c r="G480" s="1" t="s">
        <v>13</v>
      </c>
      <c r="H480" s="4">
        <v>44747.359837962962</v>
      </c>
      <c r="I480" s="4">
        <v>45061.165983796294</v>
      </c>
      <c r="J480" s="1" t="s">
        <v>27</v>
      </c>
    </row>
    <row r="481" spans="1:10" ht="12.75" x14ac:dyDescent="0.2">
      <c r="A481" s="1" t="s">
        <v>117</v>
      </c>
      <c r="B481" s="3" t="str">
        <f>HYPERLINK("https://pegadaian.atlassian.net/browse/ITPROJECT-655?atlOrigin=eyJpIjoiYzgwYTQ0ZjEyNzQzNGJhN2JmNjEyZTM0NmRhZWZhNjIiLCJwIjoic2hlZXRzLWppcmEifQ","ITPROJECT-655")</f>
        <v>ITPROJECT-655</v>
      </c>
      <c r="C481" s="1" t="s">
        <v>595</v>
      </c>
      <c r="D481" s="1" t="s">
        <v>28</v>
      </c>
      <c r="E481" s="1" t="s">
        <v>506</v>
      </c>
      <c r="F481" s="1" t="s">
        <v>12</v>
      </c>
      <c r="G481" s="1" t="s">
        <v>13</v>
      </c>
      <c r="H481" s="4">
        <v>44746.696886574071</v>
      </c>
      <c r="I481" s="4">
        <v>45061.165995370371</v>
      </c>
      <c r="J481" s="1" t="s">
        <v>15</v>
      </c>
    </row>
    <row r="482" spans="1:10" ht="12.75" x14ac:dyDescent="0.2">
      <c r="A482" s="1" t="s">
        <v>63</v>
      </c>
      <c r="B482" s="3" t="str">
        <f>HYPERLINK("https://pegadaian.atlassian.net/browse/ITPROJECT-650?atlOrigin=eyJpIjoiYzgwYTQ0ZjEyNzQzNGJhN2JmNjEyZTM0NmRhZWZhNjIiLCJwIjoic2hlZXRzLWppcmEifQ","ITPROJECT-650")</f>
        <v>ITPROJECT-650</v>
      </c>
      <c r="C482" s="1" t="s">
        <v>596</v>
      </c>
      <c r="D482" s="1" t="s">
        <v>65</v>
      </c>
      <c r="E482" s="1" t="s">
        <v>65</v>
      </c>
      <c r="F482" s="1" t="s">
        <v>12</v>
      </c>
      <c r="G482" s="1" t="s">
        <v>13</v>
      </c>
      <c r="H482" s="4">
        <v>44746.420231481483</v>
      </c>
      <c r="I482" s="4">
        <v>45061.166030092594</v>
      </c>
      <c r="J482" s="1" t="s">
        <v>54</v>
      </c>
    </row>
    <row r="483" spans="1:10" ht="12.75" x14ac:dyDescent="0.2">
      <c r="A483" s="1" t="s">
        <v>63</v>
      </c>
      <c r="B483" s="3" t="str">
        <f>HYPERLINK("https://pegadaian.atlassian.net/browse/ITPROJECT-647?atlOrigin=eyJpIjoiYzgwYTQ0ZjEyNzQzNGJhN2JmNjEyZTM0NmRhZWZhNjIiLCJwIjoic2hlZXRzLWppcmEifQ","ITPROJECT-647")</f>
        <v>ITPROJECT-647</v>
      </c>
      <c r="C483" s="1" t="s">
        <v>597</v>
      </c>
      <c r="D483" s="1" t="s">
        <v>56</v>
      </c>
      <c r="E483" s="1" t="s">
        <v>56</v>
      </c>
      <c r="F483" s="1" t="s">
        <v>12</v>
      </c>
      <c r="G483" s="1" t="s">
        <v>13</v>
      </c>
      <c r="H483" s="4">
        <v>44742.595046296294</v>
      </c>
      <c r="I483" s="4">
        <v>45061.166030092594</v>
      </c>
      <c r="J483" s="1" t="s">
        <v>11</v>
      </c>
    </row>
    <row r="484" spans="1:10" ht="12.75" x14ac:dyDescent="0.2">
      <c r="A484" s="1" t="s">
        <v>63</v>
      </c>
      <c r="B484" s="3" t="str">
        <f>HYPERLINK("https://pegadaian.atlassian.net/browse/ITPROJECT-644?atlOrigin=eyJpIjoiYzgwYTQ0ZjEyNzQzNGJhN2JmNjEyZTM0NmRhZWZhNjIiLCJwIjoic2hlZXRzLWppcmEifQ","ITPROJECT-644")</f>
        <v>ITPROJECT-644</v>
      </c>
      <c r="C484" s="1" t="s">
        <v>598</v>
      </c>
      <c r="D484" s="1" t="s">
        <v>50</v>
      </c>
      <c r="E484" s="1" t="s">
        <v>50</v>
      </c>
      <c r="F484" s="1" t="s">
        <v>12</v>
      </c>
      <c r="G484" s="1" t="s">
        <v>68</v>
      </c>
      <c r="H484" s="4">
        <v>44741.688240740739</v>
      </c>
      <c r="I484" s="4">
        <v>45061.166041666664</v>
      </c>
      <c r="J484" s="1" t="s">
        <v>39</v>
      </c>
    </row>
    <row r="485" spans="1:10" ht="12.75" x14ac:dyDescent="0.2">
      <c r="A485" s="1" t="s">
        <v>117</v>
      </c>
      <c r="B485" s="3" t="str">
        <f>HYPERLINK("https://pegadaian.atlassian.net/browse/ITPROJECT-642?atlOrigin=eyJpIjoiYzgwYTQ0ZjEyNzQzNGJhN2JmNjEyZTM0NmRhZWZhNjIiLCJwIjoic2hlZXRzLWppcmEifQ","ITPROJECT-642")</f>
        <v>ITPROJECT-642</v>
      </c>
      <c r="C485" s="1" t="s">
        <v>599</v>
      </c>
      <c r="D485" s="1" t="s">
        <v>65</v>
      </c>
      <c r="E485" s="1" t="s">
        <v>122</v>
      </c>
      <c r="F485" s="1" t="s">
        <v>12</v>
      </c>
      <c r="G485" s="1" t="s">
        <v>13</v>
      </c>
      <c r="H485" s="4">
        <v>44741.632071759261</v>
      </c>
      <c r="I485" s="4">
        <v>45061.166064814817</v>
      </c>
      <c r="J485" s="1" t="s">
        <v>54</v>
      </c>
    </row>
    <row r="486" spans="1:10" ht="12.75" x14ac:dyDescent="0.2">
      <c r="A486" s="1" t="s">
        <v>117</v>
      </c>
      <c r="B486" s="3" t="str">
        <f>HYPERLINK("https://pegadaian.atlassian.net/browse/ITPROJECT-637?atlOrigin=eyJpIjoiYzgwYTQ0ZjEyNzQzNGJhN2JmNjEyZTM0NmRhZWZhNjIiLCJwIjoic2hlZXRzLWppcmEifQ","ITPROJECT-637")</f>
        <v>ITPROJECT-637</v>
      </c>
      <c r="C486" s="1" t="s">
        <v>600</v>
      </c>
      <c r="D486" s="1" t="s">
        <v>65</v>
      </c>
      <c r="E486" s="1" t="s">
        <v>122</v>
      </c>
      <c r="F486" s="1" t="s">
        <v>12</v>
      </c>
      <c r="G486" s="1" t="s">
        <v>213</v>
      </c>
      <c r="H486" s="4">
        <v>44740.491435185184</v>
      </c>
      <c r="I486" s="4">
        <v>45061.166087962964</v>
      </c>
      <c r="J486" s="1" t="s">
        <v>54</v>
      </c>
    </row>
    <row r="487" spans="1:10" ht="12.75" x14ac:dyDescent="0.2">
      <c r="A487" s="1" t="s">
        <v>117</v>
      </c>
      <c r="B487" s="3" t="str">
        <f>HYPERLINK("https://pegadaian.atlassian.net/browse/ITPROJECT-636?atlOrigin=eyJpIjoiYzgwYTQ0ZjEyNzQzNGJhN2JmNjEyZTM0NmRhZWZhNjIiLCJwIjoic2hlZXRzLWppcmEifQ","ITPROJECT-636")</f>
        <v>ITPROJECT-636</v>
      </c>
      <c r="C487" s="1" t="s">
        <v>601</v>
      </c>
      <c r="D487" s="1" t="s">
        <v>24</v>
      </c>
      <c r="E487" s="1" t="s">
        <v>130</v>
      </c>
      <c r="F487" s="1" t="s">
        <v>12</v>
      </c>
      <c r="G487" s="1" t="s">
        <v>68</v>
      </c>
      <c r="H487" s="4">
        <v>44740.470335648148</v>
      </c>
      <c r="I487" s="4">
        <v>45061.16611111111</v>
      </c>
      <c r="J487" s="1" t="s">
        <v>32</v>
      </c>
    </row>
    <row r="488" spans="1:10" ht="12.75" x14ac:dyDescent="0.2">
      <c r="A488" s="1" t="s">
        <v>63</v>
      </c>
      <c r="B488" s="3" t="str">
        <f>HYPERLINK("https://pegadaian.atlassian.net/browse/ITPROJECT-635?atlOrigin=eyJpIjoiYzgwYTQ0ZjEyNzQzNGJhN2JmNjEyZTM0NmRhZWZhNjIiLCJwIjoic2hlZXRzLWppcmEifQ","ITPROJECT-635")</f>
        <v>ITPROJECT-635</v>
      </c>
      <c r="C488" s="1" t="s">
        <v>602</v>
      </c>
      <c r="D488" s="1" t="s">
        <v>71</v>
      </c>
      <c r="E488" s="1" t="s">
        <v>71</v>
      </c>
      <c r="F488" s="1" t="s">
        <v>12</v>
      </c>
      <c r="G488" s="1" t="s">
        <v>13</v>
      </c>
      <c r="H488" s="4">
        <v>44740.445983796293</v>
      </c>
      <c r="I488" s="4">
        <v>45061.16611111111</v>
      </c>
      <c r="J488" s="1" t="s">
        <v>60</v>
      </c>
    </row>
    <row r="489" spans="1:10" ht="12.75" x14ac:dyDescent="0.2">
      <c r="A489" s="1" t="s">
        <v>63</v>
      </c>
      <c r="B489" s="3" t="str">
        <f>HYPERLINK("https://pegadaian.atlassian.net/browse/ITPROJECT-633?atlOrigin=eyJpIjoiYzgwYTQ0ZjEyNzQzNGJhN2JmNjEyZTM0NmRhZWZhNjIiLCJwIjoic2hlZXRzLWppcmEifQ","ITPROJECT-633")</f>
        <v>ITPROJECT-633</v>
      </c>
      <c r="C489" s="1" t="s">
        <v>603</v>
      </c>
      <c r="D489" s="1" t="s">
        <v>71</v>
      </c>
      <c r="E489" s="1" t="s">
        <v>71</v>
      </c>
      <c r="F489" s="1" t="s">
        <v>12</v>
      </c>
      <c r="G489" s="1" t="s">
        <v>68</v>
      </c>
      <c r="H489" s="4">
        <v>44740.333252314813</v>
      </c>
      <c r="I489" s="4">
        <v>45061.166122685187</v>
      </c>
      <c r="J489" s="1" t="s">
        <v>60</v>
      </c>
    </row>
    <row r="490" spans="1:10" ht="12.75" x14ac:dyDescent="0.2">
      <c r="A490" s="1" t="s">
        <v>117</v>
      </c>
      <c r="B490" s="3" t="str">
        <f>HYPERLINK("https://pegadaian.atlassian.net/browse/ITPROJECT-631?atlOrigin=eyJpIjoiYzgwYTQ0ZjEyNzQzNGJhN2JmNjEyZTM0NmRhZWZhNjIiLCJwIjoic2hlZXRzLWppcmEifQ","ITPROJECT-631")</f>
        <v>ITPROJECT-631</v>
      </c>
      <c r="C490" s="1" t="s">
        <v>604</v>
      </c>
      <c r="D490" s="1" t="s">
        <v>43</v>
      </c>
      <c r="E490" s="1" t="s">
        <v>130</v>
      </c>
      <c r="F490" s="1" t="s">
        <v>12</v>
      </c>
      <c r="G490" s="1" t="s">
        <v>13</v>
      </c>
      <c r="H490" s="4">
        <v>44739.68178240741</v>
      </c>
      <c r="I490" s="4">
        <v>45061.166145833333</v>
      </c>
      <c r="J490" s="1" t="s">
        <v>556</v>
      </c>
    </row>
    <row r="491" spans="1:10" ht="12.75" x14ac:dyDescent="0.2">
      <c r="A491" s="1" t="s">
        <v>117</v>
      </c>
      <c r="B491" s="3" t="str">
        <f>HYPERLINK("https://pegadaian.atlassian.net/browse/ITPROJECT-627?atlOrigin=eyJpIjoiYzgwYTQ0ZjEyNzQzNGJhN2JmNjEyZTM0NmRhZWZhNjIiLCJwIjoic2hlZXRzLWppcmEifQ","ITPROJECT-627")</f>
        <v>ITPROJECT-627</v>
      </c>
      <c r="C491" s="1" t="s">
        <v>605</v>
      </c>
      <c r="D491" s="1" t="s">
        <v>44</v>
      </c>
      <c r="E491" s="1" t="s">
        <v>161</v>
      </c>
      <c r="F491" s="1" t="s">
        <v>12</v>
      </c>
      <c r="G491" s="1" t="s">
        <v>13</v>
      </c>
      <c r="H491" s="4">
        <v>44739.579826388886</v>
      </c>
      <c r="I491" s="4">
        <v>45061.16615740741</v>
      </c>
      <c r="J491" s="1" t="s">
        <v>487</v>
      </c>
    </row>
    <row r="492" spans="1:10" ht="12.75" x14ac:dyDescent="0.2">
      <c r="A492" s="1" t="s">
        <v>117</v>
      </c>
      <c r="B492" s="3" t="str">
        <f>HYPERLINK("https://pegadaian.atlassian.net/browse/ITPROJECT-626?atlOrigin=eyJpIjoiYzgwYTQ0ZjEyNzQzNGJhN2JmNjEyZTM0NmRhZWZhNjIiLCJwIjoic2hlZXRzLWppcmEifQ","ITPROJECT-626")</f>
        <v>ITPROJECT-626</v>
      </c>
      <c r="C492" s="1" t="s">
        <v>606</v>
      </c>
      <c r="D492" s="1" t="s">
        <v>44</v>
      </c>
      <c r="E492" s="1" t="s">
        <v>161</v>
      </c>
      <c r="F492" s="1" t="s">
        <v>12</v>
      </c>
      <c r="G492" s="1" t="s">
        <v>13</v>
      </c>
      <c r="H492" s="4">
        <v>44739.578796296293</v>
      </c>
      <c r="I492" s="4">
        <v>45061.166168981479</v>
      </c>
      <c r="J492" s="1" t="s">
        <v>54</v>
      </c>
    </row>
    <row r="493" spans="1:10" ht="12.75" x14ac:dyDescent="0.2">
      <c r="A493" s="1" t="s">
        <v>117</v>
      </c>
      <c r="B493" s="3" t="str">
        <f>HYPERLINK("https://pegadaian.atlassian.net/browse/ITPROJECT-625?atlOrigin=eyJpIjoiYzgwYTQ0ZjEyNzQzNGJhN2JmNjEyZTM0NmRhZWZhNjIiLCJwIjoic2hlZXRzLWppcmEifQ","ITPROJECT-625")</f>
        <v>ITPROJECT-625</v>
      </c>
      <c r="C493" s="1" t="s">
        <v>607</v>
      </c>
      <c r="D493" s="1" t="s">
        <v>50</v>
      </c>
      <c r="E493" s="1" t="s">
        <v>130</v>
      </c>
      <c r="F493" s="1" t="s">
        <v>12</v>
      </c>
      <c r="G493" s="1" t="s">
        <v>68</v>
      </c>
      <c r="H493" s="4">
        <v>44739.399502314816</v>
      </c>
      <c r="I493" s="4">
        <v>45061.166168981479</v>
      </c>
      <c r="J493" s="1" t="s">
        <v>39</v>
      </c>
    </row>
    <row r="494" spans="1:10" ht="12.75" x14ac:dyDescent="0.2">
      <c r="A494" s="1" t="s">
        <v>117</v>
      </c>
      <c r="B494" s="3" t="str">
        <f>HYPERLINK("https://pegadaian.atlassian.net/browse/ITPROJECT-624?atlOrigin=eyJpIjoiYzgwYTQ0ZjEyNzQzNGJhN2JmNjEyZTM0NmRhZWZhNjIiLCJwIjoic2hlZXRzLWppcmEifQ","ITPROJECT-624")</f>
        <v>ITPROJECT-624</v>
      </c>
      <c r="C494" s="1" t="s">
        <v>608</v>
      </c>
      <c r="D494" s="1" t="s">
        <v>46</v>
      </c>
      <c r="E494" s="1" t="s">
        <v>161</v>
      </c>
      <c r="F494" s="1" t="s">
        <v>12</v>
      </c>
      <c r="G494" s="1" t="s">
        <v>13</v>
      </c>
      <c r="H494" s="4">
        <v>44739.395775462966</v>
      </c>
      <c r="I494" s="4">
        <v>45061.166180555556</v>
      </c>
      <c r="J494" s="1" t="s">
        <v>60</v>
      </c>
    </row>
    <row r="495" spans="1:10" ht="12.75" x14ac:dyDescent="0.2">
      <c r="A495" s="1" t="s">
        <v>117</v>
      </c>
      <c r="B495" s="3" t="str">
        <f>HYPERLINK("https://pegadaian.atlassian.net/browse/ITPROJECT-622?atlOrigin=eyJpIjoiYzgwYTQ0ZjEyNzQzNGJhN2JmNjEyZTM0NmRhZWZhNjIiLCJwIjoic2hlZXRzLWppcmEifQ","ITPROJECT-622")</f>
        <v>ITPROJECT-622</v>
      </c>
      <c r="C495" s="1" t="s">
        <v>609</v>
      </c>
      <c r="D495" s="1" t="s">
        <v>25</v>
      </c>
      <c r="E495" s="1" t="s">
        <v>122</v>
      </c>
      <c r="F495" s="1" t="s">
        <v>12</v>
      </c>
      <c r="G495" s="1" t="s">
        <v>13</v>
      </c>
      <c r="H495" s="4">
        <v>44736.408541666664</v>
      </c>
      <c r="I495" s="4">
        <v>45061.166192129633</v>
      </c>
      <c r="J495" s="1" t="s">
        <v>26</v>
      </c>
    </row>
    <row r="496" spans="1:10" ht="12.75" x14ac:dyDescent="0.2">
      <c r="A496" s="1" t="s">
        <v>117</v>
      </c>
      <c r="B496" s="3" t="str">
        <f>HYPERLINK("https://pegadaian.atlassian.net/browse/ITPROJECT-621?atlOrigin=eyJpIjoiYzgwYTQ0ZjEyNzQzNGJhN2JmNjEyZTM0NmRhZWZhNjIiLCJwIjoic2hlZXRzLWppcmEifQ","ITPROJECT-621")</f>
        <v>ITPROJECT-621</v>
      </c>
      <c r="C496" s="1" t="s">
        <v>610</v>
      </c>
      <c r="D496" s="1" t="s">
        <v>56</v>
      </c>
      <c r="E496" s="1" t="s">
        <v>130</v>
      </c>
      <c r="F496" s="1" t="s">
        <v>12</v>
      </c>
      <c r="G496" s="1" t="s">
        <v>13</v>
      </c>
      <c r="H496" s="4">
        <v>44736.403865740744</v>
      </c>
      <c r="I496" s="4">
        <v>45061.166203703702</v>
      </c>
      <c r="J496" s="1" t="s">
        <v>11</v>
      </c>
    </row>
    <row r="497" spans="1:10" ht="12.75" x14ac:dyDescent="0.2">
      <c r="A497" s="1" t="s">
        <v>63</v>
      </c>
      <c r="B497" s="3" t="str">
        <f>HYPERLINK("https://pegadaian.atlassian.net/browse/ITPROJECT-619?atlOrigin=eyJpIjoiYzgwYTQ0ZjEyNzQzNGJhN2JmNjEyZTM0NmRhZWZhNjIiLCJwIjoic2hlZXRzLWppcmEifQ","ITPROJECT-619")</f>
        <v>ITPROJECT-619</v>
      </c>
      <c r="C497" s="1" t="s">
        <v>611</v>
      </c>
      <c r="D497" s="1" t="s">
        <v>75</v>
      </c>
      <c r="E497" s="1" t="s">
        <v>75</v>
      </c>
      <c r="F497" s="1" t="s">
        <v>12</v>
      </c>
      <c r="G497" s="1" t="s">
        <v>13</v>
      </c>
      <c r="H497" s="4">
        <v>44735.590173611112</v>
      </c>
      <c r="I497" s="4">
        <v>45061.166215277779</v>
      </c>
      <c r="J497" s="1" t="s">
        <v>40</v>
      </c>
    </row>
    <row r="498" spans="1:10" ht="12.75" x14ac:dyDescent="0.2">
      <c r="A498" s="1" t="s">
        <v>63</v>
      </c>
      <c r="B498" s="3" t="str">
        <f>HYPERLINK("https://pegadaian.atlassian.net/browse/ITPROJECT-618?atlOrigin=eyJpIjoiYzgwYTQ0ZjEyNzQzNGJhN2JmNjEyZTM0NmRhZWZhNjIiLCJwIjoic2hlZXRzLWppcmEifQ","ITPROJECT-618")</f>
        <v>ITPROJECT-618</v>
      </c>
      <c r="C498" s="1" t="s">
        <v>612</v>
      </c>
      <c r="D498" s="1" t="s">
        <v>25</v>
      </c>
      <c r="E498" s="1" t="s">
        <v>25</v>
      </c>
      <c r="F498" s="1" t="s">
        <v>12</v>
      </c>
      <c r="G498" s="1" t="s">
        <v>13</v>
      </c>
      <c r="H498" s="4">
        <v>44733.463900462964</v>
      </c>
      <c r="I498" s="4">
        <v>45061.166215277779</v>
      </c>
      <c r="J498" s="1" t="s">
        <v>26</v>
      </c>
    </row>
    <row r="499" spans="1:10" ht="12.75" x14ac:dyDescent="0.2">
      <c r="A499" s="1" t="s">
        <v>117</v>
      </c>
      <c r="B499" s="3" t="str">
        <f>HYPERLINK("https://pegadaian.atlassian.net/browse/ITPROJECT-615?atlOrigin=eyJpIjoiYzgwYTQ0ZjEyNzQzNGJhN2JmNjEyZTM0NmRhZWZhNjIiLCJwIjoic2hlZXRzLWppcmEifQ","ITPROJECT-615")</f>
        <v>ITPROJECT-615</v>
      </c>
      <c r="C499" s="1" t="s">
        <v>613</v>
      </c>
      <c r="D499" s="1" t="s">
        <v>65</v>
      </c>
      <c r="E499" s="1" t="s">
        <v>122</v>
      </c>
      <c r="F499" s="1" t="s">
        <v>12</v>
      </c>
      <c r="G499" s="1" t="s">
        <v>13</v>
      </c>
      <c r="H499" s="4">
        <v>44732.265127314815</v>
      </c>
      <c r="I499" s="4">
        <v>45061.166238425925</v>
      </c>
      <c r="J499" s="1" t="s">
        <v>54</v>
      </c>
    </row>
    <row r="500" spans="1:10" ht="12.75" x14ac:dyDescent="0.2">
      <c r="A500" s="1" t="s">
        <v>117</v>
      </c>
      <c r="B500" s="3" t="str">
        <f>HYPERLINK("https://pegadaian.atlassian.net/browse/ITPROJECT-614?atlOrigin=eyJpIjoiYzgwYTQ0ZjEyNzQzNGJhN2JmNjEyZTM0NmRhZWZhNjIiLCJwIjoic2hlZXRzLWppcmEifQ","ITPROJECT-614")</f>
        <v>ITPROJECT-614</v>
      </c>
      <c r="C500" s="1" t="s">
        <v>614</v>
      </c>
      <c r="D500" s="1" t="s">
        <v>25</v>
      </c>
      <c r="E500" s="1" t="s">
        <v>122</v>
      </c>
      <c r="F500" s="1" t="s">
        <v>12</v>
      </c>
      <c r="G500" s="1" t="s">
        <v>13</v>
      </c>
      <c r="H500" s="4">
        <v>44732.264062499999</v>
      </c>
      <c r="I500" s="4">
        <v>45061.166238425925</v>
      </c>
      <c r="J500" s="1" t="s">
        <v>26</v>
      </c>
    </row>
    <row r="501" spans="1:10" ht="12.75" x14ac:dyDescent="0.2">
      <c r="A501" s="1" t="s">
        <v>63</v>
      </c>
      <c r="B501" s="3" t="str">
        <f>HYPERLINK("https://pegadaian.atlassian.net/browse/ITPROJECT-612?atlOrigin=eyJpIjoiYzgwYTQ0ZjEyNzQzNGJhN2JmNjEyZTM0NmRhZWZhNjIiLCJwIjoic2hlZXRzLWppcmEifQ","ITPROJECT-612")</f>
        <v>ITPROJECT-612</v>
      </c>
      <c r="C501" s="1" t="s">
        <v>615</v>
      </c>
      <c r="D501" s="1" t="s">
        <v>65</v>
      </c>
      <c r="E501" s="1" t="s">
        <v>65</v>
      </c>
      <c r="F501" s="1" t="s">
        <v>12</v>
      </c>
      <c r="G501" s="1" t="s">
        <v>13</v>
      </c>
      <c r="H501" s="4">
        <v>44728.38722222222</v>
      </c>
      <c r="I501" s="4">
        <v>45061.166250000002</v>
      </c>
      <c r="J501" s="1" t="s">
        <v>54</v>
      </c>
    </row>
    <row r="502" spans="1:10" ht="12.75" x14ac:dyDescent="0.2">
      <c r="A502" s="1" t="s">
        <v>63</v>
      </c>
      <c r="B502" s="3" t="str">
        <f>HYPERLINK("https://pegadaian.atlassian.net/browse/ITPROJECT-609?atlOrigin=eyJpIjoiYzgwYTQ0ZjEyNzQzNGJhN2JmNjEyZTM0NmRhZWZhNjIiLCJwIjoic2hlZXRzLWppcmEifQ","ITPROJECT-609")</f>
        <v>ITPROJECT-609</v>
      </c>
      <c r="C502" s="1" t="s">
        <v>616</v>
      </c>
      <c r="D502" s="1" t="s">
        <v>25</v>
      </c>
      <c r="E502" s="1" t="s">
        <v>25</v>
      </c>
      <c r="F502" s="1" t="s">
        <v>12</v>
      </c>
      <c r="G502" s="1" t="s">
        <v>13</v>
      </c>
      <c r="H502" s="4">
        <v>44726.60050925926</v>
      </c>
      <c r="I502" s="4">
        <v>45061.166273148148</v>
      </c>
      <c r="J502" s="1" t="s">
        <v>26</v>
      </c>
    </row>
    <row r="503" spans="1:10" ht="12.75" x14ac:dyDescent="0.2">
      <c r="A503" s="1" t="s">
        <v>63</v>
      </c>
      <c r="B503" s="3" t="str">
        <f>HYPERLINK("https://pegadaian.atlassian.net/browse/ITPROJECT-608?atlOrigin=eyJpIjoiYzgwYTQ0ZjEyNzQzNGJhN2JmNjEyZTM0NmRhZWZhNjIiLCJwIjoic2hlZXRzLWppcmEifQ","ITPROJECT-608")</f>
        <v>ITPROJECT-608</v>
      </c>
      <c r="C503" s="1" t="s">
        <v>617</v>
      </c>
      <c r="D503" s="1" t="s">
        <v>115</v>
      </c>
      <c r="E503" s="1" t="s">
        <v>115</v>
      </c>
      <c r="F503" s="1" t="s">
        <v>12</v>
      </c>
      <c r="G503" s="1" t="s">
        <v>13</v>
      </c>
      <c r="H503" s="4">
        <v>44726.429745370369</v>
      </c>
      <c r="I503" s="4">
        <v>45061.166284722225</v>
      </c>
      <c r="J503" s="1" t="s">
        <v>18</v>
      </c>
    </row>
    <row r="504" spans="1:10" ht="12.75" x14ac:dyDescent="0.2">
      <c r="A504" s="1" t="s">
        <v>63</v>
      </c>
      <c r="B504" s="3" t="str">
        <f>HYPERLINK("https://pegadaian.atlassian.net/browse/ITPROJECT-607?atlOrigin=eyJpIjoiYzgwYTQ0ZjEyNzQzNGJhN2JmNjEyZTM0NmRhZWZhNjIiLCJwIjoic2hlZXRzLWppcmEifQ","ITPROJECT-607")</f>
        <v>ITPROJECT-607</v>
      </c>
      <c r="C504" s="1" t="s">
        <v>618</v>
      </c>
      <c r="D504" s="1" t="s">
        <v>46</v>
      </c>
      <c r="E504" s="1" t="s">
        <v>46</v>
      </c>
      <c r="F504" s="1" t="s">
        <v>12</v>
      </c>
      <c r="G504" s="1" t="s">
        <v>68</v>
      </c>
      <c r="H504" s="4">
        <v>44726.383402777778</v>
      </c>
      <c r="I504" s="4">
        <v>45061.166284722225</v>
      </c>
      <c r="J504" s="1" t="s">
        <v>32</v>
      </c>
    </row>
    <row r="505" spans="1:10" ht="12.75" x14ac:dyDescent="0.2">
      <c r="A505" s="1" t="s">
        <v>63</v>
      </c>
      <c r="B505" s="3" t="str">
        <f>HYPERLINK("https://pegadaian.atlassian.net/browse/ITPROJECT-606?atlOrigin=eyJpIjoiYzgwYTQ0ZjEyNzQzNGJhN2JmNjEyZTM0NmRhZWZhNjIiLCJwIjoic2hlZXRzLWppcmEifQ","ITPROJECT-606")</f>
        <v>ITPROJECT-606</v>
      </c>
      <c r="C505" s="1" t="s">
        <v>619</v>
      </c>
      <c r="D505" s="1" t="s">
        <v>65</v>
      </c>
      <c r="E505" s="1" t="s">
        <v>65</v>
      </c>
      <c r="F505" s="1" t="s">
        <v>12</v>
      </c>
      <c r="G505" s="1" t="s">
        <v>13</v>
      </c>
      <c r="H505" s="4">
        <v>44725.454375000001</v>
      </c>
      <c r="I505" s="4">
        <v>45061.166296296295</v>
      </c>
      <c r="J505" s="1" t="s">
        <v>54</v>
      </c>
    </row>
    <row r="506" spans="1:10" ht="12.75" x14ac:dyDescent="0.2">
      <c r="A506" s="1" t="s">
        <v>117</v>
      </c>
      <c r="B506" s="3" t="str">
        <f>HYPERLINK("https://pegadaian.atlassian.net/browse/ITPROJECT-604?atlOrigin=eyJpIjoiYzgwYTQ0ZjEyNzQzNGJhN2JmNjEyZTM0NmRhZWZhNjIiLCJwIjoic2hlZXRzLWppcmEifQ","ITPROJECT-604")</f>
        <v>ITPROJECT-604</v>
      </c>
      <c r="C506" s="1" t="s">
        <v>617</v>
      </c>
      <c r="D506" s="1" t="s">
        <v>115</v>
      </c>
      <c r="E506" s="1" t="s">
        <v>122</v>
      </c>
      <c r="F506" s="1" t="s">
        <v>12</v>
      </c>
      <c r="G506" s="1" t="s">
        <v>13</v>
      </c>
      <c r="H506" s="4">
        <v>44725.372615740744</v>
      </c>
      <c r="I506" s="4">
        <v>45061.166307870371</v>
      </c>
      <c r="J506" s="1" t="s">
        <v>18</v>
      </c>
    </row>
    <row r="507" spans="1:10" ht="12.75" x14ac:dyDescent="0.2">
      <c r="A507" s="1" t="s">
        <v>117</v>
      </c>
      <c r="B507" s="3" t="str">
        <f>HYPERLINK("https://pegadaian.atlassian.net/browse/ITPROJECT-602?atlOrigin=eyJpIjoiYzgwYTQ0ZjEyNzQzNGJhN2JmNjEyZTM0NmRhZWZhNjIiLCJwIjoic2hlZXRzLWppcmEifQ","ITPROJECT-602")</f>
        <v>ITPROJECT-602</v>
      </c>
      <c r="C507" s="1" t="s">
        <v>620</v>
      </c>
      <c r="D507" s="1" t="s">
        <v>43</v>
      </c>
      <c r="E507" s="1" t="s">
        <v>130</v>
      </c>
      <c r="F507" s="1" t="s">
        <v>12</v>
      </c>
      <c r="G507" s="1" t="s">
        <v>13</v>
      </c>
      <c r="H507" s="4">
        <v>44722.41097222222</v>
      </c>
      <c r="I507" s="4">
        <v>45061.166331018518</v>
      </c>
      <c r="J507" s="1" t="s">
        <v>23</v>
      </c>
    </row>
    <row r="508" spans="1:10" ht="12.75" x14ac:dyDescent="0.2">
      <c r="A508" s="1" t="s">
        <v>63</v>
      </c>
      <c r="B508" s="3" t="str">
        <f>HYPERLINK("https://pegadaian.atlassian.net/browse/ITPROJECT-600?atlOrigin=eyJpIjoiYzgwYTQ0ZjEyNzQzNGJhN2JmNjEyZTM0NmRhZWZhNjIiLCJwIjoic2hlZXRzLWppcmEifQ","ITPROJECT-600")</f>
        <v>ITPROJECT-600</v>
      </c>
      <c r="C508" s="1" t="s">
        <v>621</v>
      </c>
      <c r="D508" s="1" t="s">
        <v>65</v>
      </c>
      <c r="E508" s="1" t="s">
        <v>65</v>
      </c>
      <c r="F508" s="1" t="s">
        <v>12</v>
      </c>
      <c r="G508" s="1" t="s">
        <v>13</v>
      </c>
      <c r="H508" s="4">
        <v>44722.3828125</v>
      </c>
      <c r="I508" s="4">
        <v>45061.166342592594</v>
      </c>
      <c r="J508" s="1" t="s">
        <v>54</v>
      </c>
    </row>
    <row r="509" spans="1:10" ht="12.75" x14ac:dyDescent="0.2">
      <c r="A509" s="1" t="s">
        <v>117</v>
      </c>
      <c r="B509" s="3" t="str">
        <f>HYPERLINK("https://pegadaian.atlassian.net/browse/ITPROJECT-598?atlOrigin=eyJpIjoiYzgwYTQ0ZjEyNzQzNGJhN2JmNjEyZTM0NmRhZWZhNjIiLCJwIjoic2hlZXRzLWppcmEifQ","ITPROJECT-598")</f>
        <v>ITPROJECT-598</v>
      </c>
      <c r="C509" s="1" t="s">
        <v>622</v>
      </c>
      <c r="D509" s="1" t="s">
        <v>25</v>
      </c>
      <c r="E509" s="1" t="s">
        <v>122</v>
      </c>
      <c r="F509" s="1" t="s">
        <v>12</v>
      </c>
      <c r="G509" s="1" t="s">
        <v>13</v>
      </c>
      <c r="H509" s="4">
        <v>44721.477384259262</v>
      </c>
      <c r="I509" s="4">
        <v>45061.166354166664</v>
      </c>
      <c r="J509" s="1" t="s">
        <v>26</v>
      </c>
    </row>
    <row r="510" spans="1:10" ht="12.75" x14ac:dyDescent="0.2">
      <c r="A510" s="1" t="s">
        <v>117</v>
      </c>
      <c r="B510" s="3" t="str">
        <f>HYPERLINK("https://pegadaian.atlassian.net/browse/ITPROJECT-597?atlOrigin=eyJpIjoiYzgwYTQ0ZjEyNzQzNGJhN2JmNjEyZTM0NmRhZWZhNjIiLCJwIjoic2hlZXRzLWppcmEifQ","ITPROJECT-597")</f>
        <v>ITPROJECT-597</v>
      </c>
      <c r="C510" s="1" t="s">
        <v>522</v>
      </c>
      <c r="D510" s="1" t="s">
        <v>65</v>
      </c>
      <c r="E510" s="1" t="s">
        <v>122</v>
      </c>
      <c r="F510" s="1" t="s">
        <v>12</v>
      </c>
      <c r="G510" s="1" t="s">
        <v>13</v>
      </c>
      <c r="H510" s="4">
        <v>44721.469236111108</v>
      </c>
      <c r="I510" s="4">
        <v>45061.166365740741</v>
      </c>
      <c r="J510" s="1" t="s">
        <v>148</v>
      </c>
    </row>
    <row r="511" spans="1:10" ht="12.75" x14ac:dyDescent="0.2">
      <c r="A511" s="1" t="s">
        <v>117</v>
      </c>
      <c r="B511" s="3" t="str">
        <f>HYPERLINK("https://pegadaian.atlassian.net/browse/ITPROJECT-596?atlOrigin=eyJpIjoiYzgwYTQ0ZjEyNzQzNGJhN2JmNjEyZTM0NmRhZWZhNjIiLCJwIjoic2hlZXRzLWppcmEifQ","ITPROJECT-596")</f>
        <v>ITPROJECT-596</v>
      </c>
      <c r="C511" s="1" t="s">
        <v>623</v>
      </c>
      <c r="D511" s="1" t="s">
        <v>65</v>
      </c>
      <c r="E511" s="1" t="s">
        <v>122</v>
      </c>
      <c r="F511" s="1" t="s">
        <v>12</v>
      </c>
      <c r="G511" s="1" t="s">
        <v>13</v>
      </c>
      <c r="H511" s="4">
        <v>44721.463182870371</v>
      </c>
      <c r="I511" s="4">
        <v>45061.166365740741</v>
      </c>
      <c r="J511" s="1" t="s">
        <v>54</v>
      </c>
    </row>
    <row r="512" spans="1:10" ht="12.75" x14ac:dyDescent="0.2">
      <c r="A512" s="1" t="s">
        <v>117</v>
      </c>
      <c r="B512" s="3" t="str">
        <f>HYPERLINK("https://pegadaian.atlassian.net/browse/ITPROJECT-595?atlOrigin=eyJpIjoiYzgwYTQ0ZjEyNzQzNGJhN2JmNjEyZTM0NmRhZWZhNjIiLCJwIjoic2hlZXRzLWppcmEifQ","ITPROJECT-595")</f>
        <v>ITPROJECT-595</v>
      </c>
      <c r="C512" s="1" t="s">
        <v>624</v>
      </c>
      <c r="D512" s="1" t="s">
        <v>71</v>
      </c>
      <c r="E512" s="1" t="s">
        <v>122</v>
      </c>
      <c r="F512" s="1" t="s">
        <v>12</v>
      </c>
      <c r="G512" s="1" t="s">
        <v>68</v>
      </c>
      <c r="H512" s="4">
        <v>44721.442569444444</v>
      </c>
      <c r="I512" s="4">
        <v>45061.166377314818</v>
      </c>
      <c r="J512" s="1" t="s">
        <v>60</v>
      </c>
    </row>
    <row r="513" spans="1:10" ht="12.75" x14ac:dyDescent="0.2">
      <c r="A513" s="1" t="s">
        <v>63</v>
      </c>
      <c r="B513" s="3" t="str">
        <f>HYPERLINK("https://pegadaian.atlassian.net/browse/ITPROJECT-593?atlOrigin=eyJpIjoiYzgwYTQ0ZjEyNzQzNGJhN2JmNjEyZTM0NmRhZWZhNjIiLCJwIjoic2hlZXRzLWppcmEifQ","ITPROJECT-593")</f>
        <v>ITPROJECT-593</v>
      </c>
      <c r="C513" s="1" t="s">
        <v>625</v>
      </c>
      <c r="D513" s="1" t="s">
        <v>24</v>
      </c>
      <c r="E513" s="1" t="s">
        <v>24</v>
      </c>
      <c r="F513" s="1" t="s">
        <v>12</v>
      </c>
      <c r="G513" s="1" t="s">
        <v>13</v>
      </c>
      <c r="H513" s="4">
        <v>44720.349282407406</v>
      </c>
      <c r="I513" s="4">
        <v>45061.166388888887</v>
      </c>
      <c r="J513" s="1" t="s">
        <v>32</v>
      </c>
    </row>
    <row r="514" spans="1:10" ht="12.75" x14ac:dyDescent="0.2">
      <c r="A514" s="1" t="s">
        <v>117</v>
      </c>
      <c r="B514" s="3" t="str">
        <f>HYPERLINK("https://pegadaian.atlassian.net/browse/ITPROJECT-591?atlOrigin=eyJpIjoiYzgwYTQ0ZjEyNzQzNGJhN2JmNjEyZTM0NmRhZWZhNjIiLCJwIjoic2hlZXRzLWppcmEifQ","ITPROJECT-591")</f>
        <v>ITPROJECT-591</v>
      </c>
      <c r="C514" s="1" t="s">
        <v>626</v>
      </c>
      <c r="D514" s="1" t="s">
        <v>25</v>
      </c>
      <c r="E514" s="1" t="s">
        <v>161</v>
      </c>
      <c r="F514" s="1" t="s">
        <v>12</v>
      </c>
      <c r="G514" s="1" t="s">
        <v>13</v>
      </c>
      <c r="H514" s="4">
        <v>44719.470011574071</v>
      </c>
      <c r="I514" s="4">
        <v>45061.166400462964</v>
      </c>
      <c r="J514" s="1" t="s">
        <v>26</v>
      </c>
    </row>
    <row r="515" spans="1:10" ht="12.75" x14ac:dyDescent="0.2">
      <c r="A515" s="1" t="s">
        <v>63</v>
      </c>
      <c r="B515" s="3" t="str">
        <f>HYPERLINK("https://pegadaian.atlassian.net/browse/ITPROJECT-590?atlOrigin=eyJpIjoiYzgwYTQ0ZjEyNzQzNGJhN2JmNjEyZTM0NmRhZWZhNjIiLCJwIjoic2hlZXRzLWppcmEifQ","ITPROJECT-590")</f>
        <v>ITPROJECT-590</v>
      </c>
      <c r="C515" s="1" t="s">
        <v>627</v>
      </c>
      <c r="D515" s="1" t="s">
        <v>115</v>
      </c>
      <c r="E515" s="1" t="s">
        <v>115</v>
      </c>
      <c r="F515" s="1" t="s">
        <v>12</v>
      </c>
      <c r="G515" s="1" t="s">
        <v>13</v>
      </c>
      <c r="H515" s="4">
        <v>44719.453923611109</v>
      </c>
      <c r="I515" s="4">
        <v>45061.166400462964</v>
      </c>
      <c r="J515" s="1" t="s">
        <v>18</v>
      </c>
    </row>
    <row r="516" spans="1:10" ht="12.75" x14ac:dyDescent="0.2">
      <c r="A516" s="1" t="s">
        <v>63</v>
      </c>
      <c r="B516" s="3" t="str">
        <f>HYPERLINK("https://pegadaian.atlassian.net/browse/ITPROJECT-589?atlOrigin=eyJpIjoiYzgwYTQ0ZjEyNzQzNGJhN2JmNjEyZTM0NmRhZWZhNjIiLCJwIjoic2hlZXRzLWppcmEifQ","ITPROJECT-589")</f>
        <v>ITPROJECT-589</v>
      </c>
      <c r="C516" s="1" t="s">
        <v>628</v>
      </c>
      <c r="D516" s="1" t="s">
        <v>115</v>
      </c>
      <c r="E516" s="1" t="s">
        <v>115</v>
      </c>
      <c r="F516" s="1" t="s">
        <v>12</v>
      </c>
      <c r="G516" s="1" t="s">
        <v>13</v>
      </c>
      <c r="H516" s="4">
        <v>44719.453287037039</v>
      </c>
      <c r="I516" s="4">
        <v>45061.166412037041</v>
      </c>
      <c r="J516" s="1" t="s">
        <v>18</v>
      </c>
    </row>
    <row r="517" spans="1:10" ht="12.75" x14ac:dyDescent="0.2">
      <c r="A517" s="1" t="s">
        <v>63</v>
      </c>
      <c r="B517" s="3" t="str">
        <f>HYPERLINK("https://pegadaian.atlassian.net/browse/ITPROJECT-587?atlOrigin=eyJpIjoiYzgwYTQ0ZjEyNzQzNGJhN2JmNjEyZTM0NmRhZWZhNjIiLCJwIjoic2hlZXRzLWppcmEifQ","ITPROJECT-587")</f>
        <v>ITPROJECT-587</v>
      </c>
      <c r="C517" s="1" t="s">
        <v>629</v>
      </c>
      <c r="D517" s="1" t="s">
        <v>71</v>
      </c>
      <c r="E517" s="1" t="s">
        <v>71</v>
      </c>
      <c r="F517" s="1" t="s">
        <v>12</v>
      </c>
      <c r="G517" s="1" t="s">
        <v>13</v>
      </c>
      <c r="H517" s="4">
        <v>44718.589398148149</v>
      </c>
      <c r="I517" s="4">
        <v>45061.16642361111</v>
      </c>
      <c r="J517" s="1" t="s">
        <v>60</v>
      </c>
    </row>
    <row r="518" spans="1:10" ht="12.75" x14ac:dyDescent="0.2">
      <c r="A518" s="1" t="s">
        <v>63</v>
      </c>
      <c r="B518" s="3" t="str">
        <f>HYPERLINK("https://pegadaian.atlassian.net/browse/ITPROJECT-586?atlOrigin=eyJpIjoiYzgwYTQ0ZjEyNzQzNGJhN2JmNjEyZTM0NmRhZWZhNjIiLCJwIjoic2hlZXRzLWppcmEifQ","ITPROJECT-586")</f>
        <v>ITPROJECT-586</v>
      </c>
      <c r="C518" s="1" t="s">
        <v>630</v>
      </c>
      <c r="D518" s="1" t="s">
        <v>41</v>
      </c>
      <c r="E518" s="1" t="s">
        <v>57</v>
      </c>
      <c r="F518" s="1" t="s">
        <v>12</v>
      </c>
      <c r="G518" s="1" t="s">
        <v>13</v>
      </c>
      <c r="H518" s="4">
        <v>44718.487534722219</v>
      </c>
      <c r="I518" s="4">
        <v>45061.16642361111</v>
      </c>
      <c r="J518" s="1" t="s">
        <v>60</v>
      </c>
    </row>
    <row r="519" spans="1:10" ht="12.75" x14ac:dyDescent="0.2">
      <c r="A519" s="1" t="s">
        <v>117</v>
      </c>
      <c r="B519" s="3" t="str">
        <f>HYPERLINK("https://pegadaian.atlassian.net/browse/ITPROJECT-583?atlOrigin=eyJpIjoiYzgwYTQ0ZjEyNzQzNGJhN2JmNjEyZTM0NmRhZWZhNjIiLCJwIjoic2hlZXRzLWppcmEifQ","ITPROJECT-583")</f>
        <v>ITPROJECT-583</v>
      </c>
      <c r="C519" s="1" t="s">
        <v>631</v>
      </c>
      <c r="D519" s="1" t="s">
        <v>424</v>
      </c>
      <c r="E519" s="1" t="s">
        <v>130</v>
      </c>
      <c r="F519" s="1" t="s">
        <v>12</v>
      </c>
      <c r="G519" s="1" t="s">
        <v>13</v>
      </c>
      <c r="H519" s="4">
        <v>44715.401759259257</v>
      </c>
      <c r="I519" s="4">
        <v>45061.166446759256</v>
      </c>
      <c r="J519" s="1" t="s">
        <v>27</v>
      </c>
    </row>
    <row r="520" spans="1:10" ht="12.75" x14ac:dyDescent="0.2">
      <c r="A520" s="1" t="s">
        <v>117</v>
      </c>
      <c r="B520" s="3" t="str">
        <f>HYPERLINK("https://pegadaian.atlassian.net/browse/ITPROJECT-582?atlOrigin=eyJpIjoiYzgwYTQ0ZjEyNzQzNGJhN2JmNjEyZTM0NmRhZWZhNjIiLCJwIjoic2hlZXRzLWppcmEifQ","ITPROJECT-582")</f>
        <v>ITPROJECT-582</v>
      </c>
      <c r="C520" s="1" t="s">
        <v>632</v>
      </c>
      <c r="D520" s="1" t="s">
        <v>24</v>
      </c>
      <c r="E520" s="1" t="s">
        <v>130</v>
      </c>
      <c r="F520" s="1" t="s">
        <v>12</v>
      </c>
      <c r="G520" s="1" t="s">
        <v>13</v>
      </c>
      <c r="H520" s="4">
        <v>44714.657141203701</v>
      </c>
      <c r="I520" s="4">
        <v>45061.166446759256</v>
      </c>
      <c r="J520" s="1" t="s">
        <v>62</v>
      </c>
    </row>
    <row r="521" spans="1:10" ht="12.75" x14ac:dyDescent="0.2">
      <c r="A521" s="1" t="s">
        <v>117</v>
      </c>
      <c r="B521" s="3" t="str">
        <f>HYPERLINK("https://pegadaian.atlassian.net/browse/ITPROJECT-581?atlOrigin=eyJpIjoiYzgwYTQ0ZjEyNzQzNGJhN2JmNjEyZTM0NmRhZWZhNjIiLCJwIjoic2hlZXRzLWppcmEifQ","ITPROJECT-581")</f>
        <v>ITPROJECT-581</v>
      </c>
      <c r="C521" s="1" t="s">
        <v>633</v>
      </c>
      <c r="D521" s="1" t="s">
        <v>57</v>
      </c>
      <c r="E521" s="1" t="s">
        <v>122</v>
      </c>
      <c r="F521" s="1" t="s">
        <v>12</v>
      </c>
      <c r="G521" s="1" t="s">
        <v>13</v>
      </c>
      <c r="H521" s="4">
        <v>44714.561886574076</v>
      </c>
      <c r="I521" s="4">
        <v>45061.166458333333</v>
      </c>
      <c r="J521" s="1" t="s">
        <v>54</v>
      </c>
    </row>
    <row r="522" spans="1:10" ht="12.75" x14ac:dyDescent="0.2">
      <c r="A522" s="1" t="s">
        <v>63</v>
      </c>
      <c r="B522" s="3" t="str">
        <f>HYPERLINK("https://pegadaian.atlassian.net/browse/ITPROJECT-580?atlOrigin=eyJpIjoiYzgwYTQ0ZjEyNzQzNGJhN2JmNjEyZTM0NmRhZWZhNjIiLCJwIjoic2hlZXRzLWppcmEifQ","ITPROJECT-580")</f>
        <v>ITPROJECT-580</v>
      </c>
      <c r="C522" s="1" t="s">
        <v>634</v>
      </c>
      <c r="D522" s="1" t="s">
        <v>65</v>
      </c>
      <c r="E522" s="1" t="s">
        <v>65</v>
      </c>
      <c r="F522" s="1" t="s">
        <v>12</v>
      </c>
      <c r="G522" s="1" t="s">
        <v>13</v>
      </c>
      <c r="H522" s="4">
        <v>44714.443993055553</v>
      </c>
      <c r="I522" s="4">
        <v>45061.166458333333</v>
      </c>
      <c r="J522" s="1" t="s">
        <v>54</v>
      </c>
    </row>
    <row r="523" spans="1:10" ht="12.75" x14ac:dyDescent="0.2">
      <c r="A523" s="1" t="s">
        <v>117</v>
      </c>
      <c r="B523" s="3" t="str">
        <f>HYPERLINK("https://pegadaian.atlassian.net/browse/ITPROJECT-579?atlOrigin=eyJpIjoiYzgwYTQ0ZjEyNzQzNGJhN2JmNjEyZTM0NmRhZWZhNjIiLCJwIjoic2hlZXRzLWppcmEifQ","ITPROJECT-579")</f>
        <v>ITPROJECT-579</v>
      </c>
      <c r="C523" s="1" t="s">
        <v>635</v>
      </c>
      <c r="D523" s="1" t="s">
        <v>115</v>
      </c>
      <c r="E523" s="1" t="s">
        <v>122</v>
      </c>
      <c r="F523" s="1" t="s">
        <v>12</v>
      </c>
      <c r="G523" s="1" t="s">
        <v>13</v>
      </c>
      <c r="H523" s="4">
        <v>44714.389780092592</v>
      </c>
      <c r="I523" s="4">
        <v>45061.16646990741</v>
      </c>
      <c r="J523" s="1" t="s">
        <v>18</v>
      </c>
    </row>
    <row r="524" spans="1:10" ht="12.75" x14ac:dyDescent="0.2">
      <c r="A524" s="1" t="s">
        <v>63</v>
      </c>
      <c r="B524" s="3" t="str">
        <f>HYPERLINK("https://pegadaian.atlassian.net/browse/ITPROJECT-578?atlOrigin=eyJpIjoiYzgwYTQ0ZjEyNzQzNGJhN2JmNjEyZTM0NmRhZWZhNjIiLCJwIjoic2hlZXRzLWppcmEifQ","ITPROJECT-578")</f>
        <v>ITPROJECT-578</v>
      </c>
      <c r="C524" s="1" t="s">
        <v>636</v>
      </c>
      <c r="D524" s="1" t="s">
        <v>99</v>
      </c>
      <c r="E524" s="1" t="s">
        <v>17</v>
      </c>
      <c r="F524" s="1" t="s">
        <v>12</v>
      </c>
      <c r="G524" s="1" t="s">
        <v>13</v>
      </c>
      <c r="H524" s="4">
        <v>44711.643495370372</v>
      </c>
      <c r="I524" s="4">
        <v>45061.16646990741</v>
      </c>
      <c r="J524" s="1" t="s">
        <v>637</v>
      </c>
    </row>
    <row r="525" spans="1:10" ht="12.75" x14ac:dyDescent="0.2">
      <c r="A525" s="1" t="s">
        <v>117</v>
      </c>
      <c r="B525" s="3" t="str">
        <f>HYPERLINK("https://pegadaian.atlassian.net/browse/ITPROJECT-575?atlOrigin=eyJpIjoiYzgwYTQ0ZjEyNzQzNGJhN2JmNjEyZTM0NmRhZWZhNjIiLCJwIjoic2hlZXRzLWppcmEifQ","ITPROJECT-575")</f>
        <v>ITPROJECT-575</v>
      </c>
      <c r="C525" s="1" t="s">
        <v>638</v>
      </c>
      <c r="D525" s="1" t="s">
        <v>65</v>
      </c>
      <c r="E525" s="1" t="s">
        <v>161</v>
      </c>
      <c r="F525" s="1" t="s">
        <v>12</v>
      </c>
      <c r="G525" s="1" t="s">
        <v>13</v>
      </c>
      <c r="H525" s="4">
        <v>44706.681481481479</v>
      </c>
      <c r="I525" s="4">
        <v>45061.166493055556</v>
      </c>
      <c r="J525" s="1" t="s">
        <v>54</v>
      </c>
    </row>
    <row r="526" spans="1:10" ht="12.75" x14ac:dyDescent="0.2">
      <c r="A526" s="1" t="s">
        <v>63</v>
      </c>
      <c r="B526" s="3" t="str">
        <f>HYPERLINK("https://pegadaian.atlassian.net/browse/ITPROJECT-574?atlOrigin=eyJpIjoiYzgwYTQ0ZjEyNzQzNGJhN2JmNjEyZTM0NmRhZWZhNjIiLCJwIjoic2hlZXRzLWppcmEifQ","ITPROJECT-574")</f>
        <v>ITPROJECT-574</v>
      </c>
      <c r="C526" s="1" t="s">
        <v>639</v>
      </c>
      <c r="D526" s="1" t="s">
        <v>65</v>
      </c>
      <c r="E526" s="1" t="s">
        <v>65</v>
      </c>
      <c r="F526" s="1" t="s">
        <v>12</v>
      </c>
      <c r="G526" s="1" t="s">
        <v>13</v>
      </c>
      <c r="H526" s="4">
        <v>44706.465694444443</v>
      </c>
      <c r="I526" s="4">
        <v>45061.166504629633</v>
      </c>
      <c r="J526" s="1" t="s">
        <v>54</v>
      </c>
    </row>
    <row r="527" spans="1:10" ht="12.75" x14ac:dyDescent="0.2">
      <c r="A527" s="1" t="s">
        <v>63</v>
      </c>
      <c r="B527" s="3" t="str">
        <f>HYPERLINK("https://pegadaian.atlassian.net/browse/ITPROJECT-573?atlOrigin=eyJpIjoiYzgwYTQ0ZjEyNzQzNGJhN2JmNjEyZTM0NmRhZWZhNjIiLCJwIjoic2hlZXRzLWppcmEifQ","ITPROJECT-573")</f>
        <v>ITPROJECT-573</v>
      </c>
      <c r="C527" s="1" t="s">
        <v>640</v>
      </c>
      <c r="D527" s="1" t="s">
        <v>115</v>
      </c>
      <c r="E527" s="1" t="s">
        <v>115</v>
      </c>
      <c r="F527" s="1" t="s">
        <v>12</v>
      </c>
      <c r="G527" s="1" t="s">
        <v>13</v>
      </c>
      <c r="H527" s="4">
        <v>44706.429791666669</v>
      </c>
      <c r="I527" s="4">
        <v>45061.166504629633</v>
      </c>
      <c r="J527" s="1" t="s">
        <v>18</v>
      </c>
    </row>
    <row r="528" spans="1:10" ht="12.75" x14ac:dyDescent="0.2">
      <c r="A528" s="1" t="s">
        <v>63</v>
      </c>
      <c r="B528" s="3" t="str">
        <f>HYPERLINK("https://pegadaian.atlassian.net/browse/ITPROJECT-571?atlOrigin=eyJpIjoiYzgwYTQ0ZjEyNzQzNGJhN2JmNjEyZTM0NmRhZWZhNjIiLCJwIjoic2hlZXRzLWppcmEifQ","ITPROJECT-571")</f>
        <v>ITPROJECT-571</v>
      </c>
      <c r="C528" s="1" t="s">
        <v>641</v>
      </c>
      <c r="D528" s="1" t="s">
        <v>46</v>
      </c>
      <c r="E528" s="1" t="s">
        <v>46</v>
      </c>
      <c r="F528" s="1" t="s">
        <v>12</v>
      </c>
      <c r="G528" s="1" t="s">
        <v>13</v>
      </c>
      <c r="H528" s="4">
        <v>44704.639363425929</v>
      </c>
      <c r="I528" s="4">
        <v>45061.166527777779</v>
      </c>
      <c r="J528" s="1" t="s">
        <v>221</v>
      </c>
    </row>
    <row r="529" spans="1:10" ht="12.75" x14ac:dyDescent="0.2">
      <c r="A529" s="1" t="s">
        <v>63</v>
      </c>
      <c r="B529" s="3" t="str">
        <f>HYPERLINK("https://pegadaian.atlassian.net/browse/ITPROJECT-570?atlOrigin=eyJpIjoiYzgwYTQ0ZjEyNzQzNGJhN2JmNjEyZTM0NmRhZWZhNjIiLCJwIjoic2hlZXRzLWppcmEifQ","ITPROJECT-570")</f>
        <v>ITPROJECT-570</v>
      </c>
      <c r="C529" s="1" t="s">
        <v>642</v>
      </c>
      <c r="D529" s="1" t="s">
        <v>44</v>
      </c>
      <c r="E529" s="1" t="s">
        <v>44</v>
      </c>
      <c r="F529" s="1" t="s">
        <v>12</v>
      </c>
      <c r="G529" s="1" t="s">
        <v>13</v>
      </c>
      <c r="H529" s="4">
        <v>44704.459687499999</v>
      </c>
      <c r="I529" s="4">
        <v>45061.166527777779</v>
      </c>
      <c r="J529" s="1" t="s">
        <v>487</v>
      </c>
    </row>
    <row r="530" spans="1:10" ht="12.75" x14ac:dyDescent="0.2">
      <c r="A530" s="1" t="s">
        <v>63</v>
      </c>
      <c r="B530" s="3" t="str">
        <f>HYPERLINK("https://pegadaian.atlassian.net/browse/ITPROJECT-569?atlOrigin=eyJpIjoiYzgwYTQ0ZjEyNzQzNGJhN2JmNjEyZTM0NmRhZWZhNjIiLCJwIjoic2hlZXRzLWppcmEifQ","ITPROJECT-569")</f>
        <v>ITPROJECT-569</v>
      </c>
      <c r="C530" s="1" t="s">
        <v>643</v>
      </c>
      <c r="D530" s="1" t="s">
        <v>44</v>
      </c>
      <c r="E530" s="1" t="s">
        <v>44</v>
      </c>
      <c r="F530" s="1" t="s">
        <v>12</v>
      </c>
      <c r="G530" s="1" t="s">
        <v>13</v>
      </c>
      <c r="H530" s="4">
        <v>44704.449502314812</v>
      </c>
      <c r="I530" s="4">
        <v>45061.166539351849</v>
      </c>
      <c r="J530" s="1" t="s">
        <v>487</v>
      </c>
    </row>
    <row r="531" spans="1:10" ht="12.75" x14ac:dyDescent="0.2">
      <c r="A531" s="1" t="s">
        <v>63</v>
      </c>
      <c r="B531" s="3" t="str">
        <f>HYPERLINK("https://pegadaian.atlassian.net/browse/ITPROJECT-566?atlOrigin=eyJpIjoiYzgwYTQ0ZjEyNzQzNGJhN2JmNjEyZTM0NmRhZWZhNjIiLCJwIjoic2hlZXRzLWppcmEifQ","ITPROJECT-566")</f>
        <v>ITPROJECT-566</v>
      </c>
      <c r="C531" s="1" t="s">
        <v>644</v>
      </c>
      <c r="D531" s="1" t="s">
        <v>79</v>
      </c>
      <c r="E531" s="1" t="s">
        <v>79</v>
      </c>
      <c r="F531" s="1" t="s">
        <v>12</v>
      </c>
      <c r="G531" s="1" t="s">
        <v>13</v>
      </c>
      <c r="H531" s="4">
        <v>44701.693749999999</v>
      </c>
      <c r="I531" s="4">
        <v>45061.166550925926</v>
      </c>
      <c r="J531" s="1" t="s">
        <v>60</v>
      </c>
    </row>
    <row r="532" spans="1:10" ht="12.75" x14ac:dyDescent="0.2">
      <c r="A532" s="1" t="s">
        <v>117</v>
      </c>
      <c r="B532" s="3" t="str">
        <f>HYPERLINK("https://pegadaian.atlassian.net/browse/ITPROJECT-565?atlOrigin=eyJpIjoiYzgwYTQ0ZjEyNzQzNGJhN2JmNjEyZTM0NmRhZWZhNjIiLCJwIjoic2hlZXRzLWppcmEifQ","ITPROJECT-565")</f>
        <v>ITPROJECT-565</v>
      </c>
      <c r="C532" s="1" t="s">
        <v>645</v>
      </c>
      <c r="D532" s="1" t="s">
        <v>42</v>
      </c>
      <c r="E532" s="1" t="s">
        <v>130</v>
      </c>
      <c r="F532" s="1" t="s">
        <v>12</v>
      </c>
      <c r="G532" s="1" t="s">
        <v>13</v>
      </c>
      <c r="H532" s="4">
        <v>44701.675000000003</v>
      </c>
      <c r="I532" s="4">
        <v>45061.166550925926</v>
      </c>
      <c r="J532" s="1" t="s">
        <v>15</v>
      </c>
    </row>
    <row r="533" spans="1:10" ht="12.75" x14ac:dyDescent="0.2">
      <c r="A533" s="1" t="s">
        <v>63</v>
      </c>
      <c r="B533" s="3" t="str">
        <f>HYPERLINK("https://pegadaian.atlassian.net/browse/ITPROJECT-563?atlOrigin=eyJpIjoiYzgwYTQ0ZjEyNzQzNGJhN2JmNjEyZTM0NmRhZWZhNjIiLCJwIjoic2hlZXRzLWppcmEifQ","ITPROJECT-563")</f>
        <v>ITPROJECT-563</v>
      </c>
      <c r="C533" s="1" t="s">
        <v>646</v>
      </c>
      <c r="D533" s="1" t="s">
        <v>44</v>
      </c>
      <c r="E533" s="1" t="s">
        <v>44</v>
      </c>
      <c r="F533" s="1" t="s">
        <v>12</v>
      </c>
      <c r="G533" s="1" t="s">
        <v>13</v>
      </c>
      <c r="H533" s="4">
        <v>44700.481006944443</v>
      </c>
      <c r="I533" s="4">
        <v>45061.166562500002</v>
      </c>
      <c r="J533" s="1" t="s">
        <v>487</v>
      </c>
    </row>
    <row r="534" spans="1:10" ht="12.75" x14ac:dyDescent="0.2">
      <c r="A534" s="1" t="s">
        <v>63</v>
      </c>
      <c r="B534" s="3" t="str">
        <f>HYPERLINK("https://pegadaian.atlassian.net/browse/ITPROJECT-560?atlOrigin=eyJpIjoiYzgwYTQ0ZjEyNzQzNGJhN2JmNjEyZTM0NmRhZWZhNjIiLCJwIjoic2hlZXRzLWppcmEifQ","ITPROJECT-560")</f>
        <v>ITPROJECT-560</v>
      </c>
      <c r="C534" s="1" t="s">
        <v>647</v>
      </c>
      <c r="D534" s="1" t="s">
        <v>46</v>
      </c>
      <c r="E534" s="1" t="s">
        <v>46</v>
      </c>
      <c r="F534" s="1" t="s">
        <v>12</v>
      </c>
      <c r="G534" s="1" t="s">
        <v>68</v>
      </c>
      <c r="H534" s="4">
        <v>44699.426423611112</v>
      </c>
      <c r="I534" s="4">
        <v>45061.166585648149</v>
      </c>
      <c r="J534" s="1" t="s">
        <v>648</v>
      </c>
    </row>
    <row r="535" spans="1:10" ht="12.75" x14ac:dyDescent="0.2">
      <c r="A535" s="1" t="s">
        <v>63</v>
      </c>
      <c r="B535" s="3" t="str">
        <f>HYPERLINK("https://pegadaian.atlassian.net/browse/ITPROJECT-557?atlOrigin=eyJpIjoiYzgwYTQ0ZjEyNzQzNGJhN2JmNjEyZTM0NmRhZWZhNjIiLCJwIjoic2hlZXRzLWppcmEifQ","ITPROJECT-557")</f>
        <v>ITPROJECT-557</v>
      </c>
      <c r="C535" s="1" t="s">
        <v>649</v>
      </c>
      <c r="D535" s="1" t="s">
        <v>75</v>
      </c>
      <c r="E535" s="1" t="s">
        <v>75</v>
      </c>
      <c r="F535" s="1" t="s">
        <v>12</v>
      </c>
      <c r="G535" s="1" t="s">
        <v>13</v>
      </c>
      <c r="H535" s="4">
        <v>44698.4765625</v>
      </c>
      <c r="I535" s="4">
        <v>45061.166608796295</v>
      </c>
      <c r="J535" s="1" t="s">
        <v>40</v>
      </c>
    </row>
    <row r="536" spans="1:10" ht="12.75" x14ac:dyDescent="0.2">
      <c r="A536" s="1" t="s">
        <v>63</v>
      </c>
      <c r="B536" s="3" t="str">
        <f>HYPERLINK("https://pegadaian.atlassian.net/browse/ITPROJECT-555?atlOrigin=eyJpIjoiYzgwYTQ0ZjEyNzQzNGJhN2JmNjEyZTM0NmRhZWZhNjIiLCJwIjoic2hlZXRzLWppcmEifQ","ITPROJECT-555")</f>
        <v>ITPROJECT-555</v>
      </c>
      <c r="C536" s="1" t="s">
        <v>650</v>
      </c>
      <c r="D536" s="1" t="s">
        <v>424</v>
      </c>
      <c r="E536" s="1" t="s">
        <v>424</v>
      </c>
      <c r="F536" s="1" t="s">
        <v>12</v>
      </c>
      <c r="G536" s="1" t="s">
        <v>13</v>
      </c>
      <c r="H536" s="4">
        <v>44694.68818287037</v>
      </c>
      <c r="I536" s="4">
        <v>45061.166620370372</v>
      </c>
      <c r="J536" s="1" t="s">
        <v>27</v>
      </c>
    </row>
    <row r="537" spans="1:10" ht="12.75" x14ac:dyDescent="0.2">
      <c r="A537" s="1" t="s">
        <v>117</v>
      </c>
      <c r="B537" s="3" t="str">
        <f>HYPERLINK("https://pegadaian.atlassian.net/browse/ITPROJECT-552?atlOrigin=eyJpIjoiYzgwYTQ0ZjEyNzQzNGJhN2JmNjEyZTM0NmRhZWZhNjIiLCJwIjoic2hlZXRzLWppcmEifQ","ITPROJECT-552")</f>
        <v>ITPROJECT-552</v>
      </c>
      <c r="C537" s="1" t="s">
        <v>651</v>
      </c>
      <c r="D537" s="1" t="s">
        <v>50</v>
      </c>
      <c r="E537" s="1" t="s">
        <v>130</v>
      </c>
      <c r="F537" s="1" t="s">
        <v>12</v>
      </c>
      <c r="G537" s="1" t="s">
        <v>68</v>
      </c>
      <c r="H537" s="4">
        <v>44693.629895833335</v>
      </c>
      <c r="I537" s="4">
        <v>45061.166631944441</v>
      </c>
      <c r="J537" s="1" t="s">
        <v>39</v>
      </c>
    </row>
    <row r="538" spans="1:10" ht="12.75" x14ac:dyDescent="0.2">
      <c r="A538" s="1" t="s">
        <v>63</v>
      </c>
      <c r="B538" s="3" t="str">
        <f>HYPERLINK("https://pegadaian.atlassian.net/browse/ITPROJECT-550?atlOrigin=eyJpIjoiYzgwYTQ0ZjEyNzQzNGJhN2JmNjEyZTM0NmRhZWZhNjIiLCJwIjoic2hlZXRzLWppcmEifQ","ITPROJECT-550")</f>
        <v>ITPROJECT-550</v>
      </c>
      <c r="C538" s="1" t="s">
        <v>652</v>
      </c>
      <c r="D538" s="1" t="s">
        <v>71</v>
      </c>
      <c r="E538" s="1" t="s">
        <v>71</v>
      </c>
      <c r="F538" s="1" t="s">
        <v>12</v>
      </c>
      <c r="G538" s="1" t="s">
        <v>13</v>
      </c>
      <c r="H538" s="4">
        <v>44692.43072916667</v>
      </c>
      <c r="I538" s="4">
        <v>45061.166643518518</v>
      </c>
      <c r="J538" s="1" t="s">
        <v>87</v>
      </c>
    </row>
    <row r="539" spans="1:10" ht="12.75" x14ac:dyDescent="0.2">
      <c r="A539" s="1" t="s">
        <v>63</v>
      </c>
      <c r="B539" s="3" t="str">
        <f>HYPERLINK("https://pegadaian.atlassian.net/browse/ITPROJECT-549?atlOrigin=eyJpIjoiYzgwYTQ0ZjEyNzQzNGJhN2JmNjEyZTM0NmRhZWZhNjIiLCJwIjoic2hlZXRzLWppcmEifQ","ITPROJECT-549")</f>
        <v>ITPROJECT-549</v>
      </c>
      <c r="C539" s="1" t="s">
        <v>653</v>
      </c>
      <c r="D539" s="1" t="s">
        <v>112</v>
      </c>
      <c r="E539" s="1" t="s">
        <v>112</v>
      </c>
      <c r="F539" s="1" t="s">
        <v>12</v>
      </c>
      <c r="G539" s="1" t="s">
        <v>13</v>
      </c>
      <c r="H539" s="4">
        <v>44691.647488425922</v>
      </c>
      <c r="I539" s="4">
        <v>45061.166655092595</v>
      </c>
      <c r="J539" s="1" t="s">
        <v>654</v>
      </c>
    </row>
    <row r="540" spans="1:10" ht="12.75" x14ac:dyDescent="0.2">
      <c r="A540" s="1" t="s">
        <v>63</v>
      </c>
      <c r="B540" s="3" t="str">
        <f>HYPERLINK("https://pegadaian.atlassian.net/browse/ITPROJECT-547?atlOrigin=eyJpIjoiYzgwYTQ0ZjEyNzQzNGJhN2JmNjEyZTM0NmRhZWZhNjIiLCJwIjoic2hlZXRzLWppcmEifQ","ITPROJECT-547")</f>
        <v>ITPROJECT-547</v>
      </c>
      <c r="C540" s="1" t="s">
        <v>655</v>
      </c>
      <c r="D540" s="1" t="s">
        <v>25</v>
      </c>
      <c r="E540" s="1" t="s">
        <v>25</v>
      </c>
      <c r="F540" s="1" t="s">
        <v>12</v>
      </c>
      <c r="G540" s="1" t="s">
        <v>13</v>
      </c>
      <c r="H540" s="4">
        <v>44690.39644675926</v>
      </c>
      <c r="I540" s="4">
        <v>45061.166666666664</v>
      </c>
      <c r="J540" s="1" t="s">
        <v>26</v>
      </c>
    </row>
    <row r="541" spans="1:10" ht="12.75" x14ac:dyDescent="0.2">
      <c r="A541" s="1" t="s">
        <v>63</v>
      </c>
      <c r="B541" s="3" t="str">
        <f>HYPERLINK("https://pegadaian.atlassian.net/browse/ITPROJECT-546?atlOrigin=eyJpIjoiYzgwYTQ0ZjEyNzQzNGJhN2JmNjEyZTM0NmRhZWZhNjIiLCJwIjoic2hlZXRzLWppcmEifQ","ITPROJECT-546")</f>
        <v>ITPROJECT-546</v>
      </c>
      <c r="C541" s="1" t="s">
        <v>656</v>
      </c>
      <c r="D541" s="1" t="s">
        <v>25</v>
      </c>
      <c r="E541" s="1" t="s">
        <v>25</v>
      </c>
      <c r="F541" s="1" t="s">
        <v>12</v>
      </c>
      <c r="G541" s="1" t="s">
        <v>13</v>
      </c>
      <c r="H541" s="4">
        <v>44690.393159722225</v>
      </c>
      <c r="I541" s="4">
        <v>45061.166678240741</v>
      </c>
      <c r="J541" s="1" t="s">
        <v>26</v>
      </c>
    </row>
    <row r="542" spans="1:10" ht="12.75" x14ac:dyDescent="0.2">
      <c r="A542" s="1" t="s">
        <v>63</v>
      </c>
      <c r="B542" s="3" t="str">
        <f>HYPERLINK("https://pegadaian.atlassian.net/browse/ITPROJECT-544?atlOrigin=eyJpIjoiYzgwYTQ0ZjEyNzQzNGJhN2JmNjEyZTM0NmRhZWZhNjIiLCJwIjoic2hlZXRzLWppcmEifQ","ITPROJECT-544")</f>
        <v>ITPROJECT-544</v>
      </c>
      <c r="C542" s="1" t="s">
        <v>657</v>
      </c>
      <c r="D542" s="1" t="s">
        <v>65</v>
      </c>
      <c r="E542" s="1" t="s">
        <v>65</v>
      </c>
      <c r="F542" s="1" t="s">
        <v>12</v>
      </c>
      <c r="G542" s="1" t="s">
        <v>13</v>
      </c>
      <c r="H542" s="4">
        <v>44678.490370370368</v>
      </c>
      <c r="I542" s="4">
        <v>45061.166689814818</v>
      </c>
      <c r="J542" s="1" t="s">
        <v>54</v>
      </c>
    </row>
    <row r="543" spans="1:10" ht="12.75" x14ac:dyDescent="0.2">
      <c r="A543" s="1" t="s">
        <v>63</v>
      </c>
      <c r="B543" s="3" t="str">
        <f>HYPERLINK("https://pegadaian.atlassian.net/browse/ITPROJECT-541?atlOrigin=eyJpIjoiYzgwYTQ0ZjEyNzQzNGJhN2JmNjEyZTM0NmRhZWZhNjIiLCJwIjoic2hlZXRzLWppcmEifQ","ITPROJECT-541")</f>
        <v>ITPROJECT-541</v>
      </c>
      <c r="C543" s="1" t="s">
        <v>658</v>
      </c>
      <c r="D543" s="1" t="s">
        <v>424</v>
      </c>
      <c r="E543" s="1" t="s">
        <v>424</v>
      </c>
      <c r="F543" s="1" t="s">
        <v>12</v>
      </c>
      <c r="G543" s="1" t="s">
        <v>13</v>
      </c>
      <c r="H543" s="4">
        <v>44677.584837962961</v>
      </c>
      <c r="I543" s="4">
        <v>45061.166712962964</v>
      </c>
      <c r="J543" s="1" t="s">
        <v>27</v>
      </c>
    </row>
    <row r="544" spans="1:10" ht="12.75" x14ac:dyDescent="0.2">
      <c r="A544" s="1" t="s">
        <v>117</v>
      </c>
      <c r="B544" s="3" t="str">
        <f>HYPERLINK("https://pegadaian.atlassian.net/browse/ITPROJECT-540?atlOrigin=eyJpIjoiYzgwYTQ0ZjEyNzQzNGJhN2JmNjEyZTM0NmRhZWZhNjIiLCJwIjoic2hlZXRzLWppcmEifQ","ITPROJECT-540")</f>
        <v>ITPROJECT-540</v>
      </c>
      <c r="C544" s="1" t="s">
        <v>659</v>
      </c>
      <c r="D544" s="1" t="s">
        <v>424</v>
      </c>
      <c r="E544" s="1" t="s">
        <v>424</v>
      </c>
      <c r="F544" s="1" t="s">
        <v>12</v>
      </c>
      <c r="G544" s="1" t="s">
        <v>13</v>
      </c>
      <c r="H544" s="4">
        <v>44677.518391203703</v>
      </c>
      <c r="I544" s="4">
        <v>45061.166724537034</v>
      </c>
      <c r="J544" s="1" t="s">
        <v>27</v>
      </c>
    </row>
    <row r="545" spans="1:10" ht="12.75" x14ac:dyDescent="0.2">
      <c r="A545" s="1" t="s">
        <v>117</v>
      </c>
      <c r="B545" s="3" t="str">
        <f>HYPERLINK("https://pegadaian.atlassian.net/browse/ITPROJECT-537?atlOrigin=eyJpIjoiYzgwYTQ0ZjEyNzQzNGJhN2JmNjEyZTM0NmRhZWZhNjIiLCJwIjoic2hlZXRzLWppcmEifQ","ITPROJECT-537")</f>
        <v>ITPROJECT-537</v>
      </c>
      <c r="C545" s="1" t="s">
        <v>660</v>
      </c>
      <c r="D545" s="1" t="s">
        <v>115</v>
      </c>
      <c r="E545" s="1" t="s">
        <v>122</v>
      </c>
      <c r="F545" s="1" t="s">
        <v>12</v>
      </c>
      <c r="G545" s="1" t="s">
        <v>213</v>
      </c>
      <c r="H545" s="4">
        <v>44677.325138888889</v>
      </c>
      <c r="I545" s="4">
        <v>45061.16673611111</v>
      </c>
      <c r="J545" s="1" t="s">
        <v>18</v>
      </c>
    </row>
    <row r="546" spans="1:10" ht="12.75" x14ac:dyDescent="0.2">
      <c r="A546" s="1" t="s">
        <v>117</v>
      </c>
      <c r="B546" s="3" t="str">
        <f>HYPERLINK("https://pegadaian.atlassian.net/browse/ITPROJECT-535?atlOrigin=eyJpIjoiYzgwYTQ0ZjEyNzQzNGJhN2JmNjEyZTM0NmRhZWZhNjIiLCJwIjoic2hlZXRzLWppcmEifQ","ITPROJECT-535")</f>
        <v>ITPROJECT-535</v>
      </c>
      <c r="C546" s="1" t="s">
        <v>661</v>
      </c>
      <c r="D546" s="1" t="s">
        <v>25</v>
      </c>
      <c r="E546" s="1" t="s">
        <v>130</v>
      </c>
      <c r="F546" s="1" t="s">
        <v>12</v>
      </c>
      <c r="G546" s="1" t="s">
        <v>13</v>
      </c>
      <c r="H546" s="4">
        <v>44676.645300925928</v>
      </c>
      <c r="I546" s="4">
        <v>45061.166747685187</v>
      </c>
      <c r="J546" s="1" t="s">
        <v>26</v>
      </c>
    </row>
    <row r="547" spans="1:10" ht="12.75" x14ac:dyDescent="0.2">
      <c r="A547" s="1" t="s">
        <v>117</v>
      </c>
      <c r="B547" s="3" t="str">
        <f>HYPERLINK("https://pegadaian.atlassian.net/browse/ITPROJECT-534?atlOrigin=eyJpIjoiYzgwYTQ0ZjEyNzQzNGJhN2JmNjEyZTM0NmRhZWZhNjIiLCJwIjoic2hlZXRzLWppcmEifQ","ITPROJECT-534")</f>
        <v>ITPROJECT-534</v>
      </c>
      <c r="C547" s="1" t="s">
        <v>662</v>
      </c>
      <c r="D547" s="1" t="s">
        <v>25</v>
      </c>
      <c r="E547" s="1" t="s">
        <v>130</v>
      </c>
      <c r="F547" s="1" t="s">
        <v>12</v>
      </c>
      <c r="G547" s="1" t="s">
        <v>13</v>
      </c>
      <c r="H547" s="4">
        <v>44676.642534722225</v>
      </c>
      <c r="I547" s="4">
        <v>45061.166759259257</v>
      </c>
      <c r="J547" s="1" t="s">
        <v>26</v>
      </c>
    </row>
    <row r="548" spans="1:10" ht="12.75" x14ac:dyDescent="0.2">
      <c r="A548" s="1" t="s">
        <v>63</v>
      </c>
      <c r="B548" s="3" t="str">
        <f>HYPERLINK("https://pegadaian.atlassian.net/browse/ITPROJECT-531?atlOrigin=eyJpIjoiYzgwYTQ0ZjEyNzQzNGJhN2JmNjEyZTM0NmRhZWZhNjIiLCJwIjoic2hlZXRzLWppcmEifQ","ITPROJECT-531")</f>
        <v>ITPROJECT-531</v>
      </c>
      <c r="C548" s="1" t="s">
        <v>663</v>
      </c>
      <c r="D548" s="1" t="s">
        <v>99</v>
      </c>
      <c r="E548" s="1" t="s">
        <v>99</v>
      </c>
      <c r="F548" s="1" t="s">
        <v>12</v>
      </c>
      <c r="G548" s="1" t="s">
        <v>68</v>
      </c>
      <c r="H548" s="4">
        <v>44676.500358796293</v>
      </c>
      <c r="I548" s="4">
        <v>45061.16678240741</v>
      </c>
      <c r="J548" s="1" t="s">
        <v>32</v>
      </c>
    </row>
    <row r="549" spans="1:10" ht="12.75" x14ac:dyDescent="0.2">
      <c r="A549" s="1" t="s">
        <v>117</v>
      </c>
      <c r="B549" s="3" t="str">
        <f>HYPERLINK("https://pegadaian.atlassian.net/browse/ITPROJECT-529?atlOrigin=eyJpIjoiYzgwYTQ0ZjEyNzQzNGJhN2JmNjEyZTM0NmRhZWZhNjIiLCJwIjoic2hlZXRzLWppcmEifQ","ITPROJECT-529")</f>
        <v>ITPROJECT-529</v>
      </c>
      <c r="C549" s="1" t="s">
        <v>664</v>
      </c>
      <c r="D549" s="1" t="s">
        <v>57</v>
      </c>
      <c r="E549" s="1" t="s">
        <v>161</v>
      </c>
      <c r="F549" s="1" t="s">
        <v>12</v>
      </c>
      <c r="G549" s="1" t="s">
        <v>13</v>
      </c>
      <c r="H549" s="4">
        <v>44676.491307870368</v>
      </c>
      <c r="I549" s="4">
        <v>45061.16679398148</v>
      </c>
      <c r="J549" s="1" t="s">
        <v>40</v>
      </c>
    </row>
    <row r="550" spans="1:10" ht="12.75" x14ac:dyDescent="0.2">
      <c r="A550" s="1" t="s">
        <v>117</v>
      </c>
      <c r="B550" s="3" t="str">
        <f>HYPERLINK("https://pegadaian.atlassian.net/browse/ITPROJECT-521?atlOrigin=eyJpIjoiYzgwYTQ0ZjEyNzQzNGJhN2JmNjEyZTM0NmRhZWZhNjIiLCJwIjoic2hlZXRzLWppcmEifQ","ITPROJECT-521")</f>
        <v>ITPROJECT-521</v>
      </c>
      <c r="C550" s="1" t="s">
        <v>665</v>
      </c>
      <c r="D550" s="1" t="s">
        <v>31</v>
      </c>
      <c r="E550" s="1" t="s">
        <v>130</v>
      </c>
      <c r="F550" s="1" t="s">
        <v>12</v>
      </c>
      <c r="G550" s="1" t="s">
        <v>13</v>
      </c>
      <c r="H550" s="4">
        <v>44676.453900462962</v>
      </c>
      <c r="I550" s="4">
        <v>45061.16684027778</v>
      </c>
      <c r="J550" s="1" t="s">
        <v>26</v>
      </c>
    </row>
    <row r="551" spans="1:10" ht="12.75" x14ac:dyDescent="0.2">
      <c r="A551" s="1" t="s">
        <v>117</v>
      </c>
      <c r="B551" s="3" t="str">
        <f>HYPERLINK("https://pegadaian.atlassian.net/browse/ITPROJECT-515?atlOrigin=eyJpIjoiYzgwYTQ0ZjEyNzQzNGJhN2JmNjEyZTM0NmRhZWZhNjIiLCJwIjoic2hlZXRzLWppcmEifQ","ITPROJECT-515")</f>
        <v>ITPROJECT-515</v>
      </c>
      <c r="C551" s="1" t="s">
        <v>666</v>
      </c>
      <c r="D551" s="1" t="s">
        <v>112</v>
      </c>
      <c r="E551" s="1" t="s">
        <v>130</v>
      </c>
      <c r="F551" s="1" t="s">
        <v>12</v>
      </c>
      <c r="G551" s="1" t="s">
        <v>13</v>
      </c>
      <c r="H551" s="4">
        <v>44672.656840277778</v>
      </c>
      <c r="I551" s="4">
        <v>45061.166875000003</v>
      </c>
      <c r="J551" s="1" t="s">
        <v>654</v>
      </c>
    </row>
    <row r="552" spans="1:10" ht="12.75" x14ac:dyDescent="0.2">
      <c r="A552" s="1" t="s">
        <v>63</v>
      </c>
      <c r="B552" s="3" t="str">
        <f>HYPERLINK("https://pegadaian.atlassian.net/browse/ITPROJECT-514?atlOrigin=eyJpIjoiYzgwYTQ0ZjEyNzQzNGJhN2JmNjEyZTM0NmRhZWZhNjIiLCJwIjoic2hlZXRzLWppcmEifQ","ITPROJECT-514")</f>
        <v>ITPROJECT-514</v>
      </c>
      <c r="C552" s="1" t="s">
        <v>667</v>
      </c>
      <c r="D552" s="1" t="s">
        <v>65</v>
      </c>
      <c r="E552" s="1" t="s">
        <v>65</v>
      </c>
      <c r="F552" s="1" t="s">
        <v>12</v>
      </c>
      <c r="G552" s="1" t="s">
        <v>13</v>
      </c>
      <c r="H552" s="4">
        <v>44671.664305555554</v>
      </c>
      <c r="I552" s="4">
        <v>45061.166886574072</v>
      </c>
      <c r="J552" s="1" t="s">
        <v>87</v>
      </c>
    </row>
    <row r="553" spans="1:10" ht="12.75" x14ac:dyDescent="0.2">
      <c r="A553" s="1" t="s">
        <v>63</v>
      </c>
      <c r="B553" s="3" t="str">
        <f>HYPERLINK("https://pegadaian.atlassian.net/browse/ITPROJECT-513?atlOrigin=eyJpIjoiYzgwYTQ0ZjEyNzQzNGJhN2JmNjEyZTM0NmRhZWZhNjIiLCJwIjoic2hlZXRzLWppcmEifQ","ITPROJECT-513")</f>
        <v>ITPROJECT-513</v>
      </c>
      <c r="C553" s="1" t="s">
        <v>668</v>
      </c>
      <c r="D553" s="1" t="s">
        <v>46</v>
      </c>
      <c r="E553" s="1" t="s">
        <v>71</v>
      </c>
      <c r="F553" s="1" t="s">
        <v>12</v>
      </c>
      <c r="G553" s="1" t="s">
        <v>13</v>
      </c>
      <c r="H553" s="4">
        <v>44670.589780092596</v>
      </c>
      <c r="I553" s="4">
        <v>45061.166886574072</v>
      </c>
      <c r="J553" s="1" t="s">
        <v>669</v>
      </c>
    </row>
    <row r="554" spans="1:10" ht="12.75" x14ac:dyDescent="0.2">
      <c r="A554" s="1" t="s">
        <v>63</v>
      </c>
      <c r="B554" s="3" t="str">
        <f>HYPERLINK("https://pegadaian.atlassian.net/browse/ITPROJECT-512?atlOrigin=eyJpIjoiYzgwYTQ0ZjEyNzQzNGJhN2JmNjEyZTM0NmRhZWZhNjIiLCJwIjoic2hlZXRzLWppcmEifQ","ITPROJECT-512")</f>
        <v>ITPROJECT-512</v>
      </c>
      <c r="C554" s="1" t="s">
        <v>670</v>
      </c>
      <c r="D554" s="1" t="s">
        <v>75</v>
      </c>
      <c r="E554" s="1" t="s">
        <v>75</v>
      </c>
      <c r="F554" s="1" t="s">
        <v>12</v>
      </c>
      <c r="G554" s="1" t="s">
        <v>13</v>
      </c>
      <c r="H554" s="4">
        <v>44670.455949074072</v>
      </c>
      <c r="I554" s="4">
        <v>45061.166898148149</v>
      </c>
      <c r="J554" s="1" t="s">
        <v>40</v>
      </c>
    </row>
    <row r="555" spans="1:10" ht="12.75" x14ac:dyDescent="0.2">
      <c r="A555" s="1" t="s">
        <v>117</v>
      </c>
      <c r="B555" s="3" t="str">
        <f>HYPERLINK("https://pegadaian.atlassian.net/browse/ITPROJECT-508?atlOrigin=eyJpIjoiYzgwYTQ0ZjEyNzQzNGJhN2JmNjEyZTM0NmRhZWZhNjIiLCJwIjoic2hlZXRzLWppcmEifQ","ITPROJECT-508")</f>
        <v>ITPROJECT-508</v>
      </c>
      <c r="C555" s="1" t="s">
        <v>671</v>
      </c>
      <c r="D555" s="1" t="s">
        <v>56</v>
      </c>
      <c r="E555" s="1" t="s">
        <v>161</v>
      </c>
      <c r="F555" s="1" t="s">
        <v>12</v>
      </c>
      <c r="G555" s="1" t="s">
        <v>213</v>
      </c>
      <c r="H555" s="4">
        <v>44669.46398148148</v>
      </c>
      <c r="I555" s="4">
        <v>45061.166921296295</v>
      </c>
      <c r="J555" s="1" t="s">
        <v>11</v>
      </c>
    </row>
    <row r="556" spans="1:10" ht="12.75" x14ac:dyDescent="0.2">
      <c r="A556" s="1" t="s">
        <v>117</v>
      </c>
      <c r="B556" s="3" t="str">
        <f>HYPERLINK("https://pegadaian.atlassian.net/browse/ITPROJECT-507?atlOrigin=eyJpIjoiYzgwYTQ0ZjEyNzQzNGJhN2JmNjEyZTM0NmRhZWZhNjIiLCJwIjoic2hlZXRzLWppcmEifQ","ITPROJECT-507")</f>
        <v>ITPROJECT-507</v>
      </c>
      <c r="C556" s="1" t="s">
        <v>672</v>
      </c>
      <c r="D556" s="1" t="s">
        <v>56</v>
      </c>
      <c r="E556" s="1" t="s">
        <v>161</v>
      </c>
      <c r="F556" s="1" t="s">
        <v>12</v>
      </c>
      <c r="G556" s="1" t="s">
        <v>213</v>
      </c>
      <c r="H556" s="4">
        <v>44669.447210648148</v>
      </c>
      <c r="I556" s="4">
        <v>45061.166921296295</v>
      </c>
      <c r="J556" s="1" t="s">
        <v>11</v>
      </c>
    </row>
    <row r="557" spans="1:10" ht="12.75" x14ac:dyDescent="0.2">
      <c r="A557" s="1" t="s">
        <v>117</v>
      </c>
      <c r="B557" s="3" t="str">
        <f>HYPERLINK("https://pegadaian.atlassian.net/browse/ITPROJECT-506?atlOrigin=eyJpIjoiYzgwYTQ0ZjEyNzQzNGJhN2JmNjEyZTM0NmRhZWZhNjIiLCJwIjoic2hlZXRzLWppcmEifQ","ITPROJECT-506")</f>
        <v>ITPROJECT-506</v>
      </c>
      <c r="C557" s="1" t="s">
        <v>673</v>
      </c>
      <c r="D557" s="1" t="s">
        <v>56</v>
      </c>
      <c r="E557" s="1" t="s">
        <v>161</v>
      </c>
      <c r="F557" s="1" t="s">
        <v>12</v>
      </c>
      <c r="G557" s="1" t="s">
        <v>213</v>
      </c>
      <c r="H557" s="4">
        <v>44669.446087962962</v>
      </c>
      <c r="I557" s="4">
        <v>45061.166932870372</v>
      </c>
      <c r="J557" s="1" t="s">
        <v>11</v>
      </c>
    </row>
    <row r="558" spans="1:10" ht="12.75" x14ac:dyDescent="0.2">
      <c r="A558" s="1" t="s">
        <v>117</v>
      </c>
      <c r="B558" s="3" t="str">
        <f>HYPERLINK("https://pegadaian.atlassian.net/browse/ITPROJECT-498?atlOrigin=eyJpIjoiYzgwYTQ0ZjEyNzQzNGJhN2JmNjEyZTM0NmRhZWZhNjIiLCJwIjoic2hlZXRzLWppcmEifQ","ITPROJECT-498")</f>
        <v>ITPROJECT-498</v>
      </c>
      <c r="C558" s="1" t="s">
        <v>674</v>
      </c>
      <c r="D558" s="1" t="s">
        <v>71</v>
      </c>
      <c r="E558" s="1" t="s">
        <v>122</v>
      </c>
      <c r="F558" s="1" t="s">
        <v>12</v>
      </c>
      <c r="G558" s="1" t="s">
        <v>13</v>
      </c>
      <c r="H558" s="4">
        <v>44665.637303240743</v>
      </c>
      <c r="I558" s="4">
        <v>45061.166967592595</v>
      </c>
      <c r="J558" s="1" t="s">
        <v>60</v>
      </c>
    </row>
    <row r="559" spans="1:10" ht="12.75" x14ac:dyDescent="0.2">
      <c r="A559" s="1" t="s">
        <v>117</v>
      </c>
      <c r="B559" s="3" t="str">
        <f>HYPERLINK("https://pegadaian.atlassian.net/browse/ITPROJECT-497?atlOrigin=eyJpIjoiYzgwYTQ0ZjEyNzQzNGJhN2JmNjEyZTM0NmRhZWZhNjIiLCJwIjoic2hlZXRzLWppcmEifQ","ITPROJECT-497")</f>
        <v>ITPROJECT-497</v>
      </c>
      <c r="C559" s="1" t="s">
        <v>675</v>
      </c>
      <c r="D559" s="1" t="s">
        <v>71</v>
      </c>
      <c r="E559" s="1" t="s">
        <v>122</v>
      </c>
      <c r="F559" s="1" t="s">
        <v>12</v>
      </c>
      <c r="G559" s="1" t="s">
        <v>13</v>
      </c>
      <c r="H559" s="4">
        <v>44665.630023148151</v>
      </c>
      <c r="I559" s="4">
        <v>45061.166979166665</v>
      </c>
      <c r="J559" s="1" t="s">
        <v>60</v>
      </c>
    </row>
    <row r="560" spans="1:10" ht="12.75" x14ac:dyDescent="0.2">
      <c r="A560" s="1" t="s">
        <v>117</v>
      </c>
      <c r="B560" s="3" t="str">
        <f>HYPERLINK("https://pegadaian.atlassian.net/browse/ITPROJECT-490?atlOrigin=eyJpIjoiYzgwYTQ0ZjEyNzQzNGJhN2JmNjEyZTM0NmRhZWZhNjIiLCJwIjoic2hlZXRzLWppcmEifQ","ITPROJECT-490")</f>
        <v>ITPROJECT-490</v>
      </c>
      <c r="C560" s="1" t="s">
        <v>676</v>
      </c>
      <c r="D560" s="1" t="s">
        <v>36</v>
      </c>
      <c r="E560" s="1" t="s">
        <v>119</v>
      </c>
      <c r="F560" s="1" t="s">
        <v>12</v>
      </c>
      <c r="G560" s="1" t="s">
        <v>72</v>
      </c>
      <c r="H560" s="4">
        <v>44665.459618055553</v>
      </c>
      <c r="I560" s="4">
        <v>45061.167013888888</v>
      </c>
      <c r="J560" s="1" t="s">
        <v>37</v>
      </c>
    </row>
    <row r="561" spans="1:10" ht="12.75" x14ac:dyDescent="0.2">
      <c r="A561" s="1" t="s">
        <v>63</v>
      </c>
      <c r="B561" s="3" t="str">
        <f>HYPERLINK("https://pegadaian.atlassian.net/browse/ITPROJECT-488?atlOrigin=eyJpIjoiYzgwYTQ0ZjEyNzQzNGJhN2JmNjEyZTM0NmRhZWZhNjIiLCJwIjoic2hlZXRzLWppcmEifQ","ITPROJECT-488")</f>
        <v>ITPROJECT-488</v>
      </c>
      <c r="C561" s="1" t="s">
        <v>677</v>
      </c>
      <c r="D561" s="1" t="s">
        <v>424</v>
      </c>
      <c r="E561" s="1" t="s">
        <v>424</v>
      </c>
      <c r="F561" s="1" t="s">
        <v>12</v>
      </c>
      <c r="G561" s="1" t="s">
        <v>13</v>
      </c>
      <c r="H561" s="4">
        <v>44665.450821759259</v>
      </c>
      <c r="I561" s="4">
        <v>45061.167025462964</v>
      </c>
      <c r="J561" s="1" t="s">
        <v>27</v>
      </c>
    </row>
    <row r="562" spans="1:10" ht="12.75" x14ac:dyDescent="0.2">
      <c r="A562" s="1" t="s">
        <v>63</v>
      </c>
      <c r="B562" s="3" t="str">
        <f>HYPERLINK("https://pegadaian.atlassian.net/browse/ITPROJECT-487?atlOrigin=eyJpIjoiYzgwYTQ0ZjEyNzQzNGJhN2JmNjEyZTM0NmRhZWZhNjIiLCJwIjoic2hlZXRzLWppcmEifQ","ITPROJECT-487")</f>
        <v>ITPROJECT-487</v>
      </c>
      <c r="C562" s="1" t="s">
        <v>678</v>
      </c>
      <c r="D562" s="1" t="s">
        <v>50</v>
      </c>
      <c r="E562" s="1" t="s">
        <v>50</v>
      </c>
      <c r="F562" s="1" t="s">
        <v>12</v>
      </c>
      <c r="G562" s="1" t="s">
        <v>410</v>
      </c>
      <c r="H562" s="4">
        <v>44664.500219907408</v>
      </c>
      <c r="I562" s="4">
        <v>45061.167037037034</v>
      </c>
      <c r="J562" s="1" t="s">
        <v>39</v>
      </c>
    </row>
    <row r="563" spans="1:10" ht="12.75" x14ac:dyDescent="0.2">
      <c r="A563" s="1" t="s">
        <v>117</v>
      </c>
      <c r="B563" s="3" t="str">
        <f>HYPERLINK("https://pegadaian.atlassian.net/browse/ITPROJECT-485?atlOrigin=eyJpIjoiYzgwYTQ0ZjEyNzQzNGJhN2JmNjEyZTM0NmRhZWZhNjIiLCJwIjoic2hlZXRzLWppcmEifQ","ITPROJECT-485")</f>
        <v>ITPROJECT-485</v>
      </c>
      <c r="C563" s="1" t="s">
        <v>679</v>
      </c>
      <c r="D563" s="1" t="s">
        <v>115</v>
      </c>
      <c r="E563" s="1" t="s">
        <v>122</v>
      </c>
      <c r="F563" s="1" t="s">
        <v>12</v>
      </c>
      <c r="G563" s="1" t="s">
        <v>13</v>
      </c>
      <c r="H563" s="4">
        <v>44664.427511574075</v>
      </c>
      <c r="I563" s="4">
        <v>45061.167048611111</v>
      </c>
      <c r="J563" s="1" t="s">
        <v>18</v>
      </c>
    </row>
    <row r="564" spans="1:10" ht="12.75" x14ac:dyDescent="0.2">
      <c r="A564" s="1" t="s">
        <v>117</v>
      </c>
      <c r="B564" s="3" t="str">
        <f>HYPERLINK("https://pegadaian.atlassian.net/browse/ITPROJECT-484?atlOrigin=eyJpIjoiYzgwYTQ0ZjEyNzQzNGJhN2JmNjEyZTM0NmRhZWZhNjIiLCJwIjoic2hlZXRzLWppcmEifQ","ITPROJECT-484")</f>
        <v>ITPROJECT-484</v>
      </c>
      <c r="C564" s="1" t="s">
        <v>680</v>
      </c>
      <c r="D564" s="1" t="s">
        <v>50</v>
      </c>
      <c r="E564" s="1" t="s">
        <v>130</v>
      </c>
      <c r="F564" s="1" t="s">
        <v>12</v>
      </c>
      <c r="G564" s="1" t="s">
        <v>89</v>
      </c>
      <c r="H564" s="4">
        <v>44664.287129629629</v>
      </c>
      <c r="I564" s="4">
        <v>45061.167048611111</v>
      </c>
      <c r="J564" s="1" t="s">
        <v>285</v>
      </c>
    </row>
    <row r="565" spans="1:10" ht="12.75" x14ac:dyDescent="0.2">
      <c r="A565" s="1" t="s">
        <v>117</v>
      </c>
      <c r="B565" s="3" t="str">
        <f>HYPERLINK("https://pegadaian.atlassian.net/browse/ITPROJECT-483?atlOrigin=eyJpIjoiYzgwYTQ0ZjEyNzQzNGJhN2JmNjEyZTM0NmRhZWZhNjIiLCJwIjoic2hlZXRzLWppcmEifQ","ITPROJECT-483")</f>
        <v>ITPROJECT-483</v>
      </c>
      <c r="C565" s="1" t="s">
        <v>681</v>
      </c>
      <c r="D565" s="1" t="s">
        <v>46</v>
      </c>
      <c r="E565" s="1" t="s">
        <v>506</v>
      </c>
      <c r="F565" s="1" t="s">
        <v>12</v>
      </c>
      <c r="G565" s="1" t="s">
        <v>13</v>
      </c>
      <c r="H565" s="4">
        <v>44663.566793981481</v>
      </c>
      <c r="I565" s="4">
        <v>45061.167060185187</v>
      </c>
      <c r="J565" s="1" t="s">
        <v>669</v>
      </c>
    </row>
    <row r="566" spans="1:10" ht="12.75" x14ac:dyDescent="0.2">
      <c r="A566" s="1" t="s">
        <v>117</v>
      </c>
      <c r="B566" s="3" t="str">
        <f>HYPERLINK("https://pegadaian.atlassian.net/browse/ITPROJECT-482?atlOrigin=eyJpIjoiYzgwYTQ0ZjEyNzQzNGJhN2JmNjEyZTM0NmRhZWZhNjIiLCJwIjoic2hlZXRzLWppcmEifQ","ITPROJECT-482")</f>
        <v>ITPROJECT-482</v>
      </c>
      <c r="C566" s="1" t="s">
        <v>682</v>
      </c>
      <c r="D566" s="1" t="s">
        <v>65</v>
      </c>
      <c r="E566" s="1" t="s">
        <v>122</v>
      </c>
      <c r="F566" s="1" t="s">
        <v>12</v>
      </c>
      <c r="G566" s="1" t="s">
        <v>13</v>
      </c>
      <c r="H566" s="4">
        <v>44663.485567129632</v>
      </c>
      <c r="I566" s="4">
        <v>45061.167071759257</v>
      </c>
      <c r="J566" s="1" t="s">
        <v>54</v>
      </c>
    </row>
    <row r="567" spans="1:10" ht="12.75" x14ac:dyDescent="0.2">
      <c r="A567" s="1" t="s">
        <v>63</v>
      </c>
      <c r="B567" s="3" t="str">
        <f>HYPERLINK("https://pegadaian.atlassian.net/browse/ITPROJECT-481?atlOrigin=eyJpIjoiYzgwYTQ0ZjEyNzQzNGJhN2JmNjEyZTM0NmRhZWZhNjIiLCJwIjoic2hlZXRzLWppcmEifQ","ITPROJECT-481")</f>
        <v>ITPROJECT-481</v>
      </c>
      <c r="C567" s="1" t="s">
        <v>683</v>
      </c>
      <c r="D567" s="1" t="s">
        <v>75</v>
      </c>
      <c r="E567" s="1" t="s">
        <v>75</v>
      </c>
      <c r="F567" s="1" t="s">
        <v>12</v>
      </c>
      <c r="G567" s="1" t="s">
        <v>13</v>
      </c>
      <c r="H567" s="4">
        <v>44663.423136574071</v>
      </c>
      <c r="I567" s="4">
        <v>45061.167071759257</v>
      </c>
      <c r="J567" s="1" t="s">
        <v>40</v>
      </c>
    </row>
    <row r="568" spans="1:10" ht="12.75" x14ac:dyDescent="0.2">
      <c r="A568" s="1" t="s">
        <v>63</v>
      </c>
      <c r="B568" s="3" t="str">
        <f>HYPERLINK("https://pegadaian.atlassian.net/browse/ITPROJECT-480?atlOrigin=eyJpIjoiYzgwYTQ0ZjEyNzQzNGJhN2JmNjEyZTM0NmRhZWZhNjIiLCJwIjoic2hlZXRzLWppcmEifQ","ITPROJECT-480")</f>
        <v>ITPROJECT-480</v>
      </c>
      <c r="C568" s="1" t="s">
        <v>684</v>
      </c>
      <c r="D568" s="1" t="s">
        <v>75</v>
      </c>
      <c r="E568" s="1" t="s">
        <v>75</v>
      </c>
      <c r="F568" s="1" t="s">
        <v>12</v>
      </c>
      <c r="G568" s="1" t="s">
        <v>13</v>
      </c>
      <c r="H568" s="4">
        <v>44663.407013888886</v>
      </c>
      <c r="I568" s="4">
        <v>45061.167083333334</v>
      </c>
      <c r="J568" s="1" t="s">
        <v>40</v>
      </c>
    </row>
    <row r="569" spans="1:10" ht="12.75" x14ac:dyDescent="0.2">
      <c r="A569" s="1" t="s">
        <v>117</v>
      </c>
      <c r="B569" s="3" t="str">
        <f>HYPERLINK("https://pegadaian.atlassian.net/browse/ITPROJECT-478?atlOrigin=eyJpIjoiYzgwYTQ0ZjEyNzQzNGJhN2JmNjEyZTM0NmRhZWZhNjIiLCJwIjoic2hlZXRzLWppcmEifQ","ITPROJECT-478")</f>
        <v>ITPROJECT-478</v>
      </c>
      <c r="C569" s="1" t="s">
        <v>685</v>
      </c>
      <c r="D569" s="1" t="s">
        <v>46</v>
      </c>
      <c r="E569" s="1" t="s">
        <v>161</v>
      </c>
      <c r="F569" s="1" t="s">
        <v>12</v>
      </c>
      <c r="G569" s="1" t="s">
        <v>13</v>
      </c>
      <c r="H569" s="4">
        <v>44659.685671296298</v>
      </c>
      <c r="I569" s="4">
        <v>45061.167083333334</v>
      </c>
      <c r="J569" s="1" t="s">
        <v>221</v>
      </c>
    </row>
    <row r="570" spans="1:10" ht="12.75" x14ac:dyDescent="0.2">
      <c r="A570" s="1" t="s">
        <v>117</v>
      </c>
      <c r="B570" s="3" t="str">
        <f>HYPERLINK("https://pegadaian.atlassian.net/browse/ITPROJECT-473?atlOrigin=eyJpIjoiYzgwYTQ0ZjEyNzQzNGJhN2JmNjEyZTM0NmRhZWZhNjIiLCJwIjoic2hlZXRzLWppcmEifQ","ITPROJECT-473")</f>
        <v>ITPROJECT-473</v>
      </c>
      <c r="C570" s="1" t="s">
        <v>686</v>
      </c>
      <c r="D570" s="1" t="s">
        <v>42</v>
      </c>
      <c r="E570" s="1" t="s">
        <v>130</v>
      </c>
      <c r="F570" s="1" t="s">
        <v>12</v>
      </c>
      <c r="G570" s="1" t="s">
        <v>13</v>
      </c>
      <c r="H570" s="4">
        <v>44659.642210648148</v>
      </c>
      <c r="I570" s="4">
        <v>45061.167118055557</v>
      </c>
      <c r="J570" s="1" t="s">
        <v>637</v>
      </c>
    </row>
    <row r="571" spans="1:10" ht="12.75" x14ac:dyDescent="0.2">
      <c r="A571" s="1" t="s">
        <v>63</v>
      </c>
      <c r="B571" s="3" t="str">
        <f>HYPERLINK("https://pegadaian.atlassian.net/browse/ITPROJECT-472?atlOrigin=eyJpIjoiYzgwYTQ0ZjEyNzQzNGJhN2JmNjEyZTM0NmRhZWZhNjIiLCJwIjoic2hlZXRzLWppcmEifQ","ITPROJECT-472")</f>
        <v>ITPROJECT-472</v>
      </c>
      <c r="C571" s="1" t="s">
        <v>687</v>
      </c>
      <c r="D571" s="1" t="s">
        <v>25</v>
      </c>
      <c r="E571" s="1" t="s">
        <v>25</v>
      </c>
      <c r="F571" s="1" t="s">
        <v>12</v>
      </c>
      <c r="G571" s="1" t="s">
        <v>13</v>
      </c>
      <c r="H571" s="4">
        <v>44659.468993055554</v>
      </c>
      <c r="I571" s="4">
        <v>45061.167118055557</v>
      </c>
      <c r="J571" s="1" t="s">
        <v>60</v>
      </c>
    </row>
    <row r="572" spans="1:10" ht="12.75" x14ac:dyDescent="0.2">
      <c r="A572" s="1" t="s">
        <v>117</v>
      </c>
      <c r="B572" s="3" t="str">
        <f>HYPERLINK("https://pegadaian.atlassian.net/browse/ITPROJECT-468?atlOrigin=eyJpIjoiYzgwYTQ0ZjEyNzQzNGJhN2JmNjEyZTM0NmRhZWZhNjIiLCJwIjoic2hlZXRzLWppcmEifQ","ITPROJECT-468")</f>
        <v>ITPROJECT-468</v>
      </c>
      <c r="C572" s="1" t="s">
        <v>688</v>
      </c>
      <c r="D572" s="1" t="s">
        <v>65</v>
      </c>
      <c r="E572" s="1" t="s">
        <v>122</v>
      </c>
      <c r="F572" s="1" t="s">
        <v>12</v>
      </c>
      <c r="G572" s="1" t="s">
        <v>13</v>
      </c>
      <c r="H572" s="4">
        <v>44658.605011574073</v>
      </c>
      <c r="I572" s="4">
        <v>45061.167141203703</v>
      </c>
      <c r="J572" s="1" t="s">
        <v>54</v>
      </c>
    </row>
    <row r="573" spans="1:10" ht="12.75" x14ac:dyDescent="0.2">
      <c r="A573" s="1" t="s">
        <v>117</v>
      </c>
      <c r="B573" s="3" t="str">
        <f>HYPERLINK("https://pegadaian.atlassian.net/browse/ITPROJECT-465?atlOrigin=eyJpIjoiYzgwYTQ0ZjEyNzQzNGJhN2JmNjEyZTM0NmRhZWZhNjIiLCJwIjoic2hlZXRzLWppcmEifQ","ITPROJECT-465")</f>
        <v>ITPROJECT-465</v>
      </c>
      <c r="C573" s="1" t="s">
        <v>689</v>
      </c>
      <c r="D573" s="1" t="s">
        <v>65</v>
      </c>
      <c r="E573" s="1" t="s">
        <v>122</v>
      </c>
      <c r="F573" s="1" t="s">
        <v>12</v>
      </c>
      <c r="G573" s="1" t="s">
        <v>120</v>
      </c>
      <c r="H573" s="4">
        <v>44658.597627314812</v>
      </c>
      <c r="I573" s="4">
        <v>45061.16715277778</v>
      </c>
      <c r="J573" s="1" t="s">
        <v>54</v>
      </c>
    </row>
    <row r="574" spans="1:10" ht="12.75" x14ac:dyDescent="0.2">
      <c r="A574" s="1" t="s">
        <v>117</v>
      </c>
      <c r="B574" s="3" t="str">
        <f>HYPERLINK("https://pegadaian.atlassian.net/browse/ITPROJECT-463?atlOrigin=eyJpIjoiYzgwYTQ0ZjEyNzQzNGJhN2JmNjEyZTM0NmRhZWZhNjIiLCJwIjoic2hlZXRzLWppcmEifQ","ITPROJECT-463")</f>
        <v>ITPROJECT-463</v>
      </c>
      <c r="C574" s="1" t="s">
        <v>690</v>
      </c>
      <c r="D574" s="1" t="s">
        <v>79</v>
      </c>
      <c r="E574" s="1" t="s">
        <v>161</v>
      </c>
      <c r="F574" s="1" t="s">
        <v>12</v>
      </c>
      <c r="G574" s="1" t="s">
        <v>13</v>
      </c>
      <c r="H574" s="4">
        <v>44658.572523148148</v>
      </c>
      <c r="I574" s="4">
        <v>45061.167164351849</v>
      </c>
      <c r="J574" s="1" t="s">
        <v>60</v>
      </c>
    </row>
    <row r="575" spans="1:10" ht="12.75" x14ac:dyDescent="0.2">
      <c r="A575" s="1" t="s">
        <v>63</v>
      </c>
      <c r="B575" s="3" t="str">
        <f>HYPERLINK("https://pegadaian.atlassian.net/browse/ITPROJECT-459?atlOrigin=eyJpIjoiYzgwYTQ0ZjEyNzQzNGJhN2JmNjEyZTM0NmRhZWZhNjIiLCJwIjoic2hlZXRzLWppcmEifQ","ITPROJECT-459")</f>
        <v>ITPROJECT-459</v>
      </c>
      <c r="C575" s="1" t="s">
        <v>691</v>
      </c>
      <c r="D575" s="1" t="s">
        <v>31</v>
      </c>
      <c r="E575" s="1" t="s">
        <v>56</v>
      </c>
      <c r="F575" s="1" t="s">
        <v>12</v>
      </c>
      <c r="G575" s="1" t="s">
        <v>68</v>
      </c>
      <c r="H575" s="4">
        <v>44656.448067129626</v>
      </c>
      <c r="I575" s="4">
        <v>45061.167187500003</v>
      </c>
      <c r="J575" s="1" t="s">
        <v>11</v>
      </c>
    </row>
    <row r="576" spans="1:10" ht="12.75" x14ac:dyDescent="0.2">
      <c r="A576" s="1" t="s">
        <v>63</v>
      </c>
      <c r="B576" s="3" t="str">
        <f>HYPERLINK("https://pegadaian.atlassian.net/browse/ITPROJECT-458?atlOrigin=eyJpIjoiYzgwYTQ0ZjEyNzQzNGJhN2JmNjEyZTM0NmRhZWZhNjIiLCJwIjoic2hlZXRzLWppcmEifQ","ITPROJECT-458")</f>
        <v>ITPROJECT-458</v>
      </c>
      <c r="C576" s="1" t="s">
        <v>692</v>
      </c>
      <c r="D576" s="1" t="s">
        <v>115</v>
      </c>
      <c r="E576" s="1" t="s">
        <v>115</v>
      </c>
      <c r="F576" s="1" t="s">
        <v>12</v>
      </c>
      <c r="G576" s="1" t="s">
        <v>13</v>
      </c>
      <c r="H576" s="4">
        <v>44656.444444444445</v>
      </c>
      <c r="I576" s="4">
        <v>45061.167199074072</v>
      </c>
      <c r="J576" s="1" t="s">
        <v>18</v>
      </c>
    </row>
    <row r="577" spans="1:10" ht="12.75" x14ac:dyDescent="0.2">
      <c r="A577" s="1" t="s">
        <v>63</v>
      </c>
      <c r="B577" s="3" t="str">
        <f>HYPERLINK("https://pegadaian.atlassian.net/browse/ITPROJECT-454?atlOrigin=eyJpIjoiYzgwYTQ0ZjEyNzQzNGJhN2JmNjEyZTM0NmRhZWZhNjIiLCJwIjoic2hlZXRzLWppcmEifQ","ITPROJECT-454")</f>
        <v>ITPROJECT-454</v>
      </c>
      <c r="C577" s="1" t="s">
        <v>693</v>
      </c>
      <c r="D577" s="1" t="s">
        <v>46</v>
      </c>
      <c r="E577" s="1" t="s">
        <v>46</v>
      </c>
      <c r="F577" s="1" t="s">
        <v>12</v>
      </c>
      <c r="G577" s="1" t="s">
        <v>68</v>
      </c>
      <c r="H577" s="4">
        <v>44655.582627314812</v>
      </c>
      <c r="I577" s="4">
        <v>45061.167210648149</v>
      </c>
      <c r="J577" s="1" t="s">
        <v>669</v>
      </c>
    </row>
    <row r="578" spans="1:10" ht="12.75" x14ac:dyDescent="0.2">
      <c r="A578" s="1" t="s">
        <v>63</v>
      </c>
      <c r="B578" s="3" t="str">
        <f>HYPERLINK("https://pegadaian.atlassian.net/browse/ITPROJECT-453?atlOrigin=eyJpIjoiYzgwYTQ0ZjEyNzQzNGJhN2JmNjEyZTM0NmRhZWZhNjIiLCJwIjoic2hlZXRzLWppcmEifQ","ITPROJECT-453")</f>
        <v>ITPROJECT-453</v>
      </c>
      <c r="C578" s="1" t="s">
        <v>694</v>
      </c>
      <c r="D578" s="1" t="s">
        <v>115</v>
      </c>
      <c r="E578" s="1" t="s">
        <v>115</v>
      </c>
      <c r="F578" s="1" t="s">
        <v>12</v>
      </c>
      <c r="G578" s="1" t="s">
        <v>13</v>
      </c>
      <c r="H578" s="4">
        <v>44655.56177083333</v>
      </c>
      <c r="I578" s="4">
        <v>45061.167222222219</v>
      </c>
      <c r="J578" s="1" t="s">
        <v>18</v>
      </c>
    </row>
    <row r="579" spans="1:10" ht="12.75" x14ac:dyDescent="0.2">
      <c r="A579" s="1" t="s">
        <v>117</v>
      </c>
      <c r="B579" s="3" t="str">
        <f>HYPERLINK("https://pegadaian.atlassian.net/browse/ITPROJECT-448?atlOrigin=eyJpIjoiYzgwYTQ0ZjEyNzQzNGJhN2JmNjEyZTM0NmRhZWZhNjIiLCJwIjoic2hlZXRzLWppcmEifQ","ITPROJECT-448")</f>
        <v>ITPROJECT-448</v>
      </c>
      <c r="C579" s="1" t="s">
        <v>695</v>
      </c>
      <c r="D579" s="1" t="s">
        <v>696</v>
      </c>
      <c r="E579" s="1" t="s">
        <v>130</v>
      </c>
      <c r="F579" s="1" t="s">
        <v>12</v>
      </c>
      <c r="G579" s="1" t="s">
        <v>13</v>
      </c>
      <c r="H579" s="4">
        <v>44655.477222222224</v>
      </c>
      <c r="I579" s="4">
        <v>45061.167245370372</v>
      </c>
      <c r="J579" s="1" t="s">
        <v>27</v>
      </c>
    </row>
    <row r="580" spans="1:10" ht="12.75" x14ac:dyDescent="0.2">
      <c r="A580" s="1" t="s">
        <v>117</v>
      </c>
      <c r="B580" s="3" t="str">
        <f>HYPERLINK("https://pegadaian.atlassian.net/browse/ITPROJECT-447?atlOrigin=eyJpIjoiYzgwYTQ0ZjEyNzQzNGJhN2JmNjEyZTM0NmRhZWZhNjIiLCJwIjoic2hlZXRzLWppcmEifQ","ITPROJECT-447")</f>
        <v>ITPROJECT-447</v>
      </c>
      <c r="C580" s="1" t="s">
        <v>697</v>
      </c>
      <c r="D580" s="1" t="s">
        <v>424</v>
      </c>
      <c r="E580" s="1" t="s">
        <v>130</v>
      </c>
      <c r="F580" s="1" t="s">
        <v>12</v>
      </c>
      <c r="G580" s="1" t="s">
        <v>13</v>
      </c>
      <c r="H580" s="4">
        <v>44655.475347222222</v>
      </c>
      <c r="I580" s="4">
        <v>45061.167256944442</v>
      </c>
      <c r="J580" s="1" t="s">
        <v>27</v>
      </c>
    </row>
    <row r="581" spans="1:10" ht="12.75" x14ac:dyDescent="0.2">
      <c r="A581" s="1" t="s">
        <v>117</v>
      </c>
      <c r="B581" s="3" t="str">
        <f>HYPERLINK("https://pegadaian.atlassian.net/browse/ITPROJECT-446?atlOrigin=eyJpIjoiYzgwYTQ0ZjEyNzQzNGJhN2JmNjEyZTM0NmRhZWZhNjIiLCJwIjoic2hlZXRzLWppcmEifQ","ITPROJECT-446")</f>
        <v>ITPROJECT-446</v>
      </c>
      <c r="C581" s="1" t="s">
        <v>698</v>
      </c>
      <c r="D581" s="1" t="s">
        <v>424</v>
      </c>
      <c r="E581" s="1" t="s">
        <v>130</v>
      </c>
      <c r="F581" s="1" t="s">
        <v>12</v>
      </c>
      <c r="G581" s="1" t="s">
        <v>13</v>
      </c>
      <c r="H581" s="4">
        <v>44655.446979166663</v>
      </c>
      <c r="I581" s="4">
        <v>45061.167256944442</v>
      </c>
      <c r="J581" s="1" t="s">
        <v>27</v>
      </c>
    </row>
    <row r="582" spans="1:10" ht="12.75" x14ac:dyDescent="0.2">
      <c r="A582" s="1" t="s">
        <v>117</v>
      </c>
      <c r="B582" s="3" t="str">
        <f>HYPERLINK("https://pegadaian.atlassian.net/browse/ITPROJECT-445?atlOrigin=eyJpIjoiYzgwYTQ0ZjEyNzQzNGJhN2JmNjEyZTM0NmRhZWZhNjIiLCJwIjoic2hlZXRzLWppcmEifQ","ITPROJECT-445")</f>
        <v>ITPROJECT-445</v>
      </c>
      <c r="C582" s="1" t="s">
        <v>699</v>
      </c>
      <c r="D582" s="1" t="s">
        <v>28</v>
      </c>
      <c r="E582" s="1" t="s">
        <v>130</v>
      </c>
      <c r="F582" s="1" t="s">
        <v>12</v>
      </c>
      <c r="G582" s="1" t="s">
        <v>13</v>
      </c>
      <c r="H582" s="4">
        <v>44655.434895833336</v>
      </c>
      <c r="I582" s="4">
        <v>45061.167256944442</v>
      </c>
      <c r="J582" s="1" t="s">
        <v>27</v>
      </c>
    </row>
    <row r="583" spans="1:10" ht="12.75" x14ac:dyDescent="0.2">
      <c r="A583" s="1" t="s">
        <v>63</v>
      </c>
      <c r="B583" s="3" t="str">
        <f>HYPERLINK("https://pegadaian.atlassian.net/browse/ITPROJECT-441?atlOrigin=eyJpIjoiYzgwYTQ0ZjEyNzQzNGJhN2JmNjEyZTM0NmRhZWZhNjIiLCJwIjoic2hlZXRzLWppcmEifQ","ITPROJECT-441")</f>
        <v>ITPROJECT-441</v>
      </c>
      <c r="C583" s="1" t="s">
        <v>700</v>
      </c>
      <c r="D583" s="1" t="s">
        <v>42</v>
      </c>
      <c r="E583" s="1" t="s">
        <v>42</v>
      </c>
      <c r="F583" s="1" t="s">
        <v>12</v>
      </c>
      <c r="G583" s="1" t="s">
        <v>13</v>
      </c>
      <c r="H583" s="4">
        <v>44655.35497685185</v>
      </c>
      <c r="I583" s="4">
        <v>45061.167280092595</v>
      </c>
      <c r="J583" s="1" t="s">
        <v>15</v>
      </c>
    </row>
    <row r="584" spans="1:10" ht="12.75" x14ac:dyDescent="0.2">
      <c r="A584" s="1" t="s">
        <v>63</v>
      </c>
      <c r="B584" s="3" t="str">
        <f>HYPERLINK("https://pegadaian.atlassian.net/browse/ITPROJECT-434?atlOrigin=eyJpIjoiYzgwYTQ0ZjEyNzQzNGJhN2JmNjEyZTM0NmRhZWZhNjIiLCJwIjoic2hlZXRzLWppcmEifQ","ITPROJECT-434")</f>
        <v>ITPROJECT-434</v>
      </c>
      <c r="C584" s="1" t="s">
        <v>701</v>
      </c>
      <c r="D584" s="1" t="s">
        <v>65</v>
      </c>
      <c r="E584" s="1" t="s">
        <v>65</v>
      </c>
      <c r="F584" s="1" t="s">
        <v>12</v>
      </c>
      <c r="G584" s="1" t="s">
        <v>13</v>
      </c>
      <c r="H584" s="4">
        <v>44651.627500000002</v>
      </c>
      <c r="I584" s="4">
        <v>45061.167326388888</v>
      </c>
      <c r="J584" s="1" t="s">
        <v>54</v>
      </c>
    </row>
    <row r="585" spans="1:10" ht="12.75" x14ac:dyDescent="0.2">
      <c r="A585" s="1" t="s">
        <v>117</v>
      </c>
      <c r="B585" s="3" t="str">
        <f>HYPERLINK("https://pegadaian.atlassian.net/browse/ITPROJECT-433?atlOrigin=eyJpIjoiYzgwYTQ0ZjEyNzQzNGJhN2JmNjEyZTM0NmRhZWZhNjIiLCJwIjoic2hlZXRzLWppcmEifQ","ITPROJECT-433")</f>
        <v>ITPROJECT-433</v>
      </c>
      <c r="C585" s="1" t="s">
        <v>702</v>
      </c>
      <c r="D585" s="1" t="s">
        <v>44</v>
      </c>
      <c r="E585" s="1" t="s">
        <v>161</v>
      </c>
      <c r="F585" s="1" t="s">
        <v>12</v>
      </c>
      <c r="G585" s="1" t="s">
        <v>120</v>
      </c>
      <c r="H585" s="4">
        <v>44651.589212962965</v>
      </c>
      <c r="I585" s="4">
        <v>45061.167326388888</v>
      </c>
      <c r="J585" s="1" t="s">
        <v>487</v>
      </c>
    </row>
    <row r="586" spans="1:10" ht="12.75" x14ac:dyDescent="0.2">
      <c r="A586" s="1" t="s">
        <v>117</v>
      </c>
      <c r="B586" s="3" t="str">
        <f>HYPERLINK("https://pegadaian.atlassian.net/browse/ITPROJECT-432?atlOrigin=eyJpIjoiYzgwYTQ0ZjEyNzQzNGJhN2JmNjEyZTM0NmRhZWZhNjIiLCJwIjoic2hlZXRzLWppcmEifQ","ITPROJECT-432")</f>
        <v>ITPROJECT-432</v>
      </c>
      <c r="C586" s="1" t="s">
        <v>703</v>
      </c>
      <c r="D586" s="1" t="s">
        <v>44</v>
      </c>
      <c r="E586" s="1" t="s">
        <v>161</v>
      </c>
      <c r="F586" s="1" t="s">
        <v>12</v>
      </c>
      <c r="G586" s="1" t="s">
        <v>13</v>
      </c>
      <c r="H586" s="4">
        <v>44651.587361111109</v>
      </c>
      <c r="I586" s="4">
        <v>45061.167337962965</v>
      </c>
      <c r="J586" s="1" t="s">
        <v>487</v>
      </c>
    </row>
    <row r="587" spans="1:10" ht="12.75" x14ac:dyDescent="0.2">
      <c r="A587" s="1" t="s">
        <v>117</v>
      </c>
      <c r="B587" s="3" t="str">
        <f>HYPERLINK("https://pegadaian.atlassian.net/browse/ITPROJECT-431?atlOrigin=eyJpIjoiYzgwYTQ0ZjEyNzQzNGJhN2JmNjEyZTM0NmRhZWZhNjIiLCJwIjoic2hlZXRzLWppcmEifQ","ITPROJECT-431")</f>
        <v>ITPROJECT-431</v>
      </c>
      <c r="C587" s="1" t="s">
        <v>704</v>
      </c>
      <c r="D587" s="1" t="s">
        <v>44</v>
      </c>
      <c r="E587" s="1" t="s">
        <v>161</v>
      </c>
      <c r="F587" s="1" t="s">
        <v>12</v>
      </c>
      <c r="G587" s="1" t="s">
        <v>120</v>
      </c>
      <c r="H587" s="4">
        <v>44651.584814814814</v>
      </c>
      <c r="I587" s="4">
        <v>45061.167337962965</v>
      </c>
      <c r="J587" s="1" t="s">
        <v>487</v>
      </c>
    </row>
    <row r="588" spans="1:10" ht="12.75" x14ac:dyDescent="0.2">
      <c r="A588" s="1" t="s">
        <v>117</v>
      </c>
      <c r="B588" s="3" t="str">
        <f>HYPERLINK("https://pegadaian.atlassian.net/browse/ITPROJECT-430?atlOrigin=eyJpIjoiYzgwYTQ0ZjEyNzQzNGJhN2JmNjEyZTM0NmRhZWZhNjIiLCJwIjoic2hlZXRzLWppcmEifQ","ITPROJECT-430")</f>
        <v>ITPROJECT-430</v>
      </c>
      <c r="C588" s="1" t="s">
        <v>705</v>
      </c>
      <c r="D588" s="1" t="s">
        <v>44</v>
      </c>
      <c r="E588" s="1" t="s">
        <v>161</v>
      </c>
      <c r="F588" s="1" t="s">
        <v>12</v>
      </c>
      <c r="G588" s="1" t="s">
        <v>72</v>
      </c>
      <c r="H588" s="4">
        <v>44651.583726851852</v>
      </c>
      <c r="I588" s="4">
        <v>45061.167349537034</v>
      </c>
      <c r="J588" s="1" t="s">
        <v>487</v>
      </c>
    </row>
    <row r="589" spans="1:10" ht="12.75" x14ac:dyDescent="0.2">
      <c r="A589" s="1" t="s">
        <v>117</v>
      </c>
      <c r="B589" s="3" t="str">
        <f>HYPERLINK("https://pegadaian.atlassian.net/browse/ITPROJECT-428?atlOrigin=eyJpIjoiYzgwYTQ0ZjEyNzQzNGJhN2JmNjEyZTM0NmRhZWZhNjIiLCJwIjoic2hlZXRzLWppcmEifQ","ITPROJECT-428")</f>
        <v>ITPROJECT-428</v>
      </c>
      <c r="C589" s="1" t="s">
        <v>706</v>
      </c>
      <c r="D589" s="1" t="s">
        <v>50</v>
      </c>
      <c r="E589" s="1" t="s">
        <v>130</v>
      </c>
      <c r="F589" s="1" t="s">
        <v>12</v>
      </c>
      <c r="G589" s="1" t="s">
        <v>68</v>
      </c>
      <c r="H589" s="4">
        <v>44650.579791666663</v>
      </c>
      <c r="I589" s="4">
        <v>45061.167361111111</v>
      </c>
      <c r="J589" s="1" t="s">
        <v>39</v>
      </c>
    </row>
    <row r="590" spans="1:10" ht="12.75" x14ac:dyDescent="0.2">
      <c r="A590" s="1" t="s">
        <v>63</v>
      </c>
      <c r="B590" s="3" t="str">
        <f>HYPERLINK("https://pegadaian.atlassian.net/browse/ITPROJECT-427?atlOrigin=eyJpIjoiYzgwYTQ0ZjEyNzQzNGJhN2JmNjEyZTM0NmRhZWZhNjIiLCJwIjoic2hlZXRzLWppcmEifQ","ITPROJECT-427")</f>
        <v>ITPROJECT-427</v>
      </c>
      <c r="C590" s="1" t="s">
        <v>707</v>
      </c>
      <c r="D590" s="1" t="s">
        <v>55</v>
      </c>
      <c r="E590" s="1" t="s">
        <v>55</v>
      </c>
      <c r="F590" s="1" t="s">
        <v>12</v>
      </c>
      <c r="G590" s="1" t="s">
        <v>13</v>
      </c>
      <c r="H590" s="4">
        <v>44649.895740740743</v>
      </c>
      <c r="I590" s="4">
        <v>45061.167361111111</v>
      </c>
      <c r="J590" s="1" t="s">
        <v>54</v>
      </c>
    </row>
    <row r="591" spans="1:10" ht="12.75" x14ac:dyDescent="0.2">
      <c r="A591" s="1" t="s">
        <v>63</v>
      </c>
      <c r="B591" s="3" t="str">
        <f>HYPERLINK("https://pegadaian.atlassian.net/browse/ITPROJECT-423?atlOrigin=eyJpIjoiYzgwYTQ0ZjEyNzQzNGJhN2JmNjEyZTM0NmRhZWZhNjIiLCJwIjoic2hlZXRzLWppcmEifQ","ITPROJECT-423")</f>
        <v>ITPROJECT-423</v>
      </c>
      <c r="C591" s="1" t="s">
        <v>708</v>
      </c>
      <c r="D591" s="1" t="s">
        <v>75</v>
      </c>
      <c r="E591" s="1" t="s">
        <v>75</v>
      </c>
      <c r="F591" s="1" t="s">
        <v>12</v>
      </c>
      <c r="G591" s="1" t="s">
        <v>13</v>
      </c>
      <c r="H591" s="4">
        <v>44649.595347222225</v>
      </c>
      <c r="I591" s="4">
        <v>45061.167395833334</v>
      </c>
      <c r="J591" s="1" t="s">
        <v>40</v>
      </c>
    </row>
    <row r="592" spans="1:10" ht="12.75" x14ac:dyDescent="0.2">
      <c r="A592" s="1" t="s">
        <v>117</v>
      </c>
      <c r="B592" s="3" t="str">
        <f>HYPERLINK("https://pegadaian.atlassian.net/browse/ITPROJECT-422?atlOrigin=eyJpIjoiYzgwYTQ0ZjEyNzQzNGJhN2JmNjEyZTM0NmRhZWZhNjIiLCJwIjoic2hlZXRzLWppcmEifQ","ITPROJECT-422")</f>
        <v>ITPROJECT-422</v>
      </c>
      <c r="C592" s="1" t="s">
        <v>709</v>
      </c>
      <c r="D592" s="1" t="s">
        <v>71</v>
      </c>
      <c r="E592" s="1" t="s">
        <v>122</v>
      </c>
      <c r="F592" s="1" t="s">
        <v>12</v>
      </c>
      <c r="G592" s="1" t="s">
        <v>13</v>
      </c>
      <c r="H592" s="4">
        <v>44649.487488425926</v>
      </c>
      <c r="I592" s="4">
        <v>45061.167407407411</v>
      </c>
      <c r="J592" s="1" t="s">
        <v>87</v>
      </c>
    </row>
    <row r="593" spans="1:10" ht="12.75" x14ac:dyDescent="0.2">
      <c r="A593" s="1" t="s">
        <v>117</v>
      </c>
      <c r="B593" s="3" t="str">
        <f>HYPERLINK("https://pegadaian.atlassian.net/browse/ITPROJECT-421?atlOrigin=eyJpIjoiYzgwYTQ0ZjEyNzQzNGJhN2JmNjEyZTM0NmRhZWZhNjIiLCJwIjoic2hlZXRzLWppcmEifQ","ITPROJECT-421")</f>
        <v>ITPROJECT-421</v>
      </c>
      <c r="C593" s="1" t="s">
        <v>710</v>
      </c>
      <c r="D593" s="1" t="s">
        <v>75</v>
      </c>
      <c r="E593" s="1" t="s">
        <v>130</v>
      </c>
      <c r="F593" s="1" t="s">
        <v>12</v>
      </c>
      <c r="G593" s="1" t="s">
        <v>13</v>
      </c>
      <c r="H593" s="4">
        <v>44649.453310185185</v>
      </c>
      <c r="I593" s="4">
        <v>45061.167407407411</v>
      </c>
      <c r="J593" s="1" t="s">
        <v>40</v>
      </c>
    </row>
    <row r="594" spans="1:10" ht="12.75" x14ac:dyDescent="0.2">
      <c r="A594" s="1" t="s">
        <v>117</v>
      </c>
      <c r="B594" s="3" t="str">
        <f>HYPERLINK("https://pegadaian.atlassian.net/browse/ITPROJECT-418?atlOrigin=eyJpIjoiYzgwYTQ0ZjEyNzQzNGJhN2JmNjEyZTM0NmRhZWZhNjIiLCJwIjoic2hlZXRzLWppcmEifQ","ITPROJECT-418")</f>
        <v>ITPROJECT-418</v>
      </c>
      <c r="C594" s="1" t="s">
        <v>711</v>
      </c>
      <c r="D594" s="1" t="s">
        <v>50</v>
      </c>
      <c r="E594" s="1" t="s">
        <v>130</v>
      </c>
      <c r="F594" s="1" t="s">
        <v>12</v>
      </c>
      <c r="G594" s="1" t="s">
        <v>68</v>
      </c>
      <c r="H594" s="4">
        <v>44649.400393518517</v>
      </c>
      <c r="I594" s="4">
        <v>45061.167430555557</v>
      </c>
      <c r="J594" s="1" t="s">
        <v>39</v>
      </c>
    </row>
    <row r="595" spans="1:10" ht="12.75" x14ac:dyDescent="0.2">
      <c r="A595" s="1" t="s">
        <v>117</v>
      </c>
      <c r="B595" s="3" t="str">
        <f>HYPERLINK("https://pegadaian.atlassian.net/browse/ITPROJECT-416?atlOrigin=eyJpIjoiYzgwYTQ0ZjEyNzQzNGJhN2JmNjEyZTM0NmRhZWZhNjIiLCJwIjoic2hlZXRzLWppcmEifQ","ITPROJECT-416")</f>
        <v>ITPROJECT-416</v>
      </c>
      <c r="C595" s="1" t="s">
        <v>712</v>
      </c>
      <c r="D595" s="1" t="s">
        <v>115</v>
      </c>
      <c r="E595" s="1" t="s">
        <v>122</v>
      </c>
      <c r="F595" s="1" t="s">
        <v>12</v>
      </c>
      <c r="G595" s="1" t="s">
        <v>13</v>
      </c>
      <c r="H595" s="4">
        <v>44648.485682870371</v>
      </c>
      <c r="I595" s="4">
        <v>45061.167430555557</v>
      </c>
      <c r="J595" s="1" t="s">
        <v>18</v>
      </c>
    </row>
    <row r="596" spans="1:10" ht="12.75" x14ac:dyDescent="0.2">
      <c r="A596" s="1" t="s">
        <v>117</v>
      </c>
      <c r="B596" s="3" t="str">
        <f>HYPERLINK("https://pegadaian.atlassian.net/browse/ITPROJECT-414?atlOrigin=eyJpIjoiYzgwYTQ0ZjEyNzQzNGJhN2JmNjEyZTM0NmRhZWZhNjIiLCJwIjoic2hlZXRzLWppcmEifQ","ITPROJECT-414")</f>
        <v>ITPROJECT-414</v>
      </c>
      <c r="C596" s="1" t="s">
        <v>713</v>
      </c>
      <c r="D596" s="1" t="s">
        <v>65</v>
      </c>
      <c r="E596" s="1" t="s">
        <v>122</v>
      </c>
      <c r="F596" s="1" t="s">
        <v>12</v>
      </c>
      <c r="G596" s="1" t="s">
        <v>13</v>
      </c>
      <c r="H596" s="4">
        <v>44645.584652777776</v>
      </c>
      <c r="I596" s="4">
        <v>45061.167442129627</v>
      </c>
      <c r="J596" s="1" t="s">
        <v>54</v>
      </c>
    </row>
    <row r="597" spans="1:10" ht="12.75" x14ac:dyDescent="0.2">
      <c r="A597" s="1" t="s">
        <v>117</v>
      </c>
      <c r="B597" s="3" t="str">
        <f>HYPERLINK("https://pegadaian.atlassian.net/browse/ITPROJECT-413?atlOrigin=eyJpIjoiYzgwYTQ0ZjEyNzQzNGJhN2JmNjEyZTM0NmRhZWZhNjIiLCJwIjoic2hlZXRzLWppcmEifQ","ITPROJECT-413")</f>
        <v>ITPROJECT-413</v>
      </c>
      <c r="C597" s="1" t="s">
        <v>714</v>
      </c>
      <c r="D597" s="1" t="s">
        <v>25</v>
      </c>
      <c r="E597" s="1" t="s">
        <v>122</v>
      </c>
      <c r="F597" s="1" t="s">
        <v>12</v>
      </c>
      <c r="G597" s="1" t="s">
        <v>13</v>
      </c>
      <c r="H597" s="4">
        <v>44645.576817129629</v>
      </c>
      <c r="I597" s="4">
        <v>45061.167453703703</v>
      </c>
      <c r="J597" s="1" t="s">
        <v>715</v>
      </c>
    </row>
    <row r="598" spans="1:10" ht="12.75" x14ac:dyDescent="0.2">
      <c r="A598" s="1" t="s">
        <v>63</v>
      </c>
      <c r="B598" s="3" t="str">
        <f>HYPERLINK("https://pegadaian.atlassian.net/browse/ITPROJECT-411?atlOrigin=eyJpIjoiYzgwYTQ0ZjEyNzQzNGJhN2JmNjEyZTM0NmRhZWZhNjIiLCJwIjoic2hlZXRzLWppcmEifQ","ITPROJECT-411")</f>
        <v>ITPROJECT-411</v>
      </c>
      <c r="C598" s="1" t="s">
        <v>716</v>
      </c>
      <c r="D598" s="1" t="s">
        <v>65</v>
      </c>
      <c r="E598" s="1" t="s">
        <v>65</v>
      </c>
      <c r="F598" s="1" t="s">
        <v>12</v>
      </c>
      <c r="G598" s="1" t="s">
        <v>13</v>
      </c>
      <c r="H598" s="4">
        <v>44645.37358796296</v>
      </c>
      <c r="I598" s="4">
        <v>45061.16746527778</v>
      </c>
      <c r="J598" s="1" t="s">
        <v>54</v>
      </c>
    </row>
    <row r="599" spans="1:10" ht="12.75" x14ac:dyDescent="0.2">
      <c r="A599" s="1" t="s">
        <v>63</v>
      </c>
      <c r="B599" s="3" t="str">
        <f>HYPERLINK("https://pegadaian.atlassian.net/browse/ITPROJECT-410?atlOrigin=eyJpIjoiYzgwYTQ0ZjEyNzQzNGJhN2JmNjEyZTM0NmRhZWZhNjIiLCJwIjoic2hlZXRzLWppcmEifQ","ITPROJECT-410")</f>
        <v>ITPROJECT-410</v>
      </c>
      <c r="C599" s="1" t="s">
        <v>717</v>
      </c>
      <c r="D599" s="1" t="s">
        <v>28</v>
      </c>
      <c r="E599" s="1" t="s">
        <v>28</v>
      </c>
      <c r="F599" s="1" t="s">
        <v>12</v>
      </c>
      <c r="G599" s="1" t="s">
        <v>13</v>
      </c>
      <c r="H599" s="4">
        <v>44644.751863425925</v>
      </c>
      <c r="I599" s="4">
        <v>45061.16746527778</v>
      </c>
      <c r="J599" s="1" t="s">
        <v>15</v>
      </c>
    </row>
    <row r="600" spans="1:10" ht="12.75" x14ac:dyDescent="0.2">
      <c r="A600" s="1" t="s">
        <v>63</v>
      </c>
      <c r="B600" s="3" t="str">
        <f>HYPERLINK("https://pegadaian.atlassian.net/browse/ITPROJECT-409?atlOrigin=eyJpIjoiYzgwYTQ0ZjEyNzQzNGJhN2JmNjEyZTM0NmRhZWZhNjIiLCJwIjoic2hlZXRzLWppcmEifQ","ITPROJECT-409")</f>
        <v>ITPROJECT-409</v>
      </c>
      <c r="C600" s="1" t="s">
        <v>718</v>
      </c>
      <c r="D600" s="1" t="s">
        <v>71</v>
      </c>
      <c r="E600" s="1" t="s">
        <v>71</v>
      </c>
      <c r="F600" s="1" t="s">
        <v>12</v>
      </c>
      <c r="G600" s="1" t="s">
        <v>13</v>
      </c>
      <c r="H600" s="4">
        <v>44644.669212962966</v>
      </c>
      <c r="I600" s="4">
        <v>45061.16747685185</v>
      </c>
      <c r="J600" s="1" t="s">
        <v>60</v>
      </c>
    </row>
    <row r="601" spans="1:10" ht="12.75" x14ac:dyDescent="0.2">
      <c r="A601" s="1" t="s">
        <v>117</v>
      </c>
      <c r="B601" s="3" t="str">
        <f>HYPERLINK("https://pegadaian.atlassian.net/browse/ITPROJECT-408?atlOrigin=eyJpIjoiYzgwYTQ0ZjEyNzQzNGJhN2JmNjEyZTM0NmRhZWZhNjIiLCJwIjoic2hlZXRzLWppcmEifQ","ITPROJECT-408")</f>
        <v>ITPROJECT-408</v>
      </c>
      <c r="C601" s="1" t="s">
        <v>719</v>
      </c>
      <c r="D601" s="1" t="s">
        <v>506</v>
      </c>
      <c r="E601" s="1" t="s">
        <v>506</v>
      </c>
      <c r="F601" s="1" t="s">
        <v>12</v>
      </c>
      <c r="G601" s="1" t="s">
        <v>66</v>
      </c>
      <c r="H601" s="4">
        <v>44644.643495370372</v>
      </c>
      <c r="I601" s="4">
        <v>45061.16747685185</v>
      </c>
      <c r="J601" s="1" t="s">
        <v>48</v>
      </c>
    </row>
    <row r="602" spans="1:10" ht="12.75" x14ac:dyDescent="0.2">
      <c r="A602" s="1" t="s">
        <v>117</v>
      </c>
      <c r="B602" s="3" t="str">
        <f>HYPERLINK("https://pegadaian.atlassian.net/browse/ITPROJECT-407?atlOrigin=eyJpIjoiYzgwYTQ0ZjEyNzQzNGJhN2JmNjEyZTM0NmRhZWZhNjIiLCJwIjoic2hlZXRzLWppcmEifQ","ITPROJECT-407")</f>
        <v>ITPROJECT-407</v>
      </c>
      <c r="C602" s="1" t="s">
        <v>720</v>
      </c>
      <c r="D602" s="1" t="s">
        <v>42</v>
      </c>
      <c r="E602" s="1" t="s">
        <v>130</v>
      </c>
      <c r="F602" s="1" t="s">
        <v>12</v>
      </c>
      <c r="G602" s="1" t="s">
        <v>13</v>
      </c>
      <c r="H602" s="4">
        <v>44644.608576388891</v>
      </c>
      <c r="I602" s="4">
        <v>45061.167488425926</v>
      </c>
      <c r="J602" s="1" t="s">
        <v>15</v>
      </c>
    </row>
    <row r="603" spans="1:10" ht="12.75" x14ac:dyDescent="0.2">
      <c r="A603" s="1" t="s">
        <v>117</v>
      </c>
      <c r="B603" s="3" t="str">
        <f>HYPERLINK("https://pegadaian.atlassian.net/browse/ITPROJECT-406?atlOrigin=eyJpIjoiYzgwYTQ0ZjEyNzQzNGJhN2JmNjEyZTM0NmRhZWZhNjIiLCJwIjoic2hlZXRzLWppcmEifQ","ITPROJECT-406")</f>
        <v>ITPROJECT-406</v>
      </c>
      <c r="C603" s="1" t="s">
        <v>721</v>
      </c>
      <c r="D603" s="1" t="s">
        <v>65</v>
      </c>
      <c r="E603" s="1" t="s">
        <v>122</v>
      </c>
      <c r="F603" s="1" t="s">
        <v>12</v>
      </c>
      <c r="G603" s="1" t="s">
        <v>13</v>
      </c>
      <c r="H603" s="4">
        <v>44644.484548611108</v>
      </c>
      <c r="I603" s="4">
        <v>45061.167488425926</v>
      </c>
      <c r="J603" s="1" t="s">
        <v>54</v>
      </c>
    </row>
    <row r="604" spans="1:10" ht="12.75" x14ac:dyDescent="0.2">
      <c r="A604" s="1" t="s">
        <v>117</v>
      </c>
      <c r="B604" s="3" t="str">
        <f>HYPERLINK("https://pegadaian.atlassian.net/browse/ITPROJECT-402?atlOrigin=eyJpIjoiYzgwYTQ0ZjEyNzQzNGJhN2JmNjEyZTM0NmRhZWZhNjIiLCJwIjoic2hlZXRzLWppcmEifQ","ITPROJECT-402")</f>
        <v>ITPROJECT-402</v>
      </c>
      <c r="C604" s="1" t="s">
        <v>722</v>
      </c>
      <c r="D604" s="1" t="s">
        <v>25</v>
      </c>
      <c r="E604" s="1" t="s">
        <v>122</v>
      </c>
      <c r="F604" s="1" t="s">
        <v>12</v>
      </c>
      <c r="G604" s="1" t="s">
        <v>13</v>
      </c>
      <c r="H604" s="4">
        <v>44643.648460648146</v>
      </c>
      <c r="I604" s="4">
        <v>45061.167511574073</v>
      </c>
      <c r="J604" s="1" t="s">
        <v>60</v>
      </c>
    </row>
    <row r="605" spans="1:10" ht="12.75" x14ac:dyDescent="0.2">
      <c r="A605" s="1" t="s">
        <v>117</v>
      </c>
      <c r="B605" s="3" t="str">
        <f>HYPERLINK("https://pegadaian.atlassian.net/browse/ITPROJECT-399?atlOrigin=eyJpIjoiYzgwYTQ0ZjEyNzQzNGJhN2JmNjEyZTM0NmRhZWZhNjIiLCJwIjoic2hlZXRzLWppcmEifQ","ITPROJECT-399")</f>
        <v>ITPROJECT-399</v>
      </c>
      <c r="C605" s="1" t="s">
        <v>723</v>
      </c>
      <c r="D605" s="1" t="s">
        <v>50</v>
      </c>
      <c r="E605" s="1" t="s">
        <v>130</v>
      </c>
      <c r="F605" s="1" t="s">
        <v>12</v>
      </c>
      <c r="G605" s="1" t="s">
        <v>410</v>
      </c>
      <c r="H605" s="4">
        <v>44643.450532407405</v>
      </c>
      <c r="I605" s="4">
        <v>45061.167534722219</v>
      </c>
      <c r="J605" s="1" t="s">
        <v>39</v>
      </c>
    </row>
    <row r="606" spans="1:10" ht="12.75" x14ac:dyDescent="0.2">
      <c r="A606" s="1" t="s">
        <v>117</v>
      </c>
      <c r="B606" s="3" t="str">
        <f>HYPERLINK("https://pegadaian.atlassian.net/browse/ITPROJECT-398?atlOrigin=eyJpIjoiYzgwYTQ0ZjEyNzQzNGJhN2JmNjEyZTM0NmRhZWZhNjIiLCJwIjoic2hlZXRzLWppcmEifQ","ITPROJECT-398")</f>
        <v>ITPROJECT-398</v>
      </c>
      <c r="C606" s="1" t="s">
        <v>724</v>
      </c>
      <c r="D606" s="1" t="s">
        <v>46</v>
      </c>
      <c r="E606" s="1" t="s">
        <v>130</v>
      </c>
      <c r="F606" s="1" t="s">
        <v>12</v>
      </c>
      <c r="G606" s="1" t="s">
        <v>13</v>
      </c>
      <c r="H606" s="4">
        <v>44643.437939814816</v>
      </c>
      <c r="I606" s="4">
        <v>45061.167534722219</v>
      </c>
      <c r="J606" s="1" t="s">
        <v>60</v>
      </c>
    </row>
    <row r="607" spans="1:10" ht="12.75" x14ac:dyDescent="0.2">
      <c r="A607" s="1" t="s">
        <v>117</v>
      </c>
      <c r="B607" s="3" t="str">
        <f>HYPERLINK("https://pegadaian.atlassian.net/browse/ITPROJECT-397?atlOrigin=eyJpIjoiYzgwYTQ0ZjEyNzQzNGJhN2JmNjEyZTM0NmRhZWZhNjIiLCJwIjoic2hlZXRzLWppcmEifQ","ITPROJECT-397")</f>
        <v>ITPROJECT-397</v>
      </c>
      <c r="C607" s="1" t="s">
        <v>725</v>
      </c>
      <c r="D607" s="1" t="s">
        <v>424</v>
      </c>
      <c r="E607" s="1" t="s">
        <v>130</v>
      </c>
      <c r="F607" s="1" t="s">
        <v>12</v>
      </c>
      <c r="G607" s="1" t="s">
        <v>13</v>
      </c>
      <c r="H607" s="4">
        <v>44643.432256944441</v>
      </c>
      <c r="I607" s="4">
        <v>45061.167546296296</v>
      </c>
      <c r="J607" s="1" t="s">
        <v>27</v>
      </c>
    </row>
    <row r="608" spans="1:10" ht="12.75" x14ac:dyDescent="0.2">
      <c r="A608" s="1" t="s">
        <v>117</v>
      </c>
      <c r="B608" s="3" t="str">
        <f>HYPERLINK("https://pegadaian.atlassian.net/browse/ITPROJECT-396?atlOrigin=eyJpIjoiYzgwYTQ0ZjEyNzQzNGJhN2JmNjEyZTM0NmRhZWZhNjIiLCJwIjoic2hlZXRzLWppcmEifQ","ITPROJECT-396")</f>
        <v>ITPROJECT-396</v>
      </c>
      <c r="C608" s="1" t="s">
        <v>726</v>
      </c>
      <c r="D608" s="1" t="s">
        <v>31</v>
      </c>
      <c r="E608" s="1" t="s">
        <v>161</v>
      </c>
      <c r="F608" s="1" t="s">
        <v>12</v>
      </c>
      <c r="G608" s="1" t="s">
        <v>13</v>
      </c>
      <c r="H608" s="4">
        <v>44643.423541666663</v>
      </c>
      <c r="I608" s="4">
        <v>45061.167546296296</v>
      </c>
      <c r="J608" s="1" t="s">
        <v>54</v>
      </c>
    </row>
    <row r="609" spans="1:10" ht="12.75" x14ac:dyDescent="0.2">
      <c r="A609" s="1" t="s">
        <v>117</v>
      </c>
      <c r="B609" s="3" t="str">
        <f>HYPERLINK("https://pegadaian.atlassian.net/browse/ITPROJECT-394?atlOrigin=eyJpIjoiYzgwYTQ0ZjEyNzQzNGJhN2JmNjEyZTM0NmRhZWZhNjIiLCJwIjoic2hlZXRzLWppcmEifQ","ITPROJECT-394")</f>
        <v>ITPROJECT-394</v>
      </c>
      <c r="C609" s="1" t="s">
        <v>727</v>
      </c>
      <c r="D609" s="1" t="s">
        <v>71</v>
      </c>
      <c r="E609" s="1" t="s">
        <v>161</v>
      </c>
      <c r="F609" s="1" t="s">
        <v>12</v>
      </c>
      <c r="G609" s="1" t="s">
        <v>13</v>
      </c>
      <c r="H609" s="4">
        <v>44643.420752314814</v>
      </c>
      <c r="I609" s="4">
        <v>45061.167557870373</v>
      </c>
      <c r="J609" s="1" t="s">
        <v>60</v>
      </c>
    </row>
    <row r="610" spans="1:10" ht="12.75" x14ac:dyDescent="0.2">
      <c r="A610" s="1" t="s">
        <v>117</v>
      </c>
      <c r="B610" s="3" t="str">
        <f>HYPERLINK("https://pegadaian.atlassian.net/browse/ITPROJECT-392?atlOrigin=eyJpIjoiYzgwYTQ0ZjEyNzQzNGJhN2JmNjEyZTM0NmRhZWZhNjIiLCJwIjoic2hlZXRzLWppcmEifQ","ITPROJECT-392")</f>
        <v>ITPROJECT-392</v>
      </c>
      <c r="C610" s="1" t="s">
        <v>728</v>
      </c>
      <c r="D610" s="1" t="s">
        <v>28</v>
      </c>
      <c r="E610" s="1" t="s">
        <v>130</v>
      </c>
      <c r="F610" s="1" t="s">
        <v>12</v>
      </c>
      <c r="G610" s="1" t="s">
        <v>13</v>
      </c>
      <c r="H610" s="4">
        <v>44642.447708333333</v>
      </c>
      <c r="I610" s="4">
        <v>45061.167569444442</v>
      </c>
      <c r="J610" s="1" t="s">
        <v>15</v>
      </c>
    </row>
    <row r="611" spans="1:10" ht="12.75" x14ac:dyDescent="0.2">
      <c r="A611" s="1" t="s">
        <v>117</v>
      </c>
      <c r="B611" s="3" t="str">
        <f>HYPERLINK("https://pegadaian.atlassian.net/browse/ITPROJECT-391?atlOrigin=eyJpIjoiYzgwYTQ0ZjEyNzQzNGJhN2JmNjEyZTM0NmRhZWZhNjIiLCJwIjoic2hlZXRzLWppcmEifQ","ITPROJECT-391")</f>
        <v>ITPROJECT-391</v>
      </c>
      <c r="C611" s="1" t="s">
        <v>729</v>
      </c>
      <c r="D611" s="1" t="s">
        <v>28</v>
      </c>
      <c r="E611" s="1" t="s">
        <v>130</v>
      </c>
      <c r="F611" s="1" t="s">
        <v>12</v>
      </c>
      <c r="G611" s="1" t="s">
        <v>213</v>
      </c>
      <c r="H611" s="4">
        <v>44642.442129629628</v>
      </c>
      <c r="I611" s="4">
        <v>45061.167569444442</v>
      </c>
      <c r="J611" s="1" t="s">
        <v>15</v>
      </c>
    </row>
    <row r="612" spans="1:10" ht="12.75" x14ac:dyDescent="0.2">
      <c r="A612" s="1" t="s">
        <v>117</v>
      </c>
      <c r="B612" s="3" t="str">
        <f>HYPERLINK("https://pegadaian.atlassian.net/browse/ITPROJECT-390?atlOrigin=eyJpIjoiYzgwYTQ0ZjEyNzQzNGJhN2JmNjEyZTM0NmRhZWZhNjIiLCJwIjoic2hlZXRzLWppcmEifQ","ITPROJECT-390")</f>
        <v>ITPROJECT-390</v>
      </c>
      <c r="C612" s="1" t="s">
        <v>730</v>
      </c>
      <c r="D612" s="1" t="s">
        <v>28</v>
      </c>
      <c r="E612" s="1" t="s">
        <v>130</v>
      </c>
      <c r="F612" s="1" t="s">
        <v>12</v>
      </c>
      <c r="G612" s="1" t="s">
        <v>213</v>
      </c>
      <c r="H612" s="4">
        <v>44642.43954861111</v>
      </c>
      <c r="I612" s="4">
        <v>45061.167581018519</v>
      </c>
      <c r="J612" s="1" t="s">
        <v>15</v>
      </c>
    </row>
    <row r="613" spans="1:10" ht="12.75" x14ac:dyDescent="0.2">
      <c r="A613" s="1" t="s">
        <v>117</v>
      </c>
      <c r="B613" s="3" t="str">
        <f>HYPERLINK("https://pegadaian.atlassian.net/browse/ITPROJECT-389?atlOrigin=eyJpIjoiYzgwYTQ0ZjEyNzQzNGJhN2JmNjEyZTM0NmRhZWZhNjIiLCJwIjoic2hlZXRzLWppcmEifQ","ITPROJECT-389")</f>
        <v>ITPROJECT-389</v>
      </c>
      <c r="C613" s="1" t="s">
        <v>731</v>
      </c>
      <c r="D613" s="1" t="s">
        <v>28</v>
      </c>
      <c r="E613" s="1" t="s">
        <v>130</v>
      </c>
      <c r="F613" s="1" t="s">
        <v>12</v>
      </c>
      <c r="G613" s="1" t="s">
        <v>213</v>
      </c>
      <c r="H613" s="4">
        <v>44642.436006944445</v>
      </c>
      <c r="I613" s="4">
        <v>45061.167581018519</v>
      </c>
      <c r="J613" s="1" t="s">
        <v>732</v>
      </c>
    </row>
    <row r="614" spans="1:10" ht="12.75" x14ac:dyDescent="0.2">
      <c r="A614" s="1" t="s">
        <v>117</v>
      </c>
      <c r="B614" s="3" t="str">
        <f>HYPERLINK("https://pegadaian.atlassian.net/browse/ITPROJECT-388?atlOrigin=eyJpIjoiYzgwYTQ0ZjEyNzQzNGJhN2JmNjEyZTM0NmRhZWZhNjIiLCJwIjoic2hlZXRzLWppcmEifQ","ITPROJECT-388")</f>
        <v>ITPROJECT-388</v>
      </c>
      <c r="C614" s="1" t="s">
        <v>733</v>
      </c>
      <c r="D614" s="1" t="s">
        <v>42</v>
      </c>
      <c r="E614" s="1" t="s">
        <v>130</v>
      </c>
      <c r="F614" s="1" t="s">
        <v>12</v>
      </c>
      <c r="G614" s="1" t="s">
        <v>213</v>
      </c>
      <c r="H614" s="4">
        <v>44642.433715277781</v>
      </c>
      <c r="I614" s="4">
        <v>45061.167592592596</v>
      </c>
      <c r="J614" s="1" t="s">
        <v>15</v>
      </c>
    </row>
    <row r="615" spans="1:10" ht="12.75" x14ac:dyDescent="0.2">
      <c r="A615" s="1" t="s">
        <v>117</v>
      </c>
      <c r="B615" s="3" t="str">
        <f>HYPERLINK("https://pegadaian.atlassian.net/browse/ITPROJECT-387?atlOrigin=eyJpIjoiYzgwYTQ0ZjEyNzQzNGJhN2JmNjEyZTM0NmRhZWZhNjIiLCJwIjoic2hlZXRzLWppcmEifQ","ITPROJECT-387")</f>
        <v>ITPROJECT-387</v>
      </c>
      <c r="C615" s="1" t="s">
        <v>734</v>
      </c>
      <c r="D615" s="1" t="s">
        <v>28</v>
      </c>
      <c r="E615" s="1" t="s">
        <v>130</v>
      </c>
      <c r="F615" s="1" t="s">
        <v>12</v>
      </c>
      <c r="G615" s="1" t="s">
        <v>13</v>
      </c>
      <c r="H615" s="4">
        <v>44642.432256944441</v>
      </c>
      <c r="I615" s="4">
        <v>45061.167592592596</v>
      </c>
      <c r="J615" s="1" t="s">
        <v>15</v>
      </c>
    </row>
    <row r="616" spans="1:10" ht="12.75" x14ac:dyDescent="0.2">
      <c r="A616" s="1" t="s">
        <v>63</v>
      </c>
      <c r="B616" s="3" t="str">
        <f>HYPERLINK("https://pegadaian.atlassian.net/browse/ITPROJECT-386?atlOrigin=eyJpIjoiYzgwYTQ0ZjEyNzQzNGJhN2JmNjEyZTM0NmRhZWZhNjIiLCJwIjoic2hlZXRzLWppcmEifQ","ITPROJECT-386")</f>
        <v>ITPROJECT-386</v>
      </c>
      <c r="C616" s="1" t="s">
        <v>735</v>
      </c>
      <c r="D616" s="1" t="s">
        <v>71</v>
      </c>
      <c r="E616" s="1" t="s">
        <v>71</v>
      </c>
      <c r="F616" s="1" t="s">
        <v>12</v>
      </c>
      <c r="G616" s="1" t="s">
        <v>13</v>
      </c>
      <c r="H616" s="4">
        <v>44642.411377314813</v>
      </c>
      <c r="I616" s="4">
        <v>45061.167604166665</v>
      </c>
      <c r="J616" s="1" t="s">
        <v>60</v>
      </c>
    </row>
    <row r="617" spans="1:10" ht="12.75" x14ac:dyDescent="0.2">
      <c r="A617" s="1" t="s">
        <v>63</v>
      </c>
      <c r="B617" s="3" t="str">
        <f>HYPERLINK("https://pegadaian.atlassian.net/browse/ITPROJECT-385?atlOrigin=eyJpIjoiYzgwYTQ0ZjEyNzQzNGJhN2JmNjEyZTM0NmRhZWZhNjIiLCJwIjoic2hlZXRzLWppcmEifQ","ITPROJECT-385")</f>
        <v>ITPROJECT-385</v>
      </c>
      <c r="C617" s="1" t="s">
        <v>736</v>
      </c>
      <c r="D617" s="1" t="s">
        <v>65</v>
      </c>
      <c r="E617" s="1" t="s">
        <v>65</v>
      </c>
      <c r="F617" s="1" t="s">
        <v>12</v>
      </c>
      <c r="G617" s="1" t="s">
        <v>13</v>
      </c>
      <c r="H617" s="4">
        <v>44642.399641203701</v>
      </c>
      <c r="I617" s="4">
        <v>45061.167615740742</v>
      </c>
      <c r="J617" s="1" t="s">
        <v>737</v>
      </c>
    </row>
    <row r="618" spans="1:10" ht="12.75" x14ac:dyDescent="0.2">
      <c r="A618" s="1" t="s">
        <v>117</v>
      </c>
      <c r="B618" s="3" t="str">
        <f>HYPERLINK("https://pegadaian.atlassian.net/browse/ITPROJECT-383?atlOrigin=eyJpIjoiYzgwYTQ0ZjEyNzQzNGJhN2JmNjEyZTM0NmRhZWZhNjIiLCJwIjoic2hlZXRzLWppcmEifQ","ITPROJECT-383")</f>
        <v>ITPROJECT-383</v>
      </c>
      <c r="C618" s="1" t="s">
        <v>738</v>
      </c>
      <c r="D618" s="1" t="s">
        <v>57</v>
      </c>
      <c r="E618" s="1" t="s">
        <v>418</v>
      </c>
      <c r="F618" s="1" t="s">
        <v>12</v>
      </c>
      <c r="G618" s="1" t="s">
        <v>13</v>
      </c>
      <c r="H618" s="4">
        <v>44641.57608796296</v>
      </c>
      <c r="I618" s="4">
        <v>45061.167627314811</v>
      </c>
      <c r="J618" s="1" t="s">
        <v>60</v>
      </c>
    </row>
    <row r="619" spans="1:10" ht="12.75" x14ac:dyDescent="0.2">
      <c r="A619" s="1" t="s">
        <v>117</v>
      </c>
      <c r="B619" s="3" t="str">
        <f>HYPERLINK("https://pegadaian.atlassian.net/browse/ITPROJECT-382?atlOrigin=eyJpIjoiYzgwYTQ0ZjEyNzQzNGJhN2JmNjEyZTM0NmRhZWZhNjIiLCJwIjoic2hlZXRzLWppcmEifQ","ITPROJECT-382")</f>
        <v>ITPROJECT-382</v>
      </c>
      <c r="C619" s="1" t="s">
        <v>739</v>
      </c>
      <c r="D619" s="1" t="s">
        <v>43</v>
      </c>
      <c r="E619" s="1" t="s">
        <v>130</v>
      </c>
      <c r="F619" s="1" t="s">
        <v>12</v>
      </c>
      <c r="G619" s="1" t="s">
        <v>13</v>
      </c>
      <c r="H619" s="4">
        <v>44641.403506944444</v>
      </c>
      <c r="I619" s="4">
        <v>45061.167627314811</v>
      </c>
      <c r="J619" s="1" t="s">
        <v>40</v>
      </c>
    </row>
    <row r="620" spans="1:10" ht="12.75" x14ac:dyDescent="0.2">
      <c r="A620" s="1" t="s">
        <v>117</v>
      </c>
      <c r="B620" s="3" t="str">
        <f>HYPERLINK("https://pegadaian.atlassian.net/browse/ITPROJECT-381?atlOrigin=eyJpIjoiYzgwYTQ0ZjEyNzQzNGJhN2JmNjEyZTM0NmRhZWZhNjIiLCJwIjoic2hlZXRzLWppcmEifQ","ITPROJECT-381")</f>
        <v>ITPROJECT-381</v>
      </c>
      <c r="C620" s="1" t="s">
        <v>740</v>
      </c>
      <c r="D620" s="1" t="s">
        <v>43</v>
      </c>
      <c r="E620" s="1" t="s">
        <v>130</v>
      </c>
      <c r="F620" s="1" t="s">
        <v>12</v>
      </c>
      <c r="G620" s="1" t="s">
        <v>13</v>
      </c>
      <c r="H620" s="4">
        <v>44641.402511574073</v>
      </c>
      <c r="I620" s="4">
        <v>45061.167638888888</v>
      </c>
      <c r="J620" s="1" t="s">
        <v>40</v>
      </c>
    </row>
    <row r="621" spans="1:10" ht="12.75" x14ac:dyDescent="0.2">
      <c r="A621" s="1" t="s">
        <v>117</v>
      </c>
      <c r="B621" s="3" t="str">
        <f>HYPERLINK("https://pegadaian.atlassian.net/browse/ITPROJECT-380?atlOrigin=eyJpIjoiYzgwYTQ0ZjEyNzQzNGJhN2JmNjEyZTM0NmRhZWZhNjIiLCJwIjoic2hlZXRzLWppcmEifQ","ITPROJECT-380")</f>
        <v>ITPROJECT-380</v>
      </c>
      <c r="C621" s="1" t="s">
        <v>741</v>
      </c>
      <c r="D621" s="1" t="s">
        <v>75</v>
      </c>
      <c r="E621" s="1" t="s">
        <v>130</v>
      </c>
      <c r="F621" s="1" t="s">
        <v>12</v>
      </c>
      <c r="G621" s="1" t="s">
        <v>213</v>
      </c>
      <c r="H621" s="4">
        <v>44641.401435185187</v>
      </c>
      <c r="I621" s="4">
        <v>45061.167638888888</v>
      </c>
      <c r="J621" s="1" t="s">
        <v>40</v>
      </c>
    </row>
    <row r="622" spans="1:10" ht="12.75" x14ac:dyDescent="0.2">
      <c r="A622" s="1" t="s">
        <v>117</v>
      </c>
      <c r="B622" s="3" t="str">
        <f>HYPERLINK("https://pegadaian.atlassian.net/browse/ITPROJECT-379?atlOrigin=eyJpIjoiYzgwYTQ0ZjEyNzQzNGJhN2JmNjEyZTM0NmRhZWZhNjIiLCJwIjoic2hlZXRzLWppcmEifQ","ITPROJECT-379")</f>
        <v>ITPROJECT-379</v>
      </c>
      <c r="C622" s="1" t="s">
        <v>742</v>
      </c>
      <c r="D622" s="1" t="s">
        <v>75</v>
      </c>
      <c r="E622" s="1" t="s">
        <v>130</v>
      </c>
      <c r="F622" s="1" t="s">
        <v>12</v>
      </c>
      <c r="G622" s="1" t="s">
        <v>76</v>
      </c>
      <c r="H622" s="4">
        <v>44641.400381944448</v>
      </c>
      <c r="I622" s="4">
        <v>45061.167650462965</v>
      </c>
      <c r="J622" s="1" t="s">
        <v>40</v>
      </c>
    </row>
    <row r="623" spans="1:10" ht="12.75" x14ac:dyDescent="0.2">
      <c r="A623" s="1" t="s">
        <v>117</v>
      </c>
      <c r="B623" s="3" t="str">
        <f>HYPERLINK("https://pegadaian.atlassian.net/browse/ITPROJECT-378?atlOrigin=eyJpIjoiYzgwYTQ0ZjEyNzQzNGJhN2JmNjEyZTM0NmRhZWZhNjIiLCJwIjoic2hlZXRzLWppcmEifQ","ITPROJECT-378")</f>
        <v>ITPROJECT-378</v>
      </c>
      <c r="C623" s="1" t="s">
        <v>743</v>
      </c>
      <c r="D623" s="1" t="s">
        <v>43</v>
      </c>
      <c r="E623" s="1" t="s">
        <v>130</v>
      </c>
      <c r="F623" s="1" t="s">
        <v>12</v>
      </c>
      <c r="G623" s="1" t="s">
        <v>13</v>
      </c>
      <c r="H623" s="4">
        <v>44641.396504629629</v>
      </c>
      <c r="I623" s="4">
        <v>45061.167650462965</v>
      </c>
      <c r="J623" s="1" t="s">
        <v>40</v>
      </c>
    </row>
    <row r="624" spans="1:10" ht="12.75" x14ac:dyDescent="0.2">
      <c r="A624" s="1" t="s">
        <v>117</v>
      </c>
      <c r="B624" s="3" t="str">
        <f>HYPERLINK("https://pegadaian.atlassian.net/browse/ITPROJECT-377?atlOrigin=eyJpIjoiYzgwYTQ0ZjEyNzQzNGJhN2JmNjEyZTM0NmRhZWZhNjIiLCJwIjoic2hlZXRzLWppcmEifQ","ITPROJECT-377")</f>
        <v>ITPROJECT-377</v>
      </c>
      <c r="C624" s="1" t="s">
        <v>744</v>
      </c>
      <c r="D624" s="1" t="s">
        <v>43</v>
      </c>
      <c r="E624" s="1" t="s">
        <v>130</v>
      </c>
      <c r="F624" s="1" t="s">
        <v>12</v>
      </c>
      <c r="G624" s="1" t="s">
        <v>13</v>
      </c>
      <c r="H624" s="4">
        <v>44641.395601851851</v>
      </c>
      <c r="I624" s="4">
        <v>45061.167662037034</v>
      </c>
      <c r="J624" s="1" t="s">
        <v>40</v>
      </c>
    </row>
    <row r="625" spans="1:10" ht="12.75" x14ac:dyDescent="0.2">
      <c r="A625" s="1" t="s">
        <v>117</v>
      </c>
      <c r="B625" s="3" t="str">
        <f>HYPERLINK("https://pegadaian.atlassian.net/browse/ITPROJECT-376?atlOrigin=eyJpIjoiYzgwYTQ0ZjEyNzQzNGJhN2JmNjEyZTM0NmRhZWZhNjIiLCJwIjoic2hlZXRzLWppcmEifQ","ITPROJECT-376")</f>
        <v>ITPROJECT-376</v>
      </c>
      <c r="C625" s="1" t="s">
        <v>745</v>
      </c>
      <c r="D625" s="1" t="s">
        <v>75</v>
      </c>
      <c r="E625" s="1" t="s">
        <v>130</v>
      </c>
      <c r="F625" s="1" t="s">
        <v>12</v>
      </c>
      <c r="G625" s="1" t="s">
        <v>13</v>
      </c>
      <c r="H625" s="4">
        <v>44641.391145833331</v>
      </c>
      <c r="I625" s="4">
        <v>45061.167662037034</v>
      </c>
      <c r="J625" s="1" t="s">
        <v>40</v>
      </c>
    </row>
    <row r="626" spans="1:10" ht="12.75" x14ac:dyDescent="0.2">
      <c r="A626" s="1" t="s">
        <v>117</v>
      </c>
      <c r="B626" s="3" t="str">
        <f>HYPERLINK("https://pegadaian.atlassian.net/browse/ITPROJECT-374?atlOrigin=eyJpIjoiYzgwYTQ0ZjEyNzQzNGJhN2JmNjEyZTM0NmRhZWZhNjIiLCJwIjoic2hlZXRzLWppcmEifQ","ITPROJECT-374")</f>
        <v>ITPROJECT-374</v>
      </c>
      <c r="C626" s="1" t="s">
        <v>746</v>
      </c>
      <c r="D626" s="1" t="s">
        <v>75</v>
      </c>
      <c r="E626" s="1" t="s">
        <v>130</v>
      </c>
      <c r="F626" s="1" t="s">
        <v>12</v>
      </c>
      <c r="G626" s="1" t="s">
        <v>13</v>
      </c>
      <c r="H626" s="4">
        <v>44641.388599537036</v>
      </c>
      <c r="I626" s="4">
        <v>45061.167673611111</v>
      </c>
      <c r="J626" s="1" t="s">
        <v>40</v>
      </c>
    </row>
    <row r="627" spans="1:10" ht="12.75" x14ac:dyDescent="0.2">
      <c r="A627" s="1" t="s">
        <v>117</v>
      </c>
      <c r="B627" s="3" t="str">
        <f>HYPERLINK("https://pegadaian.atlassian.net/browse/ITPROJECT-373?atlOrigin=eyJpIjoiYzgwYTQ0ZjEyNzQzNGJhN2JmNjEyZTM0NmRhZWZhNjIiLCJwIjoic2hlZXRzLWppcmEifQ","ITPROJECT-373")</f>
        <v>ITPROJECT-373</v>
      </c>
      <c r="C627" s="1" t="s">
        <v>747</v>
      </c>
      <c r="D627" s="1" t="s">
        <v>75</v>
      </c>
      <c r="E627" s="1" t="s">
        <v>130</v>
      </c>
      <c r="F627" s="1" t="s">
        <v>12</v>
      </c>
      <c r="G627" s="1" t="s">
        <v>213</v>
      </c>
      <c r="H627" s="4">
        <v>44641.387071759258</v>
      </c>
      <c r="I627" s="4">
        <v>45061.167673611111</v>
      </c>
      <c r="J627" s="1" t="s">
        <v>40</v>
      </c>
    </row>
    <row r="628" spans="1:10" ht="12.75" x14ac:dyDescent="0.2">
      <c r="A628" s="1" t="s">
        <v>117</v>
      </c>
      <c r="B628" s="3" t="str">
        <f>HYPERLINK("https://pegadaian.atlassian.net/browse/ITPROJECT-372?atlOrigin=eyJpIjoiYzgwYTQ0ZjEyNzQzNGJhN2JmNjEyZTM0NmRhZWZhNjIiLCJwIjoic2hlZXRzLWppcmEifQ","ITPROJECT-372")</f>
        <v>ITPROJECT-372</v>
      </c>
      <c r="C628" s="1" t="s">
        <v>748</v>
      </c>
      <c r="D628" s="1" t="s">
        <v>43</v>
      </c>
      <c r="E628" s="1" t="s">
        <v>130</v>
      </c>
      <c r="F628" s="1" t="s">
        <v>12</v>
      </c>
      <c r="G628" s="1" t="s">
        <v>13</v>
      </c>
      <c r="H628" s="4">
        <v>44641.385034722225</v>
      </c>
      <c r="I628" s="4">
        <v>45061.167685185188</v>
      </c>
      <c r="J628" s="1" t="s">
        <v>40</v>
      </c>
    </row>
    <row r="629" spans="1:10" ht="12.75" x14ac:dyDescent="0.2">
      <c r="A629" s="1" t="s">
        <v>117</v>
      </c>
      <c r="B629" s="3" t="str">
        <f>HYPERLINK("https://pegadaian.atlassian.net/browse/ITPROJECT-371?atlOrigin=eyJpIjoiYzgwYTQ0ZjEyNzQzNGJhN2JmNjEyZTM0NmRhZWZhNjIiLCJwIjoic2hlZXRzLWppcmEifQ","ITPROJECT-371")</f>
        <v>ITPROJECT-371</v>
      </c>
      <c r="C629" s="1" t="s">
        <v>749</v>
      </c>
      <c r="D629" s="1" t="s">
        <v>75</v>
      </c>
      <c r="E629" s="1" t="s">
        <v>130</v>
      </c>
      <c r="F629" s="1" t="s">
        <v>12</v>
      </c>
      <c r="G629" s="1" t="s">
        <v>13</v>
      </c>
      <c r="H629" s="4">
        <v>44641.379826388889</v>
      </c>
      <c r="I629" s="4">
        <v>45061.167685185188</v>
      </c>
      <c r="J629" s="1" t="s">
        <v>40</v>
      </c>
    </row>
    <row r="630" spans="1:10" ht="12.75" x14ac:dyDescent="0.2">
      <c r="A630" s="1" t="s">
        <v>117</v>
      </c>
      <c r="B630" s="3" t="str">
        <f>HYPERLINK("https://pegadaian.atlassian.net/browse/ITPROJECT-370?atlOrigin=eyJpIjoiYzgwYTQ0ZjEyNzQzNGJhN2JmNjEyZTM0NmRhZWZhNjIiLCJwIjoic2hlZXRzLWppcmEifQ","ITPROJECT-370")</f>
        <v>ITPROJECT-370</v>
      </c>
      <c r="C630" s="1" t="s">
        <v>750</v>
      </c>
      <c r="D630" s="1" t="s">
        <v>75</v>
      </c>
      <c r="E630" s="1" t="s">
        <v>130</v>
      </c>
      <c r="F630" s="1" t="s">
        <v>12</v>
      </c>
      <c r="G630" s="1" t="s">
        <v>13</v>
      </c>
      <c r="H630" s="4">
        <v>44641.378263888888</v>
      </c>
      <c r="I630" s="4">
        <v>45061.167696759258</v>
      </c>
      <c r="J630" s="1" t="s">
        <v>40</v>
      </c>
    </row>
    <row r="631" spans="1:10" ht="12.75" x14ac:dyDescent="0.2">
      <c r="A631" s="1" t="s">
        <v>117</v>
      </c>
      <c r="B631" s="3" t="str">
        <f>HYPERLINK("https://pegadaian.atlassian.net/browse/ITPROJECT-369?atlOrigin=eyJpIjoiYzgwYTQ0ZjEyNzQzNGJhN2JmNjEyZTM0NmRhZWZhNjIiLCJwIjoic2hlZXRzLWppcmEifQ","ITPROJECT-369")</f>
        <v>ITPROJECT-369</v>
      </c>
      <c r="C631" s="1" t="s">
        <v>751</v>
      </c>
      <c r="D631" s="1" t="s">
        <v>75</v>
      </c>
      <c r="E631" s="1" t="s">
        <v>130</v>
      </c>
      <c r="F631" s="1" t="s">
        <v>12</v>
      </c>
      <c r="G631" s="1" t="s">
        <v>213</v>
      </c>
      <c r="H631" s="4">
        <v>44641.377025462964</v>
      </c>
      <c r="I631" s="4">
        <v>45061.167696759258</v>
      </c>
      <c r="J631" s="1" t="s">
        <v>40</v>
      </c>
    </row>
    <row r="632" spans="1:10" ht="12.75" x14ac:dyDescent="0.2">
      <c r="A632" s="1" t="s">
        <v>63</v>
      </c>
      <c r="B632" s="3" t="str">
        <f>HYPERLINK("https://pegadaian.atlassian.net/browse/ITPROJECT-368?atlOrigin=eyJpIjoiYzgwYTQ0ZjEyNzQzNGJhN2JmNjEyZTM0NmRhZWZhNjIiLCJwIjoic2hlZXRzLWppcmEifQ","ITPROJECT-368")</f>
        <v>ITPROJECT-368</v>
      </c>
      <c r="C632" s="1" t="s">
        <v>752</v>
      </c>
      <c r="D632" s="1" t="s">
        <v>28</v>
      </c>
      <c r="E632" s="1" t="s">
        <v>28</v>
      </c>
      <c r="F632" s="1" t="s">
        <v>12</v>
      </c>
      <c r="G632" s="1" t="s">
        <v>13</v>
      </c>
      <c r="H632" s="4">
        <v>44638.868414351855</v>
      </c>
      <c r="I632" s="4">
        <v>45061.167708333334</v>
      </c>
      <c r="J632" s="1" t="s">
        <v>15</v>
      </c>
    </row>
    <row r="633" spans="1:10" ht="12.75" x14ac:dyDescent="0.2">
      <c r="A633" s="1" t="s">
        <v>117</v>
      </c>
      <c r="B633" s="3" t="str">
        <f>HYPERLINK("https://pegadaian.atlassian.net/browse/ITPROJECT-367?atlOrigin=eyJpIjoiYzgwYTQ0ZjEyNzQzNGJhN2JmNjEyZTM0NmRhZWZhNjIiLCJwIjoic2hlZXRzLWppcmEifQ","ITPROJECT-367")</f>
        <v>ITPROJECT-367</v>
      </c>
      <c r="C633" s="1" t="s">
        <v>753</v>
      </c>
      <c r="D633" s="1" t="s">
        <v>28</v>
      </c>
      <c r="E633" s="1" t="s">
        <v>130</v>
      </c>
      <c r="F633" s="1" t="s">
        <v>12</v>
      </c>
      <c r="G633" s="1" t="s">
        <v>13</v>
      </c>
      <c r="H633" s="4">
        <v>44638.654328703706</v>
      </c>
      <c r="I633" s="4">
        <v>45061.167708333334</v>
      </c>
      <c r="J633" s="1" t="s">
        <v>15</v>
      </c>
    </row>
    <row r="634" spans="1:10" ht="12.75" x14ac:dyDescent="0.2">
      <c r="A634" s="1" t="s">
        <v>117</v>
      </c>
      <c r="B634" s="3" t="str">
        <f>HYPERLINK("https://pegadaian.atlassian.net/browse/ITPROJECT-364?atlOrigin=eyJpIjoiYzgwYTQ0ZjEyNzQzNGJhN2JmNjEyZTM0NmRhZWZhNjIiLCJwIjoic2hlZXRzLWppcmEifQ","ITPROJECT-364")</f>
        <v>ITPROJECT-364</v>
      </c>
      <c r="C634" s="1" t="s">
        <v>754</v>
      </c>
      <c r="D634" s="1" t="s">
        <v>71</v>
      </c>
      <c r="E634" s="1" t="s">
        <v>130</v>
      </c>
      <c r="F634" s="1" t="s">
        <v>12</v>
      </c>
      <c r="G634" s="1" t="s">
        <v>13</v>
      </c>
      <c r="H634" s="4">
        <v>44638.349780092591</v>
      </c>
      <c r="I634" s="4">
        <v>45061.167731481481</v>
      </c>
      <c r="J634" s="1" t="s">
        <v>60</v>
      </c>
    </row>
    <row r="635" spans="1:10" ht="12.75" x14ac:dyDescent="0.2">
      <c r="A635" s="1" t="s">
        <v>117</v>
      </c>
      <c r="B635" s="3" t="str">
        <f>HYPERLINK("https://pegadaian.atlassian.net/browse/ITPROJECT-363?atlOrigin=eyJpIjoiYzgwYTQ0ZjEyNzQzNGJhN2JmNjEyZTM0NmRhZWZhNjIiLCJwIjoic2hlZXRzLWppcmEifQ","ITPROJECT-363")</f>
        <v>ITPROJECT-363</v>
      </c>
      <c r="C635" s="1" t="s">
        <v>755</v>
      </c>
      <c r="D635" s="1" t="s">
        <v>43</v>
      </c>
      <c r="E635" s="1" t="s">
        <v>130</v>
      </c>
      <c r="F635" s="1" t="s">
        <v>12</v>
      </c>
      <c r="G635" s="1" t="s">
        <v>213</v>
      </c>
      <c r="H635" s="4">
        <v>44637.732511574075</v>
      </c>
      <c r="I635" s="4">
        <v>45061.167743055557</v>
      </c>
      <c r="J635" s="1" t="s">
        <v>23</v>
      </c>
    </row>
    <row r="636" spans="1:10" ht="12.75" x14ac:dyDescent="0.2">
      <c r="A636" s="1" t="s">
        <v>117</v>
      </c>
      <c r="B636" s="3" t="str">
        <f>HYPERLINK("https://pegadaian.atlassian.net/browse/ITPROJECT-362?atlOrigin=eyJpIjoiYzgwYTQ0ZjEyNzQzNGJhN2JmNjEyZTM0NmRhZWZhNjIiLCJwIjoic2hlZXRzLWppcmEifQ","ITPROJECT-362")</f>
        <v>ITPROJECT-362</v>
      </c>
      <c r="C636" s="1" t="s">
        <v>756</v>
      </c>
      <c r="D636" s="1" t="s">
        <v>43</v>
      </c>
      <c r="E636" s="1" t="s">
        <v>130</v>
      </c>
      <c r="F636" s="1" t="s">
        <v>12</v>
      </c>
      <c r="G636" s="1" t="s">
        <v>213</v>
      </c>
      <c r="H636" s="4">
        <v>44637.731296296297</v>
      </c>
      <c r="I636" s="4">
        <v>45061.167754629627</v>
      </c>
      <c r="J636" s="1" t="s">
        <v>23</v>
      </c>
    </row>
    <row r="637" spans="1:10" ht="12.75" x14ac:dyDescent="0.2">
      <c r="A637" s="1" t="s">
        <v>117</v>
      </c>
      <c r="B637" s="3" t="str">
        <f>HYPERLINK("https://pegadaian.atlassian.net/browse/ITPROJECT-360?atlOrigin=eyJpIjoiYzgwYTQ0ZjEyNzQzNGJhN2JmNjEyZTM0NmRhZWZhNjIiLCJwIjoic2hlZXRzLWppcmEifQ","ITPROJECT-360")</f>
        <v>ITPROJECT-360</v>
      </c>
      <c r="C637" s="1" t="s">
        <v>757</v>
      </c>
      <c r="D637" s="1" t="s">
        <v>43</v>
      </c>
      <c r="E637" s="1" t="s">
        <v>130</v>
      </c>
      <c r="F637" s="1" t="s">
        <v>12</v>
      </c>
      <c r="G637" s="1" t="s">
        <v>213</v>
      </c>
      <c r="H637" s="4">
        <v>44637.72865740741</v>
      </c>
      <c r="I637" s="4">
        <v>45061.167754629627</v>
      </c>
      <c r="J637" s="1" t="s">
        <v>23</v>
      </c>
    </row>
    <row r="638" spans="1:10" ht="12.75" x14ac:dyDescent="0.2">
      <c r="A638" s="1" t="s">
        <v>117</v>
      </c>
      <c r="B638" s="3" t="str">
        <f>HYPERLINK("https://pegadaian.atlassian.net/browse/ITPROJECT-359?atlOrigin=eyJpIjoiYzgwYTQ0ZjEyNzQzNGJhN2JmNjEyZTM0NmRhZWZhNjIiLCJwIjoic2hlZXRzLWppcmEifQ","ITPROJECT-359")</f>
        <v>ITPROJECT-359</v>
      </c>
      <c r="C638" s="1" t="s">
        <v>758</v>
      </c>
      <c r="D638" s="1" t="s">
        <v>43</v>
      </c>
      <c r="E638" s="1" t="s">
        <v>130</v>
      </c>
      <c r="F638" s="1" t="s">
        <v>12</v>
      </c>
      <c r="G638" s="1" t="s">
        <v>213</v>
      </c>
      <c r="H638" s="4">
        <v>44637.726574074077</v>
      </c>
      <c r="I638" s="4">
        <v>45061.167766203704</v>
      </c>
      <c r="J638" s="1" t="s">
        <v>23</v>
      </c>
    </row>
    <row r="639" spans="1:10" ht="12.75" x14ac:dyDescent="0.2">
      <c r="A639" s="1" t="s">
        <v>117</v>
      </c>
      <c r="B639" s="3" t="str">
        <f>HYPERLINK("https://pegadaian.atlassian.net/browse/ITPROJECT-358?atlOrigin=eyJpIjoiYzgwYTQ0ZjEyNzQzNGJhN2JmNjEyZTM0NmRhZWZhNjIiLCJwIjoic2hlZXRzLWppcmEifQ","ITPROJECT-358")</f>
        <v>ITPROJECT-358</v>
      </c>
      <c r="C639" s="1" t="s">
        <v>759</v>
      </c>
      <c r="D639" s="1" t="s">
        <v>43</v>
      </c>
      <c r="E639" s="1" t="s">
        <v>130</v>
      </c>
      <c r="F639" s="1" t="s">
        <v>12</v>
      </c>
      <c r="G639" s="1" t="s">
        <v>213</v>
      </c>
      <c r="H639" s="4">
        <v>44637.701273148145</v>
      </c>
      <c r="I639" s="4">
        <v>45061.167766203704</v>
      </c>
      <c r="J639" s="1" t="s">
        <v>23</v>
      </c>
    </row>
    <row r="640" spans="1:10" ht="12.75" x14ac:dyDescent="0.2">
      <c r="A640" s="1" t="s">
        <v>117</v>
      </c>
      <c r="B640" s="3" t="str">
        <f>HYPERLINK("https://pegadaian.atlassian.net/browse/ITPROJECT-357?atlOrigin=eyJpIjoiYzgwYTQ0ZjEyNzQzNGJhN2JmNjEyZTM0NmRhZWZhNjIiLCJwIjoic2hlZXRzLWppcmEifQ","ITPROJECT-357")</f>
        <v>ITPROJECT-357</v>
      </c>
      <c r="C640" s="1" t="s">
        <v>760</v>
      </c>
      <c r="D640" s="1" t="s">
        <v>43</v>
      </c>
      <c r="E640" s="1" t="s">
        <v>130</v>
      </c>
      <c r="F640" s="1" t="s">
        <v>12</v>
      </c>
      <c r="G640" s="1" t="s">
        <v>213</v>
      </c>
      <c r="H640" s="4">
        <v>44637.699236111112</v>
      </c>
      <c r="I640" s="4">
        <v>45061.16777777778</v>
      </c>
      <c r="J640" s="1" t="s">
        <v>23</v>
      </c>
    </row>
    <row r="641" spans="1:10" ht="12.75" x14ac:dyDescent="0.2">
      <c r="A641" s="1" t="s">
        <v>117</v>
      </c>
      <c r="B641" s="3" t="str">
        <f>HYPERLINK("https://pegadaian.atlassian.net/browse/ITPROJECT-356?atlOrigin=eyJpIjoiYzgwYTQ0ZjEyNzQzNGJhN2JmNjEyZTM0NmRhZWZhNjIiLCJwIjoic2hlZXRzLWppcmEifQ","ITPROJECT-356")</f>
        <v>ITPROJECT-356</v>
      </c>
      <c r="C641" s="1" t="s">
        <v>761</v>
      </c>
      <c r="D641" s="1" t="s">
        <v>43</v>
      </c>
      <c r="E641" s="1" t="s">
        <v>130</v>
      </c>
      <c r="F641" s="1" t="s">
        <v>12</v>
      </c>
      <c r="G641" s="1" t="s">
        <v>213</v>
      </c>
      <c r="H641" s="4">
        <v>44637.696944444448</v>
      </c>
      <c r="I641" s="4">
        <v>45061.16778935185</v>
      </c>
      <c r="J641" s="1" t="s">
        <v>23</v>
      </c>
    </row>
    <row r="642" spans="1:10" ht="12.75" x14ac:dyDescent="0.2">
      <c r="A642" s="1" t="s">
        <v>117</v>
      </c>
      <c r="B642" s="3" t="str">
        <f>HYPERLINK("https://pegadaian.atlassian.net/browse/ITPROJECT-355?atlOrigin=eyJpIjoiYzgwYTQ0ZjEyNzQzNGJhN2JmNjEyZTM0NmRhZWZhNjIiLCJwIjoic2hlZXRzLWppcmEifQ","ITPROJECT-355")</f>
        <v>ITPROJECT-355</v>
      </c>
      <c r="C642" s="1" t="s">
        <v>762</v>
      </c>
      <c r="D642" s="1" t="s">
        <v>65</v>
      </c>
      <c r="E642" s="1" t="s">
        <v>122</v>
      </c>
      <c r="F642" s="1" t="s">
        <v>12</v>
      </c>
      <c r="G642" s="1" t="s">
        <v>13</v>
      </c>
      <c r="H642" s="4">
        <v>44637.600347222222</v>
      </c>
      <c r="I642" s="4">
        <v>45061.16778935185</v>
      </c>
      <c r="J642" s="1" t="s">
        <v>54</v>
      </c>
    </row>
    <row r="643" spans="1:10" ht="12.75" x14ac:dyDescent="0.2">
      <c r="A643" s="1" t="s">
        <v>117</v>
      </c>
      <c r="B643" s="3" t="str">
        <f>HYPERLINK("https://pegadaian.atlassian.net/browse/ITPROJECT-354?atlOrigin=eyJpIjoiYzgwYTQ0ZjEyNzQzNGJhN2JmNjEyZTM0NmRhZWZhNjIiLCJwIjoic2hlZXRzLWppcmEifQ","ITPROJECT-354")</f>
        <v>ITPROJECT-354</v>
      </c>
      <c r="C643" s="1" t="s">
        <v>763</v>
      </c>
      <c r="D643" s="1" t="s">
        <v>43</v>
      </c>
      <c r="E643" s="1" t="s">
        <v>130</v>
      </c>
      <c r="F643" s="1" t="s">
        <v>12</v>
      </c>
      <c r="G643" s="1" t="s">
        <v>213</v>
      </c>
      <c r="H643" s="4">
        <v>44637.596504629626</v>
      </c>
      <c r="I643" s="4">
        <v>45061.16778935185</v>
      </c>
      <c r="J643" s="1" t="s">
        <v>23</v>
      </c>
    </row>
    <row r="644" spans="1:10" ht="12.75" x14ac:dyDescent="0.2">
      <c r="A644" s="1" t="s">
        <v>63</v>
      </c>
      <c r="B644" s="3" t="str">
        <f>HYPERLINK("https://pegadaian.atlassian.net/browse/ITPROJECT-352?atlOrigin=eyJpIjoiYzgwYTQ0ZjEyNzQzNGJhN2JmNjEyZTM0NmRhZWZhNjIiLCJwIjoic2hlZXRzLWppcmEifQ","ITPROJECT-352")</f>
        <v>ITPROJECT-352</v>
      </c>
      <c r="C644" s="1" t="s">
        <v>764</v>
      </c>
      <c r="D644" s="1" t="s">
        <v>71</v>
      </c>
      <c r="E644" s="1" t="s">
        <v>71</v>
      </c>
      <c r="F644" s="1" t="s">
        <v>12</v>
      </c>
      <c r="G644" s="1" t="s">
        <v>13</v>
      </c>
      <c r="H644" s="4">
        <v>44636.453726851854</v>
      </c>
      <c r="I644" s="4">
        <v>45061.167812500003</v>
      </c>
      <c r="J644" s="1" t="s">
        <v>304</v>
      </c>
    </row>
    <row r="645" spans="1:10" ht="12.75" x14ac:dyDescent="0.2">
      <c r="A645" s="1" t="s">
        <v>63</v>
      </c>
      <c r="B645" s="3" t="str">
        <f>HYPERLINK("https://pegadaian.atlassian.net/browse/ITPROJECT-351?atlOrigin=eyJpIjoiYzgwYTQ0ZjEyNzQzNGJhN2JmNjEyZTM0NmRhZWZhNjIiLCJwIjoic2hlZXRzLWppcmEifQ","ITPROJECT-351")</f>
        <v>ITPROJECT-351</v>
      </c>
      <c r="C645" s="1" t="s">
        <v>765</v>
      </c>
      <c r="D645" s="1" t="s">
        <v>115</v>
      </c>
      <c r="E645" s="1" t="s">
        <v>115</v>
      </c>
      <c r="F645" s="1" t="s">
        <v>12</v>
      </c>
      <c r="G645" s="1" t="s">
        <v>13</v>
      </c>
      <c r="H645" s="4">
        <v>44636.453587962962</v>
      </c>
      <c r="I645" s="4">
        <v>45061.167812500003</v>
      </c>
      <c r="J645" s="1" t="s">
        <v>648</v>
      </c>
    </row>
    <row r="646" spans="1:10" ht="12.75" x14ac:dyDescent="0.2">
      <c r="A646" s="1" t="s">
        <v>117</v>
      </c>
      <c r="B646" s="3" t="str">
        <f>HYPERLINK("https://pegadaian.atlassian.net/browse/ITPROJECT-350?atlOrigin=eyJpIjoiYzgwYTQ0ZjEyNzQzNGJhN2JmNjEyZTM0NmRhZWZhNjIiLCJwIjoic2hlZXRzLWppcmEifQ","ITPROJECT-350")</f>
        <v>ITPROJECT-350</v>
      </c>
      <c r="C646" s="1" t="s">
        <v>766</v>
      </c>
      <c r="D646" s="1" t="s">
        <v>71</v>
      </c>
      <c r="E646" s="1" t="s">
        <v>122</v>
      </c>
      <c r="F646" s="1" t="s">
        <v>12</v>
      </c>
      <c r="G646" s="1" t="s">
        <v>13</v>
      </c>
      <c r="H646" s="4">
        <v>44636.407025462962</v>
      </c>
      <c r="I646" s="4">
        <v>45061.167824074073</v>
      </c>
      <c r="J646" s="1" t="s">
        <v>60</v>
      </c>
    </row>
    <row r="647" spans="1:10" ht="12.75" x14ac:dyDescent="0.2">
      <c r="A647" s="1" t="s">
        <v>63</v>
      </c>
      <c r="B647" s="3" t="str">
        <f>HYPERLINK("https://pegadaian.atlassian.net/browse/ITPROJECT-347?atlOrigin=eyJpIjoiYzgwYTQ0ZjEyNzQzNGJhN2JmNjEyZTM0NmRhZWZhNjIiLCJwIjoic2hlZXRzLWppcmEifQ","ITPROJECT-347")</f>
        <v>ITPROJECT-347</v>
      </c>
      <c r="C647" s="1" t="s">
        <v>767</v>
      </c>
      <c r="D647" s="1" t="s">
        <v>31</v>
      </c>
      <c r="E647" s="1" t="s">
        <v>56</v>
      </c>
      <c r="F647" s="1" t="s">
        <v>12</v>
      </c>
      <c r="G647" s="1" t="s">
        <v>68</v>
      </c>
      <c r="H647" s="4">
        <v>44634.480416666665</v>
      </c>
      <c r="I647" s="4">
        <v>45061.167847222219</v>
      </c>
      <c r="J647" s="1" t="s">
        <v>11</v>
      </c>
    </row>
    <row r="648" spans="1:10" ht="12.75" x14ac:dyDescent="0.2">
      <c r="A648" s="1" t="s">
        <v>117</v>
      </c>
      <c r="B648" s="3" t="str">
        <f>HYPERLINK("https://pegadaian.atlassian.net/browse/ITPROJECT-343?atlOrigin=eyJpIjoiYzgwYTQ0ZjEyNzQzNGJhN2JmNjEyZTM0NmRhZWZhNjIiLCJwIjoic2hlZXRzLWppcmEifQ","ITPROJECT-343")</f>
        <v>ITPROJECT-343</v>
      </c>
      <c r="C648" s="1" t="s">
        <v>768</v>
      </c>
      <c r="D648" s="1" t="s">
        <v>424</v>
      </c>
      <c r="E648" s="1" t="s">
        <v>130</v>
      </c>
      <c r="F648" s="1" t="s">
        <v>12</v>
      </c>
      <c r="G648" s="1" t="s">
        <v>13</v>
      </c>
      <c r="H648" s="4">
        <v>44634.380347222221</v>
      </c>
      <c r="I648" s="4">
        <v>45061.167870370373</v>
      </c>
      <c r="J648" s="1" t="s">
        <v>27</v>
      </c>
    </row>
    <row r="649" spans="1:10" ht="12.75" x14ac:dyDescent="0.2">
      <c r="A649" s="1" t="s">
        <v>63</v>
      </c>
      <c r="B649" s="3" t="str">
        <f>HYPERLINK("https://pegadaian.atlassian.net/browse/ITPROJECT-341?atlOrigin=eyJpIjoiYzgwYTQ0ZjEyNzQzNGJhN2JmNjEyZTM0NmRhZWZhNjIiLCJwIjoic2hlZXRzLWppcmEifQ","ITPROJECT-341")</f>
        <v>ITPROJECT-341</v>
      </c>
      <c r="C649" s="1" t="s">
        <v>769</v>
      </c>
      <c r="D649" s="1" t="s">
        <v>65</v>
      </c>
      <c r="E649" s="1" t="s">
        <v>65</v>
      </c>
      <c r="F649" s="1" t="s">
        <v>12</v>
      </c>
      <c r="G649" s="1" t="s">
        <v>13</v>
      </c>
      <c r="H649" s="4">
        <v>44631.625011574077</v>
      </c>
      <c r="I649" s="4">
        <v>45061.167870370373</v>
      </c>
      <c r="J649" s="1" t="s">
        <v>54</v>
      </c>
    </row>
    <row r="650" spans="1:10" ht="12.75" x14ac:dyDescent="0.2">
      <c r="A650" s="1" t="s">
        <v>63</v>
      </c>
      <c r="B650" s="3" t="str">
        <f>HYPERLINK("https://pegadaian.atlassian.net/browse/ITPROJECT-339?atlOrigin=eyJpIjoiYzgwYTQ0ZjEyNzQzNGJhN2JmNjEyZTM0NmRhZWZhNjIiLCJwIjoic2hlZXRzLWppcmEifQ","ITPROJECT-339")</f>
        <v>ITPROJECT-339</v>
      </c>
      <c r="C650" s="1" t="s">
        <v>770</v>
      </c>
      <c r="D650" s="1" t="s">
        <v>43</v>
      </c>
      <c r="E650" s="1" t="s">
        <v>43</v>
      </c>
      <c r="F650" s="1" t="s">
        <v>12</v>
      </c>
      <c r="G650" s="1" t="s">
        <v>13</v>
      </c>
      <c r="H650" s="4">
        <v>44630.693449074075</v>
      </c>
      <c r="I650" s="4">
        <v>45061.167881944442</v>
      </c>
      <c r="J650" s="1" t="s">
        <v>556</v>
      </c>
    </row>
    <row r="651" spans="1:10" ht="12.75" x14ac:dyDescent="0.2">
      <c r="A651" s="1" t="s">
        <v>117</v>
      </c>
      <c r="B651" s="3" t="str">
        <f>HYPERLINK("https://pegadaian.atlassian.net/browse/ITPROJECT-337?atlOrigin=eyJpIjoiYzgwYTQ0ZjEyNzQzNGJhN2JmNjEyZTM0NmRhZWZhNjIiLCJwIjoic2hlZXRzLWppcmEifQ","ITPROJECT-337")</f>
        <v>ITPROJECT-337</v>
      </c>
      <c r="C651" s="1" t="s">
        <v>771</v>
      </c>
      <c r="D651" s="1" t="s">
        <v>43</v>
      </c>
      <c r="E651" s="1" t="s">
        <v>161</v>
      </c>
      <c r="F651" s="1" t="s">
        <v>12</v>
      </c>
      <c r="G651" s="1" t="s">
        <v>13</v>
      </c>
      <c r="H651" s="4">
        <v>44630.660393518519</v>
      </c>
      <c r="I651" s="4">
        <v>45061.167893518519</v>
      </c>
      <c r="J651" s="1" t="s">
        <v>556</v>
      </c>
    </row>
    <row r="652" spans="1:10" ht="12.75" x14ac:dyDescent="0.2">
      <c r="A652" s="1" t="s">
        <v>63</v>
      </c>
      <c r="B652" s="3" t="str">
        <f>HYPERLINK("https://pegadaian.atlassian.net/browse/ITPROJECT-336?atlOrigin=eyJpIjoiYzgwYTQ0ZjEyNzQzNGJhN2JmNjEyZTM0NmRhZWZhNjIiLCJwIjoic2hlZXRzLWppcmEifQ","ITPROJECT-336")</f>
        <v>ITPROJECT-336</v>
      </c>
      <c r="C652" s="1" t="s">
        <v>772</v>
      </c>
      <c r="D652" s="1" t="s">
        <v>46</v>
      </c>
      <c r="E652" s="1" t="s">
        <v>46</v>
      </c>
      <c r="F652" s="1" t="s">
        <v>12</v>
      </c>
      <c r="G652" s="1" t="s">
        <v>68</v>
      </c>
      <c r="H652" s="4">
        <v>44630.516076388885</v>
      </c>
      <c r="I652" s="4">
        <v>45061.167893518519</v>
      </c>
      <c r="J652" s="1" t="s">
        <v>60</v>
      </c>
    </row>
    <row r="653" spans="1:10" ht="12.75" x14ac:dyDescent="0.2">
      <c r="A653" s="1" t="s">
        <v>63</v>
      </c>
      <c r="B653" s="3" t="str">
        <f>HYPERLINK("https://pegadaian.atlassian.net/browse/ITPROJECT-335?atlOrigin=eyJpIjoiYzgwYTQ0ZjEyNzQzNGJhN2JmNjEyZTM0NmRhZWZhNjIiLCJwIjoic2hlZXRzLWppcmEifQ","ITPROJECT-335")</f>
        <v>ITPROJECT-335</v>
      </c>
      <c r="C653" s="1" t="s">
        <v>773</v>
      </c>
      <c r="D653" s="1" t="s">
        <v>65</v>
      </c>
      <c r="E653" s="1" t="s">
        <v>65</v>
      </c>
      <c r="F653" s="1" t="s">
        <v>12</v>
      </c>
      <c r="G653" s="1" t="s">
        <v>13</v>
      </c>
      <c r="H653" s="4">
        <v>44630.46502314815</v>
      </c>
      <c r="I653" s="4">
        <v>45061.167905092596</v>
      </c>
      <c r="J653" s="1" t="s">
        <v>54</v>
      </c>
    </row>
    <row r="654" spans="1:10" ht="12.75" x14ac:dyDescent="0.2">
      <c r="A654" s="1" t="s">
        <v>63</v>
      </c>
      <c r="B654" s="3" t="str">
        <f>HYPERLINK("https://pegadaian.atlassian.net/browse/ITPROJECT-334?atlOrigin=eyJpIjoiYzgwYTQ0ZjEyNzQzNGJhN2JmNjEyZTM0NmRhZWZhNjIiLCJwIjoic2hlZXRzLWppcmEifQ","ITPROJECT-334")</f>
        <v>ITPROJECT-334</v>
      </c>
      <c r="C654" s="1" t="s">
        <v>774</v>
      </c>
      <c r="D654" s="1" t="s">
        <v>46</v>
      </c>
      <c r="E654" s="1" t="s">
        <v>46</v>
      </c>
      <c r="F654" s="1" t="s">
        <v>12</v>
      </c>
      <c r="G654" s="1" t="s">
        <v>68</v>
      </c>
      <c r="H654" s="4">
        <v>44630.447500000002</v>
      </c>
      <c r="I654" s="4">
        <v>45061.167905092596</v>
      </c>
      <c r="J654" s="1" t="s">
        <v>775</v>
      </c>
    </row>
    <row r="655" spans="1:10" ht="12.75" x14ac:dyDescent="0.2">
      <c r="A655" s="1" t="s">
        <v>63</v>
      </c>
      <c r="B655" s="3" t="str">
        <f>HYPERLINK("https://pegadaian.atlassian.net/browse/ITPROJECT-331?atlOrigin=eyJpIjoiYzgwYTQ0ZjEyNzQzNGJhN2JmNjEyZTM0NmRhZWZhNjIiLCJwIjoic2hlZXRzLWppcmEifQ","ITPROJECT-331")</f>
        <v>ITPROJECT-331</v>
      </c>
      <c r="C655" s="1" t="s">
        <v>776</v>
      </c>
      <c r="D655" s="1" t="s">
        <v>75</v>
      </c>
      <c r="E655" s="1" t="s">
        <v>75</v>
      </c>
      <c r="F655" s="1" t="s">
        <v>12</v>
      </c>
      <c r="G655" s="1" t="s">
        <v>13</v>
      </c>
      <c r="H655" s="4">
        <v>44629.463275462964</v>
      </c>
      <c r="I655" s="4">
        <v>45061.167928240742</v>
      </c>
      <c r="J655" s="1" t="s">
        <v>40</v>
      </c>
    </row>
    <row r="656" spans="1:10" ht="12.75" x14ac:dyDescent="0.2">
      <c r="A656" s="1" t="s">
        <v>117</v>
      </c>
      <c r="B656" s="3" t="str">
        <f>HYPERLINK("https://pegadaian.atlassian.net/browse/ITPROJECT-321?atlOrigin=eyJpIjoiYzgwYTQ0ZjEyNzQzNGJhN2JmNjEyZTM0NmRhZWZhNjIiLCJwIjoic2hlZXRzLWppcmEifQ","ITPROJECT-321")</f>
        <v>ITPROJECT-321</v>
      </c>
      <c r="C656" s="1" t="s">
        <v>777</v>
      </c>
      <c r="D656" s="1" t="s">
        <v>65</v>
      </c>
      <c r="E656" s="1" t="s">
        <v>122</v>
      </c>
      <c r="F656" s="1" t="s">
        <v>12</v>
      </c>
      <c r="G656" s="1" t="s">
        <v>13</v>
      </c>
      <c r="H656" s="4">
        <v>44627.784502314818</v>
      </c>
      <c r="I656" s="4">
        <v>45061.167951388888</v>
      </c>
      <c r="J656" s="1" t="s">
        <v>54</v>
      </c>
    </row>
    <row r="657" spans="1:10" ht="12.75" x14ac:dyDescent="0.2">
      <c r="A657" s="1" t="s">
        <v>117</v>
      </c>
      <c r="B657" s="3" t="str">
        <f>HYPERLINK("https://pegadaian.atlassian.net/browse/ITPROJECT-320?atlOrigin=eyJpIjoiYzgwYTQ0ZjEyNzQzNGJhN2JmNjEyZTM0NmRhZWZhNjIiLCJwIjoic2hlZXRzLWppcmEifQ","ITPROJECT-320")</f>
        <v>ITPROJECT-320</v>
      </c>
      <c r="C657" s="1" t="s">
        <v>778</v>
      </c>
      <c r="D657" s="1" t="s">
        <v>65</v>
      </c>
      <c r="E657" s="1" t="s">
        <v>122</v>
      </c>
      <c r="F657" s="1" t="s">
        <v>12</v>
      </c>
      <c r="G657" s="1" t="s">
        <v>13</v>
      </c>
      <c r="H657" s="4">
        <v>44627.722708333335</v>
      </c>
      <c r="I657" s="4">
        <v>45061.167962962965</v>
      </c>
      <c r="J657" s="1" t="s">
        <v>54</v>
      </c>
    </row>
    <row r="658" spans="1:10" ht="12.75" x14ac:dyDescent="0.2">
      <c r="A658" s="1" t="s">
        <v>63</v>
      </c>
      <c r="B658" s="3" t="str">
        <f>HYPERLINK("https://pegadaian.atlassian.net/browse/ITPROJECT-318?atlOrigin=eyJpIjoiYzgwYTQ0ZjEyNzQzNGJhN2JmNjEyZTM0NmRhZWZhNjIiLCJwIjoic2hlZXRzLWppcmEifQ","ITPROJECT-318")</f>
        <v>ITPROJECT-318</v>
      </c>
      <c r="C658" s="1" t="s">
        <v>779</v>
      </c>
      <c r="D658" s="1" t="s">
        <v>28</v>
      </c>
      <c r="E658" s="1" t="s">
        <v>28</v>
      </c>
      <c r="F658" s="1" t="s">
        <v>12</v>
      </c>
      <c r="G658" s="1" t="s">
        <v>13</v>
      </c>
      <c r="H658" s="4">
        <v>44627.61959490741</v>
      </c>
      <c r="I658" s="4">
        <v>45061.167962962965</v>
      </c>
      <c r="J658" s="1" t="s">
        <v>15</v>
      </c>
    </row>
    <row r="659" spans="1:10" ht="12.75" x14ac:dyDescent="0.2">
      <c r="A659" s="1" t="s">
        <v>63</v>
      </c>
      <c r="B659" s="3" t="str">
        <f>HYPERLINK("https://pegadaian.atlassian.net/browse/ITPROJECT-311?atlOrigin=eyJpIjoiYzgwYTQ0ZjEyNzQzNGJhN2JmNjEyZTM0NmRhZWZhNjIiLCJwIjoic2hlZXRzLWppcmEifQ","ITPROJECT-311")</f>
        <v>ITPROJECT-311</v>
      </c>
      <c r="C659" s="1" t="s">
        <v>780</v>
      </c>
      <c r="D659" s="1" t="s">
        <v>46</v>
      </c>
      <c r="E659" s="1" t="s">
        <v>46</v>
      </c>
      <c r="F659" s="1" t="s">
        <v>12</v>
      </c>
      <c r="G659" s="1" t="s">
        <v>13</v>
      </c>
      <c r="H659" s="4">
        <v>44627.409675925926</v>
      </c>
      <c r="I659" s="4">
        <v>45061.167986111112</v>
      </c>
      <c r="J659" s="1" t="s">
        <v>54</v>
      </c>
    </row>
    <row r="660" spans="1:10" ht="12.75" x14ac:dyDescent="0.2">
      <c r="A660" s="1" t="s">
        <v>63</v>
      </c>
      <c r="B660" s="3" t="str">
        <f>HYPERLINK("https://pegadaian.atlassian.net/browse/ITPROJECT-310?atlOrigin=eyJpIjoiYzgwYTQ0ZjEyNzQzNGJhN2JmNjEyZTM0NmRhZWZhNjIiLCJwIjoic2hlZXRzLWppcmEifQ","ITPROJECT-310")</f>
        <v>ITPROJECT-310</v>
      </c>
      <c r="C660" s="1" t="s">
        <v>781</v>
      </c>
      <c r="D660" s="1" t="s">
        <v>17</v>
      </c>
      <c r="E660" s="1" t="s">
        <v>17</v>
      </c>
      <c r="F660" s="1" t="s">
        <v>12</v>
      </c>
      <c r="G660" s="1" t="s">
        <v>13</v>
      </c>
      <c r="H660" s="4">
        <v>44624.659942129627</v>
      </c>
      <c r="I660" s="4">
        <v>45061.167986111112</v>
      </c>
      <c r="J660" s="1" t="s">
        <v>32</v>
      </c>
    </row>
    <row r="661" spans="1:10" ht="12.75" x14ac:dyDescent="0.2">
      <c r="A661" s="1" t="s">
        <v>117</v>
      </c>
      <c r="B661" s="3" t="str">
        <f>HYPERLINK("https://pegadaian.atlassian.net/browse/ITPROJECT-301?atlOrigin=eyJpIjoiYzgwYTQ0ZjEyNzQzNGJhN2JmNjEyZTM0NmRhZWZhNjIiLCJwIjoic2hlZXRzLWppcmEifQ","ITPROJECT-301")</f>
        <v>ITPROJECT-301</v>
      </c>
      <c r="C661" s="1" t="s">
        <v>782</v>
      </c>
      <c r="D661" s="1" t="s">
        <v>65</v>
      </c>
      <c r="E661" s="1" t="s">
        <v>122</v>
      </c>
      <c r="F661" s="1" t="s">
        <v>12</v>
      </c>
      <c r="G661" s="1" t="s">
        <v>13</v>
      </c>
      <c r="H661" s="4">
        <v>44622.417141203703</v>
      </c>
      <c r="I661" s="4">
        <v>45061.168020833335</v>
      </c>
      <c r="J661" s="1" t="s">
        <v>87</v>
      </c>
    </row>
    <row r="662" spans="1:10" ht="12.75" x14ac:dyDescent="0.2">
      <c r="A662" s="1" t="s">
        <v>117</v>
      </c>
      <c r="B662" s="3" t="str">
        <f>HYPERLINK("https://pegadaian.atlassian.net/browse/ITPROJECT-299?atlOrigin=eyJpIjoiYzgwYTQ0ZjEyNzQzNGJhN2JmNjEyZTM0NmRhZWZhNjIiLCJwIjoic2hlZXRzLWppcmEifQ","ITPROJECT-299")</f>
        <v>ITPROJECT-299</v>
      </c>
      <c r="C662" s="1" t="s">
        <v>783</v>
      </c>
      <c r="D662" s="1" t="s">
        <v>115</v>
      </c>
      <c r="E662" s="1" t="s">
        <v>506</v>
      </c>
      <c r="F662" s="1" t="s">
        <v>12</v>
      </c>
      <c r="G662" s="1" t="s">
        <v>13</v>
      </c>
      <c r="H662" s="4">
        <v>44621.627881944441</v>
      </c>
      <c r="I662" s="4">
        <v>45061.168020833335</v>
      </c>
      <c r="J662" s="1" t="s">
        <v>648</v>
      </c>
    </row>
    <row r="663" spans="1:10" ht="12.75" x14ac:dyDescent="0.2">
      <c r="A663" s="1" t="s">
        <v>63</v>
      </c>
      <c r="B663" s="3" t="str">
        <f>HYPERLINK("https://pegadaian.atlassian.net/browse/ITPROJECT-298?atlOrigin=eyJpIjoiYzgwYTQ0ZjEyNzQzNGJhN2JmNjEyZTM0NmRhZWZhNjIiLCJwIjoic2hlZXRzLWppcmEifQ","ITPROJECT-298")</f>
        <v>ITPROJECT-298</v>
      </c>
      <c r="C663" s="1" t="s">
        <v>784</v>
      </c>
      <c r="D663" s="1" t="s">
        <v>785</v>
      </c>
      <c r="E663" s="1" t="s">
        <v>785</v>
      </c>
      <c r="F663" s="1" t="s">
        <v>12</v>
      </c>
      <c r="G663" s="1" t="s">
        <v>68</v>
      </c>
      <c r="H663" s="4">
        <v>44621.561874999999</v>
      </c>
      <c r="I663" s="4">
        <v>45061.168032407404</v>
      </c>
      <c r="J663" s="1" t="s">
        <v>58</v>
      </c>
    </row>
    <row r="664" spans="1:10" ht="12.75" x14ac:dyDescent="0.2">
      <c r="A664" s="1" t="s">
        <v>117</v>
      </c>
      <c r="B664" s="3" t="str">
        <f>HYPERLINK("https://pegadaian.atlassian.net/browse/ITPROJECT-297?atlOrigin=eyJpIjoiYzgwYTQ0ZjEyNzQzNGJhN2JmNjEyZTM0NmRhZWZhNjIiLCJwIjoic2hlZXRzLWppcmEifQ","ITPROJECT-297")</f>
        <v>ITPROJECT-297</v>
      </c>
      <c r="C664" s="1" t="s">
        <v>786</v>
      </c>
      <c r="D664" s="1" t="s">
        <v>75</v>
      </c>
      <c r="E664" s="1" t="s">
        <v>130</v>
      </c>
      <c r="F664" s="1" t="s">
        <v>12</v>
      </c>
      <c r="G664" s="1" t="s">
        <v>13</v>
      </c>
      <c r="H664" s="4">
        <v>44621.467175925929</v>
      </c>
      <c r="I664" s="4">
        <v>45061.168032407404</v>
      </c>
      <c r="J664" s="1" t="s">
        <v>40</v>
      </c>
    </row>
    <row r="665" spans="1:10" ht="12.75" x14ac:dyDescent="0.2">
      <c r="A665" s="1" t="s">
        <v>63</v>
      </c>
      <c r="B665" s="3" t="str">
        <f>HYPERLINK("https://pegadaian.atlassian.net/browse/ITPROJECT-292?atlOrigin=eyJpIjoiYzgwYTQ0ZjEyNzQzNGJhN2JmNjEyZTM0NmRhZWZhNjIiLCJwIjoic2hlZXRzLWppcmEifQ","ITPROJECT-292")</f>
        <v>ITPROJECT-292</v>
      </c>
      <c r="C665" s="1" t="s">
        <v>787</v>
      </c>
      <c r="D665" s="1" t="s">
        <v>25</v>
      </c>
      <c r="E665" s="1" t="s">
        <v>25</v>
      </c>
      <c r="F665" s="1" t="s">
        <v>12</v>
      </c>
      <c r="G665" s="1" t="s">
        <v>13</v>
      </c>
      <c r="H665" s="4">
        <v>44617.615567129629</v>
      </c>
      <c r="I665" s="4">
        <v>45061.168055555558</v>
      </c>
      <c r="J665" s="1" t="s">
        <v>26</v>
      </c>
    </row>
    <row r="666" spans="1:10" ht="12.75" x14ac:dyDescent="0.2">
      <c r="A666" s="1" t="s">
        <v>117</v>
      </c>
      <c r="B666" s="3" t="str">
        <f>HYPERLINK("https://pegadaian.atlassian.net/browse/ITPROJECT-285?atlOrigin=eyJpIjoiYzgwYTQ0ZjEyNzQzNGJhN2JmNjEyZTM0NmRhZWZhNjIiLCJwIjoic2hlZXRzLWppcmEifQ","ITPROJECT-285")</f>
        <v>ITPROJECT-285</v>
      </c>
      <c r="C666" s="1" t="s">
        <v>788</v>
      </c>
      <c r="D666" s="1" t="s">
        <v>65</v>
      </c>
      <c r="E666" s="1" t="s">
        <v>122</v>
      </c>
      <c r="F666" s="1" t="s">
        <v>12</v>
      </c>
      <c r="G666" s="1" t="s">
        <v>213</v>
      </c>
      <c r="H666" s="4">
        <v>44616.390659722223</v>
      </c>
      <c r="I666" s="4">
        <v>45061.16810185185</v>
      </c>
      <c r="J666" s="1" t="s">
        <v>54</v>
      </c>
    </row>
    <row r="667" spans="1:10" ht="12.75" x14ac:dyDescent="0.2">
      <c r="A667" s="1" t="s">
        <v>63</v>
      </c>
      <c r="B667" s="3" t="str">
        <f>HYPERLINK("https://pegadaian.atlassian.net/browse/ITPROJECT-281?atlOrigin=eyJpIjoiYzgwYTQ0ZjEyNzQzNGJhN2JmNjEyZTM0NmRhZWZhNjIiLCJwIjoic2hlZXRzLWppcmEifQ","ITPROJECT-281")</f>
        <v>ITPROJECT-281</v>
      </c>
      <c r="C667" s="1" t="s">
        <v>789</v>
      </c>
      <c r="D667" s="1" t="s">
        <v>696</v>
      </c>
      <c r="E667" s="1" t="s">
        <v>696</v>
      </c>
      <c r="F667" s="1" t="s">
        <v>12</v>
      </c>
      <c r="G667" s="1" t="s">
        <v>13</v>
      </c>
      <c r="H667" s="4">
        <v>44614.966747685183</v>
      </c>
      <c r="I667" s="4">
        <v>45061.16810185185</v>
      </c>
      <c r="J667" s="1" t="s">
        <v>27</v>
      </c>
    </row>
    <row r="668" spans="1:10" ht="12.75" x14ac:dyDescent="0.2">
      <c r="A668" s="1" t="s">
        <v>117</v>
      </c>
      <c r="B668" s="3" t="str">
        <f>HYPERLINK("https://pegadaian.atlassian.net/browse/ITPROJECT-279?atlOrigin=eyJpIjoiYzgwYTQ0ZjEyNzQzNGJhN2JmNjEyZTM0NmRhZWZhNjIiLCJwIjoic2hlZXRzLWppcmEifQ","ITPROJECT-279")</f>
        <v>ITPROJECT-279</v>
      </c>
      <c r="C668" s="1" t="s">
        <v>790</v>
      </c>
      <c r="D668" s="1" t="s">
        <v>124</v>
      </c>
      <c r="E668" s="1" t="s">
        <v>130</v>
      </c>
      <c r="F668" s="1" t="s">
        <v>12</v>
      </c>
      <c r="G668" s="1" t="s">
        <v>120</v>
      </c>
      <c r="H668" s="4">
        <v>44614.780810185184</v>
      </c>
      <c r="I668" s="4">
        <v>45061.168124999997</v>
      </c>
      <c r="J668" s="1" t="s">
        <v>34</v>
      </c>
    </row>
    <row r="669" spans="1:10" ht="12.75" x14ac:dyDescent="0.2">
      <c r="A669" s="1" t="s">
        <v>63</v>
      </c>
      <c r="B669" s="3" t="str">
        <f>HYPERLINK("https://pegadaian.atlassian.net/browse/ITPROJECT-271?atlOrigin=eyJpIjoiYzgwYTQ0ZjEyNzQzNGJhN2JmNjEyZTM0NmRhZWZhNjIiLCJwIjoic2hlZXRzLWppcmEifQ","ITPROJECT-271")</f>
        <v>ITPROJECT-271</v>
      </c>
      <c r="C669" s="1" t="s">
        <v>791</v>
      </c>
      <c r="D669" s="1" t="s">
        <v>75</v>
      </c>
      <c r="E669" s="1" t="s">
        <v>75</v>
      </c>
      <c r="F669" s="1" t="s">
        <v>12</v>
      </c>
      <c r="G669" s="1" t="s">
        <v>13</v>
      </c>
      <c r="H669" s="4">
        <v>44614.42150462963</v>
      </c>
      <c r="I669" s="4">
        <v>45061.16815972222</v>
      </c>
      <c r="J669" s="1" t="s">
        <v>54</v>
      </c>
    </row>
    <row r="670" spans="1:10" ht="12.75" x14ac:dyDescent="0.2">
      <c r="A670" s="1" t="s">
        <v>63</v>
      </c>
      <c r="B670" s="3" t="str">
        <f>HYPERLINK("https://pegadaian.atlassian.net/browse/ITPROJECT-270?atlOrigin=eyJpIjoiYzgwYTQ0ZjEyNzQzNGJhN2JmNjEyZTM0NmRhZWZhNjIiLCJwIjoic2hlZXRzLWppcmEifQ","ITPROJECT-270")</f>
        <v>ITPROJECT-270</v>
      </c>
      <c r="C670" s="1" t="s">
        <v>792</v>
      </c>
      <c r="D670" s="1" t="s">
        <v>25</v>
      </c>
      <c r="E670" s="1" t="s">
        <v>25</v>
      </c>
      <c r="F670" s="1" t="s">
        <v>12</v>
      </c>
      <c r="G670" s="1" t="s">
        <v>13</v>
      </c>
      <c r="H670" s="4">
        <v>44614.40079861111</v>
      </c>
      <c r="I670" s="4">
        <v>45061.16815972222</v>
      </c>
      <c r="J670" s="1" t="s">
        <v>26</v>
      </c>
    </row>
    <row r="671" spans="1:10" ht="12.75" x14ac:dyDescent="0.2">
      <c r="A671" s="1" t="s">
        <v>63</v>
      </c>
      <c r="B671" s="3" t="str">
        <f>HYPERLINK("https://pegadaian.atlassian.net/browse/ITPROJECT-268?atlOrigin=eyJpIjoiYzgwYTQ0ZjEyNzQzNGJhN2JmNjEyZTM0NmRhZWZhNjIiLCJwIjoic2hlZXRzLWppcmEifQ","ITPROJECT-268")</f>
        <v>ITPROJECT-268</v>
      </c>
      <c r="C671" s="1" t="s">
        <v>793</v>
      </c>
      <c r="D671" s="1" t="s">
        <v>65</v>
      </c>
      <c r="E671" s="1" t="s">
        <v>65</v>
      </c>
      <c r="F671" s="1" t="s">
        <v>12</v>
      </c>
      <c r="G671" s="1" t="s">
        <v>13</v>
      </c>
      <c r="H671" s="4">
        <v>44614.381273148145</v>
      </c>
      <c r="I671" s="4">
        <v>45061.168182870373</v>
      </c>
      <c r="J671" s="1" t="s">
        <v>54</v>
      </c>
    </row>
    <row r="672" spans="1:10" ht="12.75" x14ac:dyDescent="0.2">
      <c r="A672" s="1" t="s">
        <v>63</v>
      </c>
      <c r="B672" s="3" t="str">
        <f>HYPERLINK("https://pegadaian.atlassian.net/browse/ITPROJECT-264?atlOrigin=eyJpIjoiYzgwYTQ0ZjEyNzQzNGJhN2JmNjEyZTM0NmRhZWZhNjIiLCJwIjoic2hlZXRzLWppcmEifQ","ITPROJECT-264")</f>
        <v>ITPROJECT-264</v>
      </c>
      <c r="C672" s="1" t="s">
        <v>794</v>
      </c>
      <c r="D672" s="1" t="s">
        <v>424</v>
      </c>
      <c r="E672" s="1" t="s">
        <v>696</v>
      </c>
      <c r="F672" s="1" t="s">
        <v>12</v>
      </c>
      <c r="G672" s="1" t="s">
        <v>13</v>
      </c>
      <c r="H672" s="4">
        <v>44612.81150462963</v>
      </c>
      <c r="I672" s="4">
        <v>45061.168206018519</v>
      </c>
      <c r="J672" s="1" t="s">
        <v>27</v>
      </c>
    </row>
    <row r="673" spans="1:10" ht="12.75" x14ac:dyDescent="0.2">
      <c r="A673" s="1" t="s">
        <v>117</v>
      </c>
      <c r="B673" s="3" t="str">
        <f>HYPERLINK("https://pegadaian.atlassian.net/browse/ITPROJECT-263?atlOrigin=eyJpIjoiYzgwYTQ0ZjEyNzQzNGJhN2JmNjEyZTM0NmRhZWZhNjIiLCJwIjoic2hlZXRzLWppcmEifQ","ITPROJECT-263")</f>
        <v>ITPROJECT-263</v>
      </c>
      <c r="C673" s="1" t="s">
        <v>795</v>
      </c>
      <c r="D673" s="1" t="s">
        <v>25</v>
      </c>
      <c r="E673" s="1" t="s">
        <v>122</v>
      </c>
      <c r="F673" s="1" t="s">
        <v>12</v>
      </c>
      <c r="G673" s="1" t="s">
        <v>13</v>
      </c>
      <c r="H673" s="4">
        <v>44610.623240740744</v>
      </c>
      <c r="I673" s="4">
        <v>45061.168206018519</v>
      </c>
      <c r="J673" s="1" t="s">
        <v>26</v>
      </c>
    </row>
    <row r="674" spans="1:10" ht="12.75" x14ac:dyDescent="0.2">
      <c r="A674" s="1" t="s">
        <v>117</v>
      </c>
      <c r="B674" s="3" t="str">
        <f>HYPERLINK("https://pegadaian.atlassian.net/browse/ITPROJECT-262?atlOrigin=eyJpIjoiYzgwYTQ0ZjEyNzQzNGJhN2JmNjEyZTM0NmRhZWZhNjIiLCJwIjoic2hlZXRzLWppcmEifQ","ITPROJECT-262")</f>
        <v>ITPROJECT-262</v>
      </c>
      <c r="C674" s="1" t="s">
        <v>796</v>
      </c>
      <c r="D674" s="1" t="s">
        <v>25</v>
      </c>
      <c r="E674" s="1" t="s">
        <v>122</v>
      </c>
      <c r="F674" s="1" t="s">
        <v>12</v>
      </c>
      <c r="G674" s="1" t="s">
        <v>13</v>
      </c>
      <c r="H674" s="4">
        <v>44610.620509259257</v>
      </c>
      <c r="I674" s="4">
        <v>45061.168217592596</v>
      </c>
      <c r="J674" s="1" t="s">
        <v>26</v>
      </c>
    </row>
    <row r="675" spans="1:10" ht="12.75" x14ac:dyDescent="0.2">
      <c r="A675" s="1" t="s">
        <v>117</v>
      </c>
      <c r="B675" s="3" t="str">
        <f>HYPERLINK("https://pegadaian.atlassian.net/browse/ITPROJECT-260?atlOrigin=eyJpIjoiYzgwYTQ0ZjEyNzQzNGJhN2JmNjEyZTM0NmRhZWZhNjIiLCJwIjoic2hlZXRzLWppcmEifQ","ITPROJECT-260")</f>
        <v>ITPROJECT-260</v>
      </c>
      <c r="C675" s="1" t="s">
        <v>797</v>
      </c>
      <c r="D675" s="1" t="s">
        <v>46</v>
      </c>
      <c r="E675" s="1" t="s">
        <v>122</v>
      </c>
      <c r="F675" s="1" t="s">
        <v>12</v>
      </c>
      <c r="G675" s="1" t="s">
        <v>68</v>
      </c>
      <c r="H675" s="4">
        <v>44609.448506944442</v>
      </c>
      <c r="I675" s="4">
        <v>45061.168217592596</v>
      </c>
      <c r="J675" s="1" t="s">
        <v>669</v>
      </c>
    </row>
    <row r="676" spans="1:10" ht="12.75" x14ac:dyDescent="0.2">
      <c r="A676" s="1" t="s">
        <v>117</v>
      </c>
      <c r="B676" s="3" t="str">
        <f>HYPERLINK("https://pegadaian.atlassian.net/browse/ITPROJECT-257?atlOrigin=eyJpIjoiYzgwYTQ0ZjEyNzQzNGJhN2JmNjEyZTM0NmRhZWZhNjIiLCJwIjoic2hlZXRzLWppcmEifQ","ITPROJECT-257")</f>
        <v>ITPROJECT-257</v>
      </c>
      <c r="C676" s="1" t="s">
        <v>798</v>
      </c>
      <c r="D676" s="1" t="s">
        <v>65</v>
      </c>
      <c r="E676" s="1" t="s">
        <v>122</v>
      </c>
      <c r="F676" s="1" t="s">
        <v>12</v>
      </c>
      <c r="G676" s="1" t="s">
        <v>13</v>
      </c>
      <c r="H676" s="4">
        <v>44609.360868055555</v>
      </c>
      <c r="I676" s="4">
        <v>45061.168240740742</v>
      </c>
      <c r="J676" s="1" t="s">
        <v>54</v>
      </c>
    </row>
    <row r="677" spans="1:10" ht="12.75" x14ac:dyDescent="0.2">
      <c r="A677" s="1" t="s">
        <v>63</v>
      </c>
      <c r="B677" s="3" t="str">
        <f>HYPERLINK("https://pegadaian.atlassian.net/browse/ITPROJECT-256?atlOrigin=eyJpIjoiYzgwYTQ0ZjEyNzQzNGJhN2JmNjEyZTM0NmRhZWZhNjIiLCJwIjoic2hlZXRzLWppcmEifQ","ITPROJECT-256")</f>
        <v>ITPROJECT-256</v>
      </c>
      <c r="C677" s="1" t="s">
        <v>799</v>
      </c>
      <c r="D677" s="1" t="s">
        <v>785</v>
      </c>
      <c r="E677" s="1" t="s">
        <v>785</v>
      </c>
      <c r="F677" s="1" t="s">
        <v>12</v>
      </c>
      <c r="G677" s="1" t="s">
        <v>13</v>
      </c>
      <c r="H677" s="4">
        <v>44608.459548611114</v>
      </c>
      <c r="I677" s="4">
        <v>45061.168252314812</v>
      </c>
      <c r="J677" s="1" t="s">
        <v>58</v>
      </c>
    </row>
    <row r="678" spans="1:10" ht="12.75" x14ac:dyDescent="0.2">
      <c r="A678" s="1" t="s">
        <v>117</v>
      </c>
      <c r="B678" s="3" t="str">
        <f>HYPERLINK("https://pegadaian.atlassian.net/browse/ITPROJECT-254?atlOrigin=eyJpIjoiYzgwYTQ0ZjEyNzQzNGJhN2JmNjEyZTM0NmRhZWZhNjIiLCJwIjoic2hlZXRzLWppcmEifQ","ITPROJECT-254")</f>
        <v>ITPROJECT-254</v>
      </c>
      <c r="C678" s="1" t="s">
        <v>800</v>
      </c>
      <c r="D678" s="1" t="s">
        <v>25</v>
      </c>
      <c r="E678" s="1" t="s">
        <v>25</v>
      </c>
      <c r="F678" s="1" t="s">
        <v>12</v>
      </c>
      <c r="G678" s="1" t="s">
        <v>13</v>
      </c>
      <c r="H678" s="4">
        <v>44607.678333333337</v>
      </c>
      <c r="I678" s="4">
        <v>45061.168263888889</v>
      </c>
      <c r="J678" s="1" t="s">
        <v>26</v>
      </c>
    </row>
    <row r="679" spans="1:10" ht="12.75" x14ac:dyDescent="0.2">
      <c r="A679" s="1" t="s">
        <v>117</v>
      </c>
      <c r="B679" s="3" t="str">
        <f>HYPERLINK("https://pegadaian.atlassian.net/browse/ITPROJECT-252?atlOrigin=eyJpIjoiYzgwYTQ0ZjEyNzQzNGJhN2JmNjEyZTM0NmRhZWZhNjIiLCJwIjoic2hlZXRzLWppcmEifQ","ITPROJECT-252")</f>
        <v>ITPROJECT-252</v>
      </c>
      <c r="C679" s="1" t="s">
        <v>801</v>
      </c>
      <c r="D679" s="1" t="s">
        <v>56</v>
      </c>
      <c r="E679" s="1" t="s">
        <v>130</v>
      </c>
      <c r="F679" s="1" t="s">
        <v>12</v>
      </c>
      <c r="G679" s="1" t="s">
        <v>68</v>
      </c>
      <c r="H679" s="4">
        <v>44607.444421296299</v>
      </c>
      <c r="I679" s="4">
        <v>45061.168275462966</v>
      </c>
      <c r="J679" s="1" t="s">
        <v>11</v>
      </c>
    </row>
    <row r="680" spans="1:10" ht="12.75" x14ac:dyDescent="0.2">
      <c r="A680" s="1" t="s">
        <v>117</v>
      </c>
      <c r="B680" s="3" t="str">
        <f>HYPERLINK("https://pegadaian.atlassian.net/browse/ITPROJECT-250?atlOrigin=eyJpIjoiYzgwYTQ0ZjEyNzQzNGJhN2JmNjEyZTM0NmRhZWZhNjIiLCJwIjoic2hlZXRzLWppcmEifQ","ITPROJECT-250")</f>
        <v>ITPROJECT-250</v>
      </c>
      <c r="C680" s="1" t="s">
        <v>802</v>
      </c>
      <c r="D680" s="1" t="s">
        <v>56</v>
      </c>
      <c r="E680" s="1" t="s">
        <v>161</v>
      </c>
      <c r="F680" s="1" t="s">
        <v>12</v>
      </c>
      <c r="G680" s="1" t="s">
        <v>68</v>
      </c>
      <c r="H680" s="4">
        <v>44606.734907407408</v>
      </c>
      <c r="I680" s="4">
        <v>45061.168287037035</v>
      </c>
      <c r="J680" s="1" t="s">
        <v>11</v>
      </c>
    </row>
    <row r="681" spans="1:10" ht="12.75" x14ac:dyDescent="0.2">
      <c r="A681" s="1" t="s">
        <v>63</v>
      </c>
      <c r="B681" s="3" t="str">
        <f>HYPERLINK("https://pegadaian.atlassian.net/browse/ITPROJECT-249?atlOrigin=eyJpIjoiYzgwYTQ0ZjEyNzQzNGJhN2JmNjEyZTM0NmRhZWZhNjIiLCJwIjoic2hlZXRzLWppcmEifQ","ITPROJECT-249")</f>
        <v>ITPROJECT-249</v>
      </c>
      <c r="C681" s="1" t="s">
        <v>803</v>
      </c>
      <c r="D681" s="1" t="s">
        <v>43</v>
      </c>
      <c r="E681" s="1" t="s">
        <v>43</v>
      </c>
      <c r="F681" s="1" t="s">
        <v>12</v>
      </c>
      <c r="G681" s="1" t="s">
        <v>13</v>
      </c>
      <c r="H681" s="4">
        <v>44606.572754629633</v>
      </c>
      <c r="I681" s="4">
        <v>45061.168298611112</v>
      </c>
      <c r="J681" s="1" t="s">
        <v>40</v>
      </c>
    </row>
    <row r="682" spans="1:10" ht="12.75" x14ac:dyDescent="0.2">
      <c r="A682" s="1" t="s">
        <v>117</v>
      </c>
      <c r="B682" s="3" t="str">
        <f>HYPERLINK("https://pegadaian.atlassian.net/browse/ITPROJECT-248?atlOrigin=eyJpIjoiYzgwYTQ0ZjEyNzQzNGJhN2JmNjEyZTM0NmRhZWZhNjIiLCJwIjoic2hlZXRzLWppcmEifQ","ITPROJECT-248")</f>
        <v>ITPROJECT-248</v>
      </c>
      <c r="C682" s="1" t="s">
        <v>804</v>
      </c>
      <c r="D682" s="1" t="s">
        <v>17</v>
      </c>
      <c r="E682" s="1" t="s">
        <v>130</v>
      </c>
      <c r="F682" s="1" t="s">
        <v>12</v>
      </c>
      <c r="G682" s="1" t="s">
        <v>13</v>
      </c>
      <c r="H682" s="4">
        <v>44603.72755787037</v>
      </c>
      <c r="I682" s="4">
        <v>45061.168298611112</v>
      </c>
      <c r="J682" s="1" t="s">
        <v>32</v>
      </c>
    </row>
    <row r="683" spans="1:10" ht="12.75" x14ac:dyDescent="0.2">
      <c r="A683" s="1" t="s">
        <v>117</v>
      </c>
      <c r="B683" s="3" t="str">
        <f>HYPERLINK("https://pegadaian.atlassian.net/browse/ITPROJECT-247?atlOrigin=eyJpIjoiYzgwYTQ0ZjEyNzQzNGJhN2JmNjEyZTM0NmRhZWZhNjIiLCJwIjoic2hlZXRzLWppcmEifQ","ITPROJECT-247")</f>
        <v>ITPROJECT-247</v>
      </c>
      <c r="C683" s="1" t="s">
        <v>805</v>
      </c>
      <c r="D683" s="1" t="s">
        <v>28</v>
      </c>
      <c r="E683" s="1" t="s">
        <v>130</v>
      </c>
      <c r="F683" s="1" t="s">
        <v>12</v>
      </c>
      <c r="G683" s="1" t="s">
        <v>213</v>
      </c>
      <c r="H683" s="4">
        <v>44603.721805555557</v>
      </c>
      <c r="I683" s="4">
        <v>45061.168310185189</v>
      </c>
      <c r="J683" s="1" t="s">
        <v>15</v>
      </c>
    </row>
    <row r="684" spans="1:10" ht="12.75" x14ac:dyDescent="0.2">
      <c r="A684" s="1" t="s">
        <v>117</v>
      </c>
      <c r="B684" s="3" t="str">
        <f>HYPERLINK("https://pegadaian.atlassian.net/browse/ITPROJECT-246?atlOrigin=eyJpIjoiYzgwYTQ0ZjEyNzQzNGJhN2JmNjEyZTM0NmRhZWZhNjIiLCJwIjoic2hlZXRzLWppcmEifQ","ITPROJECT-246")</f>
        <v>ITPROJECT-246</v>
      </c>
      <c r="C684" s="1" t="s">
        <v>806</v>
      </c>
      <c r="D684" s="1" t="s">
        <v>75</v>
      </c>
      <c r="E684" s="1" t="s">
        <v>122</v>
      </c>
      <c r="F684" s="1" t="s">
        <v>12</v>
      </c>
      <c r="G684" s="1" t="s">
        <v>13</v>
      </c>
      <c r="H684" s="4">
        <v>44603.705729166664</v>
      </c>
      <c r="I684" s="4">
        <v>45061.168310185189</v>
      </c>
      <c r="J684" s="1" t="s">
        <v>54</v>
      </c>
    </row>
    <row r="685" spans="1:10" ht="12.75" x14ac:dyDescent="0.2">
      <c r="A685" s="1" t="s">
        <v>117</v>
      </c>
      <c r="B685" s="3" t="str">
        <f>HYPERLINK("https://pegadaian.atlassian.net/browse/ITPROJECT-245?atlOrigin=eyJpIjoiYzgwYTQ0ZjEyNzQzNGJhN2JmNjEyZTM0NmRhZWZhNjIiLCJwIjoic2hlZXRzLWppcmEifQ","ITPROJECT-245")</f>
        <v>ITPROJECT-245</v>
      </c>
      <c r="C685" s="1" t="s">
        <v>807</v>
      </c>
      <c r="D685" s="1" t="s">
        <v>43</v>
      </c>
      <c r="E685" s="1" t="s">
        <v>130</v>
      </c>
      <c r="F685" s="1" t="s">
        <v>12</v>
      </c>
      <c r="G685" s="1" t="s">
        <v>13</v>
      </c>
      <c r="H685" s="4">
        <v>44603.7034375</v>
      </c>
      <c r="I685" s="4">
        <v>45061.168321759258</v>
      </c>
      <c r="J685" s="1" t="s">
        <v>40</v>
      </c>
    </row>
    <row r="686" spans="1:10" ht="12.75" x14ac:dyDescent="0.2">
      <c r="A686" s="1" t="s">
        <v>117</v>
      </c>
      <c r="B686" s="3" t="str">
        <f>HYPERLINK("https://pegadaian.atlassian.net/browse/ITPROJECT-244?atlOrigin=eyJpIjoiYzgwYTQ0ZjEyNzQzNGJhN2JmNjEyZTM0NmRhZWZhNjIiLCJwIjoic2hlZXRzLWppcmEifQ","ITPROJECT-244")</f>
        <v>ITPROJECT-244</v>
      </c>
      <c r="C686" s="1" t="s">
        <v>808</v>
      </c>
      <c r="D686" s="1" t="s">
        <v>46</v>
      </c>
      <c r="E686" s="1" t="s">
        <v>130</v>
      </c>
      <c r="F686" s="1" t="s">
        <v>12</v>
      </c>
      <c r="G686" s="1" t="s">
        <v>68</v>
      </c>
      <c r="H686" s="4">
        <v>44603.685706018521</v>
      </c>
      <c r="I686" s="4">
        <v>45061.168333333335</v>
      </c>
      <c r="J686" s="1" t="s">
        <v>32</v>
      </c>
    </row>
    <row r="687" spans="1:10" ht="12.75" x14ac:dyDescent="0.2">
      <c r="A687" s="1" t="s">
        <v>63</v>
      </c>
      <c r="B687" s="3" t="str">
        <f>HYPERLINK("https://pegadaian.atlassian.net/browse/ITPROJECT-242?atlOrigin=eyJpIjoiYzgwYTQ0ZjEyNzQzNGJhN2JmNjEyZTM0NmRhZWZhNjIiLCJwIjoic2hlZXRzLWppcmEifQ","ITPROJECT-242")</f>
        <v>ITPROJECT-242</v>
      </c>
      <c r="C687" s="1" t="s">
        <v>809</v>
      </c>
      <c r="D687" s="1" t="s">
        <v>112</v>
      </c>
      <c r="E687" s="1" t="s">
        <v>112</v>
      </c>
      <c r="F687" s="1" t="s">
        <v>12</v>
      </c>
      <c r="G687" s="1" t="s">
        <v>13</v>
      </c>
      <c r="H687" s="4">
        <v>44603.477488425924</v>
      </c>
      <c r="I687" s="4">
        <v>45061.168344907404</v>
      </c>
      <c r="J687" s="1" t="s">
        <v>54</v>
      </c>
    </row>
    <row r="688" spans="1:10" ht="12.75" x14ac:dyDescent="0.2">
      <c r="A688" s="1" t="s">
        <v>117</v>
      </c>
      <c r="B688" s="3" t="str">
        <f>HYPERLINK("https://pegadaian.atlassian.net/browse/ITPROJECT-239?atlOrigin=eyJpIjoiYzgwYTQ0ZjEyNzQzNGJhN2JmNjEyZTM0NmRhZWZhNjIiLCJwIjoic2hlZXRzLWppcmEifQ","ITPROJECT-239")</f>
        <v>ITPROJECT-239</v>
      </c>
      <c r="C688" s="1" t="s">
        <v>810</v>
      </c>
      <c r="D688" s="1" t="s">
        <v>112</v>
      </c>
      <c r="E688" s="1" t="s">
        <v>122</v>
      </c>
      <c r="F688" s="1" t="s">
        <v>12</v>
      </c>
      <c r="G688" s="1" t="s">
        <v>13</v>
      </c>
      <c r="H688" s="4">
        <v>44602.661400462966</v>
      </c>
      <c r="I688" s="4">
        <v>45061.168356481481</v>
      </c>
      <c r="J688" s="1" t="s">
        <v>54</v>
      </c>
    </row>
    <row r="689" spans="1:10" ht="12.75" x14ac:dyDescent="0.2">
      <c r="A689" s="1" t="s">
        <v>117</v>
      </c>
      <c r="B689" s="3" t="str">
        <f>HYPERLINK("https://pegadaian.atlassian.net/browse/ITPROJECT-237?atlOrigin=eyJpIjoiYzgwYTQ0ZjEyNzQzNGJhN2JmNjEyZTM0NmRhZWZhNjIiLCJwIjoic2hlZXRzLWppcmEifQ","ITPROJECT-237")</f>
        <v>ITPROJECT-237</v>
      </c>
      <c r="C689" s="1" t="s">
        <v>811</v>
      </c>
      <c r="D689" s="1" t="s">
        <v>75</v>
      </c>
      <c r="E689" s="1" t="s">
        <v>119</v>
      </c>
      <c r="F689" s="1" t="s">
        <v>12</v>
      </c>
      <c r="G689" s="1" t="s">
        <v>13</v>
      </c>
      <c r="H689" s="4">
        <v>44602.371041666665</v>
      </c>
      <c r="I689" s="4">
        <v>45061.168379629627</v>
      </c>
      <c r="J689" s="1" t="s">
        <v>58</v>
      </c>
    </row>
    <row r="690" spans="1:10" ht="12.75" x14ac:dyDescent="0.2">
      <c r="A690" s="1" t="s">
        <v>117</v>
      </c>
      <c r="B690" s="3" t="str">
        <f>HYPERLINK("https://pegadaian.atlassian.net/browse/ITPROJECT-235?atlOrigin=eyJpIjoiYzgwYTQ0ZjEyNzQzNGJhN2JmNjEyZTM0NmRhZWZhNjIiLCJwIjoic2hlZXRzLWppcmEifQ","ITPROJECT-235")</f>
        <v>ITPROJECT-235</v>
      </c>
      <c r="C690" s="1" t="s">
        <v>812</v>
      </c>
      <c r="D690" s="1" t="s">
        <v>65</v>
      </c>
      <c r="E690" s="1" t="s">
        <v>122</v>
      </c>
      <c r="F690" s="1" t="s">
        <v>12</v>
      </c>
      <c r="G690" s="1" t="s">
        <v>13</v>
      </c>
      <c r="H690" s="4">
        <v>44601.496249999997</v>
      </c>
      <c r="I690" s="4">
        <v>45061.168391203704</v>
      </c>
      <c r="J690" s="1" t="s">
        <v>54</v>
      </c>
    </row>
    <row r="691" spans="1:10" ht="12.75" x14ac:dyDescent="0.2">
      <c r="A691" s="1" t="s">
        <v>117</v>
      </c>
      <c r="B691" s="3" t="str">
        <f>HYPERLINK("https://pegadaian.atlassian.net/browse/ITPROJECT-233?atlOrigin=eyJpIjoiYzgwYTQ0ZjEyNzQzNGJhN2JmNjEyZTM0NmRhZWZhNjIiLCJwIjoic2hlZXRzLWppcmEifQ","ITPROJECT-233")</f>
        <v>ITPROJECT-233</v>
      </c>
      <c r="C691" s="1" t="s">
        <v>813</v>
      </c>
      <c r="D691" s="1" t="s">
        <v>25</v>
      </c>
      <c r="E691" s="1" t="s">
        <v>122</v>
      </c>
      <c r="F691" s="1" t="s">
        <v>12</v>
      </c>
      <c r="G691" s="1" t="s">
        <v>13</v>
      </c>
      <c r="H691" s="4">
        <v>44601.362256944441</v>
      </c>
      <c r="I691" s="4">
        <v>45061.168402777781</v>
      </c>
      <c r="J691" s="1" t="s">
        <v>26</v>
      </c>
    </row>
    <row r="692" spans="1:10" ht="12.75" x14ac:dyDescent="0.2">
      <c r="A692" s="1" t="s">
        <v>63</v>
      </c>
      <c r="B692" s="3" t="str">
        <f>HYPERLINK("https://pegadaian.atlassian.net/browse/ITPROJECT-232?atlOrigin=eyJpIjoiYzgwYTQ0ZjEyNzQzNGJhN2JmNjEyZTM0NmRhZWZhNjIiLCJwIjoic2hlZXRzLWppcmEifQ","ITPROJECT-232")</f>
        <v>ITPROJECT-232</v>
      </c>
      <c r="C692" s="1" t="s">
        <v>814</v>
      </c>
      <c r="D692" s="1" t="s">
        <v>65</v>
      </c>
      <c r="E692" s="1" t="s">
        <v>65</v>
      </c>
      <c r="F692" s="1" t="s">
        <v>12</v>
      </c>
      <c r="G692" s="1" t="s">
        <v>13</v>
      </c>
      <c r="H692" s="4">
        <v>44600.57309027778</v>
      </c>
      <c r="I692" s="4">
        <v>45061.168402777781</v>
      </c>
      <c r="J692" s="1" t="s">
        <v>54</v>
      </c>
    </row>
    <row r="693" spans="1:10" ht="12.75" x14ac:dyDescent="0.2">
      <c r="A693" s="1" t="s">
        <v>63</v>
      </c>
      <c r="B693" s="3" t="str">
        <f>HYPERLINK("https://pegadaian.atlassian.net/browse/ITPROJECT-225?atlOrigin=eyJpIjoiYzgwYTQ0ZjEyNzQzNGJhN2JmNjEyZTM0NmRhZWZhNjIiLCJwIjoic2hlZXRzLWppcmEifQ","ITPROJECT-225")</f>
        <v>ITPROJECT-225</v>
      </c>
      <c r="C693" s="1" t="s">
        <v>815</v>
      </c>
      <c r="D693" s="1" t="s">
        <v>115</v>
      </c>
      <c r="E693" s="1" t="s">
        <v>115</v>
      </c>
      <c r="F693" s="1" t="s">
        <v>12</v>
      </c>
      <c r="G693" s="1" t="s">
        <v>13</v>
      </c>
      <c r="H693" s="4">
        <v>44596.432349537034</v>
      </c>
      <c r="I693" s="4">
        <v>45061.168437499997</v>
      </c>
      <c r="J693" s="1" t="s">
        <v>487</v>
      </c>
    </row>
    <row r="694" spans="1:10" ht="12.75" x14ac:dyDescent="0.2">
      <c r="A694" s="1" t="s">
        <v>117</v>
      </c>
      <c r="B694" s="3" t="str">
        <f>HYPERLINK("https://pegadaian.atlassian.net/browse/ITPROJECT-224?atlOrigin=eyJpIjoiYzgwYTQ0ZjEyNzQzNGJhN2JmNjEyZTM0NmRhZWZhNjIiLCJwIjoic2hlZXRzLWppcmEifQ","ITPROJECT-224")</f>
        <v>ITPROJECT-224</v>
      </c>
      <c r="C694" s="1" t="s">
        <v>816</v>
      </c>
      <c r="D694" s="1" t="s">
        <v>785</v>
      </c>
      <c r="E694" s="1" t="s">
        <v>119</v>
      </c>
      <c r="F694" s="1" t="s">
        <v>12</v>
      </c>
      <c r="G694" s="1" t="s">
        <v>213</v>
      </c>
      <c r="H694" s="4">
        <v>44596.427662037036</v>
      </c>
      <c r="I694" s="4">
        <v>45061.168449074074</v>
      </c>
      <c r="J694" s="1" t="s">
        <v>58</v>
      </c>
    </row>
    <row r="695" spans="1:10" ht="12.75" x14ac:dyDescent="0.2">
      <c r="A695" s="1" t="s">
        <v>117</v>
      </c>
      <c r="B695" s="3" t="str">
        <f>HYPERLINK("https://pegadaian.atlassian.net/browse/ITPROJECT-222?atlOrigin=eyJpIjoiYzgwYTQ0ZjEyNzQzNGJhN2JmNjEyZTM0NmRhZWZhNjIiLCJwIjoic2hlZXRzLWppcmEifQ","ITPROJECT-222")</f>
        <v>ITPROJECT-222</v>
      </c>
      <c r="C695" s="1" t="s">
        <v>817</v>
      </c>
      <c r="D695" s="1" t="s">
        <v>65</v>
      </c>
      <c r="E695" s="1" t="s">
        <v>122</v>
      </c>
      <c r="F695" s="1" t="s">
        <v>12</v>
      </c>
      <c r="G695" s="1" t="s">
        <v>13</v>
      </c>
      <c r="H695" s="4">
        <v>44596.409421296295</v>
      </c>
      <c r="I695" s="4">
        <v>45061.16846064815</v>
      </c>
      <c r="J695" s="1" t="s">
        <v>54</v>
      </c>
    </row>
    <row r="696" spans="1:10" ht="12.75" x14ac:dyDescent="0.2">
      <c r="A696" s="1" t="s">
        <v>117</v>
      </c>
      <c r="B696" s="3" t="str">
        <f>HYPERLINK("https://pegadaian.atlassian.net/browse/ITPROJECT-220?atlOrigin=eyJpIjoiYzgwYTQ0ZjEyNzQzNGJhN2JmNjEyZTM0NmRhZWZhNjIiLCJwIjoic2hlZXRzLWppcmEifQ","ITPROJECT-220")</f>
        <v>ITPROJECT-220</v>
      </c>
      <c r="C696" s="1" t="s">
        <v>818</v>
      </c>
      <c r="D696" s="1" t="s">
        <v>115</v>
      </c>
      <c r="E696" s="1" t="s">
        <v>161</v>
      </c>
      <c r="F696" s="1" t="s">
        <v>12</v>
      </c>
      <c r="G696" s="1" t="s">
        <v>13</v>
      </c>
      <c r="H696" s="4">
        <v>44595.602164351854</v>
      </c>
      <c r="I696" s="4">
        <v>45061.16847222222</v>
      </c>
      <c r="J696" s="1" t="s">
        <v>487</v>
      </c>
    </row>
    <row r="697" spans="1:10" ht="12.75" x14ac:dyDescent="0.2">
      <c r="A697" s="1" t="s">
        <v>63</v>
      </c>
      <c r="B697" s="3" t="str">
        <f>HYPERLINK("https://pegadaian.atlassian.net/browse/ITPROJECT-212?atlOrigin=eyJpIjoiYzgwYTQ0ZjEyNzQzNGJhN2JmNjEyZTM0NmRhZWZhNjIiLCJwIjoic2hlZXRzLWppcmEifQ","ITPROJECT-212")</f>
        <v>ITPROJECT-212</v>
      </c>
      <c r="C697" s="1" t="s">
        <v>819</v>
      </c>
      <c r="D697" s="1" t="s">
        <v>785</v>
      </c>
      <c r="E697" s="1" t="s">
        <v>785</v>
      </c>
      <c r="F697" s="1" t="s">
        <v>12</v>
      </c>
      <c r="G697" s="1" t="s">
        <v>13</v>
      </c>
      <c r="H697" s="4">
        <v>44595.082881944443</v>
      </c>
      <c r="I697" s="4">
        <v>45061.16851851852</v>
      </c>
      <c r="J697" s="1" t="s">
        <v>58</v>
      </c>
    </row>
    <row r="698" spans="1:10" ht="12.75" x14ac:dyDescent="0.2">
      <c r="A698" s="1" t="s">
        <v>63</v>
      </c>
      <c r="B698" s="3" t="str">
        <f>HYPERLINK("https://pegadaian.atlassian.net/browse/ITPROJECT-210?atlOrigin=eyJpIjoiYzgwYTQ0ZjEyNzQzNGJhN2JmNjEyZTM0NmRhZWZhNjIiLCJwIjoic2hlZXRzLWppcmEifQ","ITPROJECT-210")</f>
        <v>ITPROJECT-210</v>
      </c>
      <c r="C698" s="1" t="s">
        <v>820</v>
      </c>
      <c r="D698" s="1" t="s">
        <v>42</v>
      </c>
      <c r="E698" s="1" t="s">
        <v>42</v>
      </c>
      <c r="F698" s="1" t="s">
        <v>12</v>
      </c>
      <c r="G698" s="1" t="s">
        <v>13</v>
      </c>
      <c r="H698" s="4">
        <v>44594.571643518517</v>
      </c>
      <c r="I698" s="4">
        <v>45061.168530092589</v>
      </c>
      <c r="J698" s="1" t="s">
        <v>15</v>
      </c>
    </row>
    <row r="699" spans="1:10" ht="12.75" x14ac:dyDescent="0.2">
      <c r="A699" s="1" t="s">
        <v>117</v>
      </c>
      <c r="B699" s="3" t="str">
        <f>HYPERLINK("https://pegadaian.atlassian.net/browse/ITPROJECT-209?atlOrigin=eyJpIjoiYzgwYTQ0ZjEyNzQzNGJhN2JmNjEyZTM0NmRhZWZhNjIiLCJwIjoic2hlZXRzLWppcmEifQ","ITPROJECT-209")</f>
        <v>ITPROJECT-209</v>
      </c>
      <c r="C699" s="1" t="s">
        <v>821</v>
      </c>
      <c r="D699" s="1" t="s">
        <v>46</v>
      </c>
      <c r="E699" s="1" t="s">
        <v>161</v>
      </c>
      <c r="F699" s="1" t="s">
        <v>12</v>
      </c>
      <c r="G699" s="1" t="s">
        <v>13</v>
      </c>
      <c r="H699" s="4">
        <v>44594.512430555558</v>
      </c>
      <c r="I699" s="4">
        <v>45061.168541666666</v>
      </c>
      <c r="J699" s="1" t="s">
        <v>54</v>
      </c>
    </row>
    <row r="700" spans="1:10" ht="12.75" x14ac:dyDescent="0.2">
      <c r="A700" s="1" t="s">
        <v>117</v>
      </c>
      <c r="B700" s="3" t="str">
        <f>HYPERLINK("https://pegadaian.atlassian.net/browse/ITPROJECT-208?atlOrigin=eyJpIjoiYzgwYTQ0ZjEyNzQzNGJhN2JmNjEyZTM0NmRhZWZhNjIiLCJwIjoic2hlZXRzLWppcmEifQ","ITPROJECT-208")</f>
        <v>ITPROJECT-208</v>
      </c>
      <c r="C700" s="1" t="s">
        <v>822</v>
      </c>
      <c r="D700" s="1" t="s">
        <v>50</v>
      </c>
      <c r="E700" s="1" t="s">
        <v>130</v>
      </c>
      <c r="F700" s="1" t="s">
        <v>12</v>
      </c>
      <c r="G700" s="1" t="s">
        <v>68</v>
      </c>
      <c r="H700" s="4">
        <v>44594.462187500001</v>
      </c>
      <c r="I700" s="4">
        <v>45061.168553240743</v>
      </c>
      <c r="J700" s="1" t="s">
        <v>39</v>
      </c>
    </row>
    <row r="701" spans="1:10" ht="12.75" x14ac:dyDescent="0.2">
      <c r="A701" s="1" t="s">
        <v>63</v>
      </c>
      <c r="B701" s="3" t="str">
        <f>HYPERLINK("https://pegadaian.atlassian.net/browse/ITPROJECT-206?atlOrigin=eyJpIjoiYzgwYTQ0ZjEyNzQzNGJhN2JmNjEyZTM0NmRhZWZhNjIiLCJwIjoic2hlZXRzLWppcmEifQ","ITPROJECT-206")</f>
        <v>ITPROJECT-206</v>
      </c>
      <c r="C701" s="1" t="s">
        <v>823</v>
      </c>
      <c r="D701" s="1" t="s">
        <v>75</v>
      </c>
      <c r="E701" s="1" t="s">
        <v>75</v>
      </c>
      <c r="F701" s="1" t="s">
        <v>12</v>
      </c>
      <c r="G701" s="1" t="s">
        <v>13</v>
      </c>
      <c r="H701" s="4">
        <v>44592.741979166669</v>
      </c>
      <c r="I701" s="4">
        <v>45061.168564814812</v>
      </c>
      <c r="J701" s="1" t="s">
        <v>18</v>
      </c>
    </row>
    <row r="702" spans="1:10" ht="12.75" x14ac:dyDescent="0.2">
      <c r="A702" s="1" t="s">
        <v>117</v>
      </c>
      <c r="B702" s="3" t="str">
        <f>HYPERLINK("https://pegadaian.atlassian.net/browse/ITPROJECT-204?atlOrigin=eyJpIjoiYzgwYTQ0ZjEyNzQzNGJhN2JmNjEyZTM0NmRhZWZhNjIiLCJwIjoic2hlZXRzLWppcmEifQ","ITPROJECT-204")</f>
        <v>ITPROJECT-204</v>
      </c>
      <c r="C702" s="1" t="s">
        <v>824</v>
      </c>
      <c r="D702" s="1" t="s">
        <v>65</v>
      </c>
      <c r="E702" s="1" t="s">
        <v>122</v>
      </c>
      <c r="F702" s="1" t="s">
        <v>12</v>
      </c>
      <c r="G702" s="1" t="s">
        <v>13</v>
      </c>
      <c r="H702" s="4">
        <v>44588.501319444447</v>
      </c>
      <c r="I702" s="4">
        <v>45061.168576388889</v>
      </c>
      <c r="J702" s="1" t="s">
        <v>737</v>
      </c>
    </row>
    <row r="703" spans="1:10" ht="12.75" x14ac:dyDescent="0.2">
      <c r="A703" s="1" t="s">
        <v>117</v>
      </c>
      <c r="B703" s="3" t="str">
        <f>HYPERLINK("https://pegadaian.atlassian.net/browse/ITPROJECT-203?atlOrigin=eyJpIjoiYzgwYTQ0ZjEyNzQzNGJhN2JmNjEyZTM0NmRhZWZhNjIiLCJwIjoic2hlZXRzLWppcmEifQ","ITPROJECT-203")</f>
        <v>ITPROJECT-203</v>
      </c>
      <c r="C703" s="1" t="s">
        <v>825</v>
      </c>
      <c r="D703" s="1" t="s">
        <v>696</v>
      </c>
      <c r="E703" s="1" t="s">
        <v>130</v>
      </c>
      <c r="F703" s="1" t="s">
        <v>12</v>
      </c>
      <c r="G703" s="1" t="s">
        <v>13</v>
      </c>
      <c r="H703" s="4">
        <v>44588.442129629628</v>
      </c>
      <c r="I703" s="4">
        <v>45061.168576388889</v>
      </c>
      <c r="J703" s="1" t="s">
        <v>27</v>
      </c>
    </row>
    <row r="704" spans="1:10" ht="12.75" x14ac:dyDescent="0.2">
      <c r="A704" s="1" t="s">
        <v>117</v>
      </c>
      <c r="B704" s="3" t="str">
        <f>HYPERLINK("https://pegadaian.atlassian.net/browse/ITPROJECT-201?atlOrigin=eyJpIjoiYzgwYTQ0ZjEyNzQzNGJhN2JmNjEyZTM0NmRhZWZhNjIiLCJwIjoic2hlZXRzLWppcmEifQ","ITPROJECT-201")</f>
        <v>ITPROJECT-201</v>
      </c>
      <c r="C704" s="1" t="s">
        <v>826</v>
      </c>
      <c r="D704" s="1" t="s">
        <v>112</v>
      </c>
      <c r="E704" s="1" t="s">
        <v>130</v>
      </c>
      <c r="F704" s="1" t="s">
        <v>12</v>
      </c>
      <c r="G704" s="1" t="s">
        <v>13</v>
      </c>
      <c r="H704" s="4">
        <v>44587.404722222222</v>
      </c>
      <c r="I704" s="4">
        <v>45061.168587962966</v>
      </c>
      <c r="J704" s="1" t="s">
        <v>23</v>
      </c>
    </row>
    <row r="705" spans="1:10" ht="12.75" x14ac:dyDescent="0.2">
      <c r="A705" s="1" t="s">
        <v>117</v>
      </c>
      <c r="B705" s="3" t="str">
        <f>HYPERLINK("https://pegadaian.atlassian.net/browse/ITPROJECT-200?atlOrigin=eyJpIjoiYzgwYTQ0ZjEyNzQzNGJhN2JmNjEyZTM0NmRhZWZhNjIiLCJwIjoic2hlZXRzLWppcmEifQ","ITPROJECT-200")</f>
        <v>ITPROJECT-200</v>
      </c>
      <c r="C705" s="1" t="s">
        <v>827</v>
      </c>
      <c r="D705" s="1" t="s">
        <v>25</v>
      </c>
      <c r="E705" s="1" t="s">
        <v>122</v>
      </c>
      <c r="F705" s="1" t="s">
        <v>12</v>
      </c>
      <c r="G705" s="1" t="s">
        <v>13</v>
      </c>
      <c r="H705" s="4">
        <v>44586.507013888891</v>
      </c>
      <c r="I705" s="4">
        <v>45061.168599537035</v>
      </c>
      <c r="J705" s="1" t="s">
        <v>26</v>
      </c>
    </row>
    <row r="706" spans="1:10" ht="12.75" x14ac:dyDescent="0.2">
      <c r="A706" s="1" t="s">
        <v>117</v>
      </c>
      <c r="B706" s="3" t="str">
        <f>HYPERLINK("https://pegadaian.atlassian.net/browse/ITPROJECT-198?atlOrigin=eyJpIjoiYzgwYTQ0ZjEyNzQzNGJhN2JmNjEyZTM0NmRhZWZhNjIiLCJwIjoic2hlZXRzLWppcmEifQ","ITPROJECT-198")</f>
        <v>ITPROJECT-198</v>
      </c>
      <c r="C706" s="1" t="s">
        <v>828</v>
      </c>
      <c r="D706" s="1" t="s">
        <v>829</v>
      </c>
      <c r="E706" s="1" t="s">
        <v>119</v>
      </c>
      <c r="F706" s="1" t="s">
        <v>12</v>
      </c>
      <c r="G706" s="1" t="s">
        <v>13</v>
      </c>
      <c r="H706" s="4">
        <v>44586.478761574072</v>
      </c>
      <c r="I706" s="4">
        <v>45061.168611111112</v>
      </c>
      <c r="J706" s="1" t="s">
        <v>40</v>
      </c>
    </row>
    <row r="707" spans="1:10" ht="12.75" x14ac:dyDescent="0.2">
      <c r="A707" s="1" t="s">
        <v>117</v>
      </c>
      <c r="B707" s="3" t="str">
        <f>HYPERLINK("https://pegadaian.atlassian.net/browse/ITPROJECT-197?atlOrigin=eyJpIjoiYzgwYTQ0ZjEyNzQzNGJhN2JmNjEyZTM0NmRhZWZhNjIiLCJwIjoic2hlZXRzLWppcmEifQ","ITPROJECT-197")</f>
        <v>ITPROJECT-197</v>
      </c>
      <c r="C707" s="1" t="s">
        <v>830</v>
      </c>
      <c r="D707" s="1" t="s">
        <v>785</v>
      </c>
      <c r="E707" s="1" t="s">
        <v>119</v>
      </c>
      <c r="F707" s="1" t="s">
        <v>12</v>
      </c>
      <c r="G707" s="1" t="s">
        <v>13</v>
      </c>
      <c r="H707" s="4">
        <v>44586.406331018516</v>
      </c>
      <c r="I707" s="4">
        <v>45061.168611111112</v>
      </c>
      <c r="J707" s="1" t="s">
        <v>58</v>
      </c>
    </row>
    <row r="708" spans="1:10" ht="12.75" x14ac:dyDescent="0.2">
      <c r="A708" s="1" t="s">
        <v>63</v>
      </c>
      <c r="B708" s="3" t="str">
        <f>HYPERLINK("https://pegadaian.atlassian.net/browse/ITPROJECT-196?atlOrigin=eyJpIjoiYzgwYTQ0ZjEyNzQzNGJhN2JmNjEyZTM0NmRhZWZhNjIiLCJwIjoic2hlZXRzLWppcmEifQ","ITPROJECT-196")</f>
        <v>ITPROJECT-196</v>
      </c>
      <c r="C708" s="1" t="s">
        <v>831</v>
      </c>
      <c r="D708" s="1" t="s">
        <v>50</v>
      </c>
      <c r="E708" s="1" t="s">
        <v>50</v>
      </c>
      <c r="F708" s="1" t="s">
        <v>12</v>
      </c>
      <c r="G708" s="1" t="s">
        <v>68</v>
      </c>
      <c r="H708" s="4">
        <v>44585.60696759259</v>
      </c>
      <c r="I708" s="4">
        <v>45061.168622685182</v>
      </c>
      <c r="J708" s="1" t="s">
        <v>39</v>
      </c>
    </row>
    <row r="709" spans="1:10" ht="12.75" x14ac:dyDescent="0.2">
      <c r="A709" s="1" t="s">
        <v>63</v>
      </c>
      <c r="B709" s="3" t="str">
        <f>HYPERLINK("https://pegadaian.atlassian.net/browse/ITPROJECT-195?atlOrigin=eyJpIjoiYzgwYTQ0ZjEyNzQzNGJhN2JmNjEyZTM0NmRhZWZhNjIiLCJwIjoic2hlZXRzLWppcmEifQ","ITPROJECT-195")</f>
        <v>ITPROJECT-195</v>
      </c>
      <c r="C709" s="1" t="s">
        <v>832</v>
      </c>
      <c r="D709" s="1" t="s">
        <v>17</v>
      </c>
      <c r="E709" s="1" t="s">
        <v>112</v>
      </c>
      <c r="F709" s="1" t="s">
        <v>12</v>
      </c>
      <c r="G709" s="1" t="s">
        <v>13</v>
      </c>
      <c r="H709" s="4">
        <v>44584.487222222226</v>
      </c>
      <c r="I709" s="4">
        <v>45061.168622685182</v>
      </c>
      <c r="J709" s="1" t="s">
        <v>833</v>
      </c>
    </row>
    <row r="710" spans="1:10" ht="12.75" x14ac:dyDescent="0.2">
      <c r="A710" s="1" t="s">
        <v>63</v>
      </c>
      <c r="B710" s="3" t="str">
        <f>HYPERLINK("https://pegadaian.atlassian.net/browse/ITPROJECT-194?atlOrigin=eyJpIjoiYzgwYTQ0ZjEyNzQzNGJhN2JmNjEyZTM0NmRhZWZhNjIiLCJwIjoic2hlZXRzLWppcmEifQ","ITPROJECT-194")</f>
        <v>ITPROJECT-194</v>
      </c>
      <c r="C710" s="1" t="s">
        <v>834</v>
      </c>
      <c r="D710" s="1" t="s">
        <v>785</v>
      </c>
      <c r="E710" s="1" t="s">
        <v>785</v>
      </c>
      <c r="F710" s="1" t="s">
        <v>12</v>
      </c>
      <c r="G710" s="1" t="s">
        <v>13</v>
      </c>
      <c r="H710" s="4">
        <v>44583.464178240742</v>
      </c>
      <c r="I710" s="4">
        <v>45061.168634259258</v>
      </c>
      <c r="J710" s="1" t="s">
        <v>58</v>
      </c>
    </row>
    <row r="711" spans="1:10" ht="12.75" x14ac:dyDescent="0.2">
      <c r="A711" s="1" t="s">
        <v>117</v>
      </c>
      <c r="B711" s="3" t="str">
        <f>HYPERLINK("https://pegadaian.atlassian.net/browse/ITPROJECT-193?atlOrigin=eyJpIjoiYzgwYTQ0ZjEyNzQzNGJhN2JmNjEyZTM0NmRhZWZhNjIiLCJwIjoic2hlZXRzLWppcmEifQ","ITPROJECT-193")</f>
        <v>ITPROJECT-193</v>
      </c>
      <c r="C711" s="1" t="s">
        <v>835</v>
      </c>
      <c r="D711" s="1" t="s">
        <v>459</v>
      </c>
      <c r="E711" s="1" t="s">
        <v>130</v>
      </c>
      <c r="F711" s="1" t="s">
        <v>12</v>
      </c>
      <c r="G711" s="1" t="s">
        <v>13</v>
      </c>
      <c r="H711" s="4">
        <v>44582.657233796293</v>
      </c>
      <c r="I711" s="4">
        <v>45061.168634259258</v>
      </c>
      <c r="J711" s="1" t="s">
        <v>27</v>
      </c>
    </row>
    <row r="712" spans="1:10" ht="12.75" x14ac:dyDescent="0.2">
      <c r="A712" s="1" t="s">
        <v>63</v>
      </c>
      <c r="B712" s="3" t="str">
        <f>HYPERLINK("https://pegadaian.atlassian.net/browse/ITPROJECT-191?atlOrigin=eyJpIjoiYzgwYTQ0ZjEyNzQzNGJhN2JmNjEyZTM0NmRhZWZhNjIiLCJwIjoic2hlZXRzLWppcmEifQ","ITPROJECT-191")</f>
        <v>ITPROJECT-191</v>
      </c>
      <c r="C712" s="1" t="s">
        <v>836</v>
      </c>
      <c r="D712" s="1" t="s">
        <v>42</v>
      </c>
      <c r="E712" s="1" t="s">
        <v>42</v>
      </c>
      <c r="F712" s="1" t="s">
        <v>12</v>
      </c>
      <c r="G712" s="1" t="s">
        <v>13</v>
      </c>
      <c r="H712" s="4">
        <v>44582.55777777778</v>
      </c>
      <c r="I712" s="4">
        <v>45061.168657407405</v>
      </c>
      <c r="J712" s="1" t="s">
        <v>15</v>
      </c>
    </row>
    <row r="713" spans="1:10" ht="12.75" x14ac:dyDescent="0.2">
      <c r="A713" s="1" t="s">
        <v>63</v>
      </c>
      <c r="B713" s="3" t="str">
        <f>HYPERLINK("https://pegadaian.atlassian.net/browse/ITPROJECT-190?atlOrigin=eyJpIjoiYzgwYTQ0ZjEyNzQzNGJhN2JmNjEyZTM0NmRhZWZhNjIiLCJwIjoic2hlZXRzLWppcmEifQ","ITPROJECT-190")</f>
        <v>ITPROJECT-190</v>
      </c>
      <c r="C713" s="1" t="s">
        <v>837</v>
      </c>
      <c r="D713" s="1" t="s">
        <v>65</v>
      </c>
      <c r="E713" s="1" t="s">
        <v>65</v>
      </c>
      <c r="F713" s="1" t="s">
        <v>12</v>
      </c>
      <c r="G713" s="1" t="s">
        <v>13</v>
      </c>
      <c r="H713" s="4">
        <v>44582.557442129626</v>
      </c>
      <c r="I713" s="4">
        <v>45061.168668981481</v>
      </c>
      <c r="J713" s="1" t="s">
        <v>54</v>
      </c>
    </row>
    <row r="714" spans="1:10" ht="12.75" x14ac:dyDescent="0.2">
      <c r="A714" s="1" t="s">
        <v>117</v>
      </c>
      <c r="B714" s="3" t="str">
        <f>HYPERLINK("https://pegadaian.atlassian.net/browse/ITPROJECT-189?atlOrigin=eyJpIjoiYzgwYTQ0ZjEyNzQzNGJhN2JmNjEyZTM0NmRhZWZhNjIiLCJwIjoic2hlZXRzLWppcmEifQ","ITPROJECT-189")</f>
        <v>ITPROJECT-189</v>
      </c>
      <c r="C714" s="1" t="s">
        <v>838</v>
      </c>
      <c r="D714" s="1" t="s">
        <v>75</v>
      </c>
      <c r="E714" s="1" t="s">
        <v>122</v>
      </c>
      <c r="F714" s="1" t="s">
        <v>12</v>
      </c>
      <c r="G714" s="1" t="s">
        <v>13</v>
      </c>
      <c r="H714" s="4">
        <v>44582.474143518521</v>
      </c>
      <c r="I714" s="4">
        <v>45019.490648148145</v>
      </c>
      <c r="J714" s="1" t="s">
        <v>18</v>
      </c>
    </row>
    <row r="715" spans="1:10" ht="12.75" x14ac:dyDescent="0.2">
      <c r="A715" s="1" t="s">
        <v>117</v>
      </c>
      <c r="B715" s="3" t="str">
        <f>HYPERLINK("https://pegadaian.atlassian.net/browse/ITPROJECT-188?atlOrigin=eyJpIjoiYzgwYTQ0ZjEyNzQzNGJhN2JmNjEyZTM0NmRhZWZhNjIiLCJwIjoic2hlZXRzLWppcmEifQ","ITPROJECT-188")</f>
        <v>ITPROJECT-188</v>
      </c>
      <c r="C715" s="1" t="s">
        <v>839</v>
      </c>
      <c r="D715" s="1" t="s">
        <v>42</v>
      </c>
      <c r="E715" s="1" t="s">
        <v>130</v>
      </c>
      <c r="F715" s="1" t="s">
        <v>12</v>
      </c>
      <c r="G715" s="1" t="s">
        <v>213</v>
      </c>
      <c r="H715" s="4">
        <v>44581.733483796299</v>
      </c>
      <c r="I715" s="4">
        <v>45019.490648148145</v>
      </c>
      <c r="J715" s="1" t="s">
        <v>15</v>
      </c>
    </row>
    <row r="716" spans="1:10" ht="12.75" x14ac:dyDescent="0.2">
      <c r="A716" s="1" t="s">
        <v>117</v>
      </c>
      <c r="B716" s="3" t="str">
        <f>HYPERLINK("https://pegadaian.atlassian.net/browse/ITPROJECT-187?atlOrigin=eyJpIjoiYzgwYTQ0ZjEyNzQzNGJhN2JmNjEyZTM0NmRhZWZhNjIiLCJwIjoic2hlZXRzLWppcmEifQ","ITPROJECT-187")</f>
        <v>ITPROJECT-187</v>
      </c>
      <c r="C716" s="1" t="s">
        <v>840</v>
      </c>
      <c r="D716" s="1" t="s">
        <v>424</v>
      </c>
      <c r="E716" s="1" t="s">
        <v>130</v>
      </c>
      <c r="F716" s="1" t="s">
        <v>12</v>
      </c>
      <c r="G716" s="1" t="s">
        <v>13</v>
      </c>
      <c r="H716" s="4">
        <v>44581.728321759256</v>
      </c>
      <c r="I716" s="4">
        <v>45061.168680555558</v>
      </c>
      <c r="J716" s="1" t="s">
        <v>27</v>
      </c>
    </row>
    <row r="717" spans="1:10" ht="12.75" x14ac:dyDescent="0.2">
      <c r="A717" s="1" t="s">
        <v>117</v>
      </c>
      <c r="B717" s="3" t="str">
        <f>HYPERLINK("https://pegadaian.atlassian.net/browse/ITPROJECT-186?atlOrigin=eyJpIjoiYzgwYTQ0ZjEyNzQzNGJhN2JmNjEyZTM0NmRhZWZhNjIiLCJwIjoic2hlZXRzLWppcmEifQ","ITPROJECT-186")</f>
        <v>ITPROJECT-186</v>
      </c>
      <c r="C717" s="1" t="s">
        <v>841</v>
      </c>
      <c r="D717" s="1" t="s">
        <v>46</v>
      </c>
      <c r="E717" s="1" t="s">
        <v>161</v>
      </c>
      <c r="F717" s="1" t="s">
        <v>12</v>
      </c>
      <c r="G717" s="1" t="s">
        <v>68</v>
      </c>
      <c r="H717" s="4">
        <v>44581.725185185183</v>
      </c>
      <c r="I717" s="4">
        <v>45061.168680555558</v>
      </c>
      <c r="J717" s="1" t="s">
        <v>48</v>
      </c>
    </row>
    <row r="718" spans="1:10" ht="12.75" x14ac:dyDescent="0.2">
      <c r="A718" s="1" t="s">
        <v>117</v>
      </c>
      <c r="B718" s="3" t="str">
        <f>HYPERLINK("https://pegadaian.atlassian.net/browse/ITPROJECT-180?atlOrigin=eyJpIjoiYzgwYTQ0ZjEyNzQzNGJhN2JmNjEyZTM0NmRhZWZhNjIiLCJwIjoic2hlZXRzLWppcmEifQ","ITPROJECT-180")</f>
        <v>ITPROJECT-180</v>
      </c>
      <c r="C718" s="1" t="s">
        <v>842</v>
      </c>
      <c r="D718" s="1" t="s">
        <v>112</v>
      </c>
      <c r="E718" s="1" t="s">
        <v>130</v>
      </c>
      <c r="F718" s="1" t="s">
        <v>12</v>
      </c>
      <c r="G718" s="1" t="s">
        <v>13</v>
      </c>
      <c r="H718" s="4">
        <v>44581.425300925926</v>
      </c>
      <c r="I718" s="4">
        <v>45061.168715277781</v>
      </c>
      <c r="J718" s="1" t="s">
        <v>23</v>
      </c>
    </row>
    <row r="719" spans="1:10" ht="12.75" x14ac:dyDescent="0.2">
      <c r="A719" s="1" t="s">
        <v>63</v>
      </c>
      <c r="B719" s="3" t="str">
        <f>HYPERLINK("https://pegadaian.atlassian.net/browse/ITPROJECT-178?atlOrigin=eyJpIjoiYzgwYTQ0ZjEyNzQzNGJhN2JmNjEyZTM0NmRhZWZhNjIiLCJwIjoic2hlZXRzLWppcmEifQ","ITPROJECT-178")</f>
        <v>ITPROJECT-178</v>
      </c>
      <c r="C719" s="1" t="s">
        <v>843</v>
      </c>
      <c r="D719" s="1" t="s">
        <v>65</v>
      </c>
      <c r="E719" s="1" t="s">
        <v>122</v>
      </c>
      <c r="F719" s="1" t="s">
        <v>12</v>
      </c>
      <c r="G719" s="1" t="s">
        <v>13</v>
      </c>
      <c r="H719" s="4">
        <v>44564.453576388885</v>
      </c>
      <c r="I719" s="4">
        <v>45061.168726851851</v>
      </c>
      <c r="J719" s="1" t="s">
        <v>54</v>
      </c>
    </row>
    <row r="720" spans="1:10" ht="12.75" x14ac:dyDescent="0.2">
      <c r="A720" s="1" t="s">
        <v>63</v>
      </c>
      <c r="B720" s="3" t="str">
        <f>HYPERLINK("https://pegadaian.atlassian.net/browse/ITPROJECT-177?atlOrigin=eyJpIjoiYzgwYTQ0ZjEyNzQzNGJhN2JmNjEyZTM0NmRhZWZhNjIiLCJwIjoic2hlZXRzLWppcmEifQ","ITPROJECT-177")</f>
        <v>ITPROJECT-177</v>
      </c>
      <c r="C720" s="1" t="s">
        <v>844</v>
      </c>
      <c r="D720" s="1" t="s">
        <v>112</v>
      </c>
      <c r="E720" s="1" t="s">
        <v>112</v>
      </c>
      <c r="F720" s="1" t="s">
        <v>12</v>
      </c>
      <c r="G720" s="1" t="s">
        <v>213</v>
      </c>
      <c r="H720" s="4">
        <v>44543.402905092589</v>
      </c>
      <c r="I720" s="4">
        <v>45061.168738425928</v>
      </c>
      <c r="J720" s="1" t="s">
        <v>23</v>
      </c>
    </row>
    <row r="721" spans="1:10" ht="12.75" x14ac:dyDescent="0.2">
      <c r="A721" s="1" t="s">
        <v>117</v>
      </c>
      <c r="B721" s="3" t="str">
        <f>HYPERLINK("https://pegadaian.atlassian.net/browse/ITPROJECT-176?atlOrigin=eyJpIjoiYzgwYTQ0ZjEyNzQzNGJhN2JmNjEyZTM0NmRhZWZhNjIiLCJwIjoic2hlZXRzLWppcmEifQ","ITPROJECT-176")</f>
        <v>ITPROJECT-176</v>
      </c>
      <c r="C721" s="1" t="s">
        <v>845</v>
      </c>
      <c r="D721" s="1" t="s">
        <v>112</v>
      </c>
      <c r="E721" s="1" t="s">
        <v>112</v>
      </c>
      <c r="F721" s="1" t="s">
        <v>12</v>
      </c>
      <c r="G721" s="1" t="s">
        <v>213</v>
      </c>
      <c r="H721" s="4">
        <v>44580.728750000002</v>
      </c>
      <c r="I721" s="4">
        <v>45061.168738425928</v>
      </c>
      <c r="J721" s="1" t="s">
        <v>23</v>
      </c>
    </row>
    <row r="722" spans="1:10" ht="12.75" x14ac:dyDescent="0.2">
      <c r="A722" s="1" t="s">
        <v>117</v>
      </c>
      <c r="B722" s="3" t="str">
        <f>HYPERLINK("https://pegadaian.atlassian.net/browse/ITPROJECT-175?atlOrigin=eyJpIjoiYzgwYTQ0ZjEyNzQzNGJhN2JmNjEyZTM0NmRhZWZhNjIiLCJwIjoic2hlZXRzLWppcmEifQ","ITPROJECT-175")</f>
        <v>ITPROJECT-175</v>
      </c>
      <c r="C722" s="1" t="s">
        <v>846</v>
      </c>
      <c r="D722" s="1" t="s">
        <v>65</v>
      </c>
      <c r="E722" s="1" t="s">
        <v>122</v>
      </c>
      <c r="F722" s="1" t="s">
        <v>12</v>
      </c>
      <c r="G722" s="1" t="s">
        <v>13</v>
      </c>
      <c r="H722" s="4">
        <v>44580.728506944448</v>
      </c>
      <c r="I722" s="4">
        <v>45061.168749999997</v>
      </c>
      <c r="J722" s="1" t="s">
        <v>54</v>
      </c>
    </row>
    <row r="723" spans="1:10" ht="12.75" x14ac:dyDescent="0.2">
      <c r="A723" s="1" t="s">
        <v>63</v>
      </c>
      <c r="B723" s="3" t="str">
        <f>HYPERLINK("https://pegadaian.atlassian.net/browse/ITPROJECT-172?atlOrigin=eyJpIjoiYzgwYTQ0ZjEyNzQzNGJhN2JmNjEyZTM0NmRhZWZhNjIiLCJwIjoic2hlZXRzLWppcmEifQ","ITPROJECT-172")</f>
        <v>ITPROJECT-172</v>
      </c>
      <c r="C723" s="1" t="s">
        <v>847</v>
      </c>
      <c r="D723" s="1" t="s">
        <v>848</v>
      </c>
      <c r="E723" s="1" t="s">
        <v>130</v>
      </c>
      <c r="F723" s="1" t="s">
        <v>12</v>
      </c>
      <c r="G723" s="1" t="s">
        <v>13</v>
      </c>
      <c r="H723" s="4">
        <v>44514.915879629632</v>
      </c>
      <c r="I723" s="4">
        <v>45061.168773148151</v>
      </c>
      <c r="J723" s="1" t="s">
        <v>27</v>
      </c>
    </row>
    <row r="724" spans="1:10" ht="12.75" x14ac:dyDescent="0.2">
      <c r="A724" s="1" t="s">
        <v>117</v>
      </c>
      <c r="B724" s="3" t="str">
        <f>HYPERLINK("https://pegadaian.atlassian.net/browse/ITPROJECT-170?atlOrigin=eyJpIjoiYzgwYTQ0ZjEyNzQzNGJhN2JmNjEyZTM0NmRhZWZhNjIiLCJwIjoic2hlZXRzLWppcmEifQ","ITPROJECT-170")</f>
        <v>ITPROJECT-170</v>
      </c>
      <c r="C724" s="1" t="s">
        <v>849</v>
      </c>
      <c r="D724" s="1" t="s">
        <v>696</v>
      </c>
      <c r="E724" s="1" t="s">
        <v>130</v>
      </c>
      <c r="F724" s="1" t="s">
        <v>12</v>
      </c>
      <c r="G724" s="1" t="s">
        <v>13</v>
      </c>
      <c r="H724" s="4">
        <v>44580.723252314812</v>
      </c>
      <c r="I724" s="4">
        <v>45061.16878472222</v>
      </c>
      <c r="J724" s="1" t="s">
        <v>27</v>
      </c>
    </row>
    <row r="725" spans="1:10" ht="12.75" x14ac:dyDescent="0.2">
      <c r="A725" s="1" t="s">
        <v>63</v>
      </c>
      <c r="B725" s="3" t="str">
        <f>HYPERLINK("https://pegadaian.atlassian.net/browse/ITPROJECT-167?atlOrigin=eyJpIjoiYzgwYTQ0ZjEyNzQzNGJhN2JmNjEyZTM0NmRhZWZhNjIiLCJwIjoic2hlZXRzLWppcmEifQ","ITPROJECT-167")</f>
        <v>ITPROJECT-167</v>
      </c>
      <c r="C725" s="1" t="s">
        <v>850</v>
      </c>
      <c r="D725" s="1" t="s">
        <v>50</v>
      </c>
      <c r="E725" s="1" t="s">
        <v>50</v>
      </c>
      <c r="F725" s="1" t="s">
        <v>12</v>
      </c>
      <c r="G725" s="1" t="s">
        <v>68</v>
      </c>
      <c r="H725" s="4">
        <v>44508.569560185184</v>
      </c>
      <c r="I725" s="4">
        <v>45061.168796296297</v>
      </c>
      <c r="J725" s="1" t="s">
        <v>39</v>
      </c>
    </row>
    <row r="726" spans="1:10" ht="12.75" x14ac:dyDescent="0.2">
      <c r="A726" s="1" t="s">
        <v>63</v>
      </c>
      <c r="B726" s="3" t="str">
        <f>HYPERLINK("https://pegadaian.atlassian.net/browse/ITPROJECT-165?atlOrigin=eyJpIjoiYzgwYTQ0ZjEyNzQzNGJhN2JmNjEyZTM0NmRhZWZhNjIiLCJwIjoic2hlZXRzLWppcmEifQ","ITPROJECT-165")</f>
        <v>ITPROJECT-165</v>
      </c>
      <c r="C726" s="1" t="s">
        <v>851</v>
      </c>
      <c r="D726" s="1" t="s">
        <v>75</v>
      </c>
      <c r="E726" s="1" t="s">
        <v>75</v>
      </c>
      <c r="F726" s="1" t="s">
        <v>12</v>
      </c>
      <c r="G726" s="1" t="s">
        <v>410</v>
      </c>
      <c r="H726" s="4">
        <v>44505.438437500001</v>
      </c>
      <c r="I726" s="4">
        <v>45061.168819444443</v>
      </c>
      <c r="J726" s="1" t="s">
        <v>18</v>
      </c>
    </row>
    <row r="727" spans="1:10" ht="12.75" x14ac:dyDescent="0.2">
      <c r="A727" s="1" t="s">
        <v>63</v>
      </c>
      <c r="B727" s="3" t="str">
        <f>HYPERLINK("https://pegadaian.atlassian.net/browse/ITPROJECT-163?atlOrigin=eyJpIjoiYzgwYTQ0ZjEyNzQzNGJhN2JmNjEyZTM0NmRhZWZhNjIiLCJwIjoic2hlZXRzLWppcmEifQ","ITPROJECT-163")</f>
        <v>ITPROJECT-163</v>
      </c>
      <c r="C727" s="1" t="s">
        <v>852</v>
      </c>
      <c r="D727" s="1" t="s">
        <v>79</v>
      </c>
      <c r="E727" s="1" t="s">
        <v>79</v>
      </c>
      <c r="F727" s="1" t="s">
        <v>12</v>
      </c>
      <c r="G727" s="1" t="s">
        <v>13</v>
      </c>
      <c r="H727" s="4">
        <v>44405.427766203706</v>
      </c>
      <c r="I727" s="4">
        <v>45061.16883101852</v>
      </c>
      <c r="J727" s="1" t="s">
        <v>39</v>
      </c>
    </row>
    <row r="728" spans="1:10" ht="12.75" x14ac:dyDescent="0.2">
      <c r="A728" s="1" t="s">
        <v>117</v>
      </c>
      <c r="B728" s="3" t="str">
        <f>HYPERLINK("https://pegadaian.atlassian.net/browse/ITPROJECT-151?atlOrigin=eyJpIjoiYzgwYTQ0ZjEyNzQzNGJhN2JmNjEyZTM0NmRhZWZhNjIiLCJwIjoic2hlZXRzLWppcmEifQ","ITPROJECT-151")</f>
        <v>ITPROJECT-151</v>
      </c>
      <c r="C728" s="1" t="s">
        <v>853</v>
      </c>
      <c r="D728" s="1" t="s">
        <v>79</v>
      </c>
      <c r="E728" s="1" t="s">
        <v>79</v>
      </c>
      <c r="F728" s="1" t="s">
        <v>12</v>
      </c>
      <c r="G728" s="1" t="s">
        <v>13</v>
      </c>
      <c r="H728" s="4">
        <v>44580.684212962966</v>
      </c>
      <c r="I728" s="4">
        <v>45061.168912037036</v>
      </c>
      <c r="J728" s="1" t="s">
        <v>39</v>
      </c>
    </row>
    <row r="729" spans="1:10" ht="12.75" x14ac:dyDescent="0.2">
      <c r="A729" s="1" t="s">
        <v>117</v>
      </c>
      <c r="B729" s="3" t="str">
        <f>HYPERLINK("https://pegadaian.atlassian.net/browse/ITPROJECT-150?atlOrigin=eyJpIjoiYzgwYTQ0ZjEyNzQzNGJhN2JmNjEyZTM0NmRhZWZhNjIiLCJwIjoic2hlZXRzLWppcmEifQ","ITPROJECT-150")</f>
        <v>ITPROJECT-150</v>
      </c>
      <c r="C729" s="1" t="s">
        <v>854</v>
      </c>
      <c r="D729" s="1" t="s">
        <v>75</v>
      </c>
      <c r="E729" s="1" t="s">
        <v>75</v>
      </c>
      <c r="F729" s="1" t="s">
        <v>12</v>
      </c>
      <c r="G729" s="1" t="s">
        <v>410</v>
      </c>
      <c r="H729" s="4">
        <v>44580.682372685187</v>
      </c>
      <c r="I729" s="4">
        <v>45061.168912037036</v>
      </c>
      <c r="J729" s="1" t="s">
        <v>18</v>
      </c>
    </row>
    <row r="730" spans="1:10" ht="12.75" x14ac:dyDescent="0.2">
      <c r="A730" s="1" t="s">
        <v>117</v>
      </c>
      <c r="B730" s="3" t="str">
        <f>HYPERLINK("https://pegadaian.atlassian.net/browse/ITPROJECT-144?atlOrigin=eyJpIjoiYzgwYTQ0ZjEyNzQzNGJhN2JmNjEyZTM0NmRhZWZhNjIiLCJwIjoic2hlZXRzLWppcmEifQ","ITPROJECT-144")</f>
        <v>ITPROJECT-144</v>
      </c>
      <c r="C730" s="1" t="s">
        <v>855</v>
      </c>
      <c r="D730" s="1" t="s">
        <v>50</v>
      </c>
      <c r="E730" s="1" t="s">
        <v>50</v>
      </c>
      <c r="F730" s="1" t="s">
        <v>12</v>
      </c>
      <c r="G730" s="1" t="s">
        <v>68</v>
      </c>
      <c r="H730" s="4">
        <v>44580.681921296295</v>
      </c>
      <c r="I730" s="4">
        <v>45061.168958333335</v>
      </c>
      <c r="J730" s="1" t="s">
        <v>39</v>
      </c>
    </row>
    <row r="731" spans="1:10" ht="12.75" x14ac:dyDescent="0.2">
      <c r="A731" s="1" t="s">
        <v>63</v>
      </c>
      <c r="B731" s="3" t="str">
        <f>HYPERLINK("https://pegadaian.atlassian.net/browse/ITPROJECT-128?atlOrigin=eyJpIjoiYzgwYTQ0ZjEyNzQzNGJhN2JmNjEyZTM0NmRhZWZhNjIiLCJwIjoic2hlZXRzLWppcmEifQ","ITPROJECT-128")</f>
        <v>ITPROJECT-128</v>
      </c>
      <c r="C731" s="1" t="s">
        <v>856</v>
      </c>
      <c r="D731" s="1" t="s">
        <v>28</v>
      </c>
      <c r="E731" s="1" t="s">
        <v>28</v>
      </c>
      <c r="F731" s="1" t="s">
        <v>12</v>
      </c>
      <c r="G731" s="1" t="s">
        <v>13</v>
      </c>
      <c r="H731" s="4">
        <v>44564.519826388889</v>
      </c>
      <c r="I731" s="4">
        <v>45061.169050925928</v>
      </c>
      <c r="J731" s="1" t="s">
        <v>15</v>
      </c>
    </row>
    <row r="732" spans="1:10" ht="12.75" x14ac:dyDescent="0.2">
      <c r="A732" s="1" t="s">
        <v>117</v>
      </c>
      <c r="B732" s="3" t="str">
        <f>HYPERLINK("https://pegadaian.atlassian.net/browse/ITPROJECT-127?atlOrigin=eyJpIjoiYzgwYTQ0ZjEyNzQzNGJhN2JmNjEyZTM0NmRhZWZhNjIiLCJwIjoic2hlZXRzLWppcmEifQ","ITPROJECT-127")</f>
        <v>ITPROJECT-127</v>
      </c>
      <c r="C732" s="1" t="s">
        <v>857</v>
      </c>
      <c r="D732" s="1" t="s">
        <v>28</v>
      </c>
      <c r="E732" s="1" t="s">
        <v>28</v>
      </c>
      <c r="F732" s="1" t="s">
        <v>12</v>
      </c>
      <c r="G732" s="1" t="s">
        <v>13</v>
      </c>
      <c r="H732" s="4">
        <v>44580.666331018518</v>
      </c>
      <c r="I732" s="4">
        <v>45061.169062499997</v>
      </c>
      <c r="J732" s="1" t="s">
        <v>15</v>
      </c>
    </row>
    <row r="733" spans="1:10" ht="12.75" x14ac:dyDescent="0.2">
      <c r="A733" s="1" t="s">
        <v>63</v>
      </c>
      <c r="B733" s="3" t="str">
        <f>HYPERLINK("https://pegadaian.atlassian.net/browse/ITPROJECT-115?atlOrigin=eyJpIjoiYzgwYTQ0ZjEyNzQzNGJhN2JmNjEyZTM0NmRhZWZhNjIiLCJwIjoic2hlZXRzLWppcmEifQ","ITPROJECT-115")</f>
        <v>ITPROJECT-115</v>
      </c>
      <c r="C733" s="1" t="s">
        <v>858</v>
      </c>
      <c r="D733" s="1" t="s">
        <v>71</v>
      </c>
      <c r="E733" s="1" t="s">
        <v>122</v>
      </c>
      <c r="F733" s="1" t="s">
        <v>12</v>
      </c>
      <c r="G733" s="1" t="s">
        <v>13</v>
      </c>
      <c r="H733" s="4">
        <v>44580.629016203704</v>
      </c>
      <c r="I733" s="4">
        <v>45061.169131944444</v>
      </c>
      <c r="J733" s="1" t="s">
        <v>60</v>
      </c>
    </row>
    <row r="734" spans="1:10" ht="12.75" x14ac:dyDescent="0.2">
      <c r="A734" s="1" t="s">
        <v>117</v>
      </c>
      <c r="B734" s="3" t="str">
        <f>HYPERLINK("https://pegadaian.atlassian.net/browse/ITPROJECT-85?atlOrigin=eyJpIjoiYzgwYTQ0ZjEyNzQzNGJhN2JmNjEyZTM0NmRhZWZhNjIiLCJwIjoic2hlZXRzLWppcmEifQ","ITPROJECT-85")</f>
        <v>ITPROJECT-85</v>
      </c>
      <c r="C734" s="1" t="s">
        <v>859</v>
      </c>
      <c r="D734" s="1" t="s">
        <v>50</v>
      </c>
      <c r="E734" s="1" t="s">
        <v>130</v>
      </c>
      <c r="F734" s="1" t="s">
        <v>12</v>
      </c>
      <c r="G734" s="1" t="s">
        <v>68</v>
      </c>
      <c r="H734" s="4">
        <v>44580.431516203702</v>
      </c>
      <c r="I734" s="4">
        <v>45061.169259259259</v>
      </c>
      <c r="J734" s="1" t="s">
        <v>39</v>
      </c>
    </row>
    <row r="735" spans="1:10" ht="12.75" x14ac:dyDescent="0.2">
      <c r="A735" s="1" t="s">
        <v>63</v>
      </c>
      <c r="B735" s="3" t="str">
        <f>HYPERLINK("https://pegadaian.atlassian.net/browse/ITPROJECT-84?atlOrigin=eyJpIjoiYzgwYTQ0ZjEyNzQzNGJhN2JmNjEyZTM0NmRhZWZhNjIiLCJwIjoic2hlZXRzLWppcmEifQ","ITPROJECT-84")</f>
        <v>ITPROJECT-84</v>
      </c>
      <c r="C735" s="1" t="s">
        <v>800</v>
      </c>
      <c r="D735" s="1" t="s">
        <v>31</v>
      </c>
      <c r="E735" s="1" t="s">
        <v>506</v>
      </c>
      <c r="F735" s="1" t="s">
        <v>12</v>
      </c>
      <c r="G735" s="1" t="s">
        <v>13</v>
      </c>
      <c r="H735" s="4">
        <v>44580.415914351855</v>
      </c>
      <c r="I735" s="4">
        <v>45061.169270833336</v>
      </c>
      <c r="J735" s="1" t="s">
        <v>26</v>
      </c>
    </row>
    <row r="736" spans="1:10" ht="12.75" x14ac:dyDescent="0.2">
      <c r="A736" s="1" t="s">
        <v>117</v>
      </c>
      <c r="B736" s="3" t="str">
        <f>HYPERLINK("https://pegadaian.atlassian.net/browse/ITPROJECT-81?atlOrigin=eyJpIjoiYzgwYTQ0ZjEyNzQzNGJhN2JmNjEyZTM0NmRhZWZhNjIiLCJwIjoic2hlZXRzLWppcmEifQ","ITPROJECT-81")</f>
        <v>ITPROJECT-81</v>
      </c>
      <c r="C736" s="1" t="s">
        <v>860</v>
      </c>
      <c r="D736" s="1" t="s">
        <v>42</v>
      </c>
      <c r="E736" s="1" t="s">
        <v>130</v>
      </c>
      <c r="F736" s="1" t="s">
        <v>12</v>
      </c>
      <c r="G736" s="1" t="s">
        <v>13</v>
      </c>
      <c r="H736" s="4">
        <v>44579.652013888888</v>
      </c>
      <c r="I736" s="4">
        <v>45061.169282407405</v>
      </c>
      <c r="J736" s="1" t="s">
        <v>15</v>
      </c>
    </row>
    <row r="737" spans="1:10" ht="12.75" x14ac:dyDescent="0.2">
      <c r="A737" s="1" t="s">
        <v>117</v>
      </c>
      <c r="B737" s="3" t="str">
        <f>HYPERLINK("https://pegadaian.atlassian.net/browse/ITPROJECT-77?atlOrigin=eyJpIjoiYzgwYTQ0ZjEyNzQzNGJhN2JmNjEyZTM0NmRhZWZhNjIiLCJwIjoic2hlZXRzLWppcmEifQ","ITPROJECT-77")</f>
        <v>ITPROJECT-77</v>
      </c>
      <c r="C737" s="1" t="s">
        <v>861</v>
      </c>
      <c r="D737" s="1" t="s">
        <v>424</v>
      </c>
      <c r="E737" s="1" t="s">
        <v>130</v>
      </c>
      <c r="F737" s="1" t="s">
        <v>12</v>
      </c>
      <c r="G737" s="1" t="s">
        <v>213</v>
      </c>
      <c r="H737" s="4">
        <v>44578.537395833337</v>
      </c>
      <c r="I737" s="4">
        <v>45061.169305555559</v>
      </c>
      <c r="J737" s="1" t="s">
        <v>27</v>
      </c>
    </row>
    <row r="738" spans="1:10" ht="12.75" x14ac:dyDescent="0.2">
      <c r="A738" s="1" t="s">
        <v>117</v>
      </c>
      <c r="B738" s="3" t="str">
        <f>HYPERLINK("https://pegadaian.atlassian.net/browse/ITPROJECT-76?atlOrigin=eyJpIjoiYzgwYTQ0ZjEyNzQzNGJhN2JmNjEyZTM0NmRhZWZhNjIiLCJwIjoic2hlZXRzLWppcmEifQ","ITPROJECT-76")</f>
        <v>ITPROJECT-76</v>
      </c>
      <c r="C738" s="1" t="s">
        <v>862</v>
      </c>
      <c r="D738" s="1" t="s">
        <v>28</v>
      </c>
      <c r="E738" s="1" t="s">
        <v>130</v>
      </c>
      <c r="F738" s="1" t="s">
        <v>12</v>
      </c>
      <c r="G738" s="1" t="s">
        <v>213</v>
      </c>
      <c r="H738" s="4">
        <v>44578.53502314815</v>
      </c>
      <c r="I738" s="4">
        <v>45061.169317129628</v>
      </c>
      <c r="J738" s="1" t="s">
        <v>27</v>
      </c>
    </row>
    <row r="739" spans="1:10" ht="12.75" x14ac:dyDescent="0.2">
      <c r="A739" s="1" t="s">
        <v>63</v>
      </c>
      <c r="B739" s="3" t="str">
        <f>HYPERLINK("https://pegadaian.atlassian.net/browse/ITPROJECT-68?atlOrigin=eyJpIjoiYzgwYTQ0ZjEyNzQzNGJhN2JmNjEyZTM0NmRhZWZhNjIiLCJwIjoic2hlZXRzLWppcmEifQ","ITPROJECT-68")</f>
        <v>ITPROJECT-68</v>
      </c>
      <c r="C739" s="1" t="s">
        <v>863</v>
      </c>
      <c r="D739" s="1" t="s">
        <v>31</v>
      </c>
      <c r="E739" s="1" t="s">
        <v>28</v>
      </c>
      <c r="F739" s="1" t="s">
        <v>12</v>
      </c>
      <c r="G739" s="1" t="s">
        <v>13</v>
      </c>
      <c r="H739" s="4">
        <v>44574.416226851848</v>
      </c>
      <c r="I739" s="4">
        <v>45061.169340277775</v>
      </c>
      <c r="J739" s="1" t="s">
        <v>15</v>
      </c>
    </row>
    <row r="740" spans="1:10" ht="12.75" x14ac:dyDescent="0.2">
      <c r="A740" s="1" t="s">
        <v>117</v>
      </c>
      <c r="B740" s="3" t="str">
        <f>HYPERLINK("https://pegadaian.atlassian.net/browse/ITPROJECT-65?atlOrigin=eyJpIjoiYzgwYTQ0ZjEyNzQzNGJhN2JmNjEyZTM0NmRhZWZhNjIiLCJwIjoic2hlZXRzLWppcmEifQ","ITPROJECT-65")</f>
        <v>ITPROJECT-65</v>
      </c>
      <c r="C740" s="1" t="s">
        <v>864</v>
      </c>
      <c r="D740" s="1" t="s">
        <v>785</v>
      </c>
      <c r="E740" s="1" t="s">
        <v>119</v>
      </c>
      <c r="F740" s="1" t="s">
        <v>12</v>
      </c>
      <c r="G740" s="1" t="s">
        <v>13</v>
      </c>
      <c r="H740" s="4">
        <v>44572.799745370372</v>
      </c>
      <c r="I740" s="4">
        <v>45061.169351851851</v>
      </c>
      <c r="J740" s="1" t="s">
        <v>58</v>
      </c>
    </row>
    <row r="741" spans="1:10" ht="12.75" x14ac:dyDescent="0.2">
      <c r="A741" s="1" t="s">
        <v>117</v>
      </c>
      <c r="B741" s="3" t="str">
        <f>HYPERLINK("https://pegadaian.atlassian.net/browse/ITPROJECT-64?atlOrigin=eyJpIjoiYzgwYTQ0ZjEyNzQzNGJhN2JmNjEyZTM0NmRhZWZhNjIiLCJwIjoic2hlZXRzLWppcmEifQ","ITPROJECT-64")</f>
        <v>ITPROJECT-64</v>
      </c>
      <c r="C741" s="1" t="s">
        <v>865</v>
      </c>
      <c r="D741" s="1" t="s">
        <v>75</v>
      </c>
      <c r="E741" s="1" t="s">
        <v>119</v>
      </c>
      <c r="F741" s="1" t="s">
        <v>12</v>
      </c>
      <c r="G741" s="1" t="s">
        <v>13</v>
      </c>
      <c r="H741" s="4">
        <v>44572.799224537041</v>
      </c>
      <c r="I741" s="4">
        <v>45061.169351851851</v>
      </c>
      <c r="J741" s="1" t="s">
        <v>304</v>
      </c>
    </row>
    <row r="742" spans="1:10" ht="12.75" x14ac:dyDescent="0.2">
      <c r="A742" s="1" t="s">
        <v>117</v>
      </c>
      <c r="B742" s="3" t="str">
        <f>HYPERLINK("https://pegadaian.atlassian.net/browse/ITPROJECT-52?atlOrigin=eyJpIjoiYzgwYTQ0ZjEyNzQzNGJhN2JmNjEyZTM0NmRhZWZhNjIiLCJwIjoic2hlZXRzLWppcmEifQ","ITPROJECT-52")</f>
        <v>ITPROJECT-52</v>
      </c>
      <c r="C742" s="1" t="s">
        <v>866</v>
      </c>
      <c r="D742" s="1" t="s">
        <v>55</v>
      </c>
      <c r="E742" s="1" t="s">
        <v>119</v>
      </c>
      <c r="F742" s="1" t="s">
        <v>12</v>
      </c>
      <c r="G742" s="1" t="s">
        <v>13</v>
      </c>
      <c r="H742" s="4">
        <v>44572.76966435185</v>
      </c>
      <c r="I742" s="4">
        <v>45061.169421296298</v>
      </c>
      <c r="J742" s="1" t="s">
        <v>60</v>
      </c>
    </row>
    <row r="743" spans="1:10" ht="12.75" x14ac:dyDescent="0.2">
      <c r="A743" s="1" t="s">
        <v>117</v>
      </c>
      <c r="B743" s="3" t="str">
        <f>HYPERLINK("https://pegadaian.atlassian.net/browse/ITPROJECT-48?atlOrigin=eyJpIjoiYzgwYTQ0ZjEyNzQzNGJhN2JmNjEyZTM0NmRhZWZhNjIiLCJwIjoic2hlZXRzLWppcmEifQ","ITPROJECT-48")</f>
        <v>ITPROJECT-48</v>
      </c>
      <c r="C743" s="1" t="s">
        <v>867</v>
      </c>
      <c r="D743" s="1" t="s">
        <v>44</v>
      </c>
      <c r="E743" s="1" t="s">
        <v>119</v>
      </c>
      <c r="F743" s="1" t="s">
        <v>12</v>
      </c>
      <c r="G743" s="1" t="s">
        <v>13</v>
      </c>
      <c r="H743" s="4">
        <v>44572.762592592589</v>
      </c>
      <c r="I743" s="4">
        <v>45026.642777777779</v>
      </c>
      <c r="J743" s="1" t="s">
        <v>487</v>
      </c>
    </row>
    <row r="744" spans="1:10" ht="12.75" x14ac:dyDescent="0.2">
      <c r="A744" s="1" t="s">
        <v>117</v>
      </c>
      <c r="B744" s="3" t="str">
        <f>HYPERLINK("https://pegadaian.atlassian.net/browse/ITPROJECT-45?atlOrigin=eyJpIjoiYzgwYTQ0ZjEyNzQzNGJhN2JmNjEyZTM0NmRhZWZhNjIiLCJwIjoic2hlZXRzLWppcmEifQ","ITPROJECT-45")</f>
        <v>ITPROJECT-45</v>
      </c>
      <c r="C744" s="1" t="s">
        <v>868</v>
      </c>
      <c r="D744" s="1" t="s">
        <v>55</v>
      </c>
      <c r="E744" s="1" t="s">
        <v>119</v>
      </c>
      <c r="F744" s="1" t="s">
        <v>12</v>
      </c>
      <c r="G744" s="1" t="s">
        <v>13</v>
      </c>
      <c r="H744" s="4">
        <v>44572.757187499999</v>
      </c>
      <c r="I744" s="4">
        <v>45061.16946759259</v>
      </c>
      <c r="J744" s="1" t="s">
        <v>54</v>
      </c>
    </row>
    <row r="745" spans="1:10" ht="12.75" x14ac:dyDescent="0.2">
      <c r="A745" s="1" t="s">
        <v>63</v>
      </c>
      <c r="B745" s="3" t="str">
        <f>HYPERLINK("https://pegadaian.atlassian.net/browse/ITPROJECT-42?atlOrigin=eyJpIjoiYzgwYTQ0ZjEyNzQzNGJhN2JmNjEyZTM0NmRhZWZhNjIiLCJwIjoic2hlZXRzLWppcmEifQ","ITPROJECT-42")</f>
        <v>ITPROJECT-42</v>
      </c>
      <c r="C745" s="1" t="s">
        <v>63</v>
      </c>
      <c r="D745" s="1" t="s">
        <v>31</v>
      </c>
      <c r="E745" s="1" t="s">
        <v>122</v>
      </c>
      <c r="F745" s="1" t="s">
        <v>12</v>
      </c>
      <c r="G745" s="1" t="s">
        <v>89</v>
      </c>
      <c r="H745" s="4">
        <v>44572.578425925924</v>
      </c>
      <c r="I745" s="4">
        <v>45019.619664351849</v>
      </c>
      <c r="J745" s="1" t="s">
        <v>54</v>
      </c>
    </row>
    <row r="746" spans="1:10" ht="12.75" x14ac:dyDescent="0.2">
      <c r="A746" s="1" t="s">
        <v>117</v>
      </c>
      <c r="B746" s="3" t="str">
        <f>HYPERLINK("https://pegadaian.atlassian.net/browse/ITPROJECT-23?atlOrigin=eyJpIjoiYzgwYTQ0ZjEyNzQzNGJhN2JmNjEyZTM0NmRhZWZhNjIiLCJwIjoic2hlZXRzLWppcmEifQ","ITPROJECT-23")</f>
        <v>ITPROJECT-23</v>
      </c>
      <c r="C746" s="1" t="s">
        <v>869</v>
      </c>
      <c r="D746" s="1" t="s">
        <v>115</v>
      </c>
      <c r="E746" s="1" t="s">
        <v>161</v>
      </c>
      <c r="F746" s="1" t="s">
        <v>12</v>
      </c>
      <c r="G746" s="1" t="s">
        <v>13</v>
      </c>
      <c r="H746" s="4">
        <v>44571.695208333331</v>
      </c>
      <c r="I746" s="4">
        <v>45061.169502314813</v>
      </c>
      <c r="J746" s="1" t="s">
        <v>737</v>
      </c>
    </row>
    <row r="747" spans="1:10" ht="12.75" x14ac:dyDescent="0.2">
      <c r="A747" s="1" t="s">
        <v>117</v>
      </c>
      <c r="B747" s="3" t="str">
        <f>HYPERLINK("https://pegadaian.atlassian.net/browse/ITPROJECT-19?atlOrigin=eyJpIjoiYzgwYTQ0ZjEyNzQzNGJhN2JmNjEyZTM0NmRhZWZhNjIiLCJwIjoic2hlZXRzLWppcmEifQ","ITPROJECT-19")</f>
        <v>ITPROJECT-19</v>
      </c>
      <c r="C747" s="1" t="s">
        <v>870</v>
      </c>
      <c r="D747" s="1" t="s">
        <v>42</v>
      </c>
      <c r="E747" s="1" t="s">
        <v>130</v>
      </c>
      <c r="F747" s="1" t="s">
        <v>12</v>
      </c>
      <c r="G747" s="1" t="s">
        <v>13</v>
      </c>
      <c r="H747" s="4">
        <v>44566.436562499999</v>
      </c>
      <c r="I747" s="4">
        <v>45061.16951388889</v>
      </c>
      <c r="J747" s="1" t="s">
        <v>15</v>
      </c>
    </row>
    <row r="748" spans="1:10" ht="12.75" x14ac:dyDescent="0.2">
      <c r="A748" s="1" t="s">
        <v>117</v>
      </c>
      <c r="B748" s="3" t="str">
        <f>HYPERLINK("https://pegadaian.atlassian.net/browse/ITPROJECT-18?atlOrigin=eyJpIjoiYzgwYTQ0ZjEyNzQzNGJhN2JmNjEyZTM0NmRhZWZhNjIiLCJwIjoic2hlZXRzLWppcmEifQ","ITPROJECT-18")</f>
        <v>ITPROJECT-18</v>
      </c>
      <c r="C748" s="1" t="s">
        <v>871</v>
      </c>
      <c r="D748" s="1" t="s">
        <v>28</v>
      </c>
      <c r="E748" s="1" t="s">
        <v>130</v>
      </c>
      <c r="F748" s="1" t="s">
        <v>12</v>
      </c>
      <c r="G748" s="1" t="s">
        <v>13</v>
      </c>
      <c r="H748" s="4">
        <v>44566.422777777778</v>
      </c>
      <c r="I748" s="4">
        <v>45026.642812500002</v>
      </c>
      <c r="J748" s="1" t="s">
        <v>15</v>
      </c>
    </row>
    <row r="749" spans="1:10" ht="12.75" x14ac:dyDescent="0.2">
      <c r="A749" s="1" t="s">
        <v>63</v>
      </c>
      <c r="B749" s="3" t="str">
        <f>HYPERLINK("https://pegadaian.atlassian.net/browse/ITPROJECT-1441?atlOrigin=eyJpIjoiYzgwYTQ0ZjEyNzQzNGJhN2JmNjEyZTM0NmRhZWZhNjIiLCJwIjoic2hlZXRzLWppcmEifQ","ITPROJECT-1441")</f>
        <v>ITPROJECT-1441</v>
      </c>
      <c r="C749" s="1" t="s">
        <v>872</v>
      </c>
      <c r="D749" s="1" t="s">
        <v>56</v>
      </c>
      <c r="E749" s="1" t="s">
        <v>56</v>
      </c>
      <c r="F749" s="1" t="s">
        <v>20</v>
      </c>
      <c r="G749" s="1" t="s">
        <v>72</v>
      </c>
      <c r="H749" s="4">
        <v>45056.592199074075</v>
      </c>
      <c r="I749" s="4">
        <v>45061.160949074074</v>
      </c>
      <c r="J749" s="1" t="s">
        <v>11</v>
      </c>
    </row>
    <row r="750" spans="1:10" ht="12.75" x14ac:dyDescent="0.2">
      <c r="A750" s="1" t="s">
        <v>63</v>
      </c>
      <c r="B750" s="3" t="str">
        <f>HYPERLINK("https://pegadaian.atlassian.net/browse/ITPROJECT-1433?atlOrigin=eyJpIjoiYzgwYTQ0ZjEyNzQzNGJhN2JmNjEyZTM0NmRhZWZhNjIiLCJwIjoic2hlZXRzLWppcmEifQ","ITPROJECT-1433")</f>
        <v>ITPROJECT-1433</v>
      </c>
      <c r="C750" s="1" t="s">
        <v>873</v>
      </c>
      <c r="D750" s="1" t="s">
        <v>25</v>
      </c>
      <c r="E750" s="1" t="s">
        <v>25</v>
      </c>
      <c r="F750" s="1" t="s">
        <v>20</v>
      </c>
      <c r="G750" s="1" t="s">
        <v>66</v>
      </c>
      <c r="H750" s="4">
        <v>45055.641979166663</v>
      </c>
      <c r="I750" s="4">
        <v>45061.161006944443</v>
      </c>
      <c r="J750" s="1" t="s">
        <v>26</v>
      </c>
    </row>
    <row r="751" spans="1:10" ht="12.75" x14ac:dyDescent="0.2">
      <c r="A751" s="1" t="s">
        <v>63</v>
      </c>
      <c r="B751" s="3" t="str">
        <f>HYPERLINK("https://pegadaian.atlassian.net/browse/ITPROJECT-1418?atlOrigin=eyJpIjoiYzgwYTQ0ZjEyNzQzNGJhN2JmNjEyZTM0NmRhZWZhNjIiLCJwIjoic2hlZXRzLWppcmEifQ","ITPROJECT-1418")</f>
        <v>ITPROJECT-1418</v>
      </c>
      <c r="C751" s="1" t="s">
        <v>874</v>
      </c>
      <c r="D751" s="1" t="s">
        <v>46</v>
      </c>
      <c r="E751" s="1" t="s">
        <v>46</v>
      </c>
      <c r="F751" s="1" t="s">
        <v>20</v>
      </c>
      <c r="G751" s="1" t="s">
        <v>89</v>
      </c>
      <c r="H751" s="4">
        <v>45050.646365740744</v>
      </c>
      <c r="I751" s="4">
        <v>45061.161099537036</v>
      </c>
      <c r="J751" s="1" t="s">
        <v>48</v>
      </c>
    </row>
    <row r="752" spans="1:10" ht="12.75" x14ac:dyDescent="0.2">
      <c r="A752" s="1" t="s">
        <v>63</v>
      </c>
      <c r="B752" s="3" t="str">
        <f>HYPERLINK("https://pegadaian.atlassian.net/browse/ITPROJECT-1417?atlOrigin=eyJpIjoiYzgwYTQ0ZjEyNzQzNGJhN2JmNjEyZTM0NmRhZWZhNjIiLCJwIjoic2hlZXRzLWppcmEifQ","ITPROJECT-1417")</f>
        <v>ITPROJECT-1417</v>
      </c>
      <c r="C752" s="1" t="s">
        <v>875</v>
      </c>
      <c r="D752" s="1" t="s">
        <v>876</v>
      </c>
      <c r="E752" s="1" t="s">
        <v>876</v>
      </c>
      <c r="F752" s="1" t="s">
        <v>20</v>
      </c>
      <c r="G752" s="1" t="s">
        <v>89</v>
      </c>
      <c r="H752" s="4">
        <v>45050.473136574074</v>
      </c>
      <c r="I752" s="4">
        <v>45061.161111111112</v>
      </c>
      <c r="J752" s="1" t="s">
        <v>33</v>
      </c>
    </row>
    <row r="753" spans="1:10" ht="12.75" x14ac:dyDescent="0.2">
      <c r="A753" s="1" t="s">
        <v>63</v>
      </c>
      <c r="B753" s="3" t="str">
        <f>HYPERLINK("https://pegadaian.atlassian.net/browse/ITPROJECT-1399?atlOrigin=eyJpIjoiYzgwYTQ0ZjEyNzQzNGJhN2JmNjEyZTM0NmRhZWZhNjIiLCJwIjoic2hlZXRzLWppcmEifQ","ITPROJECT-1399")</f>
        <v>ITPROJECT-1399</v>
      </c>
      <c r="C753" s="1" t="s">
        <v>877</v>
      </c>
      <c r="D753" s="1" t="s">
        <v>75</v>
      </c>
      <c r="E753" s="1" t="s">
        <v>75</v>
      </c>
      <c r="F753" s="1" t="s">
        <v>20</v>
      </c>
      <c r="G753" s="1" t="s">
        <v>72</v>
      </c>
      <c r="H753" s="4">
        <v>45048.393923611111</v>
      </c>
      <c r="I753" s="4">
        <v>45061.161226851851</v>
      </c>
      <c r="J753" s="1" t="s">
        <v>58</v>
      </c>
    </row>
    <row r="754" spans="1:10" ht="12.75" x14ac:dyDescent="0.2">
      <c r="A754" s="1" t="s">
        <v>63</v>
      </c>
      <c r="B754" s="3" t="str">
        <f>HYPERLINK("https://pegadaian.atlassian.net/browse/ITPROJECT-1390?atlOrigin=eyJpIjoiYzgwYTQ0ZjEyNzQzNGJhN2JmNjEyZTM0NmRhZWZhNjIiLCJwIjoic2hlZXRzLWppcmEifQ","ITPROJECT-1390")</f>
        <v>ITPROJECT-1390</v>
      </c>
      <c r="C754" s="1" t="s">
        <v>878</v>
      </c>
      <c r="D754" s="1" t="s">
        <v>876</v>
      </c>
      <c r="E754" s="1" t="s">
        <v>876</v>
      </c>
      <c r="F754" s="1" t="s">
        <v>20</v>
      </c>
      <c r="G754" s="1" t="s">
        <v>76</v>
      </c>
      <c r="H754" s="4">
        <v>45029.475312499999</v>
      </c>
      <c r="I754" s="4">
        <v>45061.16128472222</v>
      </c>
      <c r="J754" s="1" t="s">
        <v>33</v>
      </c>
    </row>
    <row r="755" spans="1:10" ht="12.75" x14ac:dyDescent="0.2">
      <c r="A755" s="1" t="s">
        <v>63</v>
      </c>
      <c r="B755" s="3" t="str">
        <f>HYPERLINK("https://pegadaian.atlassian.net/browse/ITPROJECT-1352?atlOrigin=eyJpIjoiYzgwYTQ0ZjEyNzQzNGJhN2JmNjEyZTM0NmRhZWZhNjIiLCJwIjoic2hlZXRzLWppcmEifQ","ITPROJECT-1352")</f>
        <v>ITPROJECT-1352</v>
      </c>
      <c r="C755" s="1" t="s">
        <v>879</v>
      </c>
      <c r="D755" s="1" t="s">
        <v>50</v>
      </c>
      <c r="E755" s="1" t="s">
        <v>50</v>
      </c>
      <c r="F755" s="1" t="s">
        <v>20</v>
      </c>
      <c r="G755" s="1" t="s">
        <v>158</v>
      </c>
      <c r="H755" s="4">
        <v>45020.384282407409</v>
      </c>
      <c r="I755" s="4">
        <v>45061.161550925928</v>
      </c>
      <c r="J755" s="1" t="s">
        <v>39</v>
      </c>
    </row>
    <row r="756" spans="1:10" ht="12.75" x14ac:dyDescent="0.2">
      <c r="A756" s="1" t="s">
        <v>63</v>
      </c>
      <c r="B756" s="3" t="str">
        <f>HYPERLINK("https://pegadaian.atlassian.net/browse/ITPROJECT-1337?atlOrigin=eyJpIjoiYzgwYTQ0ZjEyNzQzNGJhN2JmNjEyZTM0NmRhZWZhNjIiLCJwIjoic2hlZXRzLWppcmEifQ","ITPROJECT-1337")</f>
        <v>ITPROJECT-1337</v>
      </c>
      <c r="C756" s="1" t="s">
        <v>880</v>
      </c>
      <c r="D756" s="1" t="s">
        <v>25</v>
      </c>
      <c r="E756" s="1" t="s">
        <v>25</v>
      </c>
      <c r="F756" s="1" t="s">
        <v>20</v>
      </c>
      <c r="G756" s="1" t="s">
        <v>72</v>
      </c>
      <c r="H756" s="4">
        <v>45019.454027777778</v>
      </c>
      <c r="I756" s="4">
        <v>45061.161643518521</v>
      </c>
      <c r="J756" s="1" t="s">
        <v>26</v>
      </c>
    </row>
    <row r="757" spans="1:10" ht="12.75" x14ac:dyDescent="0.2">
      <c r="A757" s="1" t="s">
        <v>63</v>
      </c>
      <c r="B757" s="3" t="str">
        <f>HYPERLINK("https://pegadaian.atlassian.net/browse/ITPROJECT-1328?atlOrigin=eyJpIjoiYzgwYTQ0ZjEyNzQzNGJhN2JmNjEyZTM0NmRhZWZhNjIiLCJwIjoic2hlZXRzLWppcmEifQ","ITPROJECT-1328")</f>
        <v>ITPROJECT-1328</v>
      </c>
      <c r="C757" s="1" t="s">
        <v>881</v>
      </c>
      <c r="D757" s="1" t="s">
        <v>31</v>
      </c>
      <c r="E757" s="1" t="s">
        <v>51</v>
      </c>
      <c r="F757" s="1" t="s">
        <v>20</v>
      </c>
      <c r="G757" s="1" t="s">
        <v>76</v>
      </c>
      <c r="H757" s="4">
        <v>45014.708391203705</v>
      </c>
      <c r="I757" s="4">
        <v>45061.16170138889</v>
      </c>
      <c r="J757" s="1" t="s">
        <v>38</v>
      </c>
    </row>
    <row r="758" spans="1:10" ht="12.75" x14ac:dyDescent="0.2">
      <c r="A758" s="1" t="s">
        <v>63</v>
      </c>
      <c r="B758" s="3" t="str">
        <f>HYPERLINK("https://pegadaian.atlassian.net/browse/ITPROJECT-1319?atlOrigin=eyJpIjoiYzgwYTQ0ZjEyNzQzNGJhN2JmNjEyZTM0NmRhZWZhNjIiLCJwIjoic2hlZXRzLWppcmEifQ","ITPROJECT-1319")</f>
        <v>ITPROJECT-1319</v>
      </c>
      <c r="C758" s="1" t="s">
        <v>882</v>
      </c>
      <c r="D758" s="1" t="s">
        <v>31</v>
      </c>
      <c r="E758" s="1" t="s">
        <v>51</v>
      </c>
      <c r="F758" s="1" t="s">
        <v>20</v>
      </c>
      <c r="G758" s="1" t="s">
        <v>158</v>
      </c>
      <c r="H758" s="4">
        <v>45009.556863425925</v>
      </c>
      <c r="I758" s="4">
        <v>45061.161759259259</v>
      </c>
      <c r="J758" s="1" t="s">
        <v>38</v>
      </c>
    </row>
    <row r="759" spans="1:10" ht="12.75" x14ac:dyDescent="0.2">
      <c r="A759" s="1" t="s">
        <v>63</v>
      </c>
      <c r="B759" s="3" t="str">
        <f>HYPERLINK("https://pegadaian.atlassian.net/browse/ITPROJECT-1249?atlOrigin=eyJpIjoiYzgwYTQ0ZjEyNzQzNGJhN2JmNjEyZTM0NmRhZWZhNjIiLCJwIjoic2hlZXRzLWppcmEifQ","ITPROJECT-1249")</f>
        <v>ITPROJECT-1249</v>
      </c>
      <c r="C759" s="1" t="s">
        <v>883</v>
      </c>
      <c r="D759" s="1" t="s">
        <v>96</v>
      </c>
      <c r="E759" s="1" t="s">
        <v>96</v>
      </c>
      <c r="F759" s="1" t="s">
        <v>20</v>
      </c>
      <c r="G759" s="1" t="s">
        <v>68</v>
      </c>
      <c r="H759" s="4">
        <v>44978.722928240742</v>
      </c>
      <c r="I759" s="4">
        <v>45061.162164351852</v>
      </c>
      <c r="J759" s="1" t="s">
        <v>27</v>
      </c>
    </row>
    <row r="760" spans="1:10" ht="12.75" x14ac:dyDescent="0.2">
      <c r="A760" s="1" t="s">
        <v>63</v>
      </c>
      <c r="B760" s="3" t="str">
        <f>HYPERLINK("https://pegadaian.atlassian.net/browse/ITPROJECT-1170?atlOrigin=eyJpIjoiYzgwYTQ0ZjEyNzQzNGJhN2JmNjEyZTM0NmRhZWZhNjIiLCJwIjoic2hlZXRzLWppcmEifQ","ITPROJECT-1170")</f>
        <v>ITPROJECT-1170</v>
      </c>
      <c r="C760" s="1" t="s">
        <v>884</v>
      </c>
      <c r="D760" s="1" t="s">
        <v>43</v>
      </c>
      <c r="E760" s="1" t="s">
        <v>43</v>
      </c>
      <c r="F760" s="1" t="s">
        <v>20</v>
      </c>
      <c r="G760" s="1" t="s">
        <v>89</v>
      </c>
      <c r="H760" s="4">
        <v>44956.420520833337</v>
      </c>
      <c r="I760" s="4">
        <v>45061.162627314814</v>
      </c>
      <c r="J760" s="1" t="s">
        <v>23</v>
      </c>
    </row>
    <row r="761" spans="1:10" ht="12.75" x14ac:dyDescent="0.2">
      <c r="A761" s="1" t="s">
        <v>63</v>
      </c>
      <c r="B761" s="3" t="str">
        <f>HYPERLINK("https://pegadaian.atlassian.net/browse/ITPROJECT-1132?atlOrigin=eyJpIjoiYzgwYTQ0ZjEyNzQzNGJhN2JmNjEyZTM0NmRhZWZhNjIiLCJwIjoic2hlZXRzLWppcmEifQ","ITPROJECT-1132")</f>
        <v>ITPROJECT-1132</v>
      </c>
      <c r="C761" s="1" t="s">
        <v>885</v>
      </c>
      <c r="D761" s="1" t="s">
        <v>31</v>
      </c>
      <c r="E761" s="1" t="s">
        <v>51</v>
      </c>
      <c r="F761" s="1" t="s">
        <v>20</v>
      </c>
      <c r="G761" s="1" t="s">
        <v>13</v>
      </c>
      <c r="H761" s="4">
        <v>44945.754675925928</v>
      </c>
      <c r="I761" s="4">
        <v>45061.162870370368</v>
      </c>
      <c r="J761" s="1" t="s">
        <v>38</v>
      </c>
    </row>
    <row r="762" spans="1:10" ht="12.75" x14ac:dyDescent="0.2">
      <c r="A762" s="1" t="s">
        <v>63</v>
      </c>
      <c r="B762" s="3" t="str">
        <f>HYPERLINK("https://pegadaian.atlassian.net/browse/ITPROJECT-1106?atlOrigin=eyJpIjoiYzgwYTQ0ZjEyNzQzNGJhN2JmNjEyZTM0NmRhZWZhNjIiLCJwIjoic2hlZXRzLWppcmEifQ","ITPROJECT-1106")</f>
        <v>ITPROJECT-1106</v>
      </c>
      <c r="C762" s="1" t="s">
        <v>886</v>
      </c>
      <c r="D762" s="1" t="s">
        <v>43</v>
      </c>
      <c r="E762" s="1" t="s">
        <v>43</v>
      </c>
      <c r="F762" s="1" t="s">
        <v>20</v>
      </c>
      <c r="G762" s="1" t="s">
        <v>76</v>
      </c>
      <c r="H762" s="4">
        <v>44943.370266203703</v>
      </c>
      <c r="I762" s="4">
        <v>45061.163032407407</v>
      </c>
      <c r="J762" s="1" t="s">
        <v>887</v>
      </c>
    </row>
    <row r="763" spans="1:10" ht="12.75" x14ac:dyDescent="0.2">
      <c r="A763" s="1" t="s">
        <v>63</v>
      </c>
      <c r="B763" s="3" t="str">
        <f>HYPERLINK("https://pegadaian.atlassian.net/browse/ITPROJECT-1017?atlOrigin=eyJpIjoiYzgwYTQ0ZjEyNzQzNGJhN2JmNjEyZTM0NmRhZWZhNjIiLCJwIjoic2hlZXRzLWppcmEifQ","ITPROJECT-1017")</f>
        <v>ITPROJECT-1017</v>
      </c>
      <c r="C763" s="1" t="s">
        <v>888</v>
      </c>
      <c r="D763" s="1" t="s">
        <v>43</v>
      </c>
      <c r="E763" s="1" t="s">
        <v>43</v>
      </c>
      <c r="F763" s="1" t="s">
        <v>20</v>
      </c>
      <c r="G763" s="1" t="s">
        <v>13</v>
      </c>
      <c r="H763" s="4">
        <v>44889.549317129633</v>
      </c>
      <c r="I763" s="4">
        <v>45061.163599537038</v>
      </c>
      <c r="J763" s="1" t="s">
        <v>23</v>
      </c>
    </row>
    <row r="764" spans="1:10" ht="12.75" x14ac:dyDescent="0.2">
      <c r="A764" s="1" t="s">
        <v>117</v>
      </c>
      <c r="B764" s="3" t="str">
        <f>HYPERLINK("https://pegadaian.atlassian.net/browse/ITPROJECT-960?atlOrigin=eyJpIjoiYzgwYTQ0ZjEyNzQzNGJhN2JmNjEyZTM0NmRhZWZhNjIiLCJwIjoic2hlZXRzLWppcmEifQ","ITPROJECT-960")</f>
        <v>ITPROJECT-960</v>
      </c>
      <c r="C764" s="1" t="s">
        <v>889</v>
      </c>
      <c r="D764" s="1" t="s">
        <v>25</v>
      </c>
      <c r="E764" s="1" t="s">
        <v>890</v>
      </c>
      <c r="F764" s="1" t="s">
        <v>20</v>
      </c>
      <c r="G764" s="1" t="s">
        <v>13</v>
      </c>
      <c r="H764" s="4">
        <v>44865.627222222225</v>
      </c>
      <c r="I764" s="4">
        <v>45061.163969907408</v>
      </c>
      <c r="J764" s="1" t="s">
        <v>26</v>
      </c>
    </row>
    <row r="765" spans="1:10" ht="12.75" x14ac:dyDescent="0.2">
      <c r="A765" s="1" t="s">
        <v>63</v>
      </c>
      <c r="B765" s="3" t="str">
        <f>HYPERLINK("https://pegadaian.atlassian.net/browse/ITPROJECT-959?atlOrigin=eyJpIjoiYzgwYTQ0ZjEyNzQzNGJhN2JmNjEyZTM0NmRhZWZhNjIiLCJwIjoic2hlZXRzLWppcmEifQ","ITPROJECT-959")</f>
        <v>ITPROJECT-959</v>
      </c>
      <c r="C765" s="1" t="s">
        <v>891</v>
      </c>
      <c r="D765" s="1" t="s">
        <v>25</v>
      </c>
      <c r="E765" s="1" t="s">
        <v>25</v>
      </c>
      <c r="F765" s="1" t="s">
        <v>20</v>
      </c>
      <c r="G765" s="1" t="s">
        <v>13</v>
      </c>
      <c r="H765" s="4">
        <v>44565.428576388891</v>
      </c>
      <c r="I765" s="4">
        <v>45061.163981481484</v>
      </c>
      <c r="J765" s="1" t="s">
        <v>26</v>
      </c>
    </row>
    <row r="766" spans="1:10" ht="12.75" x14ac:dyDescent="0.2">
      <c r="A766" s="1" t="s">
        <v>63</v>
      </c>
      <c r="B766" s="3" t="str">
        <f>HYPERLINK("https://pegadaian.atlassian.net/browse/ITPROJECT-940?atlOrigin=eyJpIjoiYzgwYTQ0ZjEyNzQzNGJhN2JmNjEyZTM0NmRhZWZhNjIiLCJwIjoic2hlZXRzLWppcmEifQ","ITPROJECT-940")</f>
        <v>ITPROJECT-940</v>
      </c>
      <c r="C766" s="1" t="s">
        <v>892</v>
      </c>
      <c r="D766" s="1" t="s">
        <v>43</v>
      </c>
      <c r="E766" s="1" t="s">
        <v>43</v>
      </c>
      <c r="F766" s="1" t="s">
        <v>20</v>
      </c>
      <c r="G766" s="1" t="s">
        <v>13</v>
      </c>
      <c r="H766" s="4">
        <v>44854.457245370373</v>
      </c>
      <c r="I766" s="4">
        <v>45061.164120370369</v>
      </c>
      <c r="J766" s="1" t="s">
        <v>23</v>
      </c>
    </row>
    <row r="767" spans="1:10" ht="12.75" x14ac:dyDescent="0.2">
      <c r="A767" s="1" t="s">
        <v>63</v>
      </c>
      <c r="B767" s="3" t="str">
        <f>HYPERLINK("https://pegadaian.atlassian.net/browse/ITPROJECT-929?atlOrigin=eyJpIjoiYzgwYTQ0ZjEyNzQzNGJhN2JmNjEyZTM0NmRhZWZhNjIiLCJwIjoic2hlZXRzLWppcmEifQ","ITPROJECT-929")</f>
        <v>ITPROJECT-929</v>
      </c>
      <c r="C767" s="1" t="s">
        <v>893</v>
      </c>
      <c r="D767" s="1" t="s">
        <v>43</v>
      </c>
      <c r="E767" s="1" t="s">
        <v>43</v>
      </c>
      <c r="F767" s="1" t="s">
        <v>20</v>
      </c>
      <c r="G767" s="1" t="s">
        <v>13</v>
      </c>
      <c r="H767" s="4">
        <v>44851.395243055558</v>
      </c>
      <c r="I767" s="4">
        <v>45061.164189814815</v>
      </c>
      <c r="J767" s="1" t="s">
        <v>54</v>
      </c>
    </row>
    <row r="768" spans="1:10" ht="12.75" x14ac:dyDescent="0.2">
      <c r="A768" s="1" t="s">
        <v>63</v>
      </c>
      <c r="B768" s="3" t="str">
        <f>HYPERLINK("https://pegadaian.atlassian.net/browse/ITPROJECT-890?atlOrigin=eyJpIjoiYzgwYTQ0ZjEyNzQzNGJhN2JmNjEyZTM0NmRhZWZhNjIiLCJwIjoic2hlZXRzLWppcmEifQ","ITPROJECT-890")</f>
        <v>ITPROJECT-890</v>
      </c>
      <c r="C768" s="1" t="s">
        <v>894</v>
      </c>
      <c r="D768" s="1" t="s">
        <v>112</v>
      </c>
      <c r="E768" s="1" t="s">
        <v>112</v>
      </c>
      <c r="F768" s="1" t="s">
        <v>20</v>
      </c>
      <c r="G768" s="1" t="s">
        <v>213</v>
      </c>
      <c r="H768" s="4">
        <v>44834.72351851852</v>
      </c>
      <c r="I768" s="4">
        <v>45061.164444444446</v>
      </c>
      <c r="J768" s="1" t="s">
        <v>23</v>
      </c>
    </row>
    <row r="769" spans="1:10" ht="12.75" x14ac:dyDescent="0.2">
      <c r="A769" s="1" t="s">
        <v>63</v>
      </c>
      <c r="B769" s="3" t="str">
        <f>HYPERLINK("https://pegadaian.atlassian.net/browse/ITPROJECT-888?atlOrigin=eyJpIjoiYzgwYTQ0ZjEyNzQzNGJhN2JmNjEyZTM0NmRhZWZhNjIiLCJwIjoic2hlZXRzLWppcmEifQ","ITPROJECT-888")</f>
        <v>ITPROJECT-888</v>
      </c>
      <c r="C769" s="1" t="s">
        <v>895</v>
      </c>
      <c r="D769" s="1" t="s">
        <v>112</v>
      </c>
      <c r="E769" s="1" t="s">
        <v>112</v>
      </c>
      <c r="F769" s="1" t="s">
        <v>20</v>
      </c>
      <c r="G769" s="1" t="s">
        <v>13</v>
      </c>
      <c r="H769" s="4">
        <v>44834.578553240739</v>
      </c>
      <c r="I769" s="4">
        <v>45061.164467592593</v>
      </c>
      <c r="J769" s="1" t="s">
        <v>26</v>
      </c>
    </row>
    <row r="770" spans="1:10" ht="12.75" x14ac:dyDescent="0.2">
      <c r="A770" s="1" t="s">
        <v>63</v>
      </c>
      <c r="B770" s="3" t="str">
        <f>HYPERLINK("https://pegadaian.atlassian.net/browse/ITPROJECT-887?atlOrigin=eyJpIjoiYzgwYTQ0ZjEyNzQzNGJhN2JmNjEyZTM0NmRhZWZhNjIiLCJwIjoic2hlZXRzLWppcmEifQ","ITPROJECT-887")</f>
        <v>ITPROJECT-887</v>
      </c>
      <c r="C770" s="1" t="s">
        <v>896</v>
      </c>
      <c r="D770" s="1" t="s">
        <v>112</v>
      </c>
      <c r="E770" s="1" t="s">
        <v>112</v>
      </c>
      <c r="F770" s="1" t="s">
        <v>20</v>
      </c>
      <c r="G770" s="1" t="s">
        <v>13</v>
      </c>
      <c r="H770" s="4">
        <v>44834.455520833333</v>
      </c>
      <c r="I770" s="4">
        <v>45061.164467592593</v>
      </c>
      <c r="J770" s="1" t="s">
        <v>26</v>
      </c>
    </row>
    <row r="771" spans="1:10" ht="12.75" x14ac:dyDescent="0.2">
      <c r="A771" s="1" t="s">
        <v>63</v>
      </c>
      <c r="B771" s="3" t="str">
        <f>HYPERLINK("https://pegadaian.atlassian.net/browse/ITPROJECT-882?atlOrigin=eyJpIjoiYzgwYTQ0ZjEyNzQzNGJhN2JmNjEyZTM0NmRhZWZhNjIiLCJwIjoic2hlZXRzLWppcmEifQ","ITPROJECT-882")</f>
        <v>ITPROJECT-882</v>
      </c>
      <c r="C771" s="1" t="s">
        <v>897</v>
      </c>
      <c r="D771" s="1" t="s">
        <v>424</v>
      </c>
      <c r="E771" s="1" t="s">
        <v>424</v>
      </c>
      <c r="F771" s="1" t="s">
        <v>20</v>
      </c>
      <c r="G771" s="1" t="s">
        <v>13</v>
      </c>
      <c r="H771" s="4">
        <v>44833.422650462962</v>
      </c>
      <c r="I771" s="4">
        <v>45061.164502314816</v>
      </c>
      <c r="J771" s="1" t="s">
        <v>27</v>
      </c>
    </row>
    <row r="772" spans="1:10" ht="12.75" x14ac:dyDescent="0.2">
      <c r="A772" s="1" t="s">
        <v>63</v>
      </c>
      <c r="B772" s="3" t="str">
        <f>HYPERLINK("https://pegadaian.atlassian.net/browse/ITPROJECT-825?atlOrigin=eyJpIjoiYzgwYTQ0ZjEyNzQzNGJhN2JmNjEyZTM0NmRhZWZhNjIiLCJwIjoic2hlZXRzLWppcmEifQ","ITPROJECT-825")</f>
        <v>ITPROJECT-825</v>
      </c>
      <c r="C772" s="1" t="s">
        <v>898</v>
      </c>
      <c r="D772" s="1" t="s">
        <v>75</v>
      </c>
      <c r="E772" s="1" t="s">
        <v>75</v>
      </c>
      <c r="F772" s="1" t="s">
        <v>20</v>
      </c>
      <c r="G772" s="1" t="s">
        <v>13</v>
      </c>
      <c r="H772" s="4">
        <v>44812.601527777777</v>
      </c>
      <c r="I772" s="4">
        <v>45061.164872685185</v>
      </c>
      <c r="J772" s="1" t="s">
        <v>40</v>
      </c>
    </row>
    <row r="773" spans="1:10" ht="12.75" x14ac:dyDescent="0.2">
      <c r="A773" s="1" t="s">
        <v>63</v>
      </c>
      <c r="B773" s="3" t="str">
        <f>HYPERLINK("https://pegadaian.atlassian.net/browse/ITPROJECT-817?atlOrigin=eyJpIjoiYzgwYTQ0ZjEyNzQzNGJhN2JmNjEyZTM0NmRhZWZhNjIiLCJwIjoic2hlZXRzLWppcmEifQ","ITPROJECT-817")</f>
        <v>ITPROJECT-817</v>
      </c>
      <c r="C773" s="1" t="s">
        <v>899</v>
      </c>
      <c r="D773" s="1" t="s">
        <v>75</v>
      </c>
      <c r="E773" s="1" t="s">
        <v>75</v>
      </c>
      <c r="F773" s="1" t="s">
        <v>20</v>
      </c>
      <c r="G773" s="1" t="s">
        <v>13</v>
      </c>
      <c r="H773" s="4">
        <v>44810.639594907407</v>
      </c>
      <c r="I773" s="4">
        <v>45061.164930555555</v>
      </c>
      <c r="J773" s="1" t="s">
        <v>58</v>
      </c>
    </row>
    <row r="774" spans="1:10" ht="12.75" x14ac:dyDescent="0.2">
      <c r="A774" s="1" t="s">
        <v>63</v>
      </c>
      <c r="B774" s="3" t="str">
        <f>HYPERLINK("https://pegadaian.atlassian.net/browse/ITPROJECT-737?atlOrigin=eyJpIjoiYzgwYTQ0ZjEyNzQzNGJhN2JmNjEyZTM0NmRhZWZhNjIiLCJwIjoic2hlZXRzLWppcmEifQ","ITPROJECT-737")</f>
        <v>ITPROJECT-737</v>
      </c>
      <c r="C774" s="1" t="s">
        <v>900</v>
      </c>
      <c r="D774" s="1" t="s">
        <v>785</v>
      </c>
      <c r="E774" s="1" t="s">
        <v>785</v>
      </c>
      <c r="F774" s="1" t="s">
        <v>20</v>
      </c>
      <c r="G774" s="1" t="s">
        <v>68</v>
      </c>
      <c r="H774" s="4">
        <v>44774.379733796297</v>
      </c>
      <c r="I774" s="4">
        <v>45061.165462962963</v>
      </c>
      <c r="J774" s="1" t="s">
        <v>58</v>
      </c>
    </row>
    <row r="775" spans="1:10" ht="12.75" x14ac:dyDescent="0.2">
      <c r="A775" s="1" t="s">
        <v>63</v>
      </c>
      <c r="B775" s="3" t="str">
        <f>HYPERLINK("https://pegadaian.atlassian.net/browse/ITPROJECT-691?atlOrigin=eyJpIjoiYzgwYTQ0ZjEyNzQzNGJhN2JmNjEyZTM0NmRhZWZhNjIiLCJwIjoic2hlZXRzLWppcmEifQ","ITPROJECT-691")</f>
        <v>ITPROJECT-691</v>
      </c>
      <c r="C775" s="1" t="s">
        <v>901</v>
      </c>
      <c r="D775" s="1" t="s">
        <v>65</v>
      </c>
      <c r="E775" s="1" t="s">
        <v>65</v>
      </c>
      <c r="F775" s="1" t="s">
        <v>20</v>
      </c>
      <c r="G775" s="1" t="s">
        <v>13</v>
      </c>
      <c r="H775" s="4">
        <v>44755.565300925926</v>
      </c>
      <c r="I775" s="4">
        <v>45061.16578703704</v>
      </c>
      <c r="J775" s="1" t="s">
        <v>54</v>
      </c>
    </row>
    <row r="776" spans="1:10" ht="12.75" x14ac:dyDescent="0.2">
      <c r="A776" s="1" t="s">
        <v>63</v>
      </c>
      <c r="B776" s="3" t="str">
        <f>HYPERLINK("https://pegadaian.atlassian.net/browse/ITPROJECT-664?atlOrigin=eyJpIjoiYzgwYTQ0ZjEyNzQzNGJhN2JmNjEyZTM0NmRhZWZhNjIiLCJwIjoic2hlZXRzLWppcmEifQ","ITPROJECT-664")</f>
        <v>ITPROJECT-664</v>
      </c>
      <c r="C776" s="1" t="s">
        <v>902</v>
      </c>
      <c r="D776" s="1" t="s">
        <v>75</v>
      </c>
      <c r="E776" s="1" t="s">
        <v>75</v>
      </c>
      <c r="F776" s="1" t="s">
        <v>20</v>
      </c>
      <c r="G776" s="1" t="s">
        <v>76</v>
      </c>
      <c r="H776" s="4">
        <v>44747.63354166667</v>
      </c>
      <c r="I776" s="4">
        <v>45061.165937500002</v>
      </c>
      <c r="J776" s="1" t="s">
        <v>903</v>
      </c>
    </row>
    <row r="777" spans="1:10" ht="12.75" x14ac:dyDescent="0.2">
      <c r="A777" s="1" t="s">
        <v>63</v>
      </c>
      <c r="B777" s="3" t="str">
        <f>HYPERLINK("https://pegadaian.atlassian.net/browse/ITPROJECT-641?atlOrigin=eyJpIjoiYzgwYTQ0ZjEyNzQzNGJhN2JmNjEyZTM0NmRhZWZhNjIiLCJwIjoic2hlZXRzLWppcmEifQ","ITPROJECT-641")</f>
        <v>ITPROJECT-641</v>
      </c>
      <c r="C777" s="1" t="s">
        <v>904</v>
      </c>
      <c r="D777" s="1" t="s">
        <v>25</v>
      </c>
      <c r="E777" s="1" t="s">
        <v>25</v>
      </c>
      <c r="F777" s="1" t="s">
        <v>20</v>
      </c>
      <c r="G777" s="1" t="s">
        <v>13</v>
      </c>
      <c r="H777" s="4">
        <v>44741.384560185186</v>
      </c>
      <c r="I777" s="4">
        <v>45061.166064814817</v>
      </c>
      <c r="J777" s="1" t="s">
        <v>26</v>
      </c>
    </row>
    <row r="778" spans="1:10" ht="12.75" x14ac:dyDescent="0.2">
      <c r="A778" s="1" t="s">
        <v>63</v>
      </c>
      <c r="B778" s="3" t="str">
        <f>HYPERLINK("https://pegadaian.atlassian.net/browse/ITPROJECT-616?atlOrigin=eyJpIjoiYzgwYTQ0ZjEyNzQzNGJhN2JmNjEyZTM0NmRhZWZhNjIiLCJwIjoic2hlZXRzLWppcmEifQ","ITPROJECT-616")</f>
        <v>ITPROJECT-616</v>
      </c>
      <c r="C778" s="1" t="s">
        <v>905</v>
      </c>
      <c r="D778" s="1" t="s">
        <v>43</v>
      </c>
      <c r="E778" s="1" t="s">
        <v>43</v>
      </c>
      <c r="F778" s="1" t="s">
        <v>20</v>
      </c>
      <c r="G778" s="1" t="s">
        <v>13</v>
      </c>
      <c r="H778" s="4">
        <v>44732.377615740741</v>
      </c>
      <c r="I778" s="4">
        <v>45061.166226851848</v>
      </c>
      <c r="J778" s="1" t="s">
        <v>23</v>
      </c>
    </row>
    <row r="779" spans="1:10" ht="12.75" x14ac:dyDescent="0.2">
      <c r="A779" s="1" t="s">
        <v>63</v>
      </c>
      <c r="B779" s="3" t="str">
        <f>HYPERLINK("https://pegadaian.atlassian.net/browse/ITPROJECT-603?atlOrigin=eyJpIjoiYzgwYTQ0ZjEyNzQzNGJhN2JmNjEyZTM0NmRhZWZhNjIiLCJwIjoic2hlZXRzLWppcmEifQ","ITPROJECT-603")</f>
        <v>ITPROJECT-603</v>
      </c>
      <c r="C779" s="1" t="s">
        <v>906</v>
      </c>
      <c r="D779" s="1" t="s">
        <v>785</v>
      </c>
      <c r="E779" s="1" t="s">
        <v>785</v>
      </c>
      <c r="F779" s="1" t="s">
        <v>20</v>
      </c>
      <c r="G779" s="1" t="s">
        <v>68</v>
      </c>
      <c r="H779" s="4">
        <v>44722.582349537035</v>
      </c>
      <c r="I779" s="4">
        <v>45061.166319444441</v>
      </c>
      <c r="J779" s="1" t="s">
        <v>58</v>
      </c>
    </row>
    <row r="780" spans="1:10" ht="12.75" x14ac:dyDescent="0.2">
      <c r="A780" s="1" t="s">
        <v>63</v>
      </c>
      <c r="B780" s="3" t="str">
        <f>HYPERLINK("https://pegadaian.atlassian.net/browse/ITPROJECT-594?atlOrigin=eyJpIjoiYzgwYTQ0ZjEyNzQzNGJhN2JmNjEyZTM0NmRhZWZhNjIiLCJwIjoic2hlZXRzLWppcmEifQ","ITPROJECT-594")</f>
        <v>ITPROJECT-594</v>
      </c>
      <c r="C780" s="1" t="s">
        <v>907</v>
      </c>
      <c r="D780" s="1" t="s">
        <v>42</v>
      </c>
      <c r="E780" s="1" t="s">
        <v>42</v>
      </c>
      <c r="F780" s="1" t="s">
        <v>20</v>
      </c>
      <c r="G780" s="1" t="s">
        <v>13</v>
      </c>
      <c r="H780" s="4">
        <v>44720.62841435185</v>
      </c>
      <c r="I780" s="4">
        <v>45061.166377314818</v>
      </c>
      <c r="J780" s="1" t="s">
        <v>15</v>
      </c>
    </row>
    <row r="781" spans="1:10" ht="12.75" x14ac:dyDescent="0.2">
      <c r="A781" s="1" t="s">
        <v>63</v>
      </c>
      <c r="B781" s="3" t="str">
        <f>HYPERLINK("https://pegadaian.atlassian.net/browse/ITPROJECT-559?atlOrigin=eyJpIjoiYzgwYTQ0ZjEyNzQzNGJhN2JmNjEyZTM0NmRhZWZhNjIiLCJwIjoic2hlZXRzLWppcmEifQ","ITPROJECT-559")</f>
        <v>ITPROJECT-559</v>
      </c>
      <c r="C781" s="1" t="s">
        <v>908</v>
      </c>
      <c r="D781" s="1" t="s">
        <v>50</v>
      </c>
      <c r="E781" s="1" t="s">
        <v>50</v>
      </c>
      <c r="F781" s="1" t="s">
        <v>20</v>
      </c>
      <c r="G781" s="1" t="s">
        <v>68</v>
      </c>
      <c r="H781" s="4">
        <v>44699.389907407407</v>
      </c>
      <c r="I781" s="4">
        <v>45061.166585648149</v>
      </c>
      <c r="J781" s="1" t="s">
        <v>39</v>
      </c>
    </row>
    <row r="782" spans="1:10" ht="12.75" x14ac:dyDescent="0.2">
      <c r="A782" s="1" t="s">
        <v>63</v>
      </c>
      <c r="B782" s="3" t="str">
        <f>HYPERLINK("https://pegadaian.atlassian.net/browse/ITPROJECT-556?atlOrigin=eyJpIjoiYzgwYTQ0ZjEyNzQzNGJhN2JmNjEyZTM0NmRhZWZhNjIiLCJwIjoic2hlZXRzLWppcmEifQ","ITPROJECT-556")</f>
        <v>ITPROJECT-556</v>
      </c>
      <c r="C782" s="1" t="s">
        <v>909</v>
      </c>
      <c r="D782" s="1" t="s">
        <v>785</v>
      </c>
      <c r="E782" s="1" t="s">
        <v>785</v>
      </c>
      <c r="F782" s="1" t="s">
        <v>20</v>
      </c>
      <c r="G782" s="1" t="s">
        <v>13</v>
      </c>
      <c r="H782" s="4">
        <v>44698.469895833332</v>
      </c>
      <c r="I782" s="4">
        <v>45061.166608796295</v>
      </c>
      <c r="J782" s="1" t="s">
        <v>58</v>
      </c>
    </row>
    <row r="783" spans="1:10" ht="12.75" x14ac:dyDescent="0.2">
      <c r="A783" s="1" t="s">
        <v>63</v>
      </c>
      <c r="B783" s="3" t="str">
        <f>HYPERLINK("https://pegadaian.atlassian.net/browse/ITPROJECT-520?atlOrigin=eyJpIjoiYzgwYTQ0ZjEyNzQzNGJhN2JmNjEyZTM0NmRhZWZhNjIiLCJwIjoic2hlZXRzLWppcmEifQ","ITPROJECT-520")</f>
        <v>ITPROJECT-520</v>
      </c>
      <c r="C783" s="1" t="s">
        <v>910</v>
      </c>
      <c r="D783" s="1" t="s">
        <v>112</v>
      </c>
      <c r="E783" s="1" t="s">
        <v>112</v>
      </c>
      <c r="F783" s="1" t="s">
        <v>20</v>
      </c>
      <c r="G783" s="1" t="s">
        <v>68</v>
      </c>
      <c r="H783" s="4">
        <v>44676.381296296298</v>
      </c>
      <c r="I783" s="4">
        <v>45061.166851851849</v>
      </c>
      <c r="J783" s="1" t="s">
        <v>32</v>
      </c>
    </row>
    <row r="784" spans="1:10" ht="12.75" x14ac:dyDescent="0.2">
      <c r="A784" s="1" t="s">
        <v>63</v>
      </c>
      <c r="B784" s="3" t="str">
        <f>HYPERLINK("https://pegadaian.atlassian.net/browse/ITPROJECT-457?atlOrigin=eyJpIjoiYzgwYTQ0ZjEyNzQzNGJhN2JmNjEyZTM0NmRhZWZhNjIiLCJwIjoic2hlZXRzLWppcmEifQ","ITPROJECT-457")</f>
        <v>ITPROJECT-457</v>
      </c>
      <c r="C784" s="1" t="s">
        <v>695</v>
      </c>
      <c r="D784" s="1" t="s">
        <v>696</v>
      </c>
      <c r="E784" s="1" t="s">
        <v>696</v>
      </c>
      <c r="F784" s="1" t="s">
        <v>20</v>
      </c>
      <c r="G784" s="1" t="s">
        <v>13</v>
      </c>
      <c r="H784" s="4">
        <v>44656.412187499998</v>
      </c>
      <c r="I784" s="4">
        <v>45061.167199074072</v>
      </c>
      <c r="J784" s="1" t="s">
        <v>27</v>
      </c>
    </row>
    <row r="785" spans="1:10" ht="12.75" x14ac:dyDescent="0.2">
      <c r="A785" s="1" t="s">
        <v>63</v>
      </c>
      <c r="B785" s="3" t="str">
        <f>HYPERLINK("https://pegadaian.atlassian.net/browse/ITPROJECT-444?atlOrigin=eyJpIjoiYzgwYTQ0ZjEyNzQzNGJhN2JmNjEyZTM0NmRhZWZhNjIiLCJwIjoic2hlZXRzLWppcmEifQ","ITPROJECT-444")</f>
        <v>ITPROJECT-444</v>
      </c>
      <c r="C785" s="1" t="s">
        <v>911</v>
      </c>
      <c r="D785" s="1" t="s">
        <v>50</v>
      </c>
      <c r="E785" s="1" t="s">
        <v>50</v>
      </c>
      <c r="F785" s="1" t="s">
        <v>20</v>
      </c>
      <c r="G785" s="1" t="s">
        <v>68</v>
      </c>
      <c r="H785" s="4">
        <v>44655.426377314812</v>
      </c>
      <c r="I785" s="4">
        <v>45061.167268518519</v>
      </c>
      <c r="J785" s="1" t="s">
        <v>39</v>
      </c>
    </row>
    <row r="786" spans="1:10" ht="12.75" x14ac:dyDescent="0.2">
      <c r="A786" s="1" t="s">
        <v>63</v>
      </c>
      <c r="B786" s="3" t="str">
        <f>HYPERLINK("https://pegadaian.atlassian.net/browse/ITPROJECT-437?atlOrigin=eyJpIjoiYzgwYTQ0ZjEyNzQzNGJhN2JmNjEyZTM0NmRhZWZhNjIiLCJwIjoic2hlZXRzLWppcmEifQ","ITPROJECT-437")</f>
        <v>ITPROJECT-437</v>
      </c>
      <c r="C786" s="1" t="s">
        <v>912</v>
      </c>
      <c r="D786" s="1" t="s">
        <v>785</v>
      </c>
      <c r="E786" s="1" t="s">
        <v>785</v>
      </c>
      <c r="F786" s="1" t="s">
        <v>20</v>
      </c>
      <c r="G786" s="1" t="s">
        <v>68</v>
      </c>
      <c r="H786" s="4">
        <v>44652.410266203704</v>
      </c>
      <c r="I786" s="4">
        <v>45061.167303240742</v>
      </c>
      <c r="J786" s="1" t="s">
        <v>58</v>
      </c>
    </row>
    <row r="787" spans="1:10" ht="12.75" x14ac:dyDescent="0.2">
      <c r="A787" s="1" t="s">
        <v>63</v>
      </c>
      <c r="B787" s="3" t="str">
        <f>HYPERLINK("https://pegadaian.atlassian.net/browse/ITPROJECT-429?atlOrigin=eyJpIjoiYzgwYTQ0ZjEyNzQzNGJhN2JmNjEyZTM0NmRhZWZhNjIiLCJwIjoic2hlZXRzLWppcmEifQ","ITPROJECT-429")</f>
        <v>ITPROJECT-429</v>
      </c>
      <c r="C787" s="1" t="s">
        <v>913</v>
      </c>
      <c r="D787" s="1" t="s">
        <v>25</v>
      </c>
      <c r="E787" s="1" t="s">
        <v>25</v>
      </c>
      <c r="F787" s="1" t="s">
        <v>20</v>
      </c>
      <c r="G787" s="1" t="s">
        <v>13</v>
      </c>
      <c r="H787" s="4">
        <v>44651.426226851851</v>
      </c>
      <c r="I787" s="4">
        <v>45061.167349537034</v>
      </c>
      <c r="J787" s="1" t="s">
        <v>715</v>
      </c>
    </row>
    <row r="788" spans="1:10" ht="12.75" x14ac:dyDescent="0.2">
      <c r="A788" s="1" t="s">
        <v>63</v>
      </c>
      <c r="B788" s="3" t="str">
        <f>HYPERLINK("https://pegadaian.atlassian.net/browse/ITPROJECT-293?atlOrigin=eyJpIjoiYzgwYTQ0ZjEyNzQzNGJhN2JmNjEyZTM0NmRhZWZhNjIiLCJwIjoic2hlZXRzLWppcmEifQ","ITPROJECT-293")</f>
        <v>ITPROJECT-293</v>
      </c>
      <c r="C788" s="1" t="s">
        <v>914</v>
      </c>
      <c r="D788" s="1" t="s">
        <v>50</v>
      </c>
      <c r="E788" s="1" t="s">
        <v>50</v>
      </c>
      <c r="F788" s="1" t="s">
        <v>20</v>
      </c>
      <c r="G788" s="1" t="s">
        <v>13</v>
      </c>
      <c r="H788" s="4">
        <v>44617.810046296298</v>
      </c>
      <c r="I788" s="4">
        <v>45061.168043981481</v>
      </c>
      <c r="J788" s="1" t="s">
        <v>915</v>
      </c>
    </row>
    <row r="789" spans="1:10" ht="12.75" x14ac:dyDescent="0.2">
      <c r="A789" s="1" t="s">
        <v>63</v>
      </c>
      <c r="B789" s="3" t="str">
        <f>HYPERLINK("https://pegadaian.atlassian.net/browse/ITPROJECT-269?atlOrigin=eyJpIjoiYzgwYTQ0ZjEyNzQzNGJhN2JmNjEyZTM0NmRhZWZhNjIiLCJwIjoic2hlZXRzLWppcmEifQ","ITPROJECT-269")</f>
        <v>ITPROJECT-269</v>
      </c>
      <c r="C789" s="1" t="s">
        <v>916</v>
      </c>
      <c r="D789" s="1" t="s">
        <v>424</v>
      </c>
      <c r="E789" s="1" t="s">
        <v>696</v>
      </c>
      <c r="F789" s="1" t="s">
        <v>20</v>
      </c>
      <c r="G789" s="1" t="s">
        <v>13</v>
      </c>
      <c r="H789" s="4">
        <v>44613.746527777781</v>
      </c>
      <c r="I789" s="4">
        <v>45061.168171296296</v>
      </c>
      <c r="J789" s="1" t="s">
        <v>27</v>
      </c>
    </row>
    <row r="790" spans="1:10" ht="12.75" x14ac:dyDescent="0.2">
      <c r="A790" s="1" t="s">
        <v>117</v>
      </c>
      <c r="B790" s="3" t="str">
        <f>HYPERLINK("https://pegadaian.atlassian.net/browse/ITPROJECT-267?atlOrigin=eyJpIjoiYzgwYTQ0ZjEyNzQzNGJhN2JmNjEyZTM0NmRhZWZhNjIiLCJwIjoic2hlZXRzLWppcmEifQ","ITPROJECT-267")</f>
        <v>ITPROJECT-267</v>
      </c>
      <c r="C790" s="1" t="s">
        <v>917</v>
      </c>
      <c r="D790" s="1" t="s">
        <v>424</v>
      </c>
      <c r="E790" s="1" t="s">
        <v>696</v>
      </c>
      <c r="F790" s="1" t="s">
        <v>20</v>
      </c>
      <c r="G790" s="1" t="s">
        <v>13</v>
      </c>
      <c r="H790" s="4">
        <v>44614.37128472222</v>
      </c>
      <c r="I790" s="4">
        <v>45061.168182870373</v>
      </c>
      <c r="J790" s="1" t="s">
        <v>27</v>
      </c>
    </row>
    <row r="791" spans="1:10" ht="12.75" x14ac:dyDescent="0.2">
      <c r="A791" s="1" t="s">
        <v>63</v>
      </c>
      <c r="B791" s="3" t="str">
        <f>HYPERLINK("https://pegadaian.atlassian.net/browse/ITPROJECT-253?atlOrigin=eyJpIjoiYzgwYTQ0ZjEyNzQzNGJhN2JmNjEyZTM0NmRhZWZhNjIiLCJwIjoic2hlZXRzLWppcmEifQ","ITPROJECT-253")</f>
        <v>ITPROJECT-253</v>
      </c>
      <c r="C791" s="1" t="s">
        <v>918</v>
      </c>
      <c r="D791" s="1" t="s">
        <v>25</v>
      </c>
      <c r="E791" s="1" t="s">
        <v>25</v>
      </c>
      <c r="F791" s="1" t="s">
        <v>20</v>
      </c>
      <c r="G791" s="1" t="s">
        <v>13</v>
      </c>
      <c r="H791" s="4">
        <v>44607.597303240742</v>
      </c>
      <c r="I791" s="4">
        <v>45061.168263888889</v>
      </c>
      <c r="J791" s="1" t="s">
        <v>26</v>
      </c>
    </row>
    <row r="792" spans="1:10" ht="12.75" x14ac:dyDescent="0.2">
      <c r="A792" s="1" t="s">
        <v>63</v>
      </c>
      <c r="B792" s="3" t="str">
        <f>HYPERLINK("https://pegadaian.atlassian.net/browse/ITPROJECT-230?atlOrigin=eyJpIjoiYzgwYTQ0ZjEyNzQzNGJhN2JmNjEyZTM0NmRhZWZhNjIiLCJwIjoic2hlZXRzLWppcmEifQ","ITPROJECT-230")</f>
        <v>ITPROJECT-230</v>
      </c>
      <c r="C792" s="1" t="s">
        <v>919</v>
      </c>
      <c r="D792" s="1" t="s">
        <v>50</v>
      </c>
      <c r="E792" s="1" t="s">
        <v>79</v>
      </c>
      <c r="F792" s="1" t="s">
        <v>20</v>
      </c>
      <c r="G792" s="1" t="s">
        <v>68</v>
      </c>
      <c r="H792" s="4">
        <v>44599.681180555555</v>
      </c>
      <c r="I792" s="4">
        <v>45061.168414351851</v>
      </c>
      <c r="J792" s="1" t="s">
        <v>39</v>
      </c>
    </row>
    <row r="793" spans="1:10" ht="12.75" x14ac:dyDescent="0.2">
      <c r="A793" s="1" t="s">
        <v>63</v>
      </c>
      <c r="B793" s="3" t="str">
        <f>HYPERLINK("https://pegadaian.atlassian.net/browse/ITPROJECT-214?atlOrigin=eyJpIjoiYzgwYTQ0ZjEyNzQzNGJhN2JmNjEyZTM0NmRhZWZhNjIiLCJwIjoic2hlZXRzLWppcmEifQ","ITPROJECT-214")</f>
        <v>ITPROJECT-214</v>
      </c>
      <c r="C793" s="1" t="s">
        <v>869</v>
      </c>
      <c r="D793" s="1" t="s">
        <v>115</v>
      </c>
      <c r="E793" s="1" t="s">
        <v>115</v>
      </c>
      <c r="F793" s="1" t="s">
        <v>20</v>
      </c>
      <c r="G793" s="1" t="s">
        <v>13</v>
      </c>
      <c r="H793" s="4">
        <v>44595.454375000001</v>
      </c>
      <c r="I793" s="4">
        <v>45061.168506944443</v>
      </c>
      <c r="J793" s="1" t="s">
        <v>737</v>
      </c>
    </row>
    <row r="794" spans="1:10" ht="12.75" x14ac:dyDescent="0.2">
      <c r="A794" s="1" t="s">
        <v>63</v>
      </c>
      <c r="B794" s="3" t="str">
        <f>HYPERLINK("https://pegadaian.atlassian.net/browse/ITPROJECT-205?atlOrigin=eyJpIjoiYzgwYTQ0ZjEyNzQzNGJhN2JmNjEyZTM0NmRhZWZhNjIiLCJwIjoic2hlZXRzLWppcmEifQ","ITPROJECT-205")</f>
        <v>ITPROJECT-205</v>
      </c>
      <c r="C794" s="1" t="s">
        <v>920</v>
      </c>
      <c r="D794" s="1" t="s">
        <v>22</v>
      </c>
      <c r="E794" s="1" t="s">
        <v>112</v>
      </c>
      <c r="F794" s="1" t="s">
        <v>20</v>
      </c>
      <c r="G794" s="1" t="s">
        <v>13</v>
      </c>
      <c r="H794" s="4">
        <v>44592.353043981479</v>
      </c>
      <c r="I794" s="4">
        <v>45061.168564814812</v>
      </c>
      <c r="J794" s="1" t="s">
        <v>23</v>
      </c>
    </row>
    <row r="795" spans="1:10" ht="12.75" x14ac:dyDescent="0.2">
      <c r="A795" s="1" t="s">
        <v>63</v>
      </c>
      <c r="B795" s="3" t="str">
        <f>HYPERLINK("https://pegadaian.atlassian.net/browse/ITPROJECT-185?atlOrigin=eyJpIjoiYzgwYTQ0ZjEyNzQzNGJhN2JmNjEyZTM0NmRhZWZhNjIiLCJwIjoic2hlZXRzLWppcmEifQ","ITPROJECT-185")</f>
        <v>ITPROJECT-185</v>
      </c>
      <c r="C795" s="1" t="s">
        <v>921</v>
      </c>
      <c r="D795" s="1" t="s">
        <v>25</v>
      </c>
      <c r="E795" s="1" t="s">
        <v>25</v>
      </c>
      <c r="F795" s="1" t="s">
        <v>20</v>
      </c>
      <c r="G795" s="1" t="s">
        <v>13</v>
      </c>
      <c r="H795" s="4">
        <v>44565.427291666667</v>
      </c>
      <c r="I795" s="4">
        <v>45061.168692129628</v>
      </c>
      <c r="J795" s="1" t="s">
        <v>26</v>
      </c>
    </row>
    <row r="796" spans="1:10" ht="12.75" x14ac:dyDescent="0.2">
      <c r="A796" s="1" t="s">
        <v>117</v>
      </c>
      <c r="B796" s="3" t="str">
        <f>HYPERLINK("https://pegadaian.atlassian.net/browse/ITPROJECT-184?atlOrigin=eyJpIjoiYzgwYTQ0ZjEyNzQzNGJhN2JmNjEyZTM0NmRhZWZhNjIiLCJwIjoic2hlZXRzLWppcmEifQ","ITPROJECT-184")</f>
        <v>ITPROJECT-184</v>
      </c>
      <c r="C796" s="1" t="s">
        <v>922</v>
      </c>
      <c r="D796" s="1" t="s">
        <v>25</v>
      </c>
      <c r="E796" s="1" t="s">
        <v>25</v>
      </c>
      <c r="F796" s="1" t="s">
        <v>20</v>
      </c>
      <c r="G796" s="1" t="s">
        <v>13</v>
      </c>
      <c r="H796" s="4">
        <v>44581.439930555556</v>
      </c>
      <c r="I796" s="4">
        <v>45061.168692129628</v>
      </c>
      <c r="J796" s="1" t="s">
        <v>26</v>
      </c>
    </row>
    <row r="797" spans="1:10" ht="12.75" x14ac:dyDescent="0.2">
      <c r="A797" s="1" t="s">
        <v>63</v>
      </c>
      <c r="B797" s="3" t="str">
        <f>HYPERLINK("https://pegadaian.atlassian.net/browse/ITPROJECT-183?atlOrigin=eyJpIjoiYzgwYTQ0ZjEyNzQzNGJhN2JmNjEyZTM0NmRhZWZhNjIiLCJwIjoic2hlZXRzLWppcmEifQ","ITPROJECT-183")</f>
        <v>ITPROJECT-183</v>
      </c>
      <c r="C797" s="1" t="s">
        <v>923</v>
      </c>
      <c r="D797" s="1" t="s">
        <v>25</v>
      </c>
      <c r="E797" s="1" t="s">
        <v>25</v>
      </c>
      <c r="F797" s="1" t="s">
        <v>20</v>
      </c>
      <c r="G797" s="1" t="s">
        <v>76</v>
      </c>
      <c r="H797" s="4">
        <v>44565.429907407408</v>
      </c>
      <c r="I797" s="4">
        <v>45061.168703703705</v>
      </c>
      <c r="J797" s="1" t="s">
        <v>26</v>
      </c>
    </row>
    <row r="798" spans="1:10" ht="12.75" x14ac:dyDescent="0.2">
      <c r="A798" s="1" t="s">
        <v>117</v>
      </c>
      <c r="B798" s="3" t="str">
        <f>HYPERLINK("https://pegadaian.atlassian.net/browse/ITPROJECT-182?atlOrigin=eyJpIjoiYzgwYTQ0ZjEyNzQzNGJhN2JmNjEyZTM0NmRhZWZhNjIiLCJwIjoic2hlZXRzLWppcmEifQ","ITPROJECT-182")</f>
        <v>ITPROJECT-182</v>
      </c>
      <c r="C798" s="1" t="s">
        <v>924</v>
      </c>
      <c r="D798" s="1" t="s">
        <v>25</v>
      </c>
      <c r="E798" s="1" t="s">
        <v>25</v>
      </c>
      <c r="F798" s="1" t="s">
        <v>20</v>
      </c>
      <c r="G798" s="1" t="s">
        <v>76</v>
      </c>
      <c r="H798" s="4">
        <v>44581.436643518522</v>
      </c>
      <c r="I798" s="4">
        <v>45061.168703703705</v>
      </c>
      <c r="J798" s="1" t="s">
        <v>26</v>
      </c>
    </row>
    <row r="799" spans="1:10" ht="12.75" x14ac:dyDescent="0.2">
      <c r="A799" s="1" t="s">
        <v>63</v>
      </c>
      <c r="B799" s="3" t="str">
        <f>HYPERLINK("https://pegadaian.atlassian.net/browse/ITPROJECT-159?atlOrigin=eyJpIjoiYzgwYTQ0ZjEyNzQzNGJhN2JmNjEyZTM0NmRhZWZhNjIiLCJwIjoic2hlZXRzLWppcmEifQ","ITPROJECT-159")</f>
        <v>ITPROJECT-159</v>
      </c>
      <c r="C799" s="1" t="s">
        <v>925</v>
      </c>
      <c r="D799" s="1" t="s">
        <v>25</v>
      </c>
      <c r="E799" s="1" t="s">
        <v>25</v>
      </c>
      <c r="F799" s="1" t="s">
        <v>20</v>
      </c>
      <c r="G799" s="1" t="s">
        <v>13</v>
      </c>
      <c r="H799" s="4">
        <v>44460.571469907409</v>
      </c>
      <c r="I799" s="4">
        <v>45061.168854166666</v>
      </c>
      <c r="J799" s="1" t="s">
        <v>26</v>
      </c>
    </row>
    <row r="800" spans="1:10" ht="12.75" x14ac:dyDescent="0.2">
      <c r="A800" s="1" t="s">
        <v>117</v>
      </c>
      <c r="B800" s="3" t="str">
        <f>HYPERLINK("https://pegadaian.atlassian.net/browse/ITPROJECT-147?atlOrigin=eyJpIjoiYzgwYTQ0ZjEyNzQzNGJhN2JmNjEyZTM0NmRhZWZhNjIiLCJwIjoic2hlZXRzLWppcmEifQ","ITPROJECT-147")</f>
        <v>ITPROJECT-147</v>
      </c>
      <c r="C800" s="1" t="s">
        <v>926</v>
      </c>
      <c r="D800" s="1" t="s">
        <v>25</v>
      </c>
      <c r="E800" s="1" t="s">
        <v>25</v>
      </c>
      <c r="F800" s="1" t="s">
        <v>20</v>
      </c>
      <c r="G800" s="1" t="s">
        <v>13</v>
      </c>
      <c r="H800" s="4">
        <v>44580.683333333334</v>
      </c>
      <c r="I800" s="4">
        <v>45061.168935185182</v>
      </c>
      <c r="J800" s="1" t="s">
        <v>26</v>
      </c>
    </row>
    <row r="801" spans="1:10" ht="12.75" x14ac:dyDescent="0.2">
      <c r="A801" s="1" t="s">
        <v>117</v>
      </c>
      <c r="B801" s="3" t="str">
        <f>HYPERLINK("https://pegadaian.atlassian.net/browse/ITPROJECT-143?atlOrigin=eyJpIjoiYzgwYTQ0ZjEyNzQzNGJhN2JmNjEyZTM0NmRhZWZhNjIiLCJwIjoic2hlZXRzLWppcmEifQ","ITPROJECT-143")</f>
        <v>ITPROJECT-143</v>
      </c>
      <c r="C801" s="1" t="s">
        <v>927</v>
      </c>
      <c r="D801" s="1" t="s">
        <v>25</v>
      </c>
      <c r="E801" s="1" t="s">
        <v>25</v>
      </c>
      <c r="F801" s="1" t="s">
        <v>20</v>
      </c>
      <c r="G801" s="1" t="s">
        <v>13</v>
      </c>
      <c r="H801" s="4">
        <v>44580.683067129627</v>
      </c>
      <c r="I801" s="4">
        <v>45061.168958333335</v>
      </c>
      <c r="J801" s="1" t="s">
        <v>26</v>
      </c>
    </row>
    <row r="802" spans="1:10" ht="12.75" x14ac:dyDescent="0.2">
      <c r="A802" s="1" t="s">
        <v>63</v>
      </c>
      <c r="B802" s="3" t="str">
        <f>HYPERLINK("https://pegadaian.atlassian.net/browse/ITPROJECT-126?atlOrigin=eyJpIjoiYzgwYTQ0ZjEyNzQzNGJhN2JmNjEyZTM0NmRhZWZhNjIiLCJwIjoic2hlZXRzLWppcmEifQ","ITPROJECT-126")</f>
        <v>ITPROJECT-126</v>
      </c>
      <c r="C802" s="1" t="s">
        <v>928</v>
      </c>
      <c r="D802" s="1" t="s">
        <v>785</v>
      </c>
      <c r="E802" s="1" t="s">
        <v>119</v>
      </c>
      <c r="F802" s="1" t="s">
        <v>20</v>
      </c>
      <c r="G802" s="1" t="s">
        <v>13</v>
      </c>
      <c r="H802" s="4">
        <v>44568.71303240741</v>
      </c>
      <c r="I802" s="4">
        <v>45061.169074074074</v>
      </c>
      <c r="J802" s="1" t="s">
        <v>58</v>
      </c>
    </row>
    <row r="803" spans="1:10" ht="12.75" x14ac:dyDescent="0.2">
      <c r="A803" s="1" t="s">
        <v>117</v>
      </c>
      <c r="B803" s="3" t="str">
        <f>HYPERLINK("https://pegadaian.atlassian.net/browse/ITPROJECT-102?atlOrigin=eyJpIjoiYzgwYTQ0ZjEyNzQzNGJhN2JmNjEyZTM0NmRhZWZhNjIiLCJwIjoic2hlZXRzLWppcmEifQ","ITPROJECT-102")</f>
        <v>ITPROJECT-102</v>
      </c>
      <c r="C803" s="1" t="s">
        <v>929</v>
      </c>
      <c r="D803" s="1" t="s">
        <v>112</v>
      </c>
      <c r="E803" s="1" t="s">
        <v>112</v>
      </c>
      <c r="F803" s="1" t="s">
        <v>20</v>
      </c>
      <c r="G803" s="1" t="s">
        <v>213</v>
      </c>
      <c r="H803" s="4">
        <v>44516.598425925928</v>
      </c>
      <c r="I803" s="4">
        <v>45061.16920138889</v>
      </c>
      <c r="J803" s="1" t="s">
        <v>23</v>
      </c>
    </row>
    <row r="804" spans="1:10" ht="12.75" x14ac:dyDescent="0.2">
      <c r="A804" s="1" t="s">
        <v>117</v>
      </c>
      <c r="B804" s="3" t="str">
        <f>HYPERLINK("https://pegadaian.atlassian.net/browse/ITPROJECT-1444?atlOrigin=eyJpIjoiYzgwYTQ0ZjEyNzQzNGJhN2JmNjEyZTM0NmRhZWZhNjIiLCJwIjoic2hlZXRzLWppcmEifQ","ITPROJECT-1444")</f>
        <v>ITPROJECT-1444</v>
      </c>
      <c r="C804" s="1" t="s">
        <v>930</v>
      </c>
      <c r="D804" s="1" t="s">
        <v>65</v>
      </c>
      <c r="E804" s="1" t="s">
        <v>122</v>
      </c>
      <c r="F804" s="1" t="s">
        <v>47</v>
      </c>
      <c r="G804" s="1" t="s">
        <v>120</v>
      </c>
      <c r="H804" s="4">
        <v>45058.391365740739</v>
      </c>
      <c r="I804" s="4">
        <v>45061.160925925928</v>
      </c>
      <c r="J804" s="1" t="s">
        <v>54</v>
      </c>
    </row>
    <row r="805" spans="1:10" ht="12.75" x14ac:dyDescent="0.2">
      <c r="A805" s="1" t="s">
        <v>117</v>
      </c>
      <c r="B805" s="3" t="str">
        <f>HYPERLINK("https://pegadaian.atlassian.net/browse/ITPROJECT-1443?atlOrigin=eyJpIjoiYzgwYTQ0ZjEyNzQzNGJhN2JmNjEyZTM0NmRhZWZhNjIiLCJwIjoic2hlZXRzLWppcmEifQ","ITPROJECT-1443")</f>
        <v>ITPROJECT-1443</v>
      </c>
      <c r="C805" s="1" t="s">
        <v>931</v>
      </c>
      <c r="D805" s="1" t="s">
        <v>99</v>
      </c>
      <c r="E805" s="1" t="s">
        <v>122</v>
      </c>
      <c r="F805" s="1" t="s">
        <v>47</v>
      </c>
      <c r="G805" s="1" t="s">
        <v>120</v>
      </c>
      <c r="H805" s="4">
        <v>45057.456817129627</v>
      </c>
      <c r="I805" s="4">
        <v>45061.160937499997</v>
      </c>
      <c r="J805" s="1" t="s">
        <v>18</v>
      </c>
    </row>
    <row r="806" spans="1:10" ht="12.75" x14ac:dyDescent="0.2">
      <c r="A806" s="1" t="s">
        <v>117</v>
      </c>
      <c r="B806" s="3" t="str">
        <f>HYPERLINK("https://pegadaian.atlassian.net/browse/ITPROJECT-1442?atlOrigin=eyJpIjoiYzgwYTQ0ZjEyNzQzNGJhN2JmNjEyZTM0NmRhZWZhNjIiLCJwIjoic2hlZXRzLWppcmEifQ","ITPROJECT-1442")</f>
        <v>ITPROJECT-1442</v>
      </c>
      <c r="C806" s="1" t="s">
        <v>932</v>
      </c>
      <c r="D806" s="1" t="s">
        <v>25</v>
      </c>
      <c r="E806" s="1" t="s">
        <v>161</v>
      </c>
      <c r="F806" s="1" t="s">
        <v>47</v>
      </c>
      <c r="G806" s="1" t="s">
        <v>120</v>
      </c>
      <c r="H806" s="4">
        <v>45057.424293981479</v>
      </c>
      <c r="I806" s="4">
        <v>45061.160937499997</v>
      </c>
      <c r="J806" s="1" t="s">
        <v>26</v>
      </c>
    </row>
    <row r="807" spans="1:10" ht="12.75" x14ac:dyDescent="0.2">
      <c r="A807" s="1" t="s">
        <v>63</v>
      </c>
      <c r="B807" s="3" t="str">
        <f>HYPERLINK("https://pegadaian.atlassian.net/browse/ITPROJECT-1439?atlOrigin=eyJpIjoiYzgwYTQ0ZjEyNzQzNGJhN2JmNjEyZTM0NmRhZWZhNjIiLCJwIjoic2hlZXRzLWppcmEifQ","ITPROJECT-1439")</f>
        <v>ITPROJECT-1439</v>
      </c>
      <c r="C807" s="1" t="s">
        <v>933</v>
      </c>
      <c r="D807" s="1" t="s">
        <v>36</v>
      </c>
      <c r="E807" s="1" t="s">
        <v>36</v>
      </c>
      <c r="F807" s="1" t="s">
        <v>47</v>
      </c>
      <c r="G807" s="1" t="s">
        <v>72</v>
      </c>
      <c r="H807" s="4">
        <v>45056.406307870369</v>
      </c>
      <c r="I807" s="4">
        <v>45061.160960648151</v>
      </c>
      <c r="J807" s="1" t="s">
        <v>37</v>
      </c>
    </row>
    <row r="808" spans="1:10" ht="12.75" x14ac:dyDescent="0.2">
      <c r="A808" s="1" t="s">
        <v>117</v>
      </c>
      <c r="B808" s="3" t="str">
        <f>HYPERLINK("https://pegadaian.atlassian.net/browse/ITPROJECT-1438?atlOrigin=eyJpIjoiYzgwYTQ0ZjEyNzQzNGJhN2JmNjEyZTM0NmRhZWZhNjIiLCJwIjoic2hlZXRzLWppcmEifQ","ITPROJECT-1438")</f>
        <v>ITPROJECT-1438</v>
      </c>
      <c r="C808" s="1" t="s">
        <v>934</v>
      </c>
      <c r="D808" s="1" t="s">
        <v>36</v>
      </c>
      <c r="E808" s="1" t="s">
        <v>161</v>
      </c>
      <c r="F808" s="1" t="s">
        <v>47</v>
      </c>
      <c r="G808" s="1" t="s">
        <v>72</v>
      </c>
      <c r="H808" s="4">
        <v>45056.396412037036</v>
      </c>
      <c r="I808" s="4">
        <v>45061.160960648151</v>
      </c>
      <c r="J808" s="1" t="s">
        <v>37</v>
      </c>
    </row>
    <row r="809" spans="1:10" ht="12.75" x14ac:dyDescent="0.2">
      <c r="A809" s="1" t="s">
        <v>63</v>
      </c>
      <c r="B809" s="3" t="str">
        <f>HYPERLINK("https://pegadaian.atlassian.net/browse/ITPROJECT-1436?atlOrigin=eyJpIjoiYzgwYTQ0ZjEyNzQzNGJhN2JmNjEyZTM0NmRhZWZhNjIiLCJwIjoic2hlZXRzLWppcmEifQ","ITPROJECT-1436")</f>
        <v>ITPROJECT-1436</v>
      </c>
      <c r="C809" s="1" t="s">
        <v>935</v>
      </c>
      <c r="D809" s="1" t="s">
        <v>36</v>
      </c>
      <c r="E809" s="1" t="s">
        <v>36</v>
      </c>
      <c r="F809" s="1" t="s">
        <v>47</v>
      </c>
      <c r="G809" s="1" t="s">
        <v>66</v>
      </c>
      <c r="H809" s="4">
        <v>45055.671979166669</v>
      </c>
      <c r="I809" s="4">
        <v>45061.160983796297</v>
      </c>
      <c r="J809" s="1" t="s">
        <v>37</v>
      </c>
    </row>
    <row r="810" spans="1:10" ht="12.75" x14ac:dyDescent="0.2">
      <c r="A810" s="1" t="s">
        <v>117</v>
      </c>
      <c r="B810" s="3" t="str">
        <f>HYPERLINK("https://pegadaian.atlassian.net/browse/ITPROJECT-1435?atlOrigin=eyJpIjoiYzgwYTQ0ZjEyNzQzNGJhN2JmNjEyZTM0NmRhZWZhNjIiLCJwIjoic2hlZXRzLWppcmEifQ","ITPROJECT-1435")</f>
        <v>ITPROJECT-1435</v>
      </c>
      <c r="C810" s="1" t="s">
        <v>936</v>
      </c>
      <c r="D810" s="1" t="s">
        <v>36</v>
      </c>
      <c r="E810" s="1" t="s">
        <v>161</v>
      </c>
      <c r="F810" s="1" t="s">
        <v>47</v>
      </c>
      <c r="G810" s="1" t="s">
        <v>66</v>
      </c>
      <c r="H810" s="4">
        <v>45055.665694444448</v>
      </c>
      <c r="I810" s="4">
        <v>45061.160995370374</v>
      </c>
      <c r="J810" s="1" t="s">
        <v>37</v>
      </c>
    </row>
    <row r="811" spans="1:10" ht="12.75" x14ac:dyDescent="0.2">
      <c r="A811" s="1" t="s">
        <v>63</v>
      </c>
      <c r="B811" s="3" t="str">
        <f>HYPERLINK("https://pegadaian.atlassian.net/browse/ITPROJECT-1432?atlOrigin=eyJpIjoiYzgwYTQ0ZjEyNzQzNGJhN2JmNjEyZTM0NmRhZWZhNjIiLCJwIjoic2hlZXRzLWppcmEifQ","ITPROJECT-1432")</f>
        <v>ITPROJECT-1432</v>
      </c>
      <c r="C811" s="1" t="s">
        <v>937</v>
      </c>
      <c r="D811" s="1" t="s">
        <v>145</v>
      </c>
      <c r="E811" s="1" t="s">
        <v>145</v>
      </c>
      <c r="F811" s="1" t="s">
        <v>47</v>
      </c>
      <c r="G811" s="1" t="s">
        <v>66</v>
      </c>
      <c r="H811" s="4">
        <v>45055.584502314814</v>
      </c>
      <c r="I811" s="4">
        <v>45061.161006944443</v>
      </c>
      <c r="J811" s="1" t="s">
        <v>45</v>
      </c>
    </row>
    <row r="812" spans="1:10" ht="12.75" x14ac:dyDescent="0.2">
      <c r="A812" s="1" t="s">
        <v>117</v>
      </c>
      <c r="B812" s="3" t="str">
        <f>HYPERLINK("https://pegadaian.atlassian.net/browse/ITPROJECT-1431?atlOrigin=eyJpIjoiYzgwYTQ0ZjEyNzQzNGJhN2JmNjEyZTM0NmRhZWZhNjIiLCJwIjoic2hlZXRzLWppcmEifQ","ITPROJECT-1431")</f>
        <v>ITPROJECT-1431</v>
      </c>
      <c r="C812" s="1" t="s">
        <v>295</v>
      </c>
      <c r="D812" s="1" t="s">
        <v>25</v>
      </c>
      <c r="E812" s="1" t="s">
        <v>161</v>
      </c>
      <c r="F812" s="1" t="s">
        <v>47</v>
      </c>
      <c r="G812" s="1" t="s">
        <v>120</v>
      </c>
      <c r="H812" s="4">
        <v>45055.518888888888</v>
      </c>
      <c r="I812" s="4">
        <v>45061.16101851852</v>
      </c>
      <c r="J812" s="1" t="s">
        <v>26</v>
      </c>
    </row>
    <row r="813" spans="1:10" ht="12.75" x14ac:dyDescent="0.2">
      <c r="A813" s="1" t="s">
        <v>117</v>
      </c>
      <c r="B813" s="3" t="str">
        <f>HYPERLINK("https://pegadaian.atlassian.net/browse/ITPROJECT-1430?atlOrigin=eyJpIjoiYzgwYTQ0ZjEyNzQzNGJhN2JmNjEyZTM0NmRhZWZhNjIiLCJwIjoic2hlZXRzLWppcmEifQ","ITPROJECT-1430")</f>
        <v>ITPROJECT-1430</v>
      </c>
      <c r="C813" s="1" t="s">
        <v>938</v>
      </c>
      <c r="D813" s="1" t="s">
        <v>75</v>
      </c>
      <c r="E813" s="1" t="s">
        <v>130</v>
      </c>
      <c r="F813" s="1" t="s">
        <v>47</v>
      </c>
      <c r="G813" s="1" t="s">
        <v>120</v>
      </c>
      <c r="H813" s="4">
        <v>45055.485266203701</v>
      </c>
      <c r="I813" s="4">
        <v>45061.16101851852</v>
      </c>
      <c r="J813" s="1" t="s">
        <v>40</v>
      </c>
    </row>
    <row r="814" spans="1:10" ht="12.75" x14ac:dyDescent="0.2">
      <c r="A814" s="1" t="s">
        <v>117</v>
      </c>
      <c r="B814" s="3" t="str">
        <f>HYPERLINK("https://pegadaian.atlassian.net/browse/ITPROJECT-1428?atlOrigin=eyJpIjoiYzgwYTQ0ZjEyNzQzNGJhN2JmNjEyZTM0NmRhZWZhNjIiLCJwIjoic2hlZXRzLWppcmEifQ","ITPROJECT-1428")</f>
        <v>ITPROJECT-1428</v>
      </c>
      <c r="C814" s="1" t="s">
        <v>939</v>
      </c>
      <c r="D814" s="1" t="s">
        <v>55</v>
      </c>
      <c r="E814" s="1" t="s">
        <v>200</v>
      </c>
      <c r="F814" s="1" t="s">
        <v>47</v>
      </c>
      <c r="G814" s="1" t="s">
        <v>120</v>
      </c>
      <c r="H814" s="4">
        <v>45054.630648148152</v>
      </c>
      <c r="I814" s="4">
        <v>45061.161030092589</v>
      </c>
      <c r="J814" s="1" t="s">
        <v>29</v>
      </c>
    </row>
    <row r="815" spans="1:10" ht="12.75" x14ac:dyDescent="0.2">
      <c r="A815" s="1" t="s">
        <v>117</v>
      </c>
      <c r="B815" s="3" t="str">
        <f>HYPERLINK("https://pegadaian.atlassian.net/browse/ITPROJECT-1427?atlOrigin=eyJpIjoiYzgwYTQ0ZjEyNzQzNGJhN2JmNjEyZTM0NmRhZWZhNjIiLCJwIjoic2hlZXRzLWppcmEifQ","ITPROJECT-1427")</f>
        <v>ITPROJECT-1427</v>
      </c>
      <c r="C815" s="1" t="s">
        <v>940</v>
      </c>
      <c r="D815" s="1" t="s">
        <v>65</v>
      </c>
      <c r="E815" s="1" t="s">
        <v>122</v>
      </c>
      <c r="F815" s="1" t="s">
        <v>47</v>
      </c>
      <c r="G815" s="1" t="s">
        <v>120</v>
      </c>
      <c r="H815" s="4">
        <v>45054.556608796294</v>
      </c>
      <c r="I815" s="4">
        <v>45061.161041666666</v>
      </c>
      <c r="J815" s="1" t="s">
        <v>54</v>
      </c>
    </row>
    <row r="816" spans="1:10" ht="12.75" x14ac:dyDescent="0.2">
      <c r="A816" s="1" t="s">
        <v>63</v>
      </c>
      <c r="B816" s="3" t="str">
        <f>HYPERLINK("https://pegadaian.atlassian.net/browse/ITPROJECT-1425?atlOrigin=eyJpIjoiYzgwYTQ0ZjEyNzQzNGJhN2JmNjEyZTM0NmRhZWZhNjIiLCJwIjoic2hlZXRzLWppcmEifQ","ITPROJECT-1425")</f>
        <v>ITPROJECT-1425</v>
      </c>
      <c r="C816" s="1" t="s">
        <v>941</v>
      </c>
      <c r="D816" s="1" t="s">
        <v>168</v>
      </c>
      <c r="E816" s="1" t="s">
        <v>168</v>
      </c>
      <c r="F816" s="1" t="s">
        <v>47</v>
      </c>
      <c r="G816" s="1" t="s">
        <v>72</v>
      </c>
      <c r="H816" s="4">
        <v>45051.75849537037</v>
      </c>
      <c r="I816" s="4">
        <v>45061.161053240743</v>
      </c>
      <c r="J816" s="1" t="s">
        <v>35</v>
      </c>
    </row>
    <row r="817" spans="1:10" ht="12.75" x14ac:dyDescent="0.2">
      <c r="A817" s="1" t="s">
        <v>117</v>
      </c>
      <c r="B817" s="3" t="str">
        <f>HYPERLINK("https://pegadaian.atlassian.net/browse/ITPROJECT-1424?atlOrigin=eyJpIjoiYzgwYTQ0ZjEyNzQzNGJhN2JmNjEyZTM0NmRhZWZhNjIiLCJwIjoic2hlZXRzLWppcmEifQ","ITPROJECT-1424")</f>
        <v>ITPROJECT-1424</v>
      </c>
      <c r="C817" s="1" t="s">
        <v>942</v>
      </c>
      <c r="D817" s="1" t="s">
        <v>43</v>
      </c>
      <c r="E817" s="1" t="s">
        <v>130</v>
      </c>
      <c r="F817" s="1" t="s">
        <v>47</v>
      </c>
      <c r="G817" s="1" t="s">
        <v>120</v>
      </c>
      <c r="H817" s="4">
        <v>45050.703784722224</v>
      </c>
      <c r="I817" s="4">
        <v>45061.161064814813</v>
      </c>
      <c r="J817" s="1" t="s">
        <v>30</v>
      </c>
    </row>
    <row r="818" spans="1:10" ht="12.75" x14ac:dyDescent="0.2">
      <c r="A818" s="1" t="s">
        <v>117</v>
      </c>
      <c r="B818" s="3" t="str">
        <f>HYPERLINK("https://pegadaian.atlassian.net/browse/ITPROJECT-1423?atlOrigin=eyJpIjoiYzgwYTQ0ZjEyNzQzNGJhN2JmNjEyZTM0NmRhZWZhNjIiLCJwIjoic2hlZXRzLWppcmEifQ","ITPROJECT-1423")</f>
        <v>ITPROJECT-1423</v>
      </c>
      <c r="C818" s="1" t="s">
        <v>943</v>
      </c>
      <c r="D818" s="1" t="s">
        <v>43</v>
      </c>
      <c r="E818" s="1" t="s">
        <v>130</v>
      </c>
      <c r="F818" s="1" t="s">
        <v>47</v>
      </c>
      <c r="G818" s="1" t="s">
        <v>120</v>
      </c>
      <c r="H818" s="4">
        <v>45050.702175925922</v>
      </c>
      <c r="I818" s="4">
        <v>45061.161076388889</v>
      </c>
      <c r="J818" s="1" t="s">
        <v>30</v>
      </c>
    </row>
    <row r="819" spans="1:10" ht="12.75" x14ac:dyDescent="0.2">
      <c r="A819" s="1" t="s">
        <v>117</v>
      </c>
      <c r="B819" s="3" t="str">
        <f>HYPERLINK("https://pegadaian.atlassian.net/browse/ITPROJECT-1422?atlOrigin=eyJpIjoiYzgwYTQ0ZjEyNzQzNGJhN2JmNjEyZTM0NmRhZWZhNjIiLCJwIjoic2hlZXRzLWppcmEifQ","ITPROJECT-1422")</f>
        <v>ITPROJECT-1422</v>
      </c>
      <c r="C819" s="1" t="s">
        <v>944</v>
      </c>
      <c r="D819" s="1" t="s">
        <v>43</v>
      </c>
      <c r="E819" s="1" t="s">
        <v>130</v>
      </c>
      <c r="F819" s="1" t="s">
        <v>47</v>
      </c>
      <c r="G819" s="1" t="s">
        <v>120</v>
      </c>
      <c r="H819" s="4">
        <v>45050.698263888888</v>
      </c>
      <c r="I819" s="4">
        <v>45061.161076388889</v>
      </c>
      <c r="J819" s="1" t="s">
        <v>30</v>
      </c>
    </row>
    <row r="820" spans="1:10" ht="12.75" x14ac:dyDescent="0.2">
      <c r="A820" s="1" t="s">
        <v>117</v>
      </c>
      <c r="B820" s="3" t="str">
        <f>HYPERLINK("https://pegadaian.atlassian.net/browse/ITPROJECT-1421?atlOrigin=eyJpIjoiYzgwYTQ0ZjEyNzQzNGJhN2JmNjEyZTM0NmRhZWZhNjIiLCJwIjoic2hlZXRzLWppcmEifQ","ITPROJECT-1421")</f>
        <v>ITPROJECT-1421</v>
      </c>
      <c r="C820" s="1" t="s">
        <v>945</v>
      </c>
      <c r="D820" s="1" t="s">
        <v>56</v>
      </c>
      <c r="E820" s="1" t="s">
        <v>161</v>
      </c>
      <c r="F820" s="1" t="s">
        <v>47</v>
      </c>
      <c r="G820" s="1" t="s">
        <v>120</v>
      </c>
      <c r="H820" s="4">
        <v>45050.669571759259</v>
      </c>
      <c r="I820" s="4">
        <v>45061.161087962966</v>
      </c>
      <c r="J820" s="1" t="s">
        <v>11</v>
      </c>
    </row>
    <row r="821" spans="1:10" ht="12.75" x14ac:dyDescent="0.2">
      <c r="A821" s="1" t="s">
        <v>63</v>
      </c>
      <c r="B821" s="3" t="str">
        <f>HYPERLINK("https://pegadaian.atlassian.net/browse/ITPROJECT-1416?atlOrigin=eyJpIjoiYzgwYTQ0ZjEyNzQzNGJhN2JmNjEyZTM0NmRhZWZhNjIiLCJwIjoic2hlZXRzLWppcmEifQ","ITPROJECT-1416")</f>
        <v>ITPROJECT-1416</v>
      </c>
      <c r="C821" s="1" t="s">
        <v>946</v>
      </c>
      <c r="D821" s="1" t="s">
        <v>145</v>
      </c>
      <c r="E821" s="1" t="s">
        <v>145</v>
      </c>
      <c r="F821" s="1" t="s">
        <v>47</v>
      </c>
      <c r="G821" s="1" t="s">
        <v>72</v>
      </c>
      <c r="H821" s="4">
        <v>45050.429409722223</v>
      </c>
      <c r="I821" s="4">
        <v>45061.161111111112</v>
      </c>
      <c r="J821" s="1" t="s">
        <v>45</v>
      </c>
    </row>
    <row r="822" spans="1:10" ht="12.75" x14ac:dyDescent="0.2">
      <c r="A822" s="1" t="s">
        <v>63</v>
      </c>
      <c r="B822" s="3" t="str">
        <f>HYPERLINK("https://pegadaian.atlassian.net/browse/ITPROJECT-1414?atlOrigin=eyJpIjoiYzgwYTQ0ZjEyNzQzNGJhN2JmNjEyZTM0NmRhZWZhNjIiLCJwIjoic2hlZXRzLWppcmEifQ","ITPROJECT-1414")</f>
        <v>ITPROJECT-1414</v>
      </c>
      <c r="C822" s="1" t="s">
        <v>947</v>
      </c>
      <c r="D822" s="1" t="s">
        <v>50</v>
      </c>
      <c r="E822" s="1" t="s">
        <v>50</v>
      </c>
      <c r="F822" s="1" t="s">
        <v>47</v>
      </c>
      <c r="G822" s="1" t="s">
        <v>76</v>
      </c>
      <c r="H822" s="4">
        <v>45049.653101851851</v>
      </c>
      <c r="I822" s="4">
        <v>45061.161122685182</v>
      </c>
      <c r="J822" s="1" t="s">
        <v>39</v>
      </c>
    </row>
    <row r="823" spans="1:10" ht="12.75" x14ac:dyDescent="0.2">
      <c r="A823" s="1" t="s">
        <v>117</v>
      </c>
      <c r="B823" s="3" t="str">
        <f>HYPERLINK("https://pegadaian.atlassian.net/browse/ITPROJECT-1412?atlOrigin=eyJpIjoiYzgwYTQ0ZjEyNzQzNGJhN2JmNjEyZTM0NmRhZWZhNjIiLCJwIjoic2hlZXRzLWppcmEifQ","ITPROJECT-1412")</f>
        <v>ITPROJECT-1412</v>
      </c>
      <c r="C823" s="1" t="s">
        <v>948</v>
      </c>
      <c r="D823" s="1" t="s">
        <v>65</v>
      </c>
      <c r="E823" s="1" t="s">
        <v>122</v>
      </c>
      <c r="F823" s="1" t="s">
        <v>47</v>
      </c>
      <c r="G823" s="1" t="s">
        <v>120</v>
      </c>
      <c r="H823" s="4">
        <v>45049.568761574075</v>
      </c>
      <c r="I823" s="4">
        <v>45061.161145833335</v>
      </c>
      <c r="J823" s="1" t="s">
        <v>54</v>
      </c>
    </row>
    <row r="824" spans="1:10" ht="12.75" x14ac:dyDescent="0.2">
      <c r="A824" s="1" t="s">
        <v>117</v>
      </c>
      <c r="B824" s="3" t="str">
        <f>HYPERLINK("https://pegadaian.atlassian.net/browse/ITPROJECT-1410?atlOrigin=eyJpIjoiYzgwYTQ0ZjEyNzQzNGJhN2JmNjEyZTM0NmRhZWZhNjIiLCJwIjoic2hlZXRzLWppcmEifQ","ITPROJECT-1410")</f>
        <v>ITPROJECT-1410</v>
      </c>
      <c r="C824" s="1" t="s">
        <v>949</v>
      </c>
      <c r="D824" s="1" t="s">
        <v>65</v>
      </c>
      <c r="E824" s="1" t="s">
        <v>122</v>
      </c>
      <c r="F824" s="1" t="s">
        <v>47</v>
      </c>
      <c r="G824" s="1" t="s">
        <v>120</v>
      </c>
      <c r="H824" s="4">
        <v>45049.373530092591</v>
      </c>
      <c r="I824" s="4">
        <v>45061.161157407405</v>
      </c>
      <c r="J824" s="1" t="s">
        <v>54</v>
      </c>
    </row>
    <row r="825" spans="1:10" ht="12.75" x14ac:dyDescent="0.2">
      <c r="A825" s="1" t="s">
        <v>117</v>
      </c>
      <c r="B825" s="3" t="str">
        <f>HYPERLINK("https://pegadaian.atlassian.net/browse/ITPROJECT-1408?atlOrigin=eyJpIjoiYzgwYTQ0ZjEyNzQzNGJhN2JmNjEyZTM0NmRhZWZhNjIiLCJwIjoic2hlZXRzLWppcmEifQ","ITPROJECT-1408")</f>
        <v>ITPROJECT-1408</v>
      </c>
      <c r="C825" s="1" t="s">
        <v>950</v>
      </c>
      <c r="D825" s="1" t="s">
        <v>876</v>
      </c>
      <c r="E825" s="1" t="s">
        <v>161</v>
      </c>
      <c r="F825" s="1" t="s">
        <v>47</v>
      </c>
      <c r="G825" s="1" t="s">
        <v>120</v>
      </c>
      <c r="H825" s="4">
        <v>45048.632280092592</v>
      </c>
      <c r="I825" s="4">
        <v>45061.161180555559</v>
      </c>
      <c r="J825" s="1" t="s">
        <v>33</v>
      </c>
    </row>
    <row r="826" spans="1:10" ht="12.75" x14ac:dyDescent="0.2">
      <c r="A826" s="1" t="s">
        <v>117</v>
      </c>
      <c r="B826" s="3" t="str">
        <f>HYPERLINK("https://pegadaian.atlassian.net/browse/ITPROJECT-1407?atlOrigin=eyJpIjoiYzgwYTQ0ZjEyNzQzNGJhN2JmNjEyZTM0NmRhZWZhNjIiLCJwIjoic2hlZXRzLWppcmEifQ","ITPROJECT-1407")</f>
        <v>ITPROJECT-1407</v>
      </c>
      <c r="C826" s="1" t="s">
        <v>951</v>
      </c>
      <c r="D826" s="1" t="s">
        <v>876</v>
      </c>
      <c r="E826" s="1" t="s">
        <v>161</v>
      </c>
      <c r="F826" s="1" t="s">
        <v>47</v>
      </c>
      <c r="G826" s="1" t="s">
        <v>120</v>
      </c>
      <c r="H826" s="4">
        <v>45048.630023148151</v>
      </c>
      <c r="I826" s="4">
        <v>45061.161180555559</v>
      </c>
      <c r="J826" s="1" t="s">
        <v>33</v>
      </c>
    </row>
    <row r="827" spans="1:10" ht="12.75" x14ac:dyDescent="0.2">
      <c r="A827" s="1" t="s">
        <v>117</v>
      </c>
      <c r="B827" s="3" t="str">
        <f>HYPERLINK("https://pegadaian.atlassian.net/browse/ITPROJECT-1406?atlOrigin=eyJpIjoiYzgwYTQ0ZjEyNzQzNGJhN2JmNjEyZTM0NmRhZWZhNjIiLCJwIjoic2hlZXRzLWppcmEifQ","ITPROJECT-1406")</f>
        <v>ITPROJECT-1406</v>
      </c>
      <c r="C827" s="1" t="s">
        <v>952</v>
      </c>
      <c r="D827" s="1" t="s">
        <v>55</v>
      </c>
      <c r="E827" s="1" t="s">
        <v>161</v>
      </c>
      <c r="F827" s="1" t="s">
        <v>47</v>
      </c>
      <c r="G827" s="1" t="s">
        <v>120</v>
      </c>
      <c r="H827" s="4">
        <v>45048.618449074071</v>
      </c>
      <c r="I827" s="4">
        <v>45061.161192129628</v>
      </c>
      <c r="J827" s="1" t="s">
        <v>33</v>
      </c>
    </row>
    <row r="828" spans="1:10" ht="12.75" x14ac:dyDescent="0.2">
      <c r="A828" s="1" t="s">
        <v>117</v>
      </c>
      <c r="B828" s="3" t="str">
        <f>HYPERLINK("https://pegadaian.atlassian.net/browse/ITPROJECT-1405?atlOrigin=eyJpIjoiYzgwYTQ0ZjEyNzQzNGJhN2JmNjEyZTM0NmRhZWZhNjIiLCJwIjoic2hlZXRzLWppcmEifQ","ITPROJECT-1405")</f>
        <v>ITPROJECT-1405</v>
      </c>
      <c r="C828" s="1" t="s">
        <v>953</v>
      </c>
      <c r="D828" s="1" t="s">
        <v>25</v>
      </c>
      <c r="E828" s="1" t="s">
        <v>161</v>
      </c>
      <c r="F828" s="1" t="s">
        <v>47</v>
      </c>
      <c r="G828" s="1" t="s">
        <v>120</v>
      </c>
      <c r="H828" s="4">
        <v>45048.612951388888</v>
      </c>
      <c r="I828" s="4">
        <v>45061.161192129628</v>
      </c>
      <c r="J828" s="1" t="s">
        <v>26</v>
      </c>
    </row>
    <row r="829" spans="1:10" ht="12.75" x14ac:dyDescent="0.2">
      <c r="A829" s="1" t="s">
        <v>117</v>
      </c>
      <c r="B829" s="3" t="str">
        <f>HYPERLINK("https://pegadaian.atlassian.net/browse/ITPROJECT-1404?atlOrigin=eyJpIjoiYzgwYTQ0ZjEyNzQzNGJhN2JmNjEyZTM0NmRhZWZhNjIiLCJwIjoic2hlZXRzLWppcmEifQ","ITPROJECT-1404")</f>
        <v>ITPROJECT-1404</v>
      </c>
      <c r="C829" s="1" t="s">
        <v>954</v>
      </c>
      <c r="D829" s="1" t="s">
        <v>99</v>
      </c>
      <c r="E829" s="1" t="s">
        <v>122</v>
      </c>
      <c r="F829" s="1" t="s">
        <v>47</v>
      </c>
      <c r="G829" s="1" t="s">
        <v>120</v>
      </c>
      <c r="H829" s="4">
        <v>45048.599039351851</v>
      </c>
      <c r="I829" s="4">
        <v>45061.161203703705</v>
      </c>
      <c r="J829" s="1" t="s">
        <v>18</v>
      </c>
    </row>
    <row r="830" spans="1:10" ht="12.75" x14ac:dyDescent="0.2">
      <c r="A830" s="1" t="s">
        <v>117</v>
      </c>
      <c r="B830" s="3" t="str">
        <f>HYPERLINK("https://pegadaian.atlassian.net/browse/ITPROJECT-1403?atlOrigin=eyJpIjoiYzgwYTQ0ZjEyNzQzNGJhN2JmNjEyZTM0NmRhZWZhNjIiLCJwIjoic2hlZXRzLWppcmEifQ","ITPROJECT-1403")</f>
        <v>ITPROJECT-1403</v>
      </c>
      <c r="C830" s="1" t="s">
        <v>955</v>
      </c>
      <c r="D830" s="1" t="s">
        <v>56</v>
      </c>
      <c r="E830" s="1" t="s">
        <v>200</v>
      </c>
      <c r="F830" s="1" t="s">
        <v>47</v>
      </c>
      <c r="G830" s="1" t="s">
        <v>68</v>
      </c>
      <c r="H830" s="4">
        <v>45048.492303240739</v>
      </c>
      <c r="I830" s="4">
        <v>45061.161215277774</v>
      </c>
      <c r="J830" s="1" t="s">
        <v>52</v>
      </c>
    </row>
    <row r="831" spans="1:10" ht="12.75" x14ac:dyDescent="0.2">
      <c r="A831" s="1" t="s">
        <v>117</v>
      </c>
      <c r="B831" s="3" t="str">
        <f>HYPERLINK("https://pegadaian.atlassian.net/browse/ITPROJECT-1402?atlOrigin=eyJpIjoiYzgwYTQ0ZjEyNzQzNGJhN2JmNjEyZTM0NmRhZWZhNjIiLCJwIjoic2hlZXRzLWppcmEifQ","ITPROJECT-1402")</f>
        <v>ITPROJECT-1402</v>
      </c>
      <c r="C831" s="1" t="s">
        <v>956</v>
      </c>
      <c r="D831" s="1" t="s">
        <v>44</v>
      </c>
      <c r="E831" s="1" t="s">
        <v>119</v>
      </c>
      <c r="F831" s="1" t="s">
        <v>47</v>
      </c>
      <c r="G831" s="1" t="s">
        <v>72</v>
      </c>
      <c r="H831" s="4">
        <v>45048.415254629632</v>
      </c>
      <c r="I831" s="4">
        <v>45061.161215277774</v>
      </c>
      <c r="J831" s="1" t="s">
        <v>45</v>
      </c>
    </row>
    <row r="832" spans="1:10" ht="12.75" x14ac:dyDescent="0.2">
      <c r="A832" s="1" t="s">
        <v>117</v>
      </c>
      <c r="B832" s="3" t="str">
        <f>HYPERLINK("https://pegadaian.atlassian.net/browse/ITPROJECT-1401?atlOrigin=eyJpIjoiYzgwYTQ0ZjEyNzQzNGJhN2JmNjEyZTM0NmRhZWZhNjIiLCJwIjoic2hlZXRzLWppcmEifQ","ITPROJECT-1401")</f>
        <v>ITPROJECT-1401</v>
      </c>
      <c r="C832" s="1" t="s">
        <v>957</v>
      </c>
      <c r="D832" s="1" t="s">
        <v>44</v>
      </c>
      <c r="E832" s="1" t="s">
        <v>119</v>
      </c>
      <c r="F832" s="1" t="s">
        <v>47</v>
      </c>
      <c r="G832" s="1" t="s">
        <v>66</v>
      </c>
      <c r="H832" s="4">
        <v>45048.411921296298</v>
      </c>
      <c r="I832" s="4">
        <v>45061.161226851851</v>
      </c>
      <c r="J832" s="1" t="s">
        <v>45</v>
      </c>
    </row>
    <row r="833" spans="1:10" ht="12.75" x14ac:dyDescent="0.2">
      <c r="A833" s="1" t="s">
        <v>117</v>
      </c>
      <c r="B833" s="3" t="str">
        <f>HYPERLINK("https://pegadaian.atlassian.net/browse/ITPROJECT-1398?atlOrigin=eyJpIjoiYzgwYTQ0ZjEyNzQzNGJhN2JmNjEyZTM0NmRhZWZhNjIiLCJwIjoic2hlZXRzLWppcmEifQ","ITPROJECT-1398")</f>
        <v>ITPROJECT-1398</v>
      </c>
      <c r="C833" s="1" t="s">
        <v>958</v>
      </c>
      <c r="D833" s="1" t="s">
        <v>56</v>
      </c>
      <c r="E833" s="1" t="s">
        <v>200</v>
      </c>
      <c r="F833" s="1" t="s">
        <v>47</v>
      </c>
      <c r="G833" s="1" t="s">
        <v>72</v>
      </c>
      <c r="H833" s="4">
        <v>45044.570891203701</v>
      </c>
      <c r="I833" s="4">
        <v>45061.161238425928</v>
      </c>
      <c r="J833" s="1" t="s">
        <v>11</v>
      </c>
    </row>
    <row r="834" spans="1:10" ht="12.75" x14ac:dyDescent="0.2">
      <c r="A834" s="1" t="s">
        <v>117</v>
      </c>
      <c r="B834" s="3" t="str">
        <f>HYPERLINK("https://pegadaian.atlassian.net/browse/ITPROJECT-1393?atlOrigin=eyJpIjoiYzgwYTQ0ZjEyNzQzNGJhN2JmNjEyZTM0NmRhZWZhNjIiLCJwIjoic2hlZXRzLWppcmEifQ","ITPROJECT-1393")</f>
        <v>ITPROJECT-1393</v>
      </c>
      <c r="C834" s="1" t="s">
        <v>959</v>
      </c>
      <c r="D834" s="1" t="s">
        <v>79</v>
      </c>
      <c r="E834" s="1" t="s">
        <v>161</v>
      </c>
      <c r="F834" s="1" t="s">
        <v>47</v>
      </c>
      <c r="G834" s="1" t="s">
        <v>89</v>
      </c>
      <c r="H834" s="4">
        <v>45033.413923611108</v>
      </c>
      <c r="I834" s="4">
        <v>45061.161273148151</v>
      </c>
      <c r="J834" s="1" t="s">
        <v>80</v>
      </c>
    </row>
    <row r="835" spans="1:10" ht="12.75" x14ac:dyDescent="0.2">
      <c r="A835" s="1" t="s">
        <v>63</v>
      </c>
      <c r="B835" s="3" t="str">
        <f>HYPERLINK("https://pegadaian.atlassian.net/browse/ITPROJECT-1392?atlOrigin=eyJpIjoiYzgwYTQ0ZjEyNzQzNGJhN2JmNjEyZTM0NmRhZWZhNjIiLCJwIjoic2hlZXRzLWppcmEifQ","ITPROJECT-1392")</f>
        <v>ITPROJECT-1392</v>
      </c>
      <c r="C835" s="1" t="s">
        <v>960</v>
      </c>
      <c r="D835" s="1" t="s">
        <v>43</v>
      </c>
      <c r="E835" s="1" t="s">
        <v>43</v>
      </c>
      <c r="F835" s="1" t="s">
        <v>47</v>
      </c>
      <c r="G835" s="1" t="s">
        <v>72</v>
      </c>
      <c r="H835" s="4">
        <v>45029.720601851855</v>
      </c>
      <c r="I835" s="4">
        <v>45061.161273148151</v>
      </c>
      <c r="J835" s="1" t="s">
        <v>556</v>
      </c>
    </row>
    <row r="836" spans="1:10" ht="12.75" x14ac:dyDescent="0.2">
      <c r="A836" s="1" t="s">
        <v>63</v>
      </c>
      <c r="B836" s="3" t="str">
        <f>HYPERLINK("https://pegadaian.atlassian.net/browse/ITPROJECT-1389?atlOrigin=eyJpIjoiYzgwYTQ0ZjEyNzQzNGJhN2JmNjEyZTM0NmRhZWZhNjIiLCJwIjoic2hlZXRzLWppcmEifQ","ITPROJECT-1389")</f>
        <v>ITPROJECT-1389</v>
      </c>
      <c r="C836" s="1" t="s">
        <v>961</v>
      </c>
      <c r="D836" s="1" t="s">
        <v>93</v>
      </c>
      <c r="E836" s="1" t="s">
        <v>93</v>
      </c>
      <c r="F836" s="1" t="s">
        <v>47</v>
      </c>
      <c r="G836" s="1" t="s">
        <v>76</v>
      </c>
      <c r="H836" s="4">
        <v>45029.448599537034</v>
      </c>
      <c r="I836" s="4">
        <v>45061.161296296297</v>
      </c>
      <c r="J836" s="1" t="s">
        <v>15</v>
      </c>
    </row>
    <row r="837" spans="1:10" ht="12.75" x14ac:dyDescent="0.2">
      <c r="A837" s="1" t="s">
        <v>117</v>
      </c>
      <c r="B837" s="3" t="str">
        <f>HYPERLINK("https://pegadaian.atlassian.net/browse/ITPROJECT-1388?atlOrigin=eyJpIjoiYzgwYTQ0ZjEyNzQzNGJhN2JmNjEyZTM0NmRhZWZhNjIiLCJwIjoic2hlZXRzLWppcmEifQ","ITPROJECT-1388")</f>
        <v>ITPROJECT-1388</v>
      </c>
      <c r="C837" s="1" t="s">
        <v>962</v>
      </c>
      <c r="D837" s="1" t="s">
        <v>99</v>
      </c>
      <c r="E837" s="1" t="s">
        <v>122</v>
      </c>
      <c r="F837" s="1" t="s">
        <v>47</v>
      </c>
      <c r="G837" s="1" t="s">
        <v>120</v>
      </c>
      <c r="H837" s="4">
        <v>45029.401493055557</v>
      </c>
      <c r="I837" s="4">
        <v>45061.161307870374</v>
      </c>
      <c r="J837" s="1" t="s">
        <v>18</v>
      </c>
    </row>
    <row r="838" spans="1:10" ht="12.75" x14ac:dyDescent="0.2">
      <c r="A838" s="1" t="s">
        <v>63</v>
      </c>
      <c r="B838" s="3" t="str">
        <f>HYPERLINK("https://pegadaian.atlassian.net/browse/ITPROJECT-1385?atlOrigin=eyJpIjoiYzgwYTQ0ZjEyNzQzNGJhN2JmNjEyZTM0NmRhZWZhNjIiLCJwIjoic2hlZXRzLWppcmEifQ","ITPROJECT-1385")</f>
        <v>ITPROJECT-1385</v>
      </c>
      <c r="C838" s="1" t="s">
        <v>963</v>
      </c>
      <c r="D838" s="1" t="s">
        <v>93</v>
      </c>
      <c r="E838" s="1" t="s">
        <v>93</v>
      </c>
      <c r="F838" s="1" t="s">
        <v>47</v>
      </c>
      <c r="G838" s="1" t="s">
        <v>76</v>
      </c>
      <c r="H838" s="4">
        <v>45028.625740740739</v>
      </c>
      <c r="I838" s="4">
        <v>45061.161319444444</v>
      </c>
      <c r="J838" s="1" t="s">
        <v>15</v>
      </c>
    </row>
    <row r="839" spans="1:10" ht="12.75" x14ac:dyDescent="0.2">
      <c r="A839" s="1" t="s">
        <v>117</v>
      </c>
      <c r="B839" s="3" t="str">
        <f>HYPERLINK("https://pegadaian.atlassian.net/browse/ITPROJECT-1383?atlOrigin=eyJpIjoiYzgwYTQ0ZjEyNzQzNGJhN2JmNjEyZTM0NmRhZWZhNjIiLCJwIjoic2hlZXRzLWppcmEifQ","ITPROJECT-1383")</f>
        <v>ITPROJECT-1383</v>
      </c>
      <c r="C839" s="1" t="s">
        <v>964</v>
      </c>
      <c r="D839" s="1" t="s">
        <v>28</v>
      </c>
      <c r="E839" s="1" t="s">
        <v>130</v>
      </c>
      <c r="F839" s="1" t="s">
        <v>47</v>
      </c>
      <c r="G839" s="1" t="s">
        <v>89</v>
      </c>
      <c r="H839" s="4">
        <v>45028.586527777778</v>
      </c>
      <c r="I839" s="4">
        <v>45061.16133101852</v>
      </c>
      <c r="J839" s="1" t="s">
        <v>27</v>
      </c>
    </row>
    <row r="840" spans="1:10" ht="12.75" x14ac:dyDescent="0.2">
      <c r="A840" s="1" t="s">
        <v>117</v>
      </c>
      <c r="B840" s="3" t="str">
        <f>HYPERLINK("https://pegadaian.atlassian.net/browse/ITPROJECT-1382?atlOrigin=eyJpIjoiYzgwYTQ0ZjEyNzQzNGJhN2JmNjEyZTM0NmRhZWZhNjIiLCJwIjoic2hlZXRzLWppcmEifQ","ITPROJECT-1382")</f>
        <v>ITPROJECT-1382</v>
      </c>
      <c r="C840" s="1" t="s">
        <v>965</v>
      </c>
      <c r="D840" s="1" t="s">
        <v>42</v>
      </c>
      <c r="E840" s="1" t="s">
        <v>130</v>
      </c>
      <c r="F840" s="1" t="s">
        <v>47</v>
      </c>
      <c r="G840" s="1" t="s">
        <v>72</v>
      </c>
      <c r="H840" s="4">
        <v>45028.583749999998</v>
      </c>
      <c r="I840" s="4">
        <v>45061.16134259259</v>
      </c>
      <c r="J840" s="1" t="s">
        <v>15</v>
      </c>
    </row>
    <row r="841" spans="1:10" ht="12.75" x14ac:dyDescent="0.2">
      <c r="A841" s="1" t="s">
        <v>117</v>
      </c>
      <c r="B841" s="3" t="str">
        <f>HYPERLINK("https://pegadaian.atlassian.net/browse/ITPROJECT-1376?atlOrigin=eyJpIjoiYzgwYTQ0ZjEyNzQzNGJhN2JmNjEyZTM0NmRhZWZhNjIiLCJwIjoic2hlZXRzLWppcmEifQ","ITPROJECT-1376")</f>
        <v>ITPROJECT-1376</v>
      </c>
      <c r="C841" s="1" t="s">
        <v>966</v>
      </c>
      <c r="D841" s="1" t="s">
        <v>46</v>
      </c>
      <c r="E841" s="1" t="s">
        <v>200</v>
      </c>
      <c r="F841" s="1" t="s">
        <v>47</v>
      </c>
      <c r="G841" s="1" t="s">
        <v>120</v>
      </c>
      <c r="H841" s="4">
        <v>45026.502858796295</v>
      </c>
      <c r="I841" s="4">
        <v>45061.161377314813</v>
      </c>
      <c r="J841" s="1" t="s">
        <v>48</v>
      </c>
    </row>
    <row r="842" spans="1:10" ht="12.75" x14ac:dyDescent="0.2">
      <c r="A842" s="1" t="s">
        <v>117</v>
      </c>
      <c r="B842" s="3" t="str">
        <f>HYPERLINK("https://pegadaian.atlassian.net/browse/ITPROJECT-1375?atlOrigin=eyJpIjoiYzgwYTQ0ZjEyNzQzNGJhN2JmNjEyZTM0NmRhZWZhNjIiLCJwIjoic2hlZXRzLWppcmEifQ","ITPROJECT-1375")</f>
        <v>ITPROJECT-1375</v>
      </c>
      <c r="C842" s="1" t="s">
        <v>967</v>
      </c>
      <c r="D842" s="1" t="s">
        <v>56</v>
      </c>
      <c r="E842" s="1" t="s">
        <v>200</v>
      </c>
      <c r="F842" s="1" t="s">
        <v>47</v>
      </c>
      <c r="G842" s="1" t="s">
        <v>72</v>
      </c>
      <c r="H842" s="4">
        <v>45026.469722222224</v>
      </c>
      <c r="I842" s="4">
        <v>45061.16138888889</v>
      </c>
      <c r="J842" s="1" t="s">
        <v>11</v>
      </c>
    </row>
    <row r="843" spans="1:10" ht="12.75" x14ac:dyDescent="0.2">
      <c r="A843" s="1" t="s">
        <v>117</v>
      </c>
      <c r="B843" s="3" t="str">
        <f>HYPERLINK("https://pegadaian.atlassian.net/browse/ITPROJECT-1374?atlOrigin=eyJpIjoiYzgwYTQ0ZjEyNzQzNGJhN2JmNjEyZTM0NmRhZWZhNjIiLCJwIjoic2hlZXRzLWppcmEifQ","ITPROJECT-1374")</f>
        <v>ITPROJECT-1374</v>
      </c>
      <c r="C843" s="1" t="s">
        <v>968</v>
      </c>
      <c r="D843" s="1" t="s">
        <v>31</v>
      </c>
      <c r="E843" s="1" t="s">
        <v>122</v>
      </c>
      <c r="F843" s="1" t="s">
        <v>47</v>
      </c>
      <c r="G843" s="1" t="s">
        <v>120</v>
      </c>
      <c r="H843" s="4">
        <v>45026.466944444444</v>
      </c>
      <c r="I843" s="4">
        <v>45061.16138888889</v>
      </c>
      <c r="J843" s="1" t="s">
        <v>54</v>
      </c>
    </row>
    <row r="844" spans="1:10" ht="12.75" x14ac:dyDescent="0.2">
      <c r="A844" s="1" t="s">
        <v>117</v>
      </c>
      <c r="B844" s="3" t="str">
        <f>HYPERLINK("https://pegadaian.atlassian.net/browse/ITPROJECT-1373?atlOrigin=eyJpIjoiYzgwYTQ0ZjEyNzQzNGJhN2JmNjEyZTM0NmRhZWZhNjIiLCJwIjoic2hlZXRzLWppcmEifQ","ITPROJECT-1373")</f>
        <v>ITPROJECT-1373</v>
      </c>
      <c r="C844" s="1" t="s">
        <v>969</v>
      </c>
      <c r="D844" s="1" t="s">
        <v>44</v>
      </c>
      <c r="E844" s="1" t="s">
        <v>119</v>
      </c>
      <c r="F844" s="1" t="s">
        <v>47</v>
      </c>
      <c r="G844" s="1" t="s">
        <v>120</v>
      </c>
      <c r="H844" s="4">
        <v>45026.456597222219</v>
      </c>
      <c r="I844" s="4">
        <v>45061.161400462966</v>
      </c>
      <c r="J844" s="1" t="s">
        <v>45</v>
      </c>
    </row>
    <row r="845" spans="1:10" ht="12.75" x14ac:dyDescent="0.2">
      <c r="A845" s="1" t="s">
        <v>117</v>
      </c>
      <c r="B845" s="3" t="str">
        <f>HYPERLINK("https://pegadaian.atlassian.net/browse/ITPROJECT-1372?atlOrigin=eyJpIjoiYzgwYTQ0ZjEyNzQzNGJhN2JmNjEyZTM0NmRhZWZhNjIiLCJwIjoic2hlZXRzLWppcmEifQ","ITPROJECT-1372")</f>
        <v>ITPROJECT-1372</v>
      </c>
      <c r="C845" s="1" t="s">
        <v>970</v>
      </c>
      <c r="D845" s="1" t="s">
        <v>93</v>
      </c>
      <c r="E845" s="1" t="s">
        <v>130</v>
      </c>
      <c r="F845" s="1" t="s">
        <v>47</v>
      </c>
      <c r="G845" s="1" t="s">
        <v>76</v>
      </c>
      <c r="H845" s="4">
        <v>45026.448009259257</v>
      </c>
      <c r="I845" s="4">
        <v>45061.161412037036</v>
      </c>
      <c r="J845" s="1" t="s">
        <v>15</v>
      </c>
    </row>
    <row r="846" spans="1:10" ht="12.75" x14ac:dyDescent="0.2">
      <c r="A846" s="1" t="s">
        <v>117</v>
      </c>
      <c r="B846" s="3" t="str">
        <f>HYPERLINK("https://pegadaian.atlassian.net/browse/ITPROJECT-1371?atlOrigin=eyJpIjoiYzgwYTQ0ZjEyNzQzNGJhN2JmNjEyZTM0NmRhZWZhNjIiLCJwIjoic2hlZXRzLWppcmEifQ","ITPROJECT-1371")</f>
        <v>ITPROJECT-1371</v>
      </c>
      <c r="C846" s="1" t="s">
        <v>971</v>
      </c>
      <c r="D846" s="1" t="s">
        <v>93</v>
      </c>
      <c r="E846" s="1" t="s">
        <v>130</v>
      </c>
      <c r="F846" s="1" t="s">
        <v>47</v>
      </c>
      <c r="G846" s="1" t="s">
        <v>76</v>
      </c>
      <c r="H846" s="4">
        <v>45026.444560185184</v>
      </c>
      <c r="I846" s="4">
        <v>45061.161423611113</v>
      </c>
      <c r="J846" s="1" t="s">
        <v>15</v>
      </c>
    </row>
    <row r="847" spans="1:10" ht="12.75" x14ac:dyDescent="0.2">
      <c r="A847" s="1" t="s">
        <v>117</v>
      </c>
      <c r="B847" s="3" t="str">
        <f>HYPERLINK("https://pegadaian.atlassian.net/browse/ITPROJECT-1370?atlOrigin=eyJpIjoiYzgwYTQ0ZjEyNzQzNGJhN2JmNjEyZTM0NmRhZWZhNjIiLCJwIjoic2hlZXRzLWppcmEifQ","ITPROJECT-1370")</f>
        <v>ITPROJECT-1370</v>
      </c>
      <c r="C847" s="1" t="s">
        <v>972</v>
      </c>
      <c r="D847" s="1" t="s">
        <v>57</v>
      </c>
      <c r="E847" s="1" t="s">
        <v>200</v>
      </c>
      <c r="F847" s="1" t="s">
        <v>47</v>
      </c>
      <c r="G847" s="1" t="s">
        <v>120</v>
      </c>
      <c r="H847" s="4">
        <v>45026.433368055557</v>
      </c>
      <c r="I847" s="4">
        <v>45061.161435185182</v>
      </c>
      <c r="J847" s="1" t="s">
        <v>16</v>
      </c>
    </row>
    <row r="848" spans="1:10" ht="12.75" x14ac:dyDescent="0.2">
      <c r="A848" s="1" t="s">
        <v>117</v>
      </c>
      <c r="B848" s="3" t="str">
        <f>HYPERLINK("https://pegadaian.atlassian.net/browse/ITPROJECT-1369?atlOrigin=eyJpIjoiYzgwYTQ0ZjEyNzQzNGJhN2JmNjEyZTM0NmRhZWZhNjIiLCJwIjoic2hlZXRzLWppcmEifQ","ITPROJECT-1369")</f>
        <v>ITPROJECT-1369</v>
      </c>
      <c r="C848" s="1" t="s">
        <v>973</v>
      </c>
      <c r="D848" s="1" t="s">
        <v>17</v>
      </c>
      <c r="E848" s="1" t="s">
        <v>130</v>
      </c>
      <c r="F848" s="1" t="s">
        <v>47</v>
      </c>
      <c r="G848" s="1" t="s">
        <v>120</v>
      </c>
      <c r="H848" s="4">
        <v>45026.362187500003</v>
      </c>
      <c r="I848" s="4">
        <v>45061.161435185182</v>
      </c>
      <c r="J848" s="1" t="s">
        <v>285</v>
      </c>
    </row>
    <row r="849" spans="1:10" ht="12.75" x14ac:dyDescent="0.2">
      <c r="A849" s="1" t="s">
        <v>117</v>
      </c>
      <c r="B849" s="3" t="str">
        <f>HYPERLINK("https://pegadaian.atlassian.net/browse/ITPROJECT-1366?atlOrigin=eyJpIjoiYzgwYTQ0ZjEyNzQzNGJhN2JmNjEyZTM0NmRhZWZhNjIiLCJwIjoic2hlZXRzLWppcmEifQ","ITPROJECT-1366")</f>
        <v>ITPROJECT-1366</v>
      </c>
      <c r="C849" s="1" t="s">
        <v>974</v>
      </c>
      <c r="D849" s="1" t="s">
        <v>55</v>
      </c>
      <c r="E849" s="1" t="s">
        <v>161</v>
      </c>
      <c r="F849" s="1" t="s">
        <v>47</v>
      </c>
      <c r="G849" s="1" t="s">
        <v>120</v>
      </c>
      <c r="H849" s="4">
        <v>45022.439641203702</v>
      </c>
      <c r="I849" s="4">
        <v>45061.161458333336</v>
      </c>
      <c r="J849" s="1" t="s">
        <v>33</v>
      </c>
    </row>
    <row r="850" spans="1:10" ht="12.75" x14ac:dyDescent="0.2">
      <c r="A850" s="1" t="s">
        <v>117</v>
      </c>
      <c r="B850" s="3" t="str">
        <f>HYPERLINK("https://pegadaian.atlassian.net/browse/ITPROJECT-1365?atlOrigin=eyJpIjoiYzgwYTQ0ZjEyNzQzNGJhN2JmNjEyZTM0NmRhZWZhNjIiLCJwIjoic2hlZXRzLWppcmEifQ","ITPROJECT-1365")</f>
        <v>ITPROJECT-1365</v>
      </c>
      <c r="C850" s="1" t="s">
        <v>975</v>
      </c>
      <c r="D850" s="1" t="s">
        <v>93</v>
      </c>
      <c r="E850" s="1" t="s">
        <v>130</v>
      </c>
      <c r="F850" s="1" t="s">
        <v>47</v>
      </c>
      <c r="G850" s="1" t="s">
        <v>76</v>
      </c>
      <c r="H850" s="4">
        <v>45022.437025462961</v>
      </c>
      <c r="I850" s="4">
        <v>45061.161458333336</v>
      </c>
      <c r="J850" s="1" t="s">
        <v>15</v>
      </c>
    </row>
    <row r="851" spans="1:10" ht="12.75" x14ac:dyDescent="0.2">
      <c r="A851" s="1" t="s">
        <v>117</v>
      </c>
      <c r="B851" s="3" t="str">
        <f>HYPERLINK("https://pegadaian.atlassian.net/browse/ITPROJECT-1360?atlOrigin=eyJpIjoiYzgwYTQ0ZjEyNzQzNGJhN2JmNjEyZTM0NmRhZWZhNjIiLCJwIjoic2hlZXRzLWppcmEifQ","ITPROJECT-1360")</f>
        <v>ITPROJECT-1360</v>
      </c>
      <c r="C851" s="1" t="s">
        <v>976</v>
      </c>
      <c r="D851" s="1" t="s">
        <v>99</v>
      </c>
      <c r="E851" s="1" t="s">
        <v>122</v>
      </c>
      <c r="F851" s="1" t="s">
        <v>47</v>
      </c>
      <c r="G851" s="1" t="s">
        <v>66</v>
      </c>
      <c r="H851" s="4">
        <v>45020.641643518517</v>
      </c>
      <c r="I851" s="4">
        <v>45061.161493055559</v>
      </c>
      <c r="J851" s="1" t="s">
        <v>977</v>
      </c>
    </row>
    <row r="852" spans="1:10" ht="12.75" x14ac:dyDescent="0.2">
      <c r="A852" s="1" t="s">
        <v>117</v>
      </c>
      <c r="B852" s="3" t="str">
        <f>HYPERLINK("https://pegadaian.atlassian.net/browse/ITPROJECT-1359?atlOrigin=eyJpIjoiYzgwYTQ0ZjEyNzQzNGJhN2JmNjEyZTM0NmRhZWZhNjIiLCJwIjoic2hlZXRzLWppcmEifQ","ITPROJECT-1359")</f>
        <v>ITPROJECT-1359</v>
      </c>
      <c r="C852" s="1" t="s">
        <v>978</v>
      </c>
      <c r="D852" s="1" t="s">
        <v>25</v>
      </c>
      <c r="E852" s="1" t="s">
        <v>161</v>
      </c>
      <c r="F852" s="1" t="s">
        <v>47</v>
      </c>
      <c r="G852" s="1" t="s">
        <v>120</v>
      </c>
      <c r="H852" s="4">
        <v>45020.637997685182</v>
      </c>
      <c r="I852" s="4">
        <v>45061.161504629628</v>
      </c>
      <c r="J852" s="1" t="s">
        <v>26</v>
      </c>
    </row>
    <row r="853" spans="1:10" ht="12.75" x14ac:dyDescent="0.2">
      <c r="A853" s="1" t="s">
        <v>63</v>
      </c>
      <c r="B853" s="3" t="str">
        <f>HYPERLINK("https://pegadaian.atlassian.net/browse/ITPROJECT-1358?atlOrigin=eyJpIjoiYzgwYTQ0ZjEyNzQzNGJhN2JmNjEyZTM0NmRhZWZhNjIiLCJwIjoic2hlZXRzLWppcmEifQ","ITPROJECT-1358")</f>
        <v>ITPROJECT-1358</v>
      </c>
      <c r="C853" s="1" t="s">
        <v>979</v>
      </c>
      <c r="D853" s="1" t="s">
        <v>36</v>
      </c>
      <c r="E853" s="1" t="s">
        <v>36</v>
      </c>
      <c r="F853" s="1" t="s">
        <v>47</v>
      </c>
      <c r="G853" s="1" t="s">
        <v>72</v>
      </c>
      <c r="H853" s="4">
        <v>45020.538310185184</v>
      </c>
      <c r="I853" s="4">
        <v>45061.161504629628</v>
      </c>
      <c r="J853" s="1" t="s">
        <v>37</v>
      </c>
    </row>
    <row r="854" spans="1:10" ht="12.75" x14ac:dyDescent="0.2">
      <c r="A854" s="1" t="s">
        <v>117</v>
      </c>
      <c r="B854" s="3" t="str">
        <f>HYPERLINK("https://pegadaian.atlassian.net/browse/ITPROJECT-1355?atlOrigin=eyJpIjoiYzgwYTQ0ZjEyNzQzNGJhN2JmNjEyZTM0NmRhZWZhNjIiLCJwIjoic2hlZXRzLWppcmEifQ","ITPROJECT-1355")</f>
        <v>ITPROJECT-1355</v>
      </c>
      <c r="C854" s="1" t="s">
        <v>980</v>
      </c>
      <c r="D854" s="1" t="s">
        <v>46</v>
      </c>
      <c r="E854" s="1" t="s">
        <v>200</v>
      </c>
      <c r="F854" s="1" t="s">
        <v>47</v>
      </c>
      <c r="G854" s="1" t="s">
        <v>120</v>
      </c>
      <c r="H854" s="4">
        <v>45020.394791666666</v>
      </c>
      <c r="I854" s="4">
        <v>45061.161527777775</v>
      </c>
      <c r="J854" s="1" t="s">
        <v>48</v>
      </c>
    </row>
    <row r="855" spans="1:10" ht="12.75" x14ac:dyDescent="0.2">
      <c r="A855" s="1" t="s">
        <v>117</v>
      </c>
      <c r="B855" s="3" t="str">
        <f>HYPERLINK("https://pegadaian.atlassian.net/browse/ITPROJECT-1354?atlOrigin=eyJpIjoiYzgwYTQ0ZjEyNzQzNGJhN2JmNjEyZTM0NmRhZWZhNjIiLCJwIjoic2hlZXRzLWppcmEifQ","ITPROJECT-1354")</f>
        <v>ITPROJECT-1354</v>
      </c>
      <c r="C855" s="1" t="s">
        <v>981</v>
      </c>
      <c r="D855" s="1" t="s">
        <v>46</v>
      </c>
      <c r="E855" s="1" t="s">
        <v>200</v>
      </c>
      <c r="F855" s="1" t="s">
        <v>47</v>
      </c>
      <c r="G855" s="1" t="s">
        <v>120</v>
      </c>
      <c r="H855" s="4">
        <v>45020.389745370368</v>
      </c>
      <c r="I855" s="4">
        <v>45061.161539351851</v>
      </c>
      <c r="J855" s="1" t="s">
        <v>48</v>
      </c>
    </row>
    <row r="856" spans="1:10" ht="12.75" x14ac:dyDescent="0.2">
      <c r="A856" s="1" t="s">
        <v>117</v>
      </c>
      <c r="B856" s="3" t="str">
        <f>HYPERLINK("https://pegadaian.atlassian.net/browse/ITPROJECT-1353?atlOrigin=eyJpIjoiYzgwYTQ0ZjEyNzQzNGJhN2JmNjEyZTM0NmRhZWZhNjIiLCJwIjoic2hlZXRzLWppcmEifQ","ITPROJECT-1353")</f>
        <v>ITPROJECT-1353</v>
      </c>
      <c r="C856" s="1" t="s">
        <v>982</v>
      </c>
      <c r="D856" s="1" t="s">
        <v>46</v>
      </c>
      <c r="E856" s="1" t="s">
        <v>200</v>
      </c>
      <c r="F856" s="1" t="s">
        <v>47</v>
      </c>
      <c r="G856" s="1" t="s">
        <v>120</v>
      </c>
      <c r="H856" s="4">
        <v>45020.386423611111</v>
      </c>
      <c r="I856" s="4">
        <v>45061.161539351851</v>
      </c>
      <c r="J856" s="1" t="s">
        <v>48</v>
      </c>
    </row>
    <row r="857" spans="1:10" ht="12.75" x14ac:dyDescent="0.2">
      <c r="A857" s="1" t="s">
        <v>117</v>
      </c>
      <c r="B857" s="3" t="str">
        <f>HYPERLINK("https://pegadaian.atlassian.net/browse/ITPROJECT-1351?atlOrigin=eyJpIjoiYzgwYTQ0ZjEyNzQzNGJhN2JmNjEyZTM0NmRhZWZhNjIiLCJwIjoic2hlZXRzLWppcmEifQ","ITPROJECT-1351")</f>
        <v>ITPROJECT-1351</v>
      </c>
      <c r="C857" s="1" t="s">
        <v>983</v>
      </c>
      <c r="D857" s="1" t="s">
        <v>46</v>
      </c>
      <c r="E857" s="1" t="s">
        <v>200</v>
      </c>
      <c r="F857" s="1" t="s">
        <v>47</v>
      </c>
      <c r="G857" s="1" t="s">
        <v>120</v>
      </c>
      <c r="H857" s="4">
        <v>45020.383321759262</v>
      </c>
      <c r="I857" s="4">
        <v>45061.161550925928</v>
      </c>
      <c r="J857" s="1" t="s">
        <v>48</v>
      </c>
    </row>
    <row r="858" spans="1:10" ht="12.75" x14ac:dyDescent="0.2">
      <c r="A858" s="1" t="s">
        <v>117</v>
      </c>
      <c r="B858" s="3" t="str">
        <f>HYPERLINK("https://pegadaian.atlassian.net/browse/ITPROJECT-1349?atlOrigin=eyJpIjoiYzgwYTQ0ZjEyNzQzNGJhN2JmNjEyZTM0NmRhZWZhNjIiLCJwIjoic2hlZXRzLWppcmEifQ","ITPROJECT-1349")</f>
        <v>ITPROJECT-1349</v>
      </c>
      <c r="C858" s="1" t="s">
        <v>984</v>
      </c>
      <c r="D858" s="1" t="s">
        <v>57</v>
      </c>
      <c r="E858" s="1" t="s">
        <v>200</v>
      </c>
      <c r="F858" s="1" t="s">
        <v>47</v>
      </c>
      <c r="G858" s="1" t="s">
        <v>66</v>
      </c>
      <c r="H858" s="4">
        <v>45019.717974537038</v>
      </c>
      <c r="I858" s="4">
        <v>45061.161562499998</v>
      </c>
      <c r="J858" s="1" t="s">
        <v>16</v>
      </c>
    </row>
    <row r="859" spans="1:10" ht="12.75" x14ac:dyDescent="0.2">
      <c r="A859" s="1" t="s">
        <v>117</v>
      </c>
      <c r="B859" s="3" t="str">
        <f>HYPERLINK("https://pegadaian.atlassian.net/browse/ITPROJECT-1348?atlOrigin=eyJpIjoiYzgwYTQ0ZjEyNzQzNGJhN2JmNjEyZTM0NmRhZWZhNjIiLCJwIjoic2hlZXRzLWppcmEifQ","ITPROJECT-1348")</f>
        <v>ITPROJECT-1348</v>
      </c>
      <c r="C859" s="1" t="s">
        <v>985</v>
      </c>
      <c r="D859" s="1" t="s">
        <v>57</v>
      </c>
      <c r="E859" s="1" t="s">
        <v>200</v>
      </c>
      <c r="F859" s="1" t="s">
        <v>47</v>
      </c>
      <c r="G859" s="1" t="s">
        <v>76</v>
      </c>
      <c r="H859" s="4">
        <v>45019.707361111112</v>
      </c>
      <c r="I859" s="4">
        <v>45061.161574074074</v>
      </c>
      <c r="J859" s="1" t="s">
        <v>16</v>
      </c>
    </row>
    <row r="860" spans="1:10" ht="12.75" x14ac:dyDescent="0.2">
      <c r="A860" s="1" t="s">
        <v>117</v>
      </c>
      <c r="B860" s="3" t="str">
        <f>HYPERLINK("https://pegadaian.atlassian.net/browse/ITPROJECT-1347?atlOrigin=eyJpIjoiYzgwYTQ0ZjEyNzQzNGJhN2JmNjEyZTM0NmRhZWZhNjIiLCJwIjoic2hlZXRzLWppcmEifQ","ITPROJECT-1347")</f>
        <v>ITPROJECT-1347</v>
      </c>
      <c r="C860" s="1" t="s">
        <v>986</v>
      </c>
      <c r="D860" s="1" t="s">
        <v>46</v>
      </c>
      <c r="E860" s="1" t="s">
        <v>200</v>
      </c>
      <c r="F860" s="1" t="s">
        <v>47</v>
      </c>
      <c r="G860" s="1" t="s">
        <v>120</v>
      </c>
      <c r="H860" s="4">
        <v>45019.702013888891</v>
      </c>
      <c r="I860" s="4">
        <v>45061.161574074074</v>
      </c>
      <c r="J860" s="1" t="s">
        <v>48</v>
      </c>
    </row>
    <row r="861" spans="1:10" ht="12.75" x14ac:dyDescent="0.2">
      <c r="A861" s="1" t="s">
        <v>117</v>
      </c>
      <c r="B861" s="3" t="str">
        <f>HYPERLINK("https://pegadaian.atlassian.net/browse/ITPROJECT-1346?atlOrigin=eyJpIjoiYzgwYTQ0ZjEyNzQzNGJhN2JmNjEyZTM0NmRhZWZhNjIiLCJwIjoic2hlZXRzLWppcmEifQ","ITPROJECT-1346")</f>
        <v>ITPROJECT-1346</v>
      </c>
      <c r="C861" s="1" t="s">
        <v>987</v>
      </c>
      <c r="D861" s="1" t="s">
        <v>46</v>
      </c>
      <c r="E861" s="1" t="s">
        <v>200</v>
      </c>
      <c r="F861" s="1" t="s">
        <v>47</v>
      </c>
      <c r="G861" s="1" t="s">
        <v>120</v>
      </c>
      <c r="H861" s="4">
        <v>45019.695381944446</v>
      </c>
      <c r="I861" s="4">
        <v>45061.161585648151</v>
      </c>
      <c r="J861" s="1" t="s">
        <v>48</v>
      </c>
    </row>
    <row r="862" spans="1:10" ht="12.75" x14ac:dyDescent="0.2">
      <c r="A862" s="1" t="s">
        <v>117</v>
      </c>
      <c r="B862" s="3" t="str">
        <f>HYPERLINK("https://pegadaian.atlassian.net/browse/ITPROJECT-1345?atlOrigin=eyJpIjoiYzgwYTQ0ZjEyNzQzNGJhN2JmNjEyZTM0NmRhZWZhNjIiLCJwIjoic2hlZXRzLWppcmEifQ","ITPROJECT-1345")</f>
        <v>ITPROJECT-1345</v>
      </c>
      <c r="C862" s="1" t="s">
        <v>988</v>
      </c>
      <c r="D862" s="1" t="s">
        <v>46</v>
      </c>
      <c r="E862" s="1" t="s">
        <v>200</v>
      </c>
      <c r="F862" s="1" t="s">
        <v>47</v>
      </c>
      <c r="G862" s="1" t="s">
        <v>120</v>
      </c>
      <c r="H862" s="4">
        <v>45019.688738425924</v>
      </c>
      <c r="I862" s="4">
        <v>45061.161597222221</v>
      </c>
      <c r="J862" s="1" t="s">
        <v>48</v>
      </c>
    </row>
    <row r="863" spans="1:10" ht="12.75" x14ac:dyDescent="0.2">
      <c r="A863" s="1" t="s">
        <v>117</v>
      </c>
      <c r="B863" s="3" t="str">
        <f>HYPERLINK("https://pegadaian.atlassian.net/browse/ITPROJECT-1343?atlOrigin=eyJpIjoiYzgwYTQ0ZjEyNzQzNGJhN2JmNjEyZTM0NmRhZWZhNjIiLCJwIjoic2hlZXRzLWppcmEifQ","ITPROJECT-1343")</f>
        <v>ITPROJECT-1343</v>
      </c>
      <c r="C863" s="1" t="s">
        <v>989</v>
      </c>
      <c r="D863" s="1" t="s">
        <v>43</v>
      </c>
      <c r="E863" s="1" t="s">
        <v>161</v>
      </c>
      <c r="F863" s="1" t="s">
        <v>47</v>
      </c>
      <c r="G863" s="1" t="s">
        <v>72</v>
      </c>
      <c r="H863" s="4">
        <v>45019.661840277775</v>
      </c>
      <c r="I863" s="4">
        <v>45061.161608796298</v>
      </c>
      <c r="J863" s="1" t="s">
        <v>556</v>
      </c>
    </row>
    <row r="864" spans="1:10" ht="12.75" x14ac:dyDescent="0.2">
      <c r="A864" s="1" t="s">
        <v>117</v>
      </c>
      <c r="B864" s="3" t="str">
        <f>HYPERLINK("https://pegadaian.atlassian.net/browse/ITPROJECT-1336?atlOrigin=eyJpIjoiYzgwYTQ0ZjEyNzQzNGJhN2JmNjEyZTM0NmRhZWZhNjIiLCJwIjoic2hlZXRzLWppcmEifQ","ITPROJECT-1336")</f>
        <v>ITPROJECT-1336</v>
      </c>
      <c r="C864" s="1" t="s">
        <v>990</v>
      </c>
      <c r="D864" s="1" t="s">
        <v>24</v>
      </c>
      <c r="E864" s="1" t="s">
        <v>119</v>
      </c>
      <c r="F864" s="1" t="s">
        <v>47</v>
      </c>
      <c r="G864" s="1" t="s">
        <v>76</v>
      </c>
      <c r="H864" s="4">
        <v>45016.428715277776</v>
      </c>
      <c r="I864" s="4">
        <v>45061.16165509259</v>
      </c>
      <c r="J864" s="1" t="s">
        <v>21</v>
      </c>
    </row>
    <row r="865" spans="1:10" ht="12.75" x14ac:dyDescent="0.2">
      <c r="A865" s="1" t="s">
        <v>117</v>
      </c>
      <c r="B865" s="3" t="str">
        <f>HYPERLINK("https://pegadaian.atlassian.net/browse/ITPROJECT-1335?atlOrigin=eyJpIjoiYzgwYTQ0ZjEyNzQzNGJhN2JmNjEyZTM0NmRhZWZhNjIiLCJwIjoic2hlZXRzLWppcmEifQ","ITPROJECT-1335")</f>
        <v>ITPROJECT-1335</v>
      </c>
      <c r="C865" s="1" t="s">
        <v>991</v>
      </c>
      <c r="D865" s="1" t="s">
        <v>71</v>
      </c>
      <c r="E865" s="1" t="s">
        <v>122</v>
      </c>
      <c r="F865" s="1" t="s">
        <v>47</v>
      </c>
      <c r="G865" s="1" t="s">
        <v>66</v>
      </c>
      <c r="H865" s="4">
        <v>45015.674432870372</v>
      </c>
      <c r="I865" s="4">
        <v>45061.16165509259</v>
      </c>
      <c r="J865" s="1" t="s">
        <v>140</v>
      </c>
    </row>
    <row r="866" spans="1:10" ht="12.75" x14ac:dyDescent="0.2">
      <c r="A866" s="1" t="s">
        <v>117</v>
      </c>
      <c r="B866" s="3" t="str">
        <f>HYPERLINK("https://pegadaian.atlassian.net/browse/ITPROJECT-1334?atlOrigin=eyJpIjoiYzgwYTQ0ZjEyNzQzNGJhN2JmNjEyZTM0NmRhZWZhNjIiLCJwIjoic2hlZXRzLWppcmEifQ","ITPROJECT-1334")</f>
        <v>ITPROJECT-1334</v>
      </c>
      <c r="C866" s="1" t="s">
        <v>987</v>
      </c>
      <c r="D866" s="1" t="s">
        <v>46</v>
      </c>
      <c r="E866" s="1" t="s">
        <v>122</v>
      </c>
      <c r="F866" s="1" t="s">
        <v>47</v>
      </c>
      <c r="G866" s="1" t="s">
        <v>120</v>
      </c>
      <c r="H866" s="4">
        <v>45015.663090277776</v>
      </c>
      <c r="I866" s="4">
        <v>45061.161666666667</v>
      </c>
      <c r="J866" s="1" t="s">
        <v>221</v>
      </c>
    </row>
    <row r="867" spans="1:10" ht="12.75" x14ac:dyDescent="0.2">
      <c r="A867" s="1" t="s">
        <v>117</v>
      </c>
      <c r="B867" s="3" t="str">
        <f>HYPERLINK("https://pegadaian.atlassian.net/browse/ITPROJECT-1333?atlOrigin=eyJpIjoiYzgwYTQ0ZjEyNzQzNGJhN2JmNjEyZTM0NmRhZWZhNjIiLCJwIjoic2hlZXRzLWppcmEifQ","ITPROJECT-1333")</f>
        <v>ITPROJECT-1333</v>
      </c>
      <c r="C867" s="1" t="s">
        <v>992</v>
      </c>
      <c r="D867" s="1" t="s">
        <v>99</v>
      </c>
      <c r="E867" s="1" t="s">
        <v>122</v>
      </c>
      <c r="F867" s="1" t="s">
        <v>47</v>
      </c>
      <c r="G867" s="1" t="s">
        <v>13</v>
      </c>
      <c r="H867" s="4">
        <v>45015.474780092591</v>
      </c>
      <c r="I867" s="4">
        <v>45061.161678240744</v>
      </c>
      <c r="J867" s="1" t="s">
        <v>18</v>
      </c>
    </row>
    <row r="868" spans="1:10" ht="12.75" x14ac:dyDescent="0.2">
      <c r="A868" s="1" t="s">
        <v>117</v>
      </c>
      <c r="B868" s="3" t="str">
        <f>HYPERLINK("https://pegadaian.atlassian.net/browse/ITPROJECT-1326?atlOrigin=eyJpIjoiYzgwYTQ0ZjEyNzQzNGJhN2JmNjEyZTM0NmRhZWZhNjIiLCJwIjoic2hlZXRzLWppcmEifQ","ITPROJECT-1326")</f>
        <v>ITPROJECT-1326</v>
      </c>
      <c r="C868" s="1" t="s">
        <v>993</v>
      </c>
      <c r="D868" s="1" t="s">
        <v>99</v>
      </c>
      <c r="E868" s="1" t="s">
        <v>122</v>
      </c>
      <c r="F868" s="1" t="s">
        <v>47</v>
      </c>
      <c r="G868" s="1" t="s">
        <v>72</v>
      </c>
      <c r="H868" s="4">
        <v>45014.601319444446</v>
      </c>
      <c r="I868" s="4">
        <v>45061.161712962959</v>
      </c>
      <c r="J868" s="1" t="s">
        <v>18</v>
      </c>
    </row>
    <row r="869" spans="1:10" ht="12.75" x14ac:dyDescent="0.2">
      <c r="A869" s="1" t="s">
        <v>63</v>
      </c>
      <c r="B869" s="3" t="str">
        <f>HYPERLINK("https://pegadaian.atlassian.net/browse/ITPROJECT-1324?atlOrigin=eyJpIjoiYzgwYTQ0ZjEyNzQzNGJhN2JmNjEyZTM0NmRhZWZhNjIiLCJwIjoic2hlZXRzLWppcmEifQ","ITPROJECT-1324")</f>
        <v>ITPROJECT-1324</v>
      </c>
      <c r="C869" s="1" t="s">
        <v>994</v>
      </c>
      <c r="D869" s="1" t="s">
        <v>31</v>
      </c>
      <c r="E869" s="1" t="s">
        <v>55</v>
      </c>
      <c r="F869" s="1" t="s">
        <v>47</v>
      </c>
      <c r="G869" s="1" t="s">
        <v>72</v>
      </c>
      <c r="H869" s="4">
        <v>45013.615335648145</v>
      </c>
      <c r="I869" s="4">
        <v>45061.161724537036</v>
      </c>
      <c r="J869" s="1" t="s">
        <v>33</v>
      </c>
    </row>
    <row r="870" spans="1:10" ht="12.75" x14ac:dyDescent="0.2">
      <c r="A870" s="1" t="s">
        <v>117</v>
      </c>
      <c r="B870" s="3" t="str">
        <f>HYPERLINK("https://pegadaian.atlassian.net/browse/ITPROJECT-1323?atlOrigin=eyJpIjoiYzgwYTQ0ZjEyNzQzNGJhN2JmNjEyZTM0NmRhZWZhNjIiLCJwIjoic2hlZXRzLWppcmEifQ","ITPROJECT-1323")</f>
        <v>ITPROJECT-1323</v>
      </c>
      <c r="C870" s="1" t="s">
        <v>995</v>
      </c>
      <c r="D870" s="1" t="s">
        <v>28</v>
      </c>
      <c r="E870" s="1" t="s">
        <v>130</v>
      </c>
      <c r="F870" s="1" t="s">
        <v>47</v>
      </c>
      <c r="G870" s="1" t="s">
        <v>68</v>
      </c>
      <c r="H870" s="4">
        <v>45013.496180555558</v>
      </c>
      <c r="I870" s="4">
        <v>45061.161736111113</v>
      </c>
      <c r="J870" s="1" t="s">
        <v>27</v>
      </c>
    </row>
    <row r="871" spans="1:10" ht="12.75" x14ac:dyDescent="0.2">
      <c r="A871" s="1" t="s">
        <v>63</v>
      </c>
      <c r="B871" s="3" t="str">
        <f>HYPERLINK("https://pegadaian.atlassian.net/browse/ITPROJECT-174?atlOrigin=eyJpIjoiYzgwYTQ0ZjEyNzQzNGJhN2JmNjEyZTM0NmRhZWZhNjIiLCJwIjoic2hlZXRzLWppcmEifQ","ITPROJECT-174")</f>
        <v>ITPROJECT-174</v>
      </c>
      <c r="C871" s="1" t="s">
        <v>996</v>
      </c>
      <c r="D871" s="1" t="s">
        <v>75</v>
      </c>
      <c r="E871" s="1" t="s">
        <v>75</v>
      </c>
      <c r="F871" s="1" t="s">
        <v>47</v>
      </c>
      <c r="G871" s="1" t="s">
        <v>13</v>
      </c>
      <c r="H871" s="4">
        <v>44566.49145833333</v>
      </c>
      <c r="I871" s="4">
        <v>45061.168749999997</v>
      </c>
      <c r="J871" s="1" t="s">
        <v>18</v>
      </c>
    </row>
    <row r="872" spans="1:10" ht="12.75" x14ac:dyDescent="0.2">
      <c r="A872" s="1" t="s">
        <v>63</v>
      </c>
      <c r="B872" s="3" t="str">
        <f>HYPERLINK("https://pegadaian.atlassian.net/browse/ITPROJECT-173?atlOrigin=eyJpIjoiYzgwYTQ0ZjEyNzQzNGJhN2JmNjEyZTM0NmRhZWZhNjIiLCJwIjoic2hlZXRzLWppcmEifQ","ITPROJECT-173")</f>
        <v>ITPROJECT-173</v>
      </c>
      <c r="C872" s="1" t="s">
        <v>997</v>
      </c>
      <c r="D872" s="1" t="s">
        <v>75</v>
      </c>
      <c r="E872" s="1" t="s">
        <v>75</v>
      </c>
      <c r="F872" s="1" t="s">
        <v>47</v>
      </c>
      <c r="G872" s="1" t="s">
        <v>13</v>
      </c>
      <c r="H872" s="4">
        <v>44574.494467592594</v>
      </c>
      <c r="I872" s="4">
        <v>45061.168761574074</v>
      </c>
      <c r="J872" s="1" t="s">
        <v>18</v>
      </c>
    </row>
    <row r="873" spans="1:10" ht="12.75" x14ac:dyDescent="0.2">
      <c r="A873" s="1" t="s">
        <v>117</v>
      </c>
      <c r="B873" s="3" t="str">
        <f>HYPERLINK("https://pegadaian.atlassian.net/browse/ITPROJECT-171?atlOrigin=eyJpIjoiYzgwYTQ0ZjEyNzQzNGJhN2JmNjEyZTM0NmRhZWZhNjIiLCJwIjoic2hlZXRzLWppcmEifQ","ITPROJECT-171")</f>
        <v>ITPROJECT-171</v>
      </c>
      <c r="C873" s="1" t="s">
        <v>998</v>
      </c>
      <c r="D873" s="1" t="s">
        <v>75</v>
      </c>
      <c r="E873" s="1" t="s">
        <v>75</v>
      </c>
      <c r="F873" s="1" t="s">
        <v>47</v>
      </c>
      <c r="G873" s="1" t="s">
        <v>13</v>
      </c>
      <c r="H873" s="4">
        <v>44580.722997685189</v>
      </c>
      <c r="I873" s="4">
        <v>45061.168773148151</v>
      </c>
      <c r="J873" s="1" t="s">
        <v>18</v>
      </c>
    </row>
    <row r="874" spans="1:10" ht="12.75" x14ac:dyDescent="0.2">
      <c r="A874" s="1" t="s">
        <v>117</v>
      </c>
      <c r="B874" s="3" t="str">
        <f>HYPERLINK("https://pegadaian.atlassian.net/browse/ITPROJECT-169?atlOrigin=eyJpIjoiYzgwYTQ0ZjEyNzQzNGJhN2JmNjEyZTM0NmRhZWZhNjIiLCJwIjoic2hlZXRzLWppcmEifQ","ITPROJECT-169")</f>
        <v>ITPROJECT-169</v>
      </c>
      <c r="C874" s="1" t="s">
        <v>999</v>
      </c>
      <c r="D874" s="1" t="s">
        <v>75</v>
      </c>
      <c r="E874" s="1" t="s">
        <v>75</v>
      </c>
      <c r="F874" s="1" t="s">
        <v>47</v>
      </c>
      <c r="G874" s="1" t="s">
        <v>13</v>
      </c>
      <c r="H874" s="4">
        <v>44580.722800925927</v>
      </c>
      <c r="I874" s="4">
        <v>45061.16878472222</v>
      </c>
      <c r="J874" s="1" t="s">
        <v>18</v>
      </c>
    </row>
    <row r="875" spans="1:10" ht="12.75" x14ac:dyDescent="0.2">
      <c r="A875" s="1" t="s">
        <v>117</v>
      </c>
      <c r="B875" s="3" t="str">
        <f>HYPERLINK("https://pegadaian.atlassian.net/browse/ITPROJECT-100?atlOrigin=eyJpIjoiYzgwYTQ0ZjEyNzQzNGJhN2JmNjEyZTM0NmRhZWZhNjIiLCJwIjoic2hlZXRzLWppcmEifQ","ITPROJECT-100")</f>
        <v>ITPROJECT-100</v>
      </c>
      <c r="C875" s="1" t="s">
        <v>1000</v>
      </c>
      <c r="D875" s="1" t="s">
        <v>65</v>
      </c>
      <c r="E875" s="1" t="s">
        <v>122</v>
      </c>
      <c r="F875" s="1" t="s">
        <v>47</v>
      </c>
      <c r="G875" s="1" t="s">
        <v>13</v>
      </c>
      <c r="H875" s="4">
        <v>44580.359664351854</v>
      </c>
      <c r="I875" s="4">
        <v>45061.169212962966</v>
      </c>
      <c r="J875" s="1" t="s">
        <v>54</v>
      </c>
    </row>
    <row r="876" spans="1:10" ht="12.75" x14ac:dyDescent="0.2">
      <c r="A876" s="1" t="s">
        <v>117</v>
      </c>
      <c r="B876" s="3" t="str">
        <f>HYPERLINK("https://pegadaian.atlassian.net/browse/ITPROJECT-95?atlOrigin=eyJpIjoiYzgwYTQ0ZjEyNzQzNGJhN2JmNjEyZTM0NmRhZWZhNjIiLCJwIjoic2hlZXRzLWppcmEifQ","ITPROJECT-95")</f>
        <v>ITPROJECT-95</v>
      </c>
      <c r="C876" s="1" t="s">
        <v>834</v>
      </c>
      <c r="D876" s="1" t="s">
        <v>785</v>
      </c>
      <c r="E876" s="1" t="s">
        <v>119</v>
      </c>
      <c r="F876" s="1" t="s">
        <v>47</v>
      </c>
      <c r="G876" s="1" t="s">
        <v>13</v>
      </c>
      <c r="H876" s="4">
        <v>44568.71671296296</v>
      </c>
      <c r="I876" s="4">
        <v>45061.169236111113</v>
      </c>
      <c r="J876" s="1" t="s">
        <v>58</v>
      </c>
    </row>
    <row r="877" spans="1:10" ht="12.75" x14ac:dyDescent="0.2">
      <c r="A877" s="1" t="s">
        <v>117</v>
      </c>
      <c r="B877" s="3" t="str">
        <f>HYPERLINK("https://pegadaian.atlassian.net/browse/ITPROJECT-93?atlOrigin=eyJpIjoiYzgwYTQ0ZjEyNzQzNGJhN2JmNjEyZTM0NmRhZWZhNjIiLCJwIjoic2hlZXRzLWppcmEifQ","ITPROJECT-93")</f>
        <v>ITPROJECT-93</v>
      </c>
      <c r="C877" s="1" t="s">
        <v>1001</v>
      </c>
      <c r="D877" s="1" t="s">
        <v>115</v>
      </c>
      <c r="E877" s="1" t="s">
        <v>122</v>
      </c>
      <c r="F877" s="1" t="s">
        <v>47</v>
      </c>
      <c r="G877" s="1" t="s">
        <v>213</v>
      </c>
      <c r="H877" s="4">
        <v>44557.668252314812</v>
      </c>
      <c r="I877" s="4">
        <v>45061.169236111113</v>
      </c>
      <c r="J877" s="1" t="s">
        <v>18</v>
      </c>
    </row>
    <row r="878" spans="1:10" ht="12.75" x14ac:dyDescent="0.2">
      <c r="A878" s="1" t="s">
        <v>117</v>
      </c>
      <c r="B878" s="3" t="str">
        <f>HYPERLINK("https://pegadaian.atlassian.net/browse/ITPROJECT-90?atlOrigin=eyJpIjoiYzgwYTQ0ZjEyNzQzNGJhN2JmNjEyZTM0NmRhZWZhNjIiLCJwIjoic2hlZXRzLWppcmEifQ","ITPROJECT-90")</f>
        <v>ITPROJECT-90</v>
      </c>
      <c r="C878" s="1" t="s">
        <v>1002</v>
      </c>
      <c r="D878" s="1" t="s">
        <v>1003</v>
      </c>
      <c r="E878" s="1" t="s">
        <v>122</v>
      </c>
      <c r="F878" s="1" t="s">
        <v>47</v>
      </c>
      <c r="G878" s="1" t="s">
        <v>13</v>
      </c>
      <c r="H878" s="4">
        <v>44579.746307870373</v>
      </c>
      <c r="I878" s="4">
        <v>45061.169247685182</v>
      </c>
      <c r="J878" s="1" t="s">
        <v>60</v>
      </c>
    </row>
    <row r="879" spans="1:10" ht="12.75" x14ac:dyDescent="0.2">
      <c r="A879" s="1" t="s">
        <v>117</v>
      </c>
      <c r="B879" s="3" t="str">
        <f>HYPERLINK("https://pegadaian.atlassian.net/browse/ITPROJECT-88?atlOrigin=eyJpIjoiYzgwYTQ0ZjEyNzQzNGJhN2JmNjEyZTM0NmRhZWZhNjIiLCJwIjoic2hlZXRzLWppcmEifQ","ITPROJECT-88")</f>
        <v>ITPROJECT-88</v>
      </c>
      <c r="C879" s="1" t="s">
        <v>1004</v>
      </c>
      <c r="D879" s="1" t="s">
        <v>50</v>
      </c>
      <c r="E879" s="1" t="s">
        <v>122</v>
      </c>
      <c r="F879" s="1" t="s">
        <v>47</v>
      </c>
      <c r="G879" s="1" t="s">
        <v>13</v>
      </c>
      <c r="H879" s="4">
        <v>44579.743333333332</v>
      </c>
      <c r="I879" s="4">
        <v>45061.169259259259</v>
      </c>
      <c r="J879" s="1" t="s">
        <v>915</v>
      </c>
    </row>
    <row r="880" spans="1:10" ht="12.75" x14ac:dyDescent="0.2">
      <c r="A880" s="1" t="s">
        <v>63</v>
      </c>
      <c r="B880" s="3" t="str">
        <f>HYPERLINK("https://pegadaian.atlassian.net/browse/ITPROJECT-1304?atlOrigin=eyJpIjoiYzgwYTQ0ZjEyNzQzNGJhN2JmNjEyZTM0NmRhZWZhNjIiLCJwIjoic2hlZXRzLWppcmEifQ","ITPROJECT-1304")</f>
        <v>ITPROJECT-1304</v>
      </c>
      <c r="C880" s="1" t="s">
        <v>1005</v>
      </c>
      <c r="D880" s="1" t="s">
        <v>24</v>
      </c>
      <c r="E880" s="1" t="s">
        <v>24</v>
      </c>
      <c r="F880" s="1" t="s">
        <v>1006</v>
      </c>
      <c r="G880" s="1" t="s">
        <v>76</v>
      </c>
      <c r="H880" s="4">
        <v>44998.565243055556</v>
      </c>
      <c r="I880" s="4">
        <v>45061.161840277775</v>
      </c>
      <c r="J880" s="1" t="s">
        <v>1007</v>
      </c>
    </row>
    <row r="881" spans="1:10" ht="12.75" x14ac:dyDescent="0.2">
      <c r="A881" s="1" t="s">
        <v>63</v>
      </c>
      <c r="B881" s="3" t="str">
        <f>HYPERLINK("https://pegadaian.atlassian.net/browse/ITPROJECT-1156?atlOrigin=eyJpIjoiYzgwYTQ0ZjEyNzQzNGJhN2JmNjEyZTM0NmRhZWZhNjIiLCJwIjoic2hlZXRzLWppcmEifQ","ITPROJECT-1156")</f>
        <v>ITPROJECT-1156</v>
      </c>
      <c r="C881" s="1" t="s">
        <v>1008</v>
      </c>
      <c r="D881" s="1" t="s">
        <v>24</v>
      </c>
      <c r="E881" s="1" t="s">
        <v>24</v>
      </c>
      <c r="F881" s="1" t="s">
        <v>1006</v>
      </c>
      <c r="G881" s="1" t="s">
        <v>68</v>
      </c>
      <c r="H881" s="4">
        <v>44951.627476851849</v>
      </c>
      <c r="I881" s="4">
        <v>45061.162719907406</v>
      </c>
      <c r="J881" s="1" t="s">
        <v>21</v>
      </c>
    </row>
    <row r="882" spans="1:10" ht="12.75" x14ac:dyDescent="0.2">
      <c r="A882" s="1" t="s">
        <v>63</v>
      </c>
      <c r="B882" s="3" t="str">
        <f>HYPERLINK("https://pegadaian.atlassian.net/browse/ITPROJECT-819?atlOrigin=eyJpIjoiYzgwYTQ0ZjEyNzQzNGJhN2JmNjEyZTM0NmRhZWZhNjIiLCJwIjoic2hlZXRzLWppcmEifQ","ITPROJECT-819")</f>
        <v>ITPROJECT-819</v>
      </c>
      <c r="C882" s="1" t="s">
        <v>1009</v>
      </c>
      <c r="D882" s="1" t="s">
        <v>71</v>
      </c>
      <c r="E882" s="1" t="s">
        <v>71</v>
      </c>
      <c r="F882" s="1" t="s">
        <v>1006</v>
      </c>
      <c r="G882" s="1" t="s">
        <v>13</v>
      </c>
      <c r="H882" s="4">
        <v>44810.761134259257</v>
      </c>
      <c r="I882" s="4">
        <v>45061.164918981478</v>
      </c>
      <c r="J882" s="1" t="s">
        <v>60</v>
      </c>
    </row>
    <row r="883" spans="1:10" ht="12.75" x14ac:dyDescent="0.2">
      <c r="A883" s="1" t="s">
        <v>63</v>
      </c>
      <c r="B883" s="3" t="str">
        <f>HYPERLINK("https://pegadaian.atlassian.net/browse/ITPROJECT-813?atlOrigin=eyJpIjoiYzgwYTQ0ZjEyNzQzNGJhN2JmNjEyZTM0NmRhZWZhNjIiLCJwIjoic2hlZXRzLWppcmEifQ","ITPROJECT-813")</f>
        <v>ITPROJECT-813</v>
      </c>
      <c r="C883" s="1" t="s">
        <v>1010</v>
      </c>
      <c r="D883" s="1" t="s">
        <v>71</v>
      </c>
      <c r="E883" s="1" t="s">
        <v>71</v>
      </c>
      <c r="F883" s="1" t="s">
        <v>1006</v>
      </c>
      <c r="G883" s="1" t="s">
        <v>13</v>
      </c>
      <c r="H883" s="4">
        <v>44807.534942129627</v>
      </c>
      <c r="I883" s="4">
        <v>45061.164965277778</v>
      </c>
      <c r="J883" s="1" t="s">
        <v>60</v>
      </c>
    </row>
    <row r="884" spans="1:10" ht="12.75" x14ac:dyDescent="0.2">
      <c r="A884" s="1" t="s">
        <v>63</v>
      </c>
      <c r="B884" s="3" t="str">
        <f>HYPERLINK("https://pegadaian.atlassian.net/browse/ITPROJECT-605?atlOrigin=eyJpIjoiYzgwYTQ0ZjEyNzQzNGJhN2JmNjEyZTM0NmRhZWZhNjIiLCJwIjoic2hlZXRzLWppcmEifQ","ITPROJECT-605")</f>
        <v>ITPROJECT-605</v>
      </c>
      <c r="C884" s="1" t="s">
        <v>1011</v>
      </c>
      <c r="D884" s="1" t="s">
        <v>71</v>
      </c>
      <c r="E884" s="1" t="s">
        <v>71</v>
      </c>
      <c r="F884" s="1" t="s">
        <v>1006</v>
      </c>
      <c r="G884" s="1" t="s">
        <v>13</v>
      </c>
      <c r="H884" s="4">
        <v>44725.451909722222</v>
      </c>
      <c r="I884" s="4">
        <v>45061.166307870371</v>
      </c>
      <c r="J884" s="1" t="s">
        <v>60</v>
      </c>
    </row>
    <row r="885" spans="1:10" ht="12.75" x14ac:dyDescent="0.2">
      <c r="A885" s="1" t="s">
        <v>63</v>
      </c>
      <c r="B885" s="3" t="str">
        <f>HYPERLINK("https://pegadaian.atlassian.net/browse/ITPROJECT-415?atlOrigin=eyJpIjoiYzgwYTQ0ZjEyNzQzNGJhN2JmNjEyZTM0NmRhZWZhNjIiLCJwIjoic2hlZXRzLWppcmEifQ","ITPROJECT-415")</f>
        <v>ITPROJECT-415</v>
      </c>
      <c r="C885" s="1" t="s">
        <v>1012</v>
      </c>
      <c r="D885" s="1" t="s">
        <v>75</v>
      </c>
      <c r="E885" s="1" t="s">
        <v>75</v>
      </c>
      <c r="F885" s="1" t="s">
        <v>1006</v>
      </c>
      <c r="G885" s="1" t="s">
        <v>13</v>
      </c>
      <c r="H885" s="4">
        <v>44646.513043981482</v>
      </c>
      <c r="I885" s="4">
        <v>45061.167442129627</v>
      </c>
      <c r="J885" s="1" t="s">
        <v>40</v>
      </c>
    </row>
    <row r="886" spans="1:10" ht="12.75" x14ac:dyDescent="0.2">
      <c r="A886" s="1" t="s">
        <v>63</v>
      </c>
      <c r="B886" s="3" t="str">
        <f>HYPERLINK("https://pegadaian.atlassian.net/browse/ITPROJECT-405?atlOrigin=eyJpIjoiYzgwYTQ0ZjEyNzQzNGJhN2JmNjEyZTM0NmRhZWZhNjIiLCJwIjoic2hlZXRzLWppcmEifQ","ITPROJECT-405")</f>
        <v>ITPROJECT-405</v>
      </c>
      <c r="C886" s="1" t="s">
        <v>1013</v>
      </c>
      <c r="D886" s="1" t="s">
        <v>44</v>
      </c>
      <c r="E886" s="1" t="s">
        <v>44</v>
      </c>
      <c r="F886" s="1" t="s">
        <v>1006</v>
      </c>
      <c r="G886" s="1" t="s">
        <v>13</v>
      </c>
      <c r="H886" s="4">
        <v>44644.445671296293</v>
      </c>
      <c r="I886" s="4">
        <v>45061.167500000003</v>
      </c>
      <c r="J886" s="1" t="s">
        <v>487</v>
      </c>
    </row>
    <row r="887" spans="1:10" ht="12.75" x14ac:dyDescent="0.2">
      <c r="A887" s="1" t="s">
        <v>63</v>
      </c>
      <c r="B887" s="3" t="str">
        <f>HYPERLINK("https://pegadaian.atlassian.net/browse/ITPROJECT-393?atlOrigin=eyJpIjoiYzgwYTQ0ZjEyNzQzNGJhN2JmNjEyZTM0NmRhZWZhNjIiLCJwIjoic2hlZXRzLWppcmEifQ","ITPROJECT-393")</f>
        <v>ITPROJECT-393</v>
      </c>
      <c r="C887" s="1" t="s">
        <v>1014</v>
      </c>
      <c r="D887" s="1" t="s">
        <v>71</v>
      </c>
      <c r="E887" s="1" t="s">
        <v>71</v>
      </c>
      <c r="F887" s="1" t="s">
        <v>1006</v>
      </c>
      <c r="G887" s="1" t="s">
        <v>13</v>
      </c>
      <c r="H887" s="4">
        <v>44642.587858796294</v>
      </c>
      <c r="I887" s="4">
        <v>45061.167557870373</v>
      </c>
      <c r="J887" s="1" t="s">
        <v>60</v>
      </c>
    </row>
    <row r="888" spans="1:10" ht="12.75" x14ac:dyDescent="0.2">
      <c r="A888" s="1" t="s">
        <v>63</v>
      </c>
      <c r="B888" s="3" t="str">
        <f>HYPERLINK("https://pegadaian.atlassian.net/browse/ITPROJECT-142?atlOrigin=eyJpIjoiYzgwYTQ0ZjEyNzQzNGJhN2JmNjEyZTM0NmRhZWZhNjIiLCJwIjoic2hlZXRzLWppcmEifQ","ITPROJECT-142")</f>
        <v>ITPROJECT-142</v>
      </c>
      <c r="C888" s="1" t="s">
        <v>1015</v>
      </c>
      <c r="D888" s="1" t="s">
        <v>43</v>
      </c>
      <c r="E888" s="1" t="s">
        <v>43</v>
      </c>
      <c r="F888" s="1" t="s">
        <v>1006</v>
      </c>
      <c r="G888" s="1" t="s">
        <v>13</v>
      </c>
      <c r="H888" s="4">
        <v>44564.614050925928</v>
      </c>
      <c r="I888" s="4">
        <v>45061.168969907405</v>
      </c>
      <c r="J888" s="1" t="s">
        <v>40</v>
      </c>
    </row>
    <row r="889" spans="1:10" ht="12.75" x14ac:dyDescent="0.2">
      <c r="A889" s="1" t="s">
        <v>63</v>
      </c>
      <c r="B889" s="3" t="str">
        <f>HYPERLINK("https://pegadaian.atlassian.net/browse/ITPROJECT-141?atlOrigin=eyJpIjoiYzgwYTQ0ZjEyNzQzNGJhN2JmNjEyZTM0NmRhZWZhNjIiLCJwIjoic2hlZXRzLWppcmEifQ","ITPROJECT-141")</f>
        <v>ITPROJECT-141</v>
      </c>
      <c r="C889" s="1" t="s">
        <v>1016</v>
      </c>
      <c r="D889" s="1" t="s">
        <v>43</v>
      </c>
      <c r="E889" s="1" t="s">
        <v>43</v>
      </c>
      <c r="F889" s="1" t="s">
        <v>1006</v>
      </c>
      <c r="G889" s="1" t="s">
        <v>13</v>
      </c>
      <c r="H889" s="4">
        <v>44564.62940972222</v>
      </c>
      <c r="I889" s="4">
        <v>45061.168969907405</v>
      </c>
      <c r="J889" s="1" t="s">
        <v>40</v>
      </c>
    </row>
    <row r="890" spans="1:10" ht="12.75" x14ac:dyDescent="0.2">
      <c r="A890" s="1" t="s">
        <v>63</v>
      </c>
      <c r="B890" s="3" t="str">
        <f>HYPERLINK("https://pegadaian.atlassian.net/browse/ITPROJECT-140?atlOrigin=eyJpIjoiYzgwYTQ0ZjEyNzQzNGJhN2JmNjEyZTM0NmRhZWZhNjIiLCJwIjoic2hlZXRzLWppcmEifQ","ITPROJECT-140")</f>
        <v>ITPROJECT-140</v>
      </c>
      <c r="C890" s="1" t="s">
        <v>1017</v>
      </c>
      <c r="D890" s="1" t="s">
        <v>28</v>
      </c>
      <c r="E890" s="1" t="s">
        <v>28</v>
      </c>
      <c r="F890" s="1" t="s">
        <v>1006</v>
      </c>
      <c r="G890" s="1" t="s">
        <v>13</v>
      </c>
      <c r="H890" s="4">
        <v>44564.816666666666</v>
      </c>
      <c r="I890" s="4">
        <v>45061.168981481482</v>
      </c>
      <c r="J890" s="1" t="s">
        <v>15</v>
      </c>
    </row>
    <row r="891" spans="1:10" ht="12.75" x14ac:dyDescent="0.2">
      <c r="A891" s="1" t="s">
        <v>63</v>
      </c>
      <c r="B891" s="3" t="str">
        <f>HYPERLINK("https://pegadaian.atlassian.net/browse/ITPROJECT-139?atlOrigin=eyJpIjoiYzgwYTQ0ZjEyNzQzNGJhN2JmNjEyZTM0NmRhZWZhNjIiLCJwIjoic2hlZXRzLWppcmEifQ","ITPROJECT-139")</f>
        <v>ITPROJECT-139</v>
      </c>
      <c r="C891" s="1" t="s">
        <v>1018</v>
      </c>
      <c r="D891" s="1" t="s">
        <v>25</v>
      </c>
      <c r="E891" s="1" t="s">
        <v>25</v>
      </c>
      <c r="F891" s="1" t="s">
        <v>1006</v>
      </c>
      <c r="G891" s="1" t="s">
        <v>13</v>
      </c>
      <c r="H891" s="4">
        <v>44568.547476851854</v>
      </c>
      <c r="I891" s="4">
        <v>45061.168981481482</v>
      </c>
      <c r="J891" s="1" t="s">
        <v>26</v>
      </c>
    </row>
    <row r="892" spans="1:10" ht="12.75" x14ac:dyDescent="0.2">
      <c r="A892" s="1" t="s">
        <v>63</v>
      </c>
      <c r="B892" s="3" t="str">
        <f>HYPERLINK("https://pegadaian.atlassian.net/browse/ITPROJECT-137?atlOrigin=eyJpIjoiYzgwYTQ0ZjEyNzQzNGJhN2JmNjEyZTM0NmRhZWZhNjIiLCJwIjoic2hlZXRzLWppcmEifQ","ITPROJECT-137")</f>
        <v>ITPROJECT-137</v>
      </c>
      <c r="C892" s="1" t="s">
        <v>1019</v>
      </c>
      <c r="D892" s="1" t="s">
        <v>115</v>
      </c>
      <c r="E892" s="1" t="s">
        <v>115</v>
      </c>
      <c r="F892" s="1" t="s">
        <v>1006</v>
      </c>
      <c r="G892" s="1" t="s">
        <v>13</v>
      </c>
      <c r="H892" s="4">
        <v>44566.574571759258</v>
      </c>
      <c r="I892" s="4">
        <v>45061.168993055559</v>
      </c>
      <c r="J892" s="1" t="s">
        <v>487</v>
      </c>
    </row>
    <row r="893" spans="1:10" ht="12.75" x14ac:dyDescent="0.2">
      <c r="A893" s="1" t="s">
        <v>117</v>
      </c>
      <c r="B893" s="3" t="str">
        <f>HYPERLINK("https://pegadaian.atlassian.net/browse/ITPROJECT-135?atlOrigin=eyJpIjoiYzgwYTQ0ZjEyNzQzNGJhN2JmNjEyZTM0NmRhZWZhNjIiLCJwIjoic2hlZXRzLWppcmEifQ","ITPROJECT-135")</f>
        <v>ITPROJECT-135</v>
      </c>
      <c r="C893" s="1" t="s">
        <v>1020</v>
      </c>
      <c r="D893" s="1" t="s">
        <v>43</v>
      </c>
      <c r="E893" s="1" t="s">
        <v>43</v>
      </c>
      <c r="F893" s="1" t="s">
        <v>1006</v>
      </c>
      <c r="G893" s="1" t="s">
        <v>13</v>
      </c>
      <c r="H893" s="4">
        <v>44580.670185185183</v>
      </c>
      <c r="I893" s="4">
        <v>45061.169016203705</v>
      </c>
      <c r="J893" s="1" t="s">
        <v>40</v>
      </c>
    </row>
    <row r="894" spans="1:10" ht="12.75" x14ac:dyDescent="0.2">
      <c r="A894" s="1" t="s">
        <v>117</v>
      </c>
      <c r="B894" s="3" t="str">
        <f>HYPERLINK("https://pegadaian.atlassian.net/browse/ITPROJECT-134?atlOrigin=eyJpIjoiYzgwYTQ0ZjEyNzQzNGJhN2JmNjEyZTM0NmRhZWZhNjIiLCJwIjoic2hlZXRzLWppcmEifQ","ITPROJECT-134")</f>
        <v>ITPROJECT-134</v>
      </c>
      <c r="C894" s="1" t="s">
        <v>1021</v>
      </c>
      <c r="D894" s="1" t="s">
        <v>28</v>
      </c>
      <c r="E894" s="1" t="s">
        <v>28</v>
      </c>
      <c r="F894" s="1" t="s">
        <v>1006</v>
      </c>
      <c r="G894" s="1" t="s">
        <v>13</v>
      </c>
      <c r="H894" s="4">
        <v>44580.669722222221</v>
      </c>
      <c r="I894" s="4">
        <v>45061.169016203705</v>
      </c>
      <c r="J894" s="1" t="s">
        <v>15</v>
      </c>
    </row>
    <row r="895" spans="1:10" ht="12.75" x14ac:dyDescent="0.2">
      <c r="A895" s="1" t="s">
        <v>117</v>
      </c>
      <c r="B895" s="3" t="str">
        <f>HYPERLINK("https://pegadaian.atlassian.net/browse/ITPROJECT-132?atlOrigin=eyJpIjoiYzgwYTQ0ZjEyNzQzNGJhN2JmNjEyZTM0NmRhZWZhNjIiLCJwIjoic2hlZXRzLWppcmEifQ","ITPROJECT-132")</f>
        <v>ITPROJECT-132</v>
      </c>
      <c r="C895" s="1" t="s">
        <v>1022</v>
      </c>
      <c r="D895" s="1" t="s">
        <v>43</v>
      </c>
      <c r="E895" s="1" t="s">
        <v>43</v>
      </c>
      <c r="F895" s="1" t="s">
        <v>1006</v>
      </c>
      <c r="G895" s="1" t="s">
        <v>13</v>
      </c>
      <c r="H895" s="4">
        <v>44580.67046296296</v>
      </c>
      <c r="I895" s="4">
        <v>45061.169027777774</v>
      </c>
      <c r="J895" s="1" t="s">
        <v>40</v>
      </c>
    </row>
    <row r="896" spans="1:10" ht="12.75" x14ac:dyDescent="0.2">
      <c r="A896" s="1" t="s">
        <v>117</v>
      </c>
      <c r="B896" s="3" t="str">
        <f>HYPERLINK("https://pegadaian.atlassian.net/browse/ITPROJECT-131?atlOrigin=eyJpIjoiYzgwYTQ0ZjEyNzQzNGJhN2JmNjEyZTM0NmRhZWZhNjIiLCJwIjoic2hlZXRzLWppcmEifQ","ITPROJECT-131")</f>
        <v>ITPROJECT-131</v>
      </c>
      <c r="C896" s="1" t="s">
        <v>1023</v>
      </c>
      <c r="D896" s="1" t="s">
        <v>25</v>
      </c>
      <c r="E896" s="1" t="s">
        <v>25</v>
      </c>
      <c r="F896" s="1" t="s">
        <v>1006</v>
      </c>
      <c r="G896" s="1" t="s">
        <v>13</v>
      </c>
      <c r="H896" s="4">
        <v>44580.668622685182</v>
      </c>
      <c r="I896" s="4">
        <v>45061.169039351851</v>
      </c>
      <c r="J896" s="1" t="s">
        <v>26</v>
      </c>
    </row>
    <row r="897" spans="1:10" ht="12.75" x14ac:dyDescent="0.2">
      <c r="A897" s="1" t="s">
        <v>117</v>
      </c>
      <c r="B897" s="3" t="str">
        <f>HYPERLINK("https://pegadaian.atlassian.net/browse/ITPROJECT-130?atlOrigin=eyJpIjoiYzgwYTQ0ZjEyNzQzNGJhN2JmNjEyZTM0NmRhZWZhNjIiLCJwIjoic2hlZXRzLWppcmEifQ","ITPROJECT-130")</f>
        <v>ITPROJECT-130</v>
      </c>
      <c r="C897" s="1" t="s">
        <v>1024</v>
      </c>
      <c r="D897" s="1" t="s">
        <v>115</v>
      </c>
      <c r="E897" s="1" t="s">
        <v>115</v>
      </c>
      <c r="F897" s="1" t="s">
        <v>1006</v>
      </c>
      <c r="G897" s="1" t="s">
        <v>13</v>
      </c>
      <c r="H897" s="4">
        <v>44580.669120370374</v>
      </c>
      <c r="I897" s="4">
        <v>45061.169039351851</v>
      </c>
      <c r="J897" s="1" t="s">
        <v>487</v>
      </c>
    </row>
    <row r="898" spans="1:10" ht="12.75" x14ac:dyDescent="0.2">
      <c r="A898" s="1" t="s">
        <v>63</v>
      </c>
      <c r="B898" s="3" t="str">
        <f>HYPERLINK("https://pegadaian.atlassian.net/browse/ITPROJECT-125?atlOrigin=eyJpIjoiYzgwYTQ0ZjEyNzQzNGJhN2JmNjEyZTM0NmRhZWZhNjIiLCJwIjoic2hlZXRzLWppcmEifQ","ITPROJECT-125")</f>
        <v>ITPROJECT-125</v>
      </c>
      <c r="C898" s="1" t="s">
        <v>1025</v>
      </c>
      <c r="D898" s="1" t="s">
        <v>424</v>
      </c>
      <c r="E898" s="1" t="s">
        <v>424</v>
      </c>
      <c r="F898" s="1" t="s">
        <v>1006</v>
      </c>
      <c r="G898" s="1" t="s">
        <v>13</v>
      </c>
      <c r="H898" s="4">
        <v>44530.405995370369</v>
      </c>
      <c r="I898" s="4">
        <v>45061.169074074074</v>
      </c>
      <c r="J898" s="1" t="s">
        <v>1026</v>
      </c>
    </row>
    <row r="899" spans="1:10" ht="12.75" x14ac:dyDescent="0.2">
      <c r="A899" s="1" t="s">
        <v>63</v>
      </c>
      <c r="B899" s="3" t="str">
        <f>HYPERLINK("https://pegadaian.atlassian.net/browse/ITPROJECT-124?atlOrigin=eyJpIjoiYzgwYTQ0ZjEyNzQzNGJhN2JmNjEyZTM0NmRhZWZhNjIiLCJwIjoic2hlZXRzLWppcmEifQ","ITPROJECT-124")</f>
        <v>ITPROJECT-124</v>
      </c>
      <c r="C899" s="1" t="s">
        <v>1027</v>
      </c>
      <c r="D899" s="1" t="s">
        <v>65</v>
      </c>
      <c r="E899" s="1" t="s">
        <v>122</v>
      </c>
      <c r="F899" s="1" t="s">
        <v>1006</v>
      </c>
      <c r="G899" s="1" t="s">
        <v>13</v>
      </c>
      <c r="H899" s="4">
        <v>44564.73096064815</v>
      </c>
      <c r="I899" s="4">
        <v>45061.169085648151</v>
      </c>
      <c r="J899" s="1" t="s">
        <v>54</v>
      </c>
    </row>
    <row r="900" spans="1:10" ht="12.75" x14ac:dyDescent="0.2">
      <c r="A900" s="1" t="s">
        <v>63</v>
      </c>
      <c r="B900" s="3" t="str">
        <f>HYPERLINK("https://pegadaian.atlassian.net/browse/ITPROJECT-122?atlOrigin=eyJpIjoiYzgwYTQ0ZjEyNzQzNGJhN2JmNjEyZTM0NmRhZWZhNjIiLCJwIjoic2hlZXRzLWppcmEifQ","ITPROJECT-122")</f>
        <v>ITPROJECT-122</v>
      </c>
      <c r="C900" s="1" t="s">
        <v>1028</v>
      </c>
      <c r="D900" s="1" t="s">
        <v>65</v>
      </c>
      <c r="E900" s="1" t="s">
        <v>122</v>
      </c>
      <c r="F900" s="1" t="s">
        <v>1006</v>
      </c>
      <c r="G900" s="1" t="s">
        <v>13</v>
      </c>
      <c r="H900" s="4">
        <v>44567.55059027778</v>
      </c>
      <c r="I900" s="4">
        <v>45061.16909722222</v>
      </c>
      <c r="J900" s="1" t="s">
        <v>54</v>
      </c>
    </row>
    <row r="901" spans="1:10" ht="12.75" x14ac:dyDescent="0.2">
      <c r="A901" s="1" t="s">
        <v>117</v>
      </c>
      <c r="B901" s="3" t="str">
        <f>HYPERLINK("https://pegadaian.atlassian.net/browse/ITPROJECT-121?atlOrigin=eyJpIjoiYzgwYTQ0ZjEyNzQzNGJhN2JmNjEyZTM0NmRhZWZhNjIiLCJwIjoic2hlZXRzLWppcmEifQ","ITPROJECT-121")</f>
        <v>ITPROJECT-121</v>
      </c>
      <c r="C901" s="1" t="s">
        <v>1029</v>
      </c>
      <c r="D901" s="1" t="s">
        <v>65</v>
      </c>
      <c r="E901" s="1" t="s">
        <v>122</v>
      </c>
      <c r="F901" s="1" t="s">
        <v>1006</v>
      </c>
      <c r="G901" s="1" t="s">
        <v>13</v>
      </c>
      <c r="H901" s="4">
        <v>44580.649618055555</v>
      </c>
      <c r="I901" s="4">
        <v>45061.16909722222</v>
      </c>
      <c r="J901" s="1" t="s">
        <v>54</v>
      </c>
    </row>
    <row r="902" spans="1:10" ht="12.75" x14ac:dyDescent="0.2">
      <c r="A902" s="1" t="s">
        <v>117</v>
      </c>
      <c r="B902" s="3" t="str">
        <f>HYPERLINK("https://pegadaian.atlassian.net/browse/ITPROJECT-120?atlOrigin=eyJpIjoiYzgwYTQ0ZjEyNzQzNGJhN2JmNjEyZTM0NmRhZWZhNjIiLCJwIjoic2hlZXRzLWppcmEifQ","ITPROJECT-120")</f>
        <v>ITPROJECT-120</v>
      </c>
      <c r="C902" s="1" t="s">
        <v>928</v>
      </c>
      <c r="D902" s="1" t="s">
        <v>785</v>
      </c>
      <c r="E902" s="1" t="s">
        <v>119</v>
      </c>
      <c r="F902" s="1" t="s">
        <v>1006</v>
      </c>
      <c r="G902" s="1" t="s">
        <v>13</v>
      </c>
      <c r="H902" s="4">
        <v>44580.649259259262</v>
      </c>
      <c r="I902" s="4">
        <v>45061.169108796297</v>
      </c>
      <c r="J902" s="1" t="s">
        <v>58</v>
      </c>
    </row>
    <row r="903" spans="1:10" ht="12.75" x14ac:dyDescent="0.2">
      <c r="A903" s="1" t="s">
        <v>117</v>
      </c>
      <c r="B903" s="3" t="str">
        <f>HYPERLINK("https://pegadaian.atlassian.net/browse/ITPROJECT-119?atlOrigin=eyJpIjoiYzgwYTQ0ZjEyNzQzNGJhN2JmNjEyZTM0NmRhZWZhNjIiLCJwIjoic2hlZXRzLWppcmEifQ","ITPROJECT-119")</f>
        <v>ITPROJECT-119</v>
      </c>
      <c r="C903" s="1" t="s">
        <v>1030</v>
      </c>
      <c r="D903" s="1" t="s">
        <v>424</v>
      </c>
      <c r="E903" s="1" t="s">
        <v>424</v>
      </c>
      <c r="F903" s="1" t="s">
        <v>1006</v>
      </c>
      <c r="G903" s="1" t="s">
        <v>13</v>
      </c>
      <c r="H903" s="4">
        <v>44580.651759259257</v>
      </c>
      <c r="I903" s="4">
        <v>45061.169108796297</v>
      </c>
      <c r="J903" s="1" t="s">
        <v>1026</v>
      </c>
    </row>
    <row r="904" spans="1:10" ht="12.75" x14ac:dyDescent="0.2">
      <c r="A904" s="1" t="s">
        <v>117</v>
      </c>
      <c r="B904" s="3" t="str">
        <f>HYPERLINK("https://pegadaian.atlassian.net/browse/ITPROJECT-117?atlOrigin=eyJpIjoiYzgwYTQ0ZjEyNzQzNGJhN2JmNjEyZTM0NmRhZWZhNjIiLCJwIjoic2hlZXRzLWppcmEifQ","ITPROJECT-117")</f>
        <v>ITPROJECT-117</v>
      </c>
      <c r="C904" s="1" t="s">
        <v>1031</v>
      </c>
      <c r="D904" s="1" t="s">
        <v>65</v>
      </c>
      <c r="E904" s="1" t="s">
        <v>122</v>
      </c>
      <c r="F904" s="1" t="s">
        <v>1006</v>
      </c>
      <c r="G904" s="1" t="s">
        <v>13</v>
      </c>
      <c r="H904" s="4">
        <v>44580.651412037034</v>
      </c>
      <c r="I904" s="4">
        <v>45061.169120370374</v>
      </c>
      <c r="J904" s="1" t="s">
        <v>54</v>
      </c>
    </row>
    <row r="905" spans="1:10" ht="12.75" x14ac:dyDescent="0.2">
      <c r="A905" s="1" t="s">
        <v>63</v>
      </c>
      <c r="B905" s="3" t="str">
        <f>HYPERLINK("https://pegadaian.atlassian.net/browse/ITPROJECT-112?atlOrigin=eyJpIjoiYzgwYTQ0ZjEyNzQzNGJhN2JmNjEyZTM0NmRhZWZhNjIiLCJwIjoic2hlZXRzLWppcmEifQ","ITPROJECT-112")</f>
        <v>ITPROJECT-112</v>
      </c>
      <c r="C905" s="1" t="s">
        <v>1032</v>
      </c>
      <c r="D905" s="1" t="s">
        <v>65</v>
      </c>
      <c r="E905" s="1" t="s">
        <v>122</v>
      </c>
      <c r="F905" s="1" t="s">
        <v>1006</v>
      </c>
      <c r="G905" s="1" t="s">
        <v>13</v>
      </c>
      <c r="H905" s="4">
        <v>44567.552615740744</v>
      </c>
      <c r="I905" s="4">
        <v>45061.16914351852</v>
      </c>
      <c r="J905" s="1" t="s">
        <v>54</v>
      </c>
    </row>
    <row r="906" spans="1:10" ht="12.75" x14ac:dyDescent="0.2">
      <c r="A906" s="1" t="s">
        <v>117</v>
      </c>
      <c r="B906" s="3" t="str">
        <f>HYPERLINK("https://pegadaian.atlassian.net/browse/ITPROJECT-110?atlOrigin=eyJpIjoiYzgwYTQ0ZjEyNzQzNGJhN2JmNjEyZTM0NmRhZWZhNjIiLCJwIjoic2hlZXRzLWppcmEifQ","ITPROJECT-110")</f>
        <v>ITPROJECT-110</v>
      </c>
      <c r="C906" s="1" t="s">
        <v>1033</v>
      </c>
      <c r="D906" s="1" t="s">
        <v>71</v>
      </c>
      <c r="E906" s="1" t="s">
        <v>71</v>
      </c>
      <c r="F906" s="1" t="s">
        <v>1006</v>
      </c>
      <c r="G906" s="1" t="s">
        <v>13</v>
      </c>
      <c r="H906" s="4">
        <v>44580.621111111112</v>
      </c>
      <c r="I906" s="4">
        <v>45061.16915509259</v>
      </c>
      <c r="J906" s="1" t="s">
        <v>60</v>
      </c>
    </row>
    <row r="907" spans="1:10" ht="12.75" x14ac:dyDescent="0.2">
      <c r="A907" s="1" t="s">
        <v>117</v>
      </c>
      <c r="B907" s="3" t="str">
        <f>HYPERLINK("https://pegadaian.atlassian.net/browse/ITPROJECT-108?atlOrigin=eyJpIjoiYzgwYTQ0ZjEyNzQzNGJhN2JmNjEyZTM0NmRhZWZhNjIiLCJwIjoic2hlZXRzLWppcmEifQ","ITPROJECT-108")</f>
        <v>ITPROJECT-108</v>
      </c>
      <c r="C907" s="1" t="s">
        <v>1034</v>
      </c>
      <c r="D907" s="1" t="s">
        <v>65</v>
      </c>
      <c r="E907" s="1" t="s">
        <v>122</v>
      </c>
      <c r="F907" s="1" t="s">
        <v>1006</v>
      </c>
      <c r="G907" s="1" t="s">
        <v>13</v>
      </c>
      <c r="H907" s="4">
        <v>44580.621631944443</v>
      </c>
      <c r="I907" s="4">
        <v>45061.169166666667</v>
      </c>
      <c r="J907" s="1" t="s">
        <v>54</v>
      </c>
    </row>
    <row r="908" spans="1:10" ht="12.75" x14ac:dyDescent="0.2">
      <c r="C908" s="5"/>
      <c r="H908" s="6"/>
      <c r="I908" s="6"/>
    </row>
    <row r="909" spans="1:10" ht="12.75" x14ac:dyDescent="0.2">
      <c r="C909" s="5"/>
      <c r="H909" s="6"/>
      <c r="I909" s="6"/>
    </row>
    <row r="910" spans="1:10" ht="12.75" x14ac:dyDescent="0.2">
      <c r="C910" s="5"/>
      <c r="H910" s="6"/>
      <c r="I910" s="6"/>
    </row>
    <row r="911" spans="1:10" ht="12.75" x14ac:dyDescent="0.2">
      <c r="C911" s="5"/>
      <c r="H911" s="6"/>
      <c r="I911" s="6"/>
    </row>
    <row r="912" spans="1:10" ht="12.75" x14ac:dyDescent="0.2">
      <c r="C912" s="5"/>
      <c r="H912" s="6"/>
      <c r="I912" s="6"/>
    </row>
    <row r="913" spans="3:9" ht="12.75" x14ac:dyDescent="0.2">
      <c r="C913" s="5"/>
      <c r="H913" s="6"/>
      <c r="I913" s="6"/>
    </row>
    <row r="914" spans="3:9" ht="12.75" x14ac:dyDescent="0.2">
      <c r="C914" s="5"/>
      <c r="H914" s="6"/>
      <c r="I914" s="6"/>
    </row>
    <row r="915" spans="3:9" ht="12.75" x14ac:dyDescent="0.2">
      <c r="C915" s="5"/>
      <c r="H915" s="6"/>
      <c r="I915" s="6"/>
    </row>
    <row r="916" spans="3:9" ht="12.75" x14ac:dyDescent="0.2">
      <c r="C916" s="5"/>
      <c r="H916" s="6"/>
      <c r="I916" s="6"/>
    </row>
    <row r="917" spans="3:9" ht="12.75" x14ac:dyDescent="0.2">
      <c r="C917" s="5"/>
      <c r="H917" s="6"/>
      <c r="I917" s="6"/>
    </row>
    <row r="918" spans="3:9" ht="12.75" x14ac:dyDescent="0.2">
      <c r="C918" s="5"/>
      <c r="H918" s="6"/>
      <c r="I918" s="6"/>
    </row>
    <row r="919" spans="3:9" ht="12.75" x14ac:dyDescent="0.2">
      <c r="C919" s="5"/>
      <c r="H919" s="6"/>
      <c r="I919" s="6"/>
    </row>
    <row r="920" spans="3:9" ht="12.75" x14ac:dyDescent="0.2">
      <c r="C920" s="5"/>
      <c r="H920" s="6"/>
      <c r="I920" s="6"/>
    </row>
    <row r="921" spans="3:9" ht="12.75" x14ac:dyDescent="0.2">
      <c r="C921" s="5"/>
      <c r="H921" s="6"/>
      <c r="I921" s="6"/>
    </row>
    <row r="922" spans="3:9" ht="12.75" x14ac:dyDescent="0.2">
      <c r="C922" s="5"/>
      <c r="H922" s="6"/>
      <c r="I922" s="6"/>
    </row>
    <row r="923" spans="3:9" ht="12.75" x14ac:dyDescent="0.2">
      <c r="C923" s="5"/>
      <c r="H923" s="6"/>
      <c r="I923" s="6"/>
    </row>
    <row r="924" spans="3:9" ht="12.75" x14ac:dyDescent="0.2">
      <c r="C924" s="5"/>
      <c r="H924" s="6"/>
      <c r="I924" s="6"/>
    </row>
    <row r="925" spans="3:9" ht="12.75" x14ac:dyDescent="0.2">
      <c r="C925" s="5"/>
      <c r="H925" s="6"/>
      <c r="I925" s="6"/>
    </row>
    <row r="926" spans="3:9" ht="12.75" x14ac:dyDescent="0.2">
      <c r="C926" s="5"/>
      <c r="H926" s="6"/>
      <c r="I926" s="6"/>
    </row>
    <row r="927" spans="3:9" ht="12.75" x14ac:dyDescent="0.2">
      <c r="C927" s="5"/>
      <c r="H927" s="6"/>
      <c r="I927" s="6"/>
    </row>
    <row r="928" spans="3:9" ht="12.75" x14ac:dyDescent="0.2">
      <c r="C928" s="5"/>
      <c r="H928" s="6"/>
      <c r="I928" s="6"/>
    </row>
    <row r="929" spans="3:9" ht="12.75" x14ac:dyDescent="0.2">
      <c r="C929" s="5"/>
      <c r="H929" s="6"/>
      <c r="I929" s="6"/>
    </row>
    <row r="930" spans="3:9" ht="12.75" x14ac:dyDescent="0.2">
      <c r="C930" s="5"/>
      <c r="H930" s="6"/>
      <c r="I930" s="6"/>
    </row>
    <row r="931" spans="3:9" ht="12.75" x14ac:dyDescent="0.2">
      <c r="C931" s="5"/>
      <c r="H931" s="6"/>
      <c r="I931" s="6"/>
    </row>
    <row r="932" spans="3:9" ht="12.75" x14ac:dyDescent="0.2">
      <c r="C932" s="5"/>
      <c r="H932" s="6"/>
      <c r="I932" s="6"/>
    </row>
    <row r="933" spans="3:9" ht="12.75" x14ac:dyDescent="0.2">
      <c r="C933" s="5"/>
      <c r="H933" s="6"/>
      <c r="I933" s="6"/>
    </row>
    <row r="934" spans="3:9" ht="12.75" x14ac:dyDescent="0.2">
      <c r="C934" s="5"/>
      <c r="H934" s="6"/>
      <c r="I934" s="6"/>
    </row>
    <row r="935" spans="3:9" ht="12.75" x14ac:dyDescent="0.2">
      <c r="C935" s="5"/>
      <c r="H935" s="6"/>
      <c r="I935" s="6"/>
    </row>
    <row r="936" spans="3:9" ht="12.75" x14ac:dyDescent="0.2">
      <c r="C936" s="5"/>
      <c r="H936" s="6"/>
      <c r="I936" s="6"/>
    </row>
    <row r="937" spans="3:9" ht="12.75" x14ac:dyDescent="0.2">
      <c r="C937" s="5"/>
      <c r="H937" s="6"/>
      <c r="I937" s="6"/>
    </row>
    <row r="938" spans="3:9" ht="12.75" x14ac:dyDescent="0.2">
      <c r="C938" s="5"/>
      <c r="H938" s="6"/>
      <c r="I938" s="6"/>
    </row>
    <row r="939" spans="3:9" ht="12.75" x14ac:dyDescent="0.2">
      <c r="C939" s="5"/>
      <c r="H939" s="6"/>
      <c r="I939" s="6"/>
    </row>
    <row r="940" spans="3:9" ht="12.75" x14ac:dyDescent="0.2">
      <c r="C940" s="5"/>
      <c r="H940" s="6"/>
      <c r="I940" s="6"/>
    </row>
    <row r="941" spans="3:9" ht="12.75" x14ac:dyDescent="0.2">
      <c r="C941" s="5"/>
      <c r="H941" s="6"/>
      <c r="I941" s="6"/>
    </row>
    <row r="942" spans="3:9" ht="12.75" x14ac:dyDescent="0.2">
      <c r="C942" s="5"/>
      <c r="H942" s="6"/>
      <c r="I942" s="6"/>
    </row>
    <row r="943" spans="3:9" ht="12.75" x14ac:dyDescent="0.2">
      <c r="C943" s="5"/>
      <c r="H943" s="6"/>
      <c r="I943" s="6"/>
    </row>
    <row r="944" spans="3:9" ht="12.75" x14ac:dyDescent="0.2">
      <c r="C944" s="5"/>
      <c r="H944" s="6"/>
      <c r="I944" s="6"/>
    </row>
    <row r="945" spans="3:9" ht="12.75" x14ac:dyDescent="0.2">
      <c r="C945" s="5"/>
      <c r="H945" s="6"/>
      <c r="I945" s="6"/>
    </row>
    <row r="946" spans="3:9" ht="12.75" x14ac:dyDescent="0.2">
      <c r="C946" s="5"/>
      <c r="H946" s="6"/>
      <c r="I946" s="6"/>
    </row>
    <row r="947" spans="3:9" ht="12.75" x14ac:dyDescent="0.2">
      <c r="C947" s="5"/>
      <c r="H947" s="6"/>
      <c r="I947" s="6"/>
    </row>
    <row r="948" spans="3:9" ht="12.75" x14ac:dyDescent="0.2">
      <c r="C948" s="5"/>
      <c r="H948" s="6"/>
      <c r="I948" s="6"/>
    </row>
    <row r="949" spans="3:9" ht="12.75" x14ac:dyDescent="0.2">
      <c r="C949" s="5"/>
      <c r="H949" s="6"/>
      <c r="I949" s="6"/>
    </row>
    <row r="950" spans="3:9" ht="12.75" x14ac:dyDescent="0.2">
      <c r="C950" s="5"/>
      <c r="H950" s="6"/>
      <c r="I950" s="6"/>
    </row>
    <row r="951" spans="3:9" ht="12.75" x14ac:dyDescent="0.2">
      <c r="C951" s="5"/>
      <c r="H951" s="6"/>
      <c r="I951" s="6"/>
    </row>
    <row r="952" spans="3:9" ht="12.75" x14ac:dyDescent="0.2">
      <c r="C952" s="5"/>
      <c r="H952" s="6"/>
      <c r="I952" s="6"/>
    </row>
    <row r="953" spans="3:9" ht="12.75" x14ac:dyDescent="0.2">
      <c r="C953" s="5"/>
      <c r="H953" s="6"/>
      <c r="I953" s="6"/>
    </row>
    <row r="954" spans="3:9" ht="12.75" x14ac:dyDescent="0.2">
      <c r="C954" s="5"/>
      <c r="H954" s="6"/>
      <c r="I954" s="6"/>
    </row>
    <row r="955" spans="3:9" ht="12.75" x14ac:dyDescent="0.2">
      <c r="C955" s="5"/>
      <c r="H955" s="6"/>
      <c r="I955" s="6"/>
    </row>
    <row r="956" spans="3:9" ht="12.75" x14ac:dyDescent="0.2">
      <c r="C956" s="5"/>
      <c r="H956" s="6"/>
      <c r="I956" s="6"/>
    </row>
    <row r="957" spans="3:9" ht="12.75" x14ac:dyDescent="0.2">
      <c r="C957" s="5"/>
      <c r="H957" s="6"/>
      <c r="I957" s="6"/>
    </row>
    <row r="958" spans="3:9" ht="12.75" x14ac:dyDescent="0.2">
      <c r="C958" s="5"/>
      <c r="H958" s="6"/>
      <c r="I958" s="6"/>
    </row>
    <row r="959" spans="3:9" ht="12.75" x14ac:dyDescent="0.2">
      <c r="C959" s="5"/>
      <c r="H959" s="6"/>
      <c r="I959" s="6"/>
    </row>
    <row r="960" spans="3:9" ht="12.75" x14ac:dyDescent="0.2">
      <c r="C960" s="5"/>
      <c r="H960" s="6"/>
      <c r="I960" s="6"/>
    </row>
    <row r="961" spans="3:9" ht="12.75" x14ac:dyDescent="0.2">
      <c r="C961" s="5"/>
      <c r="H961" s="6"/>
      <c r="I961" s="6"/>
    </row>
    <row r="962" spans="3:9" ht="12.75" x14ac:dyDescent="0.2">
      <c r="C962" s="5"/>
      <c r="H962" s="6"/>
      <c r="I962" s="6"/>
    </row>
    <row r="963" spans="3:9" ht="12.75" x14ac:dyDescent="0.2">
      <c r="C963" s="5"/>
      <c r="H963" s="6"/>
      <c r="I963" s="6"/>
    </row>
    <row r="964" spans="3:9" ht="12.75" x14ac:dyDescent="0.2">
      <c r="C964" s="5"/>
      <c r="H964" s="6"/>
      <c r="I964" s="6"/>
    </row>
    <row r="965" spans="3:9" ht="12.75" x14ac:dyDescent="0.2">
      <c r="C965" s="5"/>
      <c r="H965" s="6"/>
      <c r="I965" s="6"/>
    </row>
    <row r="966" spans="3:9" ht="12.75" x14ac:dyDescent="0.2">
      <c r="C966" s="5"/>
      <c r="H966" s="6"/>
      <c r="I966" s="6"/>
    </row>
    <row r="967" spans="3:9" ht="12.75" x14ac:dyDescent="0.2">
      <c r="C967" s="5"/>
      <c r="H967" s="6"/>
      <c r="I967" s="6"/>
    </row>
    <row r="968" spans="3:9" ht="12.75" x14ac:dyDescent="0.2">
      <c r="C968" s="5"/>
      <c r="H968" s="6"/>
      <c r="I968" s="6"/>
    </row>
    <row r="969" spans="3:9" ht="12.75" x14ac:dyDescent="0.2">
      <c r="C969" s="5"/>
      <c r="H969" s="6"/>
      <c r="I969" s="6"/>
    </row>
    <row r="970" spans="3:9" ht="12.75" x14ac:dyDescent="0.2">
      <c r="C970" s="5"/>
      <c r="H970" s="6"/>
      <c r="I970" s="6"/>
    </row>
    <row r="971" spans="3:9" ht="12.75" x14ac:dyDescent="0.2">
      <c r="C971" s="5"/>
      <c r="H971" s="6"/>
      <c r="I971" s="6"/>
    </row>
    <row r="972" spans="3:9" ht="12.75" x14ac:dyDescent="0.2">
      <c r="C972" s="5"/>
      <c r="H972" s="6"/>
      <c r="I972" s="6"/>
    </row>
    <row r="973" spans="3:9" ht="12.75" x14ac:dyDescent="0.2">
      <c r="C973" s="5"/>
      <c r="H973" s="6"/>
      <c r="I973" s="6"/>
    </row>
    <row r="974" spans="3:9" ht="12.75" x14ac:dyDescent="0.2">
      <c r="C974" s="5"/>
      <c r="H974" s="6"/>
      <c r="I974" s="6"/>
    </row>
    <row r="975" spans="3:9" ht="12.75" x14ac:dyDescent="0.2">
      <c r="C975" s="5"/>
      <c r="H975" s="6"/>
      <c r="I975" s="6"/>
    </row>
    <row r="976" spans="3:9" ht="12.75" x14ac:dyDescent="0.2">
      <c r="C976" s="5"/>
      <c r="H976" s="6"/>
      <c r="I976" s="6"/>
    </row>
    <row r="977" spans="3:9" ht="12.75" x14ac:dyDescent="0.2">
      <c r="C977" s="5"/>
      <c r="H977" s="6"/>
      <c r="I977" s="6"/>
    </row>
    <row r="978" spans="3:9" ht="12.75" x14ac:dyDescent="0.2">
      <c r="C978" s="5"/>
      <c r="H978" s="6"/>
      <c r="I978" s="6"/>
    </row>
    <row r="979" spans="3:9" ht="12.75" x14ac:dyDescent="0.2">
      <c r="C979" s="5"/>
      <c r="H979" s="6"/>
      <c r="I979" s="6"/>
    </row>
    <row r="980" spans="3:9" ht="12.75" x14ac:dyDescent="0.2">
      <c r="C980" s="5"/>
      <c r="H980" s="6"/>
      <c r="I980" s="6"/>
    </row>
    <row r="981" spans="3:9" ht="12.75" x14ac:dyDescent="0.2">
      <c r="C981" s="5"/>
      <c r="H981" s="6"/>
      <c r="I981" s="6"/>
    </row>
    <row r="982" spans="3:9" ht="12.75" x14ac:dyDescent="0.2">
      <c r="C982" s="5"/>
      <c r="H982" s="6"/>
      <c r="I982" s="6"/>
    </row>
    <row r="983" spans="3:9" ht="12.75" x14ac:dyDescent="0.2">
      <c r="C983" s="5"/>
      <c r="H983" s="6"/>
      <c r="I983" s="6"/>
    </row>
    <row r="984" spans="3:9" ht="12.75" x14ac:dyDescent="0.2">
      <c r="C984" s="5"/>
      <c r="H984" s="6"/>
      <c r="I984" s="6"/>
    </row>
    <row r="985" spans="3:9" ht="12.75" x14ac:dyDescent="0.2">
      <c r="C985" s="5"/>
      <c r="H985" s="6"/>
      <c r="I985" s="6"/>
    </row>
    <row r="986" spans="3:9" ht="12.75" x14ac:dyDescent="0.2">
      <c r="C986" s="5"/>
      <c r="H986" s="6"/>
      <c r="I986" s="6"/>
    </row>
    <row r="987" spans="3:9" ht="12.75" x14ac:dyDescent="0.2">
      <c r="C987" s="5"/>
      <c r="H987" s="6"/>
      <c r="I987" s="6"/>
    </row>
    <row r="988" spans="3:9" ht="12.75" x14ac:dyDescent="0.2">
      <c r="C988" s="5"/>
      <c r="H988" s="6"/>
      <c r="I988" s="6"/>
    </row>
    <row r="989" spans="3:9" ht="12.75" x14ac:dyDescent="0.2">
      <c r="C989" s="5"/>
      <c r="H989" s="6"/>
      <c r="I989" s="6"/>
    </row>
    <row r="990" spans="3:9" ht="12.75" x14ac:dyDescent="0.2">
      <c r="C990" s="5"/>
      <c r="H990" s="6"/>
      <c r="I990" s="6"/>
    </row>
    <row r="991" spans="3:9" ht="12.75" x14ac:dyDescent="0.2">
      <c r="C991" s="5"/>
      <c r="H991" s="6"/>
      <c r="I991" s="6"/>
    </row>
    <row r="992" spans="3:9" ht="12.75" x14ac:dyDescent="0.2">
      <c r="C992" s="5"/>
      <c r="H992" s="6"/>
      <c r="I992" s="6"/>
    </row>
    <row r="993" spans="3:9" ht="12.75" x14ac:dyDescent="0.2">
      <c r="C993" s="5"/>
      <c r="H993" s="6"/>
      <c r="I993" s="6"/>
    </row>
    <row r="994" spans="3:9" ht="12.75" x14ac:dyDescent="0.2">
      <c r="C994" s="5"/>
      <c r="H994" s="6"/>
      <c r="I994" s="6"/>
    </row>
    <row r="995" spans="3:9" ht="12.75" x14ac:dyDescent="0.2">
      <c r="C995" s="5"/>
      <c r="H995" s="6"/>
      <c r="I995" s="6"/>
    </row>
    <row r="996" spans="3:9" ht="12.75" x14ac:dyDescent="0.2">
      <c r="C996" s="5"/>
      <c r="H996" s="6"/>
      <c r="I996" s="6"/>
    </row>
    <row r="997" spans="3:9" ht="12.75" x14ac:dyDescent="0.2">
      <c r="C997" s="5"/>
      <c r="H997" s="6"/>
      <c r="I997" s="6"/>
    </row>
    <row r="998" spans="3:9" ht="12.75" x14ac:dyDescent="0.2">
      <c r="C998" s="5"/>
      <c r="H998" s="6"/>
      <c r="I998" s="6"/>
    </row>
    <row r="999" spans="3:9" ht="12.75" x14ac:dyDescent="0.2">
      <c r="C999" s="5"/>
      <c r="H999" s="6"/>
      <c r="I999" s="6"/>
    </row>
    <row r="1000" spans="3:9" ht="12.75" x14ac:dyDescent="0.2">
      <c r="C1000" s="5"/>
      <c r="H1000" s="6"/>
      <c r="I1000" s="6"/>
    </row>
  </sheetData>
  <autoFilter ref="A1:J83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 PROJECTS RAW (AUTO)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HILDA PUTRI NABILLAH</cp:lastModifiedBy>
  <dcterms:modified xsi:type="dcterms:W3CDTF">2023-05-16T03:00:54Z</dcterms:modified>
</cp:coreProperties>
</file>