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dPowerSupply. " sheetId="1" state="visible" r:id="rId2"/>
  </sheets>
  <definedNames>
    <definedName function="false" hidden="false" name="BoardQty" vbProcedure="false">'IsolatedPowerSupply. '!$H$1</definedName>
    <definedName function="false" hidden="false" name="digikey_part_data" vbProcedure="false">'IsolatedPowerSupply. '!$I$5:$M$22</definedName>
    <definedName function="false" hidden="false" name="global_part_data" vbProcedure="false">'IsolatedPowerSupply. '!$A$5:$H$22</definedName>
    <definedName function="false" hidden="false" name="mouser_part_data" vbProcedure="false">'IsolatedPowerSupply. '!$N$5:$R$22</definedName>
    <definedName function="false" hidden="false" name="rs_part_data" vbProcedure="false">'IsolatedPowerSupply. '!$S$5:$W$22</definedName>
    <definedName function="false" hidden="false" name="TotalCost" vbProcedure="false">'IsolatedPowerSupply. '!$H$3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J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K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$0.32      $0.32
    10   $0.22      $2.17
   100   $0.12     $12.29
   500   $0.09     $43.39
  1000   $0.08     $75.93
  3000   $0.06    $184.80
  6000   $0.06    $341.88
  9000   $0.05    $485.10</t>
        </r>
      </text>
    </comment>
    <comment ref="K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
 15000   $0.04    $623.70</t>
        </r>
      </text>
    </comment>
    <comment ref="K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$0.12      $1.17
   100   $0.06      $5.50
   500   $0.04     $19.29
  1000   $0.03     $31.94
  2500   $0.03     $74.33
  3000   $0.03     $77.55
  5000   $0.03    $136.00
  6000   $0.02    $141.90
  9000   $0.02    $198.00
 10000   $0.02    $220.00
 20000   $0.02    $418.00
 30000   $0.02    $594.00</t>
        </r>
      </text>
    </comment>
    <comment ref="K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$0.33      $3.26
   100   $0.17     $17.26
   500   $0.11     $56.78
  1000   $0.08     $77.22
  3000   $0.07    $202.86
  6000   $0.06    $352.80
 15000   $0.05    $749.70
 30000   $0.05   $1411.20
 75000   $0.04   $3307.50</t>
        </r>
      </text>
    </comment>
    <comment ref="K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$0.37      $3.68
    50   $0.35     $17.60
   100   $0.34     $34.24
   250   $0.32     $80.00
   500   $0.29    $147.20
  1000   $0.27    $272.00</t>
        </r>
      </text>
    </comment>
    <comment ref="K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15000   $0.02    $236.25
 30000   $0.01    $425.40
 40000   $0.01    $567.20
 75000   $0.01    $945.00
150000   $0.01   $1575.00</t>
        </r>
      </text>
    </comment>
    <comment ref="K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K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$1.90      $1.90
    10   $1.71     $17.10
    50   $1.55     $77.50
   100   $1.42    $142.00
   500   $1.34    $670.00
  1200   $1.19   $1428.01</t>
        </r>
      </text>
    </comment>
    <comment ref="K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$0.57      $5.74
   100   $0.44     $44.02
   500   $0.35    $174.00
  1000   $0.28    $278.40
  1440   $0.28    $400.90
  2500   $0.22    $561.88
  5000   $0.21   $1051.25
 12500   $0.20   $2446.88</t>
        </r>
      </text>
    </comment>
    <comment ref="K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$0.55      $5.45
   100   $0.42     $41.75
   500   $0.33    $165.00
  1000   $0.26    $264.00
  1520   $0.26    $401.28
  2500   $0.24    $598.12
  5000   $0.22   $1113.75
 12500   $0.21   $2681.25</t>
        </r>
      </text>
    </comment>
    <comment ref="L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O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$0.29      $0.29
    10   $0.20      $2.01
   100   $0.10     $10.10
   500   $0.07     $35.00
  1000   $0.06     $61.00
  4000   $0.04    $176.00
  8000   $0.04    $336.00
 24000   $0.04    $888.00</t>
        </r>
      </text>
    </comment>
    <comment ref="P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$0.05      $0.54
   100   $0.02      $2.40
   500   $0.02      $8.50
  1000   $0.01     $14.00
  4000   $0.01     $36.00
 24000   $0.01    $168.00</t>
        </r>
      </text>
    </comment>
    <comment ref="Q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U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U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100   $0.07      $7.12
   200   $0.06     $12.54</t>
        </r>
      </text>
    </comment>
    <comment ref="U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 5   $0.36      $1.81
    75   $0.33     $24.87
   250   $0.31     $77.07
   500   $0.30    $147.76
  1000   $0.28    $282.76</t>
        </r>
      </text>
    </comment>
    <comment ref="U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V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<sst xmlns="http://schemas.openxmlformats.org/spreadsheetml/2006/main" count="136" uniqueCount="110">
  <si>
    <t xml:space="preserve">Prj:</t>
  </si>
  <si>
    <t xml:space="preserve">IsolatedPowerSupply.xml</t>
  </si>
  <si>
    <t xml:space="preserve">Board Qty:</t>
  </si>
  <si>
    <t xml:space="preserve">Co.:</t>
  </si>
  <si>
    <t xml:space="preserve">Unit Cost:</t>
  </si>
  <si>
    <t xml:space="preserve">Prj date:</t>
  </si>
  <si>
    <t xml:space="preserve">2018-01-10 18:14:11 (file)</t>
  </si>
  <si>
    <t xml:space="preserve">Total Cost:</t>
  </si>
  <si>
    <t xml:space="preserve">$ date:</t>
  </si>
  <si>
    <t xml:space="preserve">2018-01-31 15:10:02</t>
  </si>
  <si>
    <t xml:space="preserve">Global Part Info</t>
  </si>
  <si>
    <t xml:space="preserve">Digi-Key</t>
  </si>
  <si>
    <t xml:space="preserve">Mouser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</si>
  <si>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</si>
  <si>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</si>
  <si>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</si>
  <si>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</si>
  <si>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</si>
  <si>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</si>
  <si>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</si>
  <si>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</si>
  <si>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</si>
  <si>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</si>
  <si>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</si>
  <si>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</si>
  <si>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C19</t>
  </si>
  <si>
    <t xml:space="preserve">2.2uF</t>
  </si>
  <si>
    <t xml:space="preserve">Capacitor nao polarizado</t>
  </si>
  <si>
    <t xml:space="preserve">0805_W</t>
  </si>
  <si>
    <t xml:space="preserve">08053C225KAT2A</t>
  </si>
  <si>
    <t xml:space="preserve">478-5719-1-ND</t>
  </si>
  <si>
    <t xml:space="preserve">C25</t>
  </si>
  <si>
    <t xml:space="preserve">1nF</t>
  </si>
  <si>
    <t xml:space="preserve">Capacitor</t>
  </si>
  <si>
    <t xml:space="preserve">08053C102KAT2A</t>
  </si>
  <si>
    <t xml:space="preserve">NonStk</t>
  </si>
  <si>
    <t xml:space="preserve">08053C102KAT2A-ND</t>
  </si>
  <si>
    <t xml:space="preserve">581-08053C102KAT2A</t>
  </si>
  <si>
    <t xml:space="preserve">C20-C24,Cin2</t>
  </si>
  <si>
    <t xml:space="preserve">100nF</t>
  </si>
  <si>
    <t xml:space="preserve">C23,C24,Cin2: Capacitor
C20-C22: Capacitor nao polarizado</t>
  </si>
  <si>
    <t xml:space="preserve">08053C104KAT2A</t>
  </si>
  <si>
    <t xml:space="preserve">478-3755-1-ND</t>
  </si>
  <si>
    <t xml:space="preserve">581-08053C104K</t>
  </si>
  <si>
    <t xml:space="preserve">390-990</t>
  </si>
  <si>
    <t xml:space="preserve">Cin1</t>
  </si>
  <si>
    <t xml:space="preserve">1uF</t>
  </si>
  <si>
    <t xml:space="preserve">08053C105KAT2A</t>
  </si>
  <si>
    <t xml:space="preserve">478-11516-1-ND</t>
  </si>
  <si>
    <t xml:space="preserve">D9,D10</t>
  </si>
  <si>
    <t xml:space="preserve">BAT46Z</t>
  </si>
  <si>
    <t xml:space="preserve">Schottky Diode</t>
  </si>
  <si>
    <t xml:space="preserve">SOD-123</t>
  </si>
  <si>
    <t xml:space="preserve">BAT46ZFILM</t>
  </si>
  <si>
    <t xml:space="preserve">497-5559-1-ND</t>
  </si>
  <si>
    <t xml:space="preserve">714-6850</t>
  </si>
  <si>
    <t xml:space="preserve">OUT_1,OUT_2,IN_1</t>
  </si>
  <si>
    <t xml:space="preserve">Header</t>
  </si>
  <si>
    <t xml:space="preserve">Header2</t>
  </si>
  <si>
    <t xml:space="preserve">1935161</t>
  </si>
  <si>
    <t xml:space="preserve">277-1667-ND</t>
  </si>
  <si>
    <t xml:space="preserve">548-7238</t>
  </si>
  <si>
    <t xml:space="preserve">Q3</t>
  </si>
  <si>
    <t xml:space="preserve">BC857B</t>
  </si>
  <si>
    <t xml:space="preserve">PNP General-purpose Transistor</t>
  </si>
  <si>
    <t xml:space="preserve">SOT-23-TT3_N</t>
  </si>
  <si>
    <t xml:space="preserve">BC857BLT1G</t>
  </si>
  <si>
    <t xml:space="preserve">BC857BLT1GOSCT-ND</t>
  </si>
  <si>
    <t xml:space="preserve">Q4</t>
  </si>
  <si>
    <t xml:space="preserve">BC847B</t>
  </si>
  <si>
    <t xml:space="preserve">NPN General-purpose Transistor</t>
  </si>
  <si>
    <t xml:space="preserve">BC847BLT1G</t>
  </si>
  <si>
    <t xml:space="preserve">BC847BLT1GOSCT-ND</t>
  </si>
  <si>
    <t xml:space="preserve">545-2759</t>
  </si>
  <si>
    <t xml:space="preserve">R26</t>
  </si>
  <si>
    <t xml:space="preserve">12K</t>
  </si>
  <si>
    <t xml:space="preserve">Resistor</t>
  </si>
  <si>
    <t xml:space="preserve">RMCF0805JT12K0</t>
  </si>
  <si>
    <t xml:space="preserve">RMCF0805JT12K0CT-ND</t>
  </si>
  <si>
    <t xml:space="preserve">R27</t>
  </si>
  <si>
    <t xml:space="preserve">3.3k</t>
  </si>
  <si>
    <t xml:space="preserve">RMCF0805JT3K30</t>
  </si>
  <si>
    <t xml:space="preserve">RMCF0805JT3K30CT-ND</t>
  </si>
  <si>
    <t xml:space="preserve">R28,R29</t>
  </si>
  <si>
    <t xml:space="preserve">1R5</t>
  </si>
  <si>
    <t xml:space="preserve">RMCF0805JT1R50</t>
  </si>
  <si>
    <t xml:space="preserve">RMCF0805JT1R50CT-ND</t>
  </si>
  <si>
    <t xml:space="preserve">R30</t>
  </si>
  <si>
    <t xml:space="preserve">not used</t>
  </si>
  <si>
    <t xml:space="preserve">R31</t>
  </si>
  <si>
    <t xml:space="preserve">4.7k</t>
  </si>
  <si>
    <t xml:space="preserve">RMCF0805JT4K70</t>
  </si>
  <si>
    <t xml:space="preserve">RMCF0805JT4K70CT-ND</t>
  </si>
  <si>
    <t xml:space="preserve">T1</t>
  </si>
  <si>
    <t xml:space="preserve">Wurth 1:2</t>
  </si>
  <si>
    <t xml:space="preserve">Trafo</t>
  </si>
  <si>
    <t xml:space="preserve">760390015</t>
  </si>
  <si>
    <t xml:space="preserve">732-4459-1-ND</t>
  </si>
  <si>
    <t xml:space="preserve">U7</t>
  </si>
  <si>
    <t xml:space="preserve">TL494</t>
  </si>
  <si>
    <t xml:space="preserve">Pulse-Width-Modulation Control Circuit</t>
  </si>
  <si>
    <t xml:space="preserve">SOIC16_M</t>
  </si>
  <si>
    <t xml:space="preserve">TL494IDR</t>
  </si>
  <si>
    <t xml:space="preserve">296-10193-5-ND</t>
  </si>
  <si>
    <t xml:space="preserve">U8</t>
  </si>
  <si>
    <t xml:space="preserve">LM7805</t>
  </si>
  <si>
    <t xml:space="preserve">LM78XX</t>
  </si>
  <si>
    <t xml:space="preserve">UA78M05CDCY</t>
  </si>
  <si>
    <t xml:space="preserve">296-27138-5-ND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</si>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</sst>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avx-corporation/08053C225KAT2A/478-5719-1-ND/2136327" TargetMode="External"/><Relationship Id="rId3" Type="http://schemas.openxmlformats.org/officeDocument/2006/relationships/hyperlink" Target="http://www.digikey.com/scripts/DkSearch/dksus.dll?WT.z_header=search_go&amp;lang=en&amp;keywords=08053C102KAT2A+" TargetMode="External"/><Relationship Id="rId4" Type="http://schemas.openxmlformats.org/officeDocument/2006/relationships/hyperlink" Target="https://www.mouser.com/ProductDetail/AVX/08053C102KAT2A?qs=sGAEpiMZZMs0AnBnWHyRQO9s69WCSOSMuk0OhLDpEOQ%3D" TargetMode="External"/><Relationship Id="rId5" Type="http://schemas.openxmlformats.org/officeDocument/2006/relationships/hyperlink" Target="http://www.digikey.com/product-detail/en/avx-corporation/08053C104KAT2A/478-3755-1-ND/1116453" TargetMode="External"/><Relationship Id="rId6" Type="http://schemas.openxmlformats.org/officeDocument/2006/relationships/hyperlink" Target="https://www.mouser.com/Search/Refine.aspx?Keyword=08053C104KAT2A+" TargetMode="External"/><Relationship Id="rId7" Type="http://schemas.openxmlformats.org/officeDocument/2006/relationships/hyperlink" Target="http://it.rs-online.com/web/c/?searchTerm=08053C104KAT2A+" TargetMode="External"/><Relationship Id="rId8" Type="http://schemas.openxmlformats.org/officeDocument/2006/relationships/hyperlink" Target="http://www.digikey.com/product-detail/en/avx-corporation/08053C105KAT4A/478-11516-1-ND/8107717" TargetMode="External"/><Relationship Id="rId9" Type="http://schemas.openxmlformats.org/officeDocument/2006/relationships/hyperlink" Target="http://www.digikey.com/product-detail/en/stmicroelectronics/BAT46ZFILM/497-5559-1-ND/1207051" TargetMode="External"/><Relationship Id="rId10" Type="http://schemas.openxmlformats.org/officeDocument/2006/relationships/hyperlink" Target="http://it.rs-online.com/web/c/?searchTerm=BAT46ZFILM+" TargetMode="External"/><Relationship Id="rId11" Type="http://schemas.openxmlformats.org/officeDocument/2006/relationships/hyperlink" Target="http://www.digikey.com/scripts/DkSearch/dksus.dll?WT.z_header=search_go&amp;lang=en&amp;keywords=1935161+" TargetMode="External"/><Relationship Id="rId12" Type="http://schemas.openxmlformats.org/officeDocument/2006/relationships/hyperlink" Target="http://it.rs-online.com/web/c/?searchTerm=1935161+" TargetMode="External"/><Relationship Id="rId13" Type="http://schemas.openxmlformats.org/officeDocument/2006/relationships/hyperlink" Target="http://www.digikey.com/product-detail/en/on-semiconductor/BC857BLT1G/BC857BLT1GOSCT-ND/917843" TargetMode="External"/><Relationship Id="rId14" Type="http://schemas.openxmlformats.org/officeDocument/2006/relationships/hyperlink" Target="http://www.digikey.com/product-detail/en/on-semiconductor/BC847BLT1G/BC847BLT1GOSCT-ND/917834" TargetMode="External"/><Relationship Id="rId15" Type="http://schemas.openxmlformats.org/officeDocument/2006/relationships/hyperlink" Target="http://it.rs-online.com/web/c/?searchTerm=BC847BLT1G+" TargetMode="External"/><Relationship Id="rId16" Type="http://schemas.openxmlformats.org/officeDocument/2006/relationships/hyperlink" Target="http://www.digikey.com/product-detail/en/stackpole-electronics-inc/RMCF0805JT12K0/RMCF0805JT12K0CT-ND/5049816" TargetMode="External"/><Relationship Id="rId17" Type="http://schemas.openxmlformats.org/officeDocument/2006/relationships/hyperlink" Target="http://www.digikey.com/product-detail/en/stackpole-electronics-inc/RMCF0805JT3K30/RMCF0805JT3K30CT-ND/1942567" TargetMode="External"/><Relationship Id="rId18" Type="http://schemas.openxmlformats.org/officeDocument/2006/relationships/hyperlink" Target="http://www.digikey.com/product-detail/en/stackpole-electronics-inc/RMCF0805JT1R50/RMCF0805JT1R50CT-ND/4425249" TargetMode="External"/><Relationship Id="rId19" Type="http://schemas.openxmlformats.org/officeDocument/2006/relationships/hyperlink" Target="http://www.digikey.com/product-detail/en/stackpole-electronics-inc/RMCF0805JT4K70/RMCF0805JT4K70CT-ND/1942570" TargetMode="External"/><Relationship Id="rId20" Type="http://schemas.openxmlformats.org/officeDocument/2006/relationships/hyperlink" Target="http://www.digikey.com/product-detail/en/wurth-electronics-midcom/760390015/732-4459-1-ND/3831268" TargetMode="External"/><Relationship Id="rId21" Type="http://schemas.openxmlformats.org/officeDocument/2006/relationships/hyperlink" Target="http://www.digikey.com/product-detail/en/texas-instruments/TL494ID/296-10193-5-ND/380462" TargetMode="External"/><Relationship Id="rId22" Type="http://schemas.openxmlformats.org/officeDocument/2006/relationships/hyperlink" Target="http://www.digikey.com/product-detail/en/texas-instruments/UA78M05CDCY/296-27138-5-ND/1910303" TargetMode="External"/><Relationship Id="rId2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H2" activeCellId="0" sqref="H2"/>
    </sheetView>
  </sheetViews>
  <sheetFormatPr defaultRowHeight="15" zeroHeight="false" outlineLevelRow="0" outlineLevelCol="2"/>
  <cols>
    <col collapsed="false" customWidth="true" hidden="false" outlineLevel="0" max="7" min="1" style="0" width="9.14"/>
    <col collapsed="false" customWidth="true" hidden="false" outlineLevel="0" max="8" min="8" style="0" width="15.71"/>
    <col collapsed="false" customWidth="true" hidden="false" outlineLevel="1" max="9" min="9" style="0" width="9.14"/>
    <col collapsed="false" customWidth="true" hidden="false" outlineLevel="2" max="11" min="10" style="0" width="9.14"/>
    <col collapsed="false" customWidth="true" hidden="false" outlineLevel="0" max="12" min="12" style="0" width="15.71"/>
    <col collapsed="false" customWidth="true" hidden="false" outlineLevel="2" max="13" min="13" style="0" width="15.71"/>
    <col collapsed="false" customWidth="true" hidden="false" outlineLevel="1" max="14" min="14" style="0" width="9.14"/>
    <col collapsed="false" customWidth="true" hidden="false" outlineLevel="2" max="16" min="15" style="0" width="9.14"/>
    <col collapsed="false" customWidth="true" hidden="false" outlineLevel="0" max="17" min="17" style="0" width="15.71"/>
    <col collapsed="false" customWidth="true" hidden="false" outlineLevel="2" max="18" min="18" style="0" width="15.71"/>
    <col collapsed="false" customWidth="true" hidden="false" outlineLevel="1" max="19" min="19" style="0" width="9.14"/>
    <col collapsed="false" customWidth="true" hidden="false" outlineLevel="2" max="21" min="20" style="0" width="9.14"/>
    <col collapsed="false" customWidth="true" hidden="false" outlineLevel="0" max="22" min="22" style="0" width="15.71"/>
    <col collapsed="false" customWidth="true" hidden="false" outlineLevel="2" max="23" min="23" style="0" width="15.71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G1" s="3" t="s">
        <v>2</v>
      </c>
      <c r="H1" s="3" t="n">
        <v>8</v>
      </c>
    </row>
    <row r="2" customFormat="false" ht="15" hidden="false" customHeight="false" outlineLevel="0" collapsed="false">
      <c r="A2" s="1" t="s">
        <v>3</v>
      </c>
      <c r="B2" s="2"/>
      <c r="G2" s="1" t="s">
        <v>4</v>
      </c>
      <c r="H2" s="4" t="n">
        <f aca="false">TotalCost/BoardQty</f>
        <v>5.69462</v>
      </c>
      <c r="L2" s="5" t="str">
        <f aca="false">(ROWS(L7:L22)-COUNTBLANK(L7:L22))&amp;" of "&amp;ROWS(L7:L22)&amp;" parts found"</f>
        <v>15 of 16 parts found</v>
      </c>
      <c r="Q2" s="5" t="str">
        <f aca="false">(ROWS(Q7:Q22)-COUNTBLANK(Q7:Q22))&amp;" of "&amp;ROWS(Q7:Q22)&amp;" parts found"</f>
        <v>2 of 16 parts found</v>
      </c>
      <c r="V2" s="5" t="str">
        <f aca="false">(ROWS(V7:V22)-COUNTBLANK(V7:V22))&amp;" of "&amp;ROWS(V7:V22)&amp;" parts found"</f>
        <v>4 of 16 parts found</v>
      </c>
    </row>
    <row r="3" customFormat="false" ht="15" hidden="false" customHeight="false" outlineLevel="0" collapsed="false">
      <c r="A3" s="1" t="s">
        <v>5</v>
      </c>
      <c r="B3" s="2" t="s">
        <v>6</v>
      </c>
      <c r="G3" s="1" t="s">
        <v>7</v>
      </c>
      <c r="H3" s="6" t="n">
        <f aca="false">SUM(H7:H22)</f>
        <v>45.55696</v>
      </c>
      <c r="L3" s="6" t="n">
        <f aca="false">SUM(L7:L22)</f>
        <v>50.2256</v>
      </c>
      <c r="Q3" s="6" t="n">
        <f aca="false">SUM(Q7:Q22)</f>
        <v>4.92</v>
      </c>
      <c r="V3" s="6" t="n">
        <f aca="false">SUM(V7:V22)</f>
        <v>332.0812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7"/>
      <c r="I5" s="8" t="s">
        <v>11</v>
      </c>
      <c r="J5" s="8"/>
      <c r="K5" s="8"/>
      <c r="L5" s="8"/>
      <c r="M5" s="8"/>
      <c r="N5" s="9" t="s">
        <v>12</v>
      </c>
      <c r="O5" s="9"/>
      <c r="P5" s="9"/>
      <c r="Q5" s="9"/>
      <c r="R5" s="9"/>
      <c r="S5" s="10" t="s">
        <v>13</v>
      </c>
      <c r="T5" s="10"/>
      <c r="U5" s="10"/>
      <c r="V5" s="10"/>
      <c r="W5" s="10"/>
    </row>
    <row r="6" customFormat="false" ht="15" hidden="false" customHeight="false" outlineLevel="0" collapsed="false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20</v>
      </c>
      <c r="L6" s="11" t="s">
        <v>21</v>
      </c>
      <c r="M6" s="11" t="s">
        <v>24</v>
      </c>
      <c r="N6" s="11" t="s">
        <v>22</v>
      </c>
      <c r="O6" s="11" t="s">
        <v>23</v>
      </c>
      <c r="P6" s="11" t="s">
        <v>20</v>
      </c>
      <c r="Q6" s="11" t="s">
        <v>21</v>
      </c>
      <c r="R6" s="11" t="s">
        <v>24</v>
      </c>
      <c r="S6" s="11" t="s">
        <v>22</v>
      </c>
      <c r="T6" s="11" t="s">
        <v>23</v>
      </c>
      <c r="U6" s="11" t="s">
        <v>20</v>
      </c>
      <c r="V6" s="11" t="s">
        <v>21</v>
      </c>
      <c r="W6" s="11" t="s">
        <v>24</v>
      </c>
    </row>
    <row r="7" customFormat="false" ht="15" hidden="false" customHeight="false" outlineLevel="0" collapsed="false">
      <c r="A7" s="12" t="s">
        <v>25</v>
      </c>
      <c r="B7" s="12" t="s">
        <v>26</v>
      </c>
      <c r="C7" s="12" t="s">
        <v>27</v>
      </c>
      <c r="D7" s="12" t="s">
        <v>28</v>
      </c>
      <c r="E7" s="12" t="s">
        <v>29</v>
      </c>
      <c r="F7" s="13" t="n">
        <f aca="false">BoardQty*1</f>
        <v>8</v>
      </c>
      <c r="G7" s="14" t="n">
        <f aca="true">MINA(INDIRECT(ADDRESS(ROW(),COLUMN(digikey_part_data)+2)),INDIRECT(ADDRESS(ROW(),COLUMN(rs_part_data)+2)),INDIRECT(ADDRESS(ROW(),COLUMN(mouser_part_data)+2)))</f>
        <v>0.32</v>
      </c>
      <c r="H7" s="14" t="n">
        <f aca="false">IFERROR(F7*G7,"")</f>
        <v>2.56</v>
      </c>
      <c r="I7" s="13" t="n">
        <v>3655</v>
      </c>
      <c r="K7" s="14" t="n">
        <f aca="false">IFERROR(LOOKUP(IF(J7="",F7,J7),{0,1,10,100,500,1000,3000,6000,9000},{0,0.32,0.217,0.1229,0.08678,0.07593,0.0616,0.05698,0.0539}),"")</f>
        <v>0.32</v>
      </c>
      <c r="L7" s="14" t="n">
        <f aca="false">IFERROR(IF(J7="",F7,J7)*K7,"")</f>
        <v>2.56</v>
      </c>
      <c r="M7" s="15" t="s">
        <v>30</v>
      </c>
    </row>
    <row r="8" customFormat="false" ht="15" hidden="false" customHeight="false" outlineLevel="0" collapsed="false">
      <c r="A8" s="12" t="s">
        <v>31</v>
      </c>
      <c r="B8" s="12" t="s">
        <v>32</v>
      </c>
      <c r="C8" s="12" t="s">
        <v>33</v>
      </c>
      <c r="D8" s="12" t="s">
        <v>28</v>
      </c>
      <c r="E8" s="12" t="s">
        <v>34</v>
      </c>
      <c r="F8" s="13" t="n">
        <f aca="false">BoardQty*1</f>
        <v>8</v>
      </c>
      <c r="G8" s="14" t="n">
        <f aca="true">MINA(INDIRECT(ADDRESS(ROW(),COLUMN(digikey_part_data)+2)),INDIRECT(ADDRESS(ROW(),COLUMN(rs_part_data)+2)),INDIRECT(ADDRESS(ROW(),COLUMN(mouser_part_data)+2)))</f>
        <v>0.0462</v>
      </c>
      <c r="H8" s="14" t="n">
        <f aca="false">IFERROR(F8*G8,"")</f>
        <v>0.3696</v>
      </c>
      <c r="I8" s="16" t="s">
        <v>35</v>
      </c>
      <c r="K8" s="14" t="n">
        <f aca="false">IFERROR(LOOKUP(IF(J8="",F8,J8),{0,1,4000,15000},{0,0.0462,0.0462,0.04158}),"")</f>
        <v>0.0462</v>
      </c>
      <c r="L8" s="14" t="n">
        <f aca="false">IFERROR(IF(J8="",F8,J8)*K8,"")</f>
        <v>0.3696</v>
      </c>
      <c r="M8" s="15" t="s">
        <v>36</v>
      </c>
      <c r="N8" s="13" t="n">
        <v>9742</v>
      </c>
      <c r="P8" s="14" t="n">
        <f aca="false">IFERROR(LOOKUP(IF(O8="",F8,O8),{0,1,10,100,500,1000,4000,8000,24000},{0,0.291,0.201,0.101,0.07,0.061,0.044,0.042,0.037}),"")</f>
        <v>0.291</v>
      </c>
      <c r="Q8" s="14" t="n">
        <f aca="false">IFERROR(IF(O8="",F8,O8)*P8,"")</f>
        <v>2.328</v>
      </c>
      <c r="R8" s="15" t="s">
        <v>37</v>
      </c>
    </row>
    <row r="9" customFormat="false" ht="15" hidden="false" customHeight="false" outlineLevel="0" collapsed="false">
      <c r="A9" s="12" t="s">
        <v>38</v>
      </c>
      <c r="B9" s="12" t="s">
        <v>39</v>
      </c>
      <c r="C9" s="17" t="s">
        <v>40</v>
      </c>
      <c r="D9" s="12" t="s">
        <v>28</v>
      </c>
      <c r="E9" s="12" t="s">
        <v>41</v>
      </c>
      <c r="F9" s="13" t="n">
        <f aca="false">BoardQty*6</f>
        <v>48</v>
      </c>
      <c r="G9" s="14" t="n">
        <f aca="true">MINA(INDIRECT(ADDRESS(ROW(),COLUMN(digikey_part_data)+2)),INDIRECT(ADDRESS(ROW(),COLUMN(rs_part_data)+2)),INDIRECT(ADDRESS(ROW(),COLUMN(mouser_part_data)+2)))</f>
        <v>0.032953</v>
      </c>
      <c r="H9" s="14" t="n">
        <f aca="false">IFERROR(F9*G9,"")</f>
        <v>1.581744</v>
      </c>
      <c r="I9" s="13" t="n">
        <v>6834</v>
      </c>
      <c r="K9" s="14" t="n">
        <f aca="false">IFERROR(LOOKUP(IF(J9="",F9,J9),{0,1,10,100,500,1000,4000,8000,12000},{0,0.1,0.042,0.0186,0.01328,0.01044,0.00759,0.00693,0.0066}),"")</f>
        <v>0.042</v>
      </c>
      <c r="L9" s="14" t="n">
        <f aca="false">IFERROR(IF(J9="",F9,J9)*K9,"")</f>
        <v>2.016</v>
      </c>
      <c r="M9" s="15" t="s">
        <v>42</v>
      </c>
      <c r="N9" s="13" t="n">
        <v>137029</v>
      </c>
      <c r="P9" s="14" t="n">
        <f aca="false">IFERROR(LOOKUP(IF(O9="",F9,O9),{0,1,10,100,500,1000,4000,24000},{0,0.1,0.054,0.024,0.017,0.014,0.009,0.007}),"")</f>
        <v>0.054</v>
      </c>
      <c r="Q9" s="14" t="n">
        <f aca="false">IFERROR(IF(O9="",F9,O9)*P9,"")</f>
        <v>2.592</v>
      </c>
      <c r="R9" s="15" t="s">
        <v>43</v>
      </c>
      <c r="S9" s="13" t="n">
        <v>9350</v>
      </c>
      <c r="U9" s="14" t="n">
        <f aca="false">IFERROR(LOOKUP(IF(T9="",F9,T9),{0,1,50,500},{0,0.032953,0.032953,0.028701}),"")</f>
        <v>0.032953</v>
      </c>
      <c r="V9" s="14" t="n">
        <f aca="false">IFERROR(IF(T9="",F9,T9)*U9,"")</f>
        <v>1.581744</v>
      </c>
      <c r="W9" s="15" t="s">
        <v>44</v>
      </c>
    </row>
    <row r="10" customFormat="false" ht="15" hidden="false" customHeight="false" outlineLevel="0" collapsed="false">
      <c r="A10" s="12" t="s">
        <v>45</v>
      </c>
      <c r="B10" s="12" t="s">
        <v>46</v>
      </c>
      <c r="C10" s="12" t="s">
        <v>33</v>
      </c>
      <c r="D10" s="12" t="s">
        <v>28</v>
      </c>
      <c r="E10" s="12" t="s">
        <v>47</v>
      </c>
      <c r="F10" s="13" t="n">
        <f aca="false">BoardQty*1</f>
        <v>8</v>
      </c>
      <c r="G10" s="14" t="n">
        <f aca="true">MINA(INDIRECT(ADDRESS(ROW(),COLUMN(digikey_part_data)+2)),INDIRECT(ADDRESS(ROW(),COLUMN(rs_part_data)+2)),INDIRECT(ADDRESS(ROW(),COLUMN(mouser_part_data)+2)))</f>
        <v>0.16</v>
      </c>
      <c r="H10" s="14" t="n">
        <f aca="false">IFERROR(F10*G10,"")</f>
        <v>1.28</v>
      </c>
      <c r="I10" s="13" t="n">
        <v>16700</v>
      </c>
      <c r="K10" s="14" t="n">
        <f aca="false">IFERROR(LOOKUP(IF(J10="",F10,J10),{0,1,10,100,500,1000,2500,3000,5000,6000,9000,10000,20000,30000},{0,0.16,0.117,0.055,0.03858,0.03194,0.02973,0.02585,0.0272,0.02365,0.022,0.022,0.0209,0.0198}),"")</f>
        <v>0.16</v>
      </c>
      <c r="L10" s="14" t="n">
        <f aca="false">IFERROR(IF(J10="",F10,J10)*K10,"")</f>
        <v>1.28</v>
      </c>
      <c r="M10" s="15" t="s">
        <v>48</v>
      </c>
    </row>
    <row r="11" customFormat="false" ht="15" hidden="false" customHeight="false" outlineLevel="0" collapsed="false">
      <c r="A11" s="12" t="s">
        <v>49</v>
      </c>
      <c r="B11" s="12" t="s">
        <v>50</v>
      </c>
      <c r="C11" s="12" t="s">
        <v>51</v>
      </c>
      <c r="D11" s="12" t="s">
        <v>52</v>
      </c>
      <c r="E11" s="12" t="s">
        <v>53</v>
      </c>
      <c r="F11" s="13" t="n">
        <f aca="false">BoardQty*2</f>
        <v>16</v>
      </c>
      <c r="G11" s="14" t="n">
        <f aca="true">MINA(INDIRECT(ADDRESS(ROW(),COLUMN(digikey_part_data)+2)),INDIRECT(ADDRESS(ROW(),COLUMN(rs_part_data)+2)),INDIRECT(ADDRESS(ROW(),COLUMN(mouser_part_data)+2)))</f>
        <v>0.071221</v>
      </c>
      <c r="H11" s="14" t="n">
        <f aca="false">IFERROR(F11*G11,"")</f>
        <v>1.139536</v>
      </c>
      <c r="I11" s="13" t="n">
        <v>107400</v>
      </c>
      <c r="K11" s="14" t="n">
        <f aca="false">IFERROR(LOOKUP(IF(J11="",F11,J11),{0,1,10,100,500,1000,3000,6000,15000,30000,75000},{0,0.4,0.326,0.1726,0.11356,0.07722,0.06762,0.0588,0.04998,0.04704,0.0441}),"")</f>
        <v>0.326</v>
      </c>
      <c r="L11" s="14" t="n">
        <f aca="false">IFERROR(IF(J11="",F11,J11)*K11,"")</f>
        <v>5.216</v>
      </c>
      <c r="M11" s="15" t="s">
        <v>54</v>
      </c>
      <c r="S11" s="13" t="n">
        <v>800</v>
      </c>
      <c r="U11" s="14" t="n">
        <f aca="false">IFERROR(LOOKUP(IF(T11="",F11,T11),{0,1,100,200},{0,0.071221,0.071221,0.062717}),"")</f>
        <v>0.071221</v>
      </c>
      <c r="V11" s="14" t="n">
        <f aca="false">IFERROR(IF(T11="",F11,T11)*U11,"")</f>
        <v>1.139536</v>
      </c>
      <c r="W11" s="15" t="s">
        <v>55</v>
      </c>
    </row>
    <row r="12" customFormat="false" ht="15" hidden="false" customHeight="false" outlineLevel="0" collapsed="false">
      <c r="A12" s="12" t="s">
        <v>56</v>
      </c>
      <c r="C12" s="12" t="s">
        <v>57</v>
      </c>
      <c r="D12" s="12" t="s">
        <v>58</v>
      </c>
      <c r="E12" s="12" t="s">
        <v>59</v>
      </c>
      <c r="F12" s="13" t="n">
        <f aca="false">BoardQty*3</f>
        <v>24</v>
      </c>
      <c r="G12" s="14" t="n">
        <f aca="true">MINA(INDIRECT(ADDRESS(ROW(),COLUMN(digikey_part_data)+2)),INDIRECT(ADDRESS(ROW(),COLUMN(rs_part_data)+2)),INDIRECT(ADDRESS(ROW(),COLUMN(mouser_part_data)+2)))</f>
        <v>0.36142</v>
      </c>
      <c r="H12" s="14" t="n">
        <f aca="false">IFERROR(F12*G12,"")</f>
        <v>8.67408</v>
      </c>
      <c r="I12" s="13" t="n">
        <v>22588</v>
      </c>
      <c r="K12" s="14" t="n">
        <f aca="false">IFERROR(LOOKUP(IF(J12="",F12,J12),{0,1,10,50,100,250,500,1000},{0,0.38,0.368,0.352,0.3424,0.32,0.2944,0.272}),"")</f>
        <v>0.368</v>
      </c>
      <c r="L12" s="14" t="n">
        <f aca="false">IFERROR(IF(J12="",F12,J12)*K12,"")</f>
        <v>8.832</v>
      </c>
      <c r="M12" s="15" t="s">
        <v>60</v>
      </c>
      <c r="S12" s="13" t="n">
        <v>185</v>
      </c>
      <c r="U12" s="14" t="n">
        <f aca="false">IFERROR(LOOKUP(IF(T12="",F12,T12),{0,1,5,75,250,500,1000},{0,0.36142,0.36142,0.331656,0.30827,0.295514,0.282758}),"")</f>
        <v>0.36142</v>
      </c>
      <c r="V12" s="14" t="n">
        <f aca="false">IFERROR(IF(T12="",F12,T12)*U12,"")</f>
        <v>8.67408</v>
      </c>
      <c r="W12" s="15" t="s">
        <v>61</v>
      </c>
    </row>
    <row r="13" customFormat="false" ht="15" hidden="false" customHeight="false" outlineLevel="0" collapsed="false">
      <c r="A13" s="12" t="s">
        <v>62</v>
      </c>
      <c r="B13" s="12" t="s">
        <v>63</v>
      </c>
      <c r="C13" s="12" t="s">
        <v>64</v>
      </c>
      <c r="D13" s="12" t="s">
        <v>65</v>
      </c>
      <c r="E13" s="12" t="s">
        <v>66</v>
      </c>
      <c r="F13" s="13" t="n">
        <f aca="false">BoardQty*1</f>
        <v>8</v>
      </c>
      <c r="G13" s="14" t="n">
        <f aca="true">MINA(INDIRECT(ADDRESS(ROW(),COLUMN(digikey_part_data)+2)),INDIRECT(ADDRESS(ROW(),COLUMN(rs_part_data)+2)),INDIRECT(ADDRESS(ROW(),COLUMN(mouser_part_data)+2)))</f>
        <v>0.12</v>
      </c>
      <c r="H13" s="14" t="n">
        <f aca="false">IFERROR(F13*G13,"")</f>
        <v>0.96</v>
      </c>
      <c r="I13" s="13" t="n">
        <v>15805</v>
      </c>
      <c r="K13" s="14" t="n">
        <f aca="false">IFERROR(LOOKUP(IF(J13="",F13,J13),{0,1,10,100,500,1000,3000,6000,15000,30000,40000,75000,150000},{0,0.12,0.107,0.058,0.03572,0.02435,0.02008,0.01811,0.01575,0.01418,0.01418,0.0126,0.0105}),"")</f>
        <v>0.12</v>
      </c>
      <c r="L13" s="14" t="n">
        <f aca="false">IFERROR(IF(J13="",F13,J13)*K13,"")</f>
        <v>0.96</v>
      </c>
      <c r="M13" s="15" t="s">
        <v>67</v>
      </c>
    </row>
    <row r="14" customFormat="false" ht="15" hidden="false" customHeight="false" outlineLevel="0" collapsed="false">
      <c r="A14" s="12" t="s">
        <v>68</v>
      </c>
      <c r="B14" s="12" t="s">
        <v>69</v>
      </c>
      <c r="C14" s="12" t="s">
        <v>70</v>
      </c>
      <c r="D14" s="12" t="s">
        <v>65</v>
      </c>
      <c r="E14" s="12" t="s">
        <v>71</v>
      </c>
      <c r="F14" s="13" t="n">
        <f aca="false">BoardQty*1</f>
        <v>8</v>
      </c>
      <c r="G14" s="14" t="n">
        <f aca="true">MINA(INDIRECT(ADDRESS(ROW(),COLUMN(digikey_part_data)+2)),INDIRECT(ADDRESS(ROW(),COLUMN(rs_part_data)+2)),INDIRECT(ADDRESS(ROW(),COLUMN(mouser_part_data)+2)))</f>
        <v>0.12</v>
      </c>
      <c r="H14" s="14" t="n">
        <f aca="false">IFERROR(F14*G14,"")</f>
        <v>0.96</v>
      </c>
      <c r="I14" s="13" t="n">
        <v>58203</v>
      </c>
      <c r="K14" s="14" t="n">
        <f aca="false">IFERROR(LOOKUP(IF(J14="",F14,J14),{0,1,10,100,500,1000,3000,6000,10000,15000,30000,50000,75000,100000,150000,250000},{0,0.12,0.107,0.058,0.03572,0.02435,0.02008,0.01811,0.01575,0.01575,0.01418,0.0126,0.0126,0.01181,0.0105,0.0105}),"")</f>
        <v>0.12</v>
      </c>
      <c r="L14" s="14" t="n">
        <f aca="false">IFERROR(IF(J14="",F14,J14)*K14,"")</f>
        <v>0.96</v>
      </c>
      <c r="M14" s="15" t="s">
        <v>72</v>
      </c>
      <c r="S14" s="13" t="n">
        <v>44</v>
      </c>
      <c r="U14" s="14" t="n">
        <f aca="false">IFERROR(LOOKUP(IF(T14="",F14,T14),{0,1,3},{0,42.19047,40.08573}),"")</f>
        <v>40.08573</v>
      </c>
      <c r="V14" s="14" t="n">
        <f aca="false">IFERROR(IF(T14="",F14,T14)*U14,"")</f>
        <v>320.68584</v>
      </c>
      <c r="W14" s="15" t="s">
        <v>73</v>
      </c>
    </row>
    <row r="15" customFormat="false" ht="15" hidden="false" customHeight="false" outlineLevel="0" collapsed="false">
      <c r="A15" s="12" t="s">
        <v>74</v>
      </c>
      <c r="B15" s="12" t="s">
        <v>75</v>
      </c>
      <c r="C15" s="12" t="s">
        <v>76</v>
      </c>
      <c r="D15" s="12" t="s">
        <v>28</v>
      </c>
      <c r="E15" s="12" t="s">
        <v>77</v>
      </c>
      <c r="F15" s="13" t="n">
        <f aca="false">BoardQty*1</f>
        <v>8</v>
      </c>
      <c r="G15" s="14" t="n">
        <f aca="true">MINA(INDIRECT(ADDRESS(ROW(),COLUMN(digikey_part_data)+2)),INDIRECT(ADDRESS(ROW(),COLUMN(rs_part_data)+2)),INDIRECT(ADDRESS(ROW(),COLUMN(mouser_part_data)+2)))</f>
        <v>0.1</v>
      </c>
      <c r="H15" s="14" t="n">
        <f aca="false">IFERROR(F15*G15,"")</f>
        <v>0.8</v>
      </c>
      <c r="I15" s="13" t="n">
        <v>62462</v>
      </c>
      <c r="K15" s="14" t="n">
        <f aca="false">IFERROR(LOOKUP(IF(J15="",F15,J15),{0,1,10,100,1000,2500,5000,10000,25000,50000,125000},{0,0.1,0.017,0.0067,0.00303,0.00263,0.00217,0.00189,0.00166,0.00152,0.00151}),"")</f>
        <v>0.1</v>
      </c>
      <c r="L15" s="14" t="n">
        <f aca="false">IFERROR(IF(J15="",F15,J15)*K15,"")</f>
        <v>0.8</v>
      </c>
      <c r="M15" s="15" t="s">
        <v>78</v>
      </c>
    </row>
    <row r="16" customFormat="false" ht="15" hidden="false" customHeight="false" outlineLevel="0" collapsed="false">
      <c r="A16" s="12" t="s">
        <v>79</v>
      </c>
      <c r="B16" s="12" t="s">
        <v>80</v>
      </c>
      <c r="C16" s="12" t="s">
        <v>76</v>
      </c>
      <c r="D16" s="12" t="s">
        <v>28</v>
      </c>
      <c r="E16" s="12" t="s">
        <v>81</v>
      </c>
      <c r="F16" s="13" t="n">
        <f aca="false">BoardQty*1</f>
        <v>8</v>
      </c>
      <c r="G16" s="14" t="n">
        <f aca="true">MINA(INDIRECT(ADDRESS(ROW(),COLUMN(digikey_part_data)+2)),INDIRECT(ADDRESS(ROW(),COLUMN(rs_part_data)+2)),INDIRECT(ADDRESS(ROW(),COLUMN(mouser_part_data)+2)))</f>
        <v>0.1</v>
      </c>
      <c r="H16" s="14" t="n">
        <f aca="false">IFERROR(F16*G16,"")</f>
        <v>0.8</v>
      </c>
      <c r="I16" s="13" t="n">
        <v>323714</v>
      </c>
      <c r="K16" s="14" t="n">
        <f aca="false">IFERROR(LOOKUP(IF(J16="",F16,J16),{0,1,10,100,1000,2500,5000,10000,25000,50000,125000},{0,0.1,0.017,0.0067,0.00303,0.00263,0.00217,0.00189,0.00166,0.00152,0.00151}),"")</f>
        <v>0.1</v>
      </c>
      <c r="L16" s="14" t="n">
        <f aca="false">IFERROR(IF(J16="",F16,J16)*K16,"")</f>
        <v>0.8</v>
      </c>
      <c r="M16" s="15" t="s">
        <v>82</v>
      </c>
    </row>
    <row r="17" customFormat="false" ht="15" hidden="false" customHeight="false" outlineLevel="0" collapsed="false">
      <c r="A17" s="12" t="s">
        <v>83</v>
      </c>
      <c r="B17" s="12" t="s">
        <v>84</v>
      </c>
      <c r="C17" s="12" t="s">
        <v>76</v>
      </c>
      <c r="D17" s="12" t="s">
        <v>28</v>
      </c>
      <c r="E17" s="12" t="s">
        <v>85</v>
      </c>
      <c r="F17" s="13" t="n">
        <f aca="false">BoardQty*2</f>
        <v>16</v>
      </c>
      <c r="G17" s="14" t="n">
        <f aca="true">MINA(INDIRECT(ADDRESS(ROW(),COLUMN(digikey_part_data)+2)),INDIRECT(ADDRESS(ROW(),COLUMN(rs_part_data)+2)),INDIRECT(ADDRESS(ROW(),COLUMN(mouser_part_data)+2)))</f>
        <v>0.017</v>
      </c>
      <c r="H17" s="14" t="n">
        <f aca="false">IFERROR(F17*G17,"")</f>
        <v>0.272</v>
      </c>
      <c r="I17" s="13" t="n">
        <v>3755</v>
      </c>
      <c r="K17" s="14" t="n">
        <f aca="false">IFERROR(LOOKUP(IF(J17="",F17,J17),{0,1,10,100,1000,2500,5000,10000,25000,50000,125000},{0,0.1,0.017,0.0067,0.00303,0.00263,0.00217,0.00189,0.00166,0.00152,0.00151}),"")</f>
        <v>0.017</v>
      </c>
      <c r="L17" s="14" t="n">
        <f aca="false">IFERROR(IF(J17="",F17,J17)*K17,"")</f>
        <v>0.272</v>
      </c>
      <c r="M17" s="15" t="s">
        <v>86</v>
      </c>
    </row>
    <row r="18" customFormat="false" ht="15" hidden="false" customHeight="false" outlineLevel="0" collapsed="false">
      <c r="A18" s="12" t="s">
        <v>87</v>
      </c>
      <c r="B18" s="12" t="s">
        <v>88</v>
      </c>
      <c r="C18" s="12" t="s">
        <v>76</v>
      </c>
      <c r="D18" s="12" t="s">
        <v>28</v>
      </c>
      <c r="F18" s="13" t="n">
        <f aca="false">BoardQty*1</f>
        <v>8</v>
      </c>
      <c r="G18" s="14" t="n">
        <f aca="true">MINA(INDIRECT(ADDRESS(ROW(),COLUMN(digikey_part_data)+2)),INDIRECT(ADDRESS(ROW(),COLUMN(rs_part_data)+2)),INDIRECT(ADDRESS(ROW(),COLUMN(mouser_part_data)+2)))</f>
        <v>0</v>
      </c>
      <c r="H18" s="14" t="n">
        <f aca="false">IFERROR(F18*G18,"")</f>
        <v>0</v>
      </c>
    </row>
    <row r="19" customFormat="false" ht="15" hidden="false" customHeight="false" outlineLevel="0" collapsed="false">
      <c r="A19" s="12" t="s">
        <v>89</v>
      </c>
      <c r="B19" s="12" t="s">
        <v>90</v>
      </c>
      <c r="C19" s="12" t="s">
        <v>76</v>
      </c>
      <c r="D19" s="12" t="s">
        <v>28</v>
      </c>
      <c r="E19" s="12" t="s">
        <v>91</v>
      </c>
      <c r="F19" s="13" t="n">
        <f aca="false">BoardQty*1</f>
        <v>8</v>
      </c>
      <c r="G19" s="14" t="n">
        <f aca="true">MINA(INDIRECT(ADDRESS(ROW(),COLUMN(digikey_part_data)+2)),INDIRECT(ADDRESS(ROW(),COLUMN(rs_part_data)+2)),INDIRECT(ADDRESS(ROW(),COLUMN(mouser_part_data)+2)))</f>
        <v>0.1</v>
      </c>
      <c r="H19" s="14" t="n">
        <f aca="false">IFERROR(F19*G19,"")</f>
        <v>0.8</v>
      </c>
      <c r="I19" s="13" t="n">
        <v>1048143</v>
      </c>
      <c r="K19" s="14" t="n">
        <f aca="false">IFERROR(LOOKUP(IF(J19="",F19,J19),{0,1,10,100,1000,2500,5000,10000,25000,50000,125000},{0,0.1,0.017,0.0067,0.00303,0.00263,0.00217,0.00189,0.00166,0.00152,0.00151}),"")</f>
        <v>0.1</v>
      </c>
      <c r="L19" s="14" t="n">
        <f aca="false">IFERROR(IF(J19="",F19,J19)*K19,"")</f>
        <v>0.8</v>
      </c>
      <c r="M19" s="15" t="s">
        <v>92</v>
      </c>
    </row>
    <row r="20" customFormat="false" ht="15" hidden="false" customHeight="false" outlineLevel="0" collapsed="false">
      <c r="A20" s="12" t="s">
        <v>93</v>
      </c>
      <c r="B20" s="12" t="s">
        <v>94</v>
      </c>
      <c r="D20" s="12" t="s">
        <v>95</v>
      </c>
      <c r="E20" s="12" t="s">
        <v>96</v>
      </c>
      <c r="F20" s="13" t="n">
        <f aca="false">BoardQty*1</f>
        <v>8</v>
      </c>
      <c r="G20" s="14" t="n">
        <f aca="true">MINA(INDIRECT(ADDRESS(ROW(),COLUMN(digikey_part_data)+2)),INDIRECT(ADDRESS(ROW(),COLUMN(rs_part_data)+2)),INDIRECT(ADDRESS(ROW(),COLUMN(mouser_part_data)+2)))</f>
        <v>1.9</v>
      </c>
      <c r="H20" s="14" t="n">
        <f aca="false">IFERROR(F20*G20,"")</f>
        <v>15.2</v>
      </c>
      <c r="I20" s="13" t="n">
        <v>35338</v>
      </c>
      <c r="K20" s="14" t="n">
        <f aca="false">IFERROR(LOOKUP(IF(J20="",F20,J20),{0,1,10,50,100,500,1200},{0,1.9,1.71,1.55,1.42,1.34,1.19001}),"")</f>
        <v>1.9</v>
      </c>
      <c r="L20" s="14" t="n">
        <f aca="false">IFERROR(IF(J20="",F20,J20)*K20,"")</f>
        <v>15.2</v>
      </c>
      <c r="M20" s="15" t="s">
        <v>97</v>
      </c>
    </row>
    <row r="21" customFormat="false" ht="15" hidden="false" customHeight="false" outlineLevel="0" collapsed="false">
      <c r="A21" s="12" t="s">
        <v>98</v>
      </c>
      <c r="B21" s="12" t="s">
        <v>99</v>
      </c>
      <c r="C21" s="12" t="s">
        <v>100</v>
      </c>
      <c r="D21" s="12" t="s">
        <v>101</v>
      </c>
      <c r="E21" s="12" t="s">
        <v>102</v>
      </c>
      <c r="F21" s="13" t="n">
        <f aca="false">BoardQty*1</f>
        <v>8</v>
      </c>
      <c r="G21" s="14" t="n">
        <f aca="true">MINA(INDIRECT(ADDRESS(ROW(),COLUMN(digikey_part_data)+2)),INDIRECT(ADDRESS(ROW(),COLUMN(rs_part_data)+2)),INDIRECT(ADDRESS(ROW(),COLUMN(mouser_part_data)+2)))</f>
        <v>0.65</v>
      </c>
      <c r="H21" s="14" t="n">
        <f aca="false">IFERROR(F21*G21,"")</f>
        <v>5.2</v>
      </c>
      <c r="I21" s="13" t="n">
        <v>5048</v>
      </c>
      <c r="K21" s="14" t="n">
        <f aca="false">IFERROR(LOOKUP(IF(J21="",F21,J21),{0,1,10,100,500,1000,1440,2500,5000,12500},{0,0.65,0.574,0.4402,0.348,0.2784,0.2784,0.22475,0.21025,0.19575}),"")</f>
        <v>0.65</v>
      </c>
      <c r="L21" s="14" t="n">
        <f aca="false">IFERROR(IF(J21="",F21,J21)*K21,"")</f>
        <v>5.2</v>
      </c>
      <c r="M21" s="15" t="s">
        <v>103</v>
      </c>
    </row>
    <row r="22" customFormat="false" ht="15" hidden="false" customHeight="false" outlineLevel="0" collapsed="false">
      <c r="A22" s="12" t="s">
        <v>104</v>
      </c>
      <c r="B22" s="12" t="s">
        <v>105</v>
      </c>
      <c r="D22" s="12" t="s">
        <v>106</v>
      </c>
      <c r="E22" s="12" t="s">
        <v>107</v>
      </c>
      <c r="F22" s="13" t="n">
        <f aca="false">BoardQty*1</f>
        <v>8</v>
      </c>
      <c r="G22" s="14" t="n">
        <f aca="true">MINA(INDIRECT(ADDRESS(ROW(),COLUMN(digikey_part_data)+2)),INDIRECT(ADDRESS(ROW(),COLUMN(rs_part_data)+2)),INDIRECT(ADDRESS(ROW(),COLUMN(mouser_part_data)+2)))</f>
        <v>0.62</v>
      </c>
      <c r="H22" s="14" t="n">
        <f aca="false">IFERROR(F22*G22,"")</f>
        <v>4.96</v>
      </c>
      <c r="I22" s="13" t="n">
        <v>67985</v>
      </c>
      <c r="K22" s="14" t="n">
        <f aca="false">IFERROR(LOOKUP(IF(J22="",F22,J22),{0,1,10,100,500,1000,1520,2500,5000,12500},{0,0.62,0.545,0.4175,0.33,0.264,0.264,0.23925,0.22275,0.2145}),"")</f>
        <v>0.62</v>
      </c>
      <c r="L22" s="14" t="n">
        <f aca="false">IFERROR(IF(J22="",F22,J22)*K22,"")</f>
        <v>4.96</v>
      </c>
      <c r="M22" s="15" t="s">
        <v>108</v>
      </c>
    </row>
    <row r="24" customFormat="false" ht="15" hidden="false" customHeight="false" outlineLevel="0" collapsed="false">
      <c r="A24" s="2" t="s">
        <v>109</v>
      </c>
      <c r="J24" s="5" t="n">
        <f aca="false">IFERROR(IF(OR(J7:J22),COUNTIF(J7:J22,"&gt;0")&amp;" of "&amp;ROWS(J7:J22)&amp;" parts purchased",""),"")</f>
        <v>0</v>
      </c>
      <c r="O24" s="5" t="n">
        <f aca="false">IFERROR(IF(OR(O7:O22),COUNTIF(O7:O22,"&gt;0")&amp;" of "&amp;ROWS(O7:O22)&amp;" parts purchased",""),"")</f>
        <v>0</v>
      </c>
      <c r="T24" s="5" t="n">
        <f aca="false">IFERROR(IF(OR(T7:T22),COUNTIF(T7:T22,"&gt;0")&amp;" of "&amp;ROWS(T7:T22)&amp;" parts purchased",""),"")</f>
        <v>0</v>
      </c>
    </row>
    <row r="25" customFormat="false" ht="15" hidden="false" customHeight="false" outlineLevel="0" collapsed="false">
      <c r="J25" s="0" t="str">
        <f aca="false" t="array" ref="J25:J25">IFERROR(CONCATENATE(TEXT(INDEX($J$7:$J$22,SMALL(IF($M$7:$M$22&lt;&gt;"",IF($J$7:$J$22&lt;&gt;"",ROW($J$7:$J$22)-MIN(ROW($J$7:$J$22))+1,""),""),ROW()-ROW(A$25)+1)),"##0"),","),"")</f>
        <v/>
      </c>
      <c r="K25" s="0" t="str">
        <f aca="false" t="array" ref="K25:K25">IFERROR(CONCATENATE((INDEX($M$7:$M$22,SMALL(IF($M$7:$M$22&lt;&gt;"",IF($J$7:$J$22&lt;&gt;"",ROW($J$7:$J$22)-MIN(ROW($J$7:$J$22))+1,""),""),ROW()-ROW(A$25)+1))),","),"")</f>
        <v/>
      </c>
      <c r="L25" s="0" t="str">
        <f aca="false" t="array" ref="L25:L25">IFERROR(CONCATENATE((INDEX($A$7:$A$22,SMALL(IF($M$7:$M$22&lt;&gt;"",IF($J$7:$J$22&lt;&gt;"",ROW($J$7:$J$22)-MIN(ROW($J$7:$J$22))+1,""),""),ROW()-ROW(A$25)+1))),),"")</f>
        <v/>
      </c>
      <c r="O25" s="0" t="str">
        <f aca="false" t="array" ref="O25:O25">IFERROR(CONCATENATE((INDEX($R$7:$R$22,SMALL(IF($R$7:$R$22&lt;&gt;"",IF($O$7:$O$22&lt;&gt;"",ROW($O$7:$O$22)-MIN(ROW($O$7:$O$22))+1,""),""),ROW()-ROW(A$25)+1)))," "),"")</f>
        <v/>
      </c>
      <c r="P25" s="0" t="str">
        <f aca="false" t="array" ref="P25:P25">IFERROR(CONCATENATE(TEXT(INDEX($O$7:$O$22,SMALL(IF($R$7:$R$22&lt;&gt;"",IF($O$7:$O$22&lt;&gt;"",ROW($O$7:$O$22)-MIN(ROW($O$7:$O$22))+1,""),""),ROW()-ROW(A$25)+1)),"##0")," "),"")</f>
        <v/>
      </c>
      <c r="Q25" s="0" t="str">
        <f aca="false" t="array" ref="Q25:Q25">IFERROR(CONCATENATE((INDEX($A$7:$A$22,SMALL(IF($R$7:$R$22&lt;&gt;"",IF($O$7:$O$22&lt;&gt;"",ROW($O$7:$O$22)-MIN(ROW($O$7:$O$22))+1,""),""),ROW()-ROW(A$25)+1))),),"")</f>
        <v/>
      </c>
      <c r="T25" s="0" t="str">
        <f aca="false" t="array" ref="T25:T25">IFERROR(CONCATENATE((INDEX($W$7:$W$22,SMALL(IF($W$7:$W$22&lt;&gt;"",IF($T$7:$T$22&lt;&gt;"",ROW($T$7:$T$22)-MIN(ROW($T$7:$T$22))+1,""),""),ROW()-ROW(A$25)+1)))," "),"")</f>
        <v/>
      </c>
      <c r="U25" s="0" t="str">
        <f aca="false" t="array" ref="U25:U25">IFERROR(CONCATENATE(TEXT(INDEX($T$7:$T$22,SMALL(IF($W$7:$W$22&lt;&gt;"",IF($T$7:$T$22&lt;&gt;"",ROW($T$7:$T$22)-MIN(ROW($T$7:$T$22))+1,""),""),ROW()-ROW(A$25)+1)),"##0")," "),"")</f>
        <v/>
      </c>
      <c r="V25" s="0" t="str">
        <f aca="false" t="array" ref="V25:V25">IFERROR(CONCATENATE((INDEX($A$7:$A$22,SMALL(IF($W$7:$W$22&lt;&gt;"",IF($T$7:$T$22&lt;&gt;"",ROW($T$7:$T$22)-MIN(ROW($T$7:$T$22))+1,""),""),ROW()-ROW(A$25)+1))),),"")</f>
        <v/>
      </c>
    </row>
    <row r="26" customFormat="false" ht="15" hidden="false" customHeight="false" outlineLevel="0" collapsed="false">
      <c r="J26" s="0" t="str">
        <f aca="false" t="array" ref="J26:J26">IFERROR(CONCATENATE(TEXT(INDEX($J$7:$J$22,SMALL(IF($M$7:$M$22&lt;&gt;"",IF($J$7:$J$22&lt;&gt;"",ROW($J$7:$J$22)-MIN(ROW($J$7:$J$22))+1,""),""),ROW()-ROW(A$25)+1)),"##0"),","),"")</f>
        <v/>
      </c>
      <c r="K26" s="0" t="str">
        <f aca="false" t="array" ref="K26:K26">IFERROR(CONCATENATE((INDEX($M$7:$M$22,SMALL(IF($M$7:$M$22&lt;&gt;"",IF($J$7:$J$22&lt;&gt;"",ROW($J$7:$J$22)-MIN(ROW($J$7:$J$22))+1,""),""),ROW()-ROW(A$25)+1))),","),"")</f>
        <v/>
      </c>
      <c r="L26" s="0" t="str">
        <f aca="false" t="array" ref="L26:L26">IFERROR(CONCATENATE((INDEX($A$7:$A$22,SMALL(IF($M$7:$M$22&lt;&gt;"",IF($J$7:$J$22&lt;&gt;"",ROW($J$7:$J$22)-MIN(ROW($J$7:$J$22))+1,""),""),ROW()-ROW(A$25)+1))),),"")</f>
        <v/>
      </c>
      <c r="O26" s="0" t="str">
        <f aca="false" t="array" ref="O26:O26">IFERROR(CONCATENATE((INDEX($R$7:$R$22,SMALL(IF($R$7:$R$22&lt;&gt;"",IF($O$7:$O$22&lt;&gt;"",ROW($O$7:$O$22)-MIN(ROW($O$7:$O$22))+1,""),""),ROW()-ROW(A$25)+1)))," "),"")</f>
        <v/>
      </c>
      <c r="P26" s="0" t="str">
        <f aca="false" t="array" ref="P26:P26">IFERROR(CONCATENATE(TEXT(INDEX($O$7:$O$22,SMALL(IF($R$7:$R$22&lt;&gt;"",IF($O$7:$O$22&lt;&gt;"",ROW($O$7:$O$22)-MIN(ROW($O$7:$O$22))+1,""),""),ROW()-ROW(A$25)+1)),"##0")," "),"")</f>
        <v/>
      </c>
      <c r="Q26" s="0" t="str">
        <f aca="false" t="array" ref="Q26:Q26">IFERROR(CONCATENATE((INDEX($A$7:$A$22,SMALL(IF($R$7:$R$22&lt;&gt;"",IF($O$7:$O$22&lt;&gt;"",ROW($O$7:$O$22)-MIN(ROW($O$7:$O$22))+1,""),""),ROW()-ROW(A$25)+1))),),"")</f>
        <v/>
      </c>
      <c r="T26" s="0" t="str">
        <f aca="false" t="array" ref="T26:T26">IFERROR(CONCATENATE((INDEX($W$7:$W$22,SMALL(IF($W$7:$W$22&lt;&gt;"",IF($T$7:$T$22&lt;&gt;"",ROW($T$7:$T$22)-MIN(ROW($T$7:$T$22))+1,""),""),ROW()-ROW(A$25)+1)))," "),"")</f>
        <v/>
      </c>
      <c r="U26" s="0" t="str">
        <f aca="false" t="array" ref="U26:U26">IFERROR(CONCATENATE(TEXT(INDEX($T$7:$T$22,SMALL(IF($W$7:$W$22&lt;&gt;"",IF($T$7:$T$22&lt;&gt;"",ROW($T$7:$T$22)-MIN(ROW($T$7:$T$22))+1,""),""),ROW()-ROW(A$25)+1)),"##0")," "),"")</f>
        <v/>
      </c>
      <c r="V26" s="0" t="str">
        <f aca="false" t="array" ref="V26:V26">IFERROR(CONCATENATE((INDEX($A$7:$A$22,SMALL(IF($W$7:$W$22&lt;&gt;"",IF($T$7:$T$22&lt;&gt;"",ROW($T$7:$T$22)-MIN(ROW($T$7:$T$22))+1,""),""),ROW()-ROW(A$25)+1))),),"")</f>
        <v/>
      </c>
    </row>
    <row r="27" customFormat="false" ht="15" hidden="false" customHeight="false" outlineLevel="0" collapsed="false">
      <c r="J27" s="0" t="str">
        <f aca="false" t="array" ref="J27:J27">IFERROR(CONCATENATE(TEXT(INDEX($J$7:$J$22,SMALL(IF($M$7:$M$22&lt;&gt;"",IF($J$7:$J$22&lt;&gt;"",ROW($J$7:$J$22)-MIN(ROW($J$7:$J$22))+1,""),""),ROW()-ROW(A$25)+1)),"##0"),","),"")</f>
        <v/>
      </c>
      <c r="K27" s="0" t="str">
        <f aca="false" t="array" ref="K27:K27">IFERROR(CONCATENATE((INDEX($M$7:$M$22,SMALL(IF($M$7:$M$22&lt;&gt;"",IF($J$7:$J$22&lt;&gt;"",ROW($J$7:$J$22)-MIN(ROW($J$7:$J$22))+1,""),""),ROW()-ROW(A$25)+1))),","),"")</f>
        <v/>
      </c>
      <c r="L27" s="0" t="str">
        <f aca="false" t="array" ref="L27:L27">IFERROR(CONCATENATE((INDEX($A$7:$A$22,SMALL(IF($M$7:$M$22&lt;&gt;"",IF($J$7:$J$22&lt;&gt;"",ROW($J$7:$J$22)-MIN(ROW($J$7:$J$22))+1,""),""),ROW()-ROW(A$25)+1))),),"")</f>
        <v/>
      </c>
      <c r="O27" s="0" t="str">
        <f aca="false" t="array" ref="O27:O27">IFERROR(CONCATENATE((INDEX($R$7:$R$22,SMALL(IF($R$7:$R$22&lt;&gt;"",IF($O$7:$O$22&lt;&gt;"",ROW($O$7:$O$22)-MIN(ROW($O$7:$O$22))+1,""),""),ROW()-ROW(A$25)+1)))," "),"")</f>
        <v/>
      </c>
      <c r="P27" s="0" t="str">
        <f aca="false" t="array" ref="P27:P27">IFERROR(CONCATENATE(TEXT(INDEX($O$7:$O$22,SMALL(IF($R$7:$R$22&lt;&gt;"",IF($O$7:$O$22&lt;&gt;"",ROW($O$7:$O$22)-MIN(ROW($O$7:$O$22))+1,""),""),ROW()-ROW(A$25)+1)),"##0")," "),"")</f>
        <v/>
      </c>
      <c r="Q27" s="0" t="str">
        <f aca="false" t="array" ref="Q27:Q27">IFERROR(CONCATENATE((INDEX($A$7:$A$22,SMALL(IF($R$7:$R$22&lt;&gt;"",IF($O$7:$O$22&lt;&gt;"",ROW($O$7:$O$22)-MIN(ROW($O$7:$O$22))+1,""),""),ROW()-ROW(A$25)+1))),),"")</f>
        <v/>
      </c>
      <c r="T27" s="0" t="str">
        <f aca="false" t="array" ref="T27:T27">IFERROR(CONCATENATE((INDEX($W$7:$W$22,SMALL(IF($W$7:$W$22&lt;&gt;"",IF($T$7:$T$22&lt;&gt;"",ROW($T$7:$T$22)-MIN(ROW($T$7:$T$22))+1,""),""),ROW()-ROW(A$25)+1)))," "),"")</f>
        <v/>
      </c>
      <c r="U27" s="0" t="str">
        <f aca="false" t="array" ref="U27:U27">IFERROR(CONCATENATE(TEXT(INDEX($T$7:$T$22,SMALL(IF($W$7:$W$22&lt;&gt;"",IF($T$7:$T$22&lt;&gt;"",ROW($T$7:$T$22)-MIN(ROW($T$7:$T$22))+1,""),""),ROW()-ROW(A$25)+1)),"##0")," "),"")</f>
        <v/>
      </c>
      <c r="V27" s="0" t="str">
        <f aca="false" t="array" ref="V27:V27">IFERROR(CONCATENATE((INDEX($A$7:$A$22,SMALL(IF($W$7:$W$22&lt;&gt;"",IF($T$7:$T$22&lt;&gt;"",ROW($T$7:$T$22)-MIN(ROW($T$7:$T$22))+1,""),""),ROW()-ROW(A$25)+1))),),"")</f>
        <v/>
      </c>
    </row>
    <row r="28" customFormat="false" ht="15" hidden="false" customHeight="false" outlineLevel="0" collapsed="false">
      <c r="J28" s="0" t="str">
        <f aca="false" t="array" ref="J28:J28">IFERROR(CONCATENATE(TEXT(INDEX($J$7:$J$22,SMALL(IF($M$7:$M$22&lt;&gt;"",IF($J$7:$J$22&lt;&gt;"",ROW($J$7:$J$22)-MIN(ROW($J$7:$J$22))+1,""),""),ROW()-ROW(A$25)+1)),"##0"),","),"")</f>
        <v/>
      </c>
      <c r="K28" s="0" t="str">
        <f aca="false" t="array" ref="K28:K28">IFERROR(CONCATENATE((INDEX($M$7:$M$22,SMALL(IF($M$7:$M$22&lt;&gt;"",IF($J$7:$J$22&lt;&gt;"",ROW($J$7:$J$22)-MIN(ROW($J$7:$J$22))+1,""),""),ROW()-ROW(A$25)+1))),","),"")</f>
        <v/>
      </c>
      <c r="L28" s="0" t="str">
        <f aca="false" t="array" ref="L28:L28">IFERROR(CONCATENATE((INDEX($A$7:$A$22,SMALL(IF($M$7:$M$22&lt;&gt;"",IF($J$7:$J$22&lt;&gt;"",ROW($J$7:$J$22)-MIN(ROW($J$7:$J$22))+1,""),""),ROW()-ROW(A$25)+1))),),"")</f>
        <v/>
      </c>
      <c r="O28" s="0" t="str">
        <f aca="false" t="array" ref="O28:O28">IFERROR(CONCATENATE((INDEX($R$7:$R$22,SMALL(IF($R$7:$R$22&lt;&gt;"",IF($O$7:$O$22&lt;&gt;"",ROW($O$7:$O$22)-MIN(ROW($O$7:$O$22))+1,""),""),ROW()-ROW(A$25)+1)))," "),"")</f>
        <v/>
      </c>
      <c r="P28" s="0" t="str">
        <f aca="false" t="array" ref="P28:P28">IFERROR(CONCATENATE(TEXT(INDEX($O$7:$O$22,SMALL(IF($R$7:$R$22&lt;&gt;"",IF($O$7:$O$22&lt;&gt;"",ROW($O$7:$O$22)-MIN(ROW($O$7:$O$22))+1,""),""),ROW()-ROW(A$25)+1)),"##0")," "),"")</f>
        <v/>
      </c>
      <c r="Q28" s="0" t="str">
        <f aca="false" t="array" ref="Q28:Q28">IFERROR(CONCATENATE((INDEX($A$7:$A$22,SMALL(IF($R$7:$R$22&lt;&gt;"",IF($O$7:$O$22&lt;&gt;"",ROW($O$7:$O$22)-MIN(ROW($O$7:$O$22))+1,""),""),ROW()-ROW(A$25)+1))),),"")</f>
        <v/>
      </c>
      <c r="T28" s="0" t="str">
        <f aca="false" t="array" ref="T28:T28">IFERROR(CONCATENATE((INDEX($W$7:$W$22,SMALL(IF($W$7:$W$22&lt;&gt;"",IF($T$7:$T$22&lt;&gt;"",ROW($T$7:$T$22)-MIN(ROW($T$7:$T$22))+1,""),""),ROW()-ROW(A$25)+1)))," "),"")</f>
        <v/>
      </c>
      <c r="U28" s="0" t="str">
        <f aca="false" t="array" ref="U28:U28">IFERROR(CONCATENATE(TEXT(INDEX($T$7:$T$22,SMALL(IF($W$7:$W$22&lt;&gt;"",IF($T$7:$T$22&lt;&gt;"",ROW($T$7:$T$22)-MIN(ROW($T$7:$T$22))+1,""),""),ROW()-ROW(A$25)+1)),"##0")," "),"")</f>
        <v/>
      </c>
      <c r="V28" s="0" t="str">
        <f aca="false" t="array" ref="V28:V28">IFERROR(CONCATENATE((INDEX($A$7:$A$22,SMALL(IF($W$7:$W$22&lt;&gt;"",IF($T$7:$T$22&lt;&gt;"",ROW($T$7:$T$22)-MIN(ROW($T$7:$T$22))+1,""),""),ROW()-ROW(A$25)+1))),),"")</f>
        <v/>
      </c>
    </row>
    <row r="29" customFormat="false" ht="15" hidden="false" customHeight="false" outlineLevel="0" collapsed="false">
      <c r="J29" s="0" t="str">
        <f aca="false" t="array" ref="J29:J29">IFERROR(CONCATENATE(TEXT(INDEX($J$7:$J$22,SMALL(IF($M$7:$M$22&lt;&gt;"",IF($J$7:$J$22&lt;&gt;"",ROW($J$7:$J$22)-MIN(ROW($J$7:$J$22))+1,""),""),ROW()-ROW(A$25)+1)),"##0"),","),"")</f>
        <v/>
      </c>
      <c r="K29" s="0" t="str">
        <f aca="false" t="array" ref="K29:K29">IFERROR(CONCATENATE((INDEX($M$7:$M$22,SMALL(IF($M$7:$M$22&lt;&gt;"",IF($J$7:$J$22&lt;&gt;"",ROW($J$7:$J$22)-MIN(ROW($J$7:$J$22))+1,""),""),ROW()-ROW(A$25)+1))),","),"")</f>
        <v/>
      </c>
      <c r="L29" s="0" t="str">
        <f aca="false" t="array" ref="L29:L29">IFERROR(CONCATENATE((INDEX($A$7:$A$22,SMALL(IF($M$7:$M$22&lt;&gt;"",IF($J$7:$J$22&lt;&gt;"",ROW($J$7:$J$22)-MIN(ROW($J$7:$J$22))+1,""),""),ROW()-ROW(A$25)+1))),),"")</f>
        <v/>
      </c>
      <c r="O29" s="0" t="str">
        <f aca="false" t="array" ref="O29:O29">IFERROR(CONCATENATE((INDEX($R$7:$R$22,SMALL(IF($R$7:$R$22&lt;&gt;"",IF($O$7:$O$22&lt;&gt;"",ROW($O$7:$O$22)-MIN(ROW($O$7:$O$22))+1,""),""),ROW()-ROW(A$25)+1)))," "),"")</f>
        <v/>
      </c>
      <c r="P29" s="0" t="str">
        <f aca="false" t="array" ref="P29:P29">IFERROR(CONCATENATE(TEXT(INDEX($O$7:$O$22,SMALL(IF($R$7:$R$22&lt;&gt;"",IF($O$7:$O$22&lt;&gt;"",ROW($O$7:$O$22)-MIN(ROW($O$7:$O$22))+1,""),""),ROW()-ROW(A$25)+1)),"##0")," "),"")</f>
        <v/>
      </c>
      <c r="Q29" s="0" t="str">
        <f aca="false" t="array" ref="Q29:Q29">IFERROR(CONCATENATE((INDEX($A$7:$A$22,SMALL(IF($R$7:$R$22&lt;&gt;"",IF($O$7:$O$22&lt;&gt;"",ROW($O$7:$O$22)-MIN(ROW($O$7:$O$22))+1,""),""),ROW()-ROW(A$25)+1))),),"")</f>
        <v/>
      </c>
      <c r="T29" s="0" t="str">
        <f aca="false" t="array" ref="T29:T29">IFERROR(CONCATENATE((INDEX($W$7:$W$22,SMALL(IF($W$7:$W$22&lt;&gt;"",IF($T$7:$T$22&lt;&gt;"",ROW($T$7:$T$22)-MIN(ROW($T$7:$T$22))+1,""),""),ROW()-ROW(A$25)+1)))," "),"")</f>
        <v/>
      </c>
      <c r="U29" s="0" t="str">
        <f aca="false" t="array" ref="U29:U29">IFERROR(CONCATENATE(TEXT(INDEX($T$7:$T$22,SMALL(IF($W$7:$W$22&lt;&gt;"",IF($T$7:$T$22&lt;&gt;"",ROW($T$7:$T$22)-MIN(ROW($T$7:$T$22))+1,""),""),ROW()-ROW(A$25)+1)),"##0")," "),"")</f>
        <v/>
      </c>
      <c r="V29" s="0" t="str">
        <f aca="false" t="array" ref="V29:V29">IFERROR(CONCATENATE((INDEX($A$7:$A$22,SMALL(IF($W$7:$W$22&lt;&gt;"",IF($T$7:$T$22&lt;&gt;"",ROW($T$7:$T$22)-MIN(ROW($T$7:$T$22))+1,""),""),ROW()-ROW(A$25)+1))),),"")</f>
        <v/>
      </c>
    </row>
    <row r="30" customFormat="false" ht="15" hidden="false" customHeight="false" outlineLevel="0" collapsed="false">
      <c r="J30" s="0" t="str">
        <f aca="false" t="array" ref="J30:J30">IFERROR(CONCATENATE(TEXT(INDEX($J$7:$J$22,SMALL(IF($M$7:$M$22&lt;&gt;"",IF($J$7:$J$22&lt;&gt;"",ROW($J$7:$J$22)-MIN(ROW($J$7:$J$22))+1,""),""),ROW()-ROW(A$25)+1)),"##0"),","),"")</f>
        <v/>
      </c>
      <c r="K30" s="0" t="str">
        <f aca="false" t="array" ref="K30:K30">IFERROR(CONCATENATE((INDEX($M$7:$M$22,SMALL(IF($M$7:$M$22&lt;&gt;"",IF($J$7:$J$22&lt;&gt;"",ROW($J$7:$J$22)-MIN(ROW($J$7:$J$22))+1,""),""),ROW()-ROW(A$25)+1))),","),"")</f>
        <v/>
      </c>
      <c r="L30" s="0" t="str">
        <f aca="false" t="array" ref="L30:L30">IFERROR(CONCATENATE((INDEX($A$7:$A$22,SMALL(IF($M$7:$M$22&lt;&gt;"",IF($J$7:$J$22&lt;&gt;"",ROW($J$7:$J$22)-MIN(ROW($J$7:$J$22))+1,""),""),ROW()-ROW(A$25)+1))),),"")</f>
        <v/>
      </c>
      <c r="O30" s="0" t="str">
        <f aca="false" t="array" ref="O30:O30">IFERROR(CONCATENATE((INDEX($R$7:$R$22,SMALL(IF($R$7:$R$22&lt;&gt;"",IF($O$7:$O$22&lt;&gt;"",ROW($O$7:$O$22)-MIN(ROW($O$7:$O$22))+1,""),""),ROW()-ROW(A$25)+1)))," "),"")</f>
        <v/>
      </c>
      <c r="P30" s="0" t="str">
        <f aca="false" t="array" ref="P30:P30">IFERROR(CONCATENATE(TEXT(INDEX($O$7:$O$22,SMALL(IF($R$7:$R$22&lt;&gt;"",IF($O$7:$O$22&lt;&gt;"",ROW($O$7:$O$22)-MIN(ROW($O$7:$O$22))+1,""),""),ROW()-ROW(A$25)+1)),"##0")," "),"")</f>
        <v/>
      </c>
      <c r="Q30" s="0" t="str">
        <f aca="false" t="array" ref="Q30:Q30">IFERROR(CONCATENATE((INDEX($A$7:$A$22,SMALL(IF($R$7:$R$22&lt;&gt;"",IF($O$7:$O$22&lt;&gt;"",ROW($O$7:$O$22)-MIN(ROW($O$7:$O$22))+1,""),""),ROW()-ROW(A$25)+1))),),"")</f>
        <v/>
      </c>
      <c r="T30" s="0" t="str">
        <f aca="false" t="array" ref="T30:T30">IFERROR(CONCATENATE((INDEX($W$7:$W$22,SMALL(IF($W$7:$W$22&lt;&gt;"",IF($T$7:$T$22&lt;&gt;"",ROW($T$7:$T$22)-MIN(ROW($T$7:$T$22))+1,""),""),ROW()-ROW(A$25)+1)))," "),"")</f>
        <v/>
      </c>
      <c r="U30" s="0" t="str">
        <f aca="false" t="array" ref="U30:U30">IFERROR(CONCATENATE(TEXT(INDEX($T$7:$T$22,SMALL(IF($W$7:$W$22&lt;&gt;"",IF($T$7:$T$22&lt;&gt;"",ROW($T$7:$T$22)-MIN(ROW($T$7:$T$22))+1,""),""),ROW()-ROW(A$25)+1)),"##0")," "),"")</f>
        <v/>
      </c>
      <c r="V30" s="0" t="str">
        <f aca="false" t="array" ref="V30:V30">IFERROR(CONCATENATE((INDEX($A$7:$A$22,SMALL(IF($W$7:$W$22&lt;&gt;"",IF($T$7:$T$22&lt;&gt;"",ROW($T$7:$T$22)-MIN(ROW($T$7:$T$22))+1,""),""),ROW()-ROW(A$25)+1))),),"")</f>
        <v/>
      </c>
    </row>
    <row r="31" customFormat="false" ht="15" hidden="false" customHeight="false" outlineLevel="0" collapsed="false">
      <c r="J31" s="0" t="str">
        <f aca="false" t="array" ref="J31:J31">IFERROR(CONCATENATE(TEXT(INDEX($J$7:$J$22,SMALL(IF($M$7:$M$22&lt;&gt;"",IF($J$7:$J$22&lt;&gt;"",ROW($J$7:$J$22)-MIN(ROW($J$7:$J$22))+1,""),""),ROW()-ROW(A$25)+1)),"##0"),","),"")</f>
        <v/>
      </c>
      <c r="K31" s="0" t="str">
        <f aca="false" t="array" ref="K31:K31">IFERROR(CONCATENATE((INDEX($M$7:$M$22,SMALL(IF($M$7:$M$22&lt;&gt;"",IF($J$7:$J$22&lt;&gt;"",ROW($J$7:$J$22)-MIN(ROW($J$7:$J$22))+1,""),""),ROW()-ROW(A$25)+1))),","),"")</f>
        <v/>
      </c>
      <c r="L31" s="0" t="str">
        <f aca="false" t="array" ref="L31:L31">IFERROR(CONCATENATE((INDEX($A$7:$A$22,SMALL(IF($M$7:$M$22&lt;&gt;"",IF($J$7:$J$22&lt;&gt;"",ROW($J$7:$J$22)-MIN(ROW($J$7:$J$22))+1,""),""),ROW()-ROW(A$25)+1))),),"")</f>
        <v/>
      </c>
      <c r="O31" s="0" t="str">
        <f aca="false" t="array" ref="O31:O31">IFERROR(CONCATENATE((INDEX($R$7:$R$22,SMALL(IF($R$7:$R$22&lt;&gt;"",IF($O$7:$O$22&lt;&gt;"",ROW($O$7:$O$22)-MIN(ROW($O$7:$O$22))+1,""),""),ROW()-ROW(A$25)+1)))," "),"")</f>
        <v/>
      </c>
      <c r="P31" s="0" t="str">
        <f aca="false" t="array" ref="P31:P31">IFERROR(CONCATENATE(TEXT(INDEX($O$7:$O$22,SMALL(IF($R$7:$R$22&lt;&gt;"",IF($O$7:$O$22&lt;&gt;"",ROW($O$7:$O$22)-MIN(ROW($O$7:$O$22))+1,""),""),ROW()-ROW(A$25)+1)),"##0")," "),"")</f>
        <v/>
      </c>
      <c r="Q31" s="0" t="str">
        <f aca="false" t="array" ref="Q31:Q31">IFERROR(CONCATENATE((INDEX($A$7:$A$22,SMALL(IF($R$7:$R$22&lt;&gt;"",IF($O$7:$O$22&lt;&gt;"",ROW($O$7:$O$22)-MIN(ROW($O$7:$O$22))+1,""),""),ROW()-ROW(A$25)+1))),),"")</f>
        <v/>
      </c>
      <c r="T31" s="0" t="str">
        <f aca="false" t="array" ref="T31:T31">IFERROR(CONCATENATE((INDEX($W$7:$W$22,SMALL(IF($W$7:$W$22&lt;&gt;"",IF($T$7:$T$22&lt;&gt;"",ROW($T$7:$T$22)-MIN(ROW($T$7:$T$22))+1,""),""),ROW()-ROW(A$25)+1)))," "),"")</f>
        <v/>
      </c>
      <c r="U31" s="0" t="str">
        <f aca="false" t="array" ref="U31:U31">IFERROR(CONCATENATE(TEXT(INDEX($T$7:$T$22,SMALL(IF($W$7:$W$22&lt;&gt;"",IF($T$7:$T$22&lt;&gt;"",ROW($T$7:$T$22)-MIN(ROW($T$7:$T$22))+1,""),""),ROW()-ROW(A$25)+1)),"##0")," "),"")</f>
        <v/>
      </c>
      <c r="V31" s="0" t="str">
        <f aca="false" t="array" ref="V31:V31">IFERROR(CONCATENATE((INDEX($A$7:$A$22,SMALL(IF($W$7:$W$22&lt;&gt;"",IF($T$7:$T$22&lt;&gt;"",ROW($T$7:$T$22)-MIN(ROW($T$7:$T$22))+1,""),""),ROW()-ROW(A$25)+1))),),"")</f>
        <v/>
      </c>
    </row>
    <row r="32" customFormat="false" ht="15" hidden="false" customHeight="false" outlineLevel="0" collapsed="false">
      <c r="J32" s="0" t="str">
        <f aca="false" t="array" ref="J32:J32">IFERROR(CONCATENATE(TEXT(INDEX($J$7:$J$22,SMALL(IF($M$7:$M$22&lt;&gt;"",IF($J$7:$J$22&lt;&gt;"",ROW($J$7:$J$22)-MIN(ROW($J$7:$J$22))+1,""),""),ROW()-ROW(A$25)+1)),"##0"),","),"")</f>
        <v/>
      </c>
      <c r="K32" s="0" t="str">
        <f aca="false" t="array" ref="K32:K32">IFERROR(CONCATENATE((INDEX($M$7:$M$22,SMALL(IF($M$7:$M$22&lt;&gt;"",IF($J$7:$J$22&lt;&gt;"",ROW($J$7:$J$22)-MIN(ROW($J$7:$J$22))+1,""),""),ROW()-ROW(A$25)+1))),","),"")</f>
        <v/>
      </c>
      <c r="L32" s="0" t="str">
        <f aca="false" t="array" ref="L32:L32">IFERROR(CONCATENATE((INDEX($A$7:$A$22,SMALL(IF($M$7:$M$22&lt;&gt;"",IF($J$7:$J$22&lt;&gt;"",ROW($J$7:$J$22)-MIN(ROW($J$7:$J$22))+1,""),""),ROW()-ROW(A$25)+1))),),"")</f>
        <v/>
      </c>
      <c r="O32" s="0" t="str">
        <f aca="false" t="array" ref="O32:O32">IFERROR(CONCATENATE((INDEX($R$7:$R$22,SMALL(IF($R$7:$R$22&lt;&gt;"",IF($O$7:$O$22&lt;&gt;"",ROW($O$7:$O$22)-MIN(ROW($O$7:$O$22))+1,""),""),ROW()-ROW(A$25)+1)))," "),"")</f>
        <v/>
      </c>
      <c r="P32" s="0" t="str">
        <f aca="false" t="array" ref="P32:P32">IFERROR(CONCATENATE(TEXT(INDEX($O$7:$O$22,SMALL(IF($R$7:$R$22&lt;&gt;"",IF($O$7:$O$22&lt;&gt;"",ROW($O$7:$O$22)-MIN(ROW($O$7:$O$22))+1,""),""),ROW()-ROW(A$25)+1)),"##0")," "),"")</f>
        <v/>
      </c>
      <c r="Q32" s="0" t="str">
        <f aca="false" t="array" ref="Q32:Q32">IFERROR(CONCATENATE((INDEX($A$7:$A$22,SMALL(IF($R$7:$R$22&lt;&gt;"",IF($O$7:$O$22&lt;&gt;"",ROW($O$7:$O$22)-MIN(ROW($O$7:$O$22))+1,""),""),ROW()-ROW(A$25)+1))),),"")</f>
        <v/>
      </c>
      <c r="T32" s="0" t="str">
        <f aca="false" t="array" ref="T32:T32">IFERROR(CONCATENATE((INDEX($W$7:$W$22,SMALL(IF($W$7:$W$22&lt;&gt;"",IF($T$7:$T$22&lt;&gt;"",ROW($T$7:$T$22)-MIN(ROW($T$7:$T$22))+1,""),""),ROW()-ROW(A$25)+1)))," "),"")</f>
        <v/>
      </c>
      <c r="U32" s="0" t="str">
        <f aca="false" t="array" ref="U32:U32">IFERROR(CONCATENATE(TEXT(INDEX($T$7:$T$22,SMALL(IF($W$7:$W$22&lt;&gt;"",IF($T$7:$T$22&lt;&gt;"",ROW($T$7:$T$22)-MIN(ROW($T$7:$T$22))+1,""),""),ROW()-ROW(A$25)+1)),"##0")," "),"")</f>
        <v/>
      </c>
      <c r="V32" s="0" t="str">
        <f aca="false" t="array" ref="V32:V32">IFERROR(CONCATENATE((INDEX($A$7:$A$22,SMALL(IF($W$7:$W$22&lt;&gt;"",IF($T$7:$T$22&lt;&gt;"",ROW($T$7:$T$22)-MIN(ROW($T$7:$T$22))+1,""),""),ROW()-ROW(A$25)+1))),),"")</f>
        <v/>
      </c>
    </row>
    <row r="33" customFormat="false" ht="15" hidden="false" customHeight="false" outlineLevel="0" collapsed="false">
      <c r="J33" s="0" t="str">
        <f aca="false" t="array" ref="J33:J33">IFERROR(CONCATENATE(TEXT(INDEX($J$7:$J$22,SMALL(IF($M$7:$M$22&lt;&gt;"",IF($J$7:$J$22&lt;&gt;"",ROW($J$7:$J$22)-MIN(ROW($J$7:$J$22))+1,""),""),ROW()-ROW(A$25)+1)),"##0"),","),"")</f>
        <v/>
      </c>
      <c r="K33" s="0" t="str">
        <f aca="false" t="array" ref="K33:K33">IFERROR(CONCATENATE((INDEX($M$7:$M$22,SMALL(IF($M$7:$M$22&lt;&gt;"",IF($J$7:$J$22&lt;&gt;"",ROW($J$7:$J$22)-MIN(ROW($J$7:$J$22))+1,""),""),ROW()-ROW(A$25)+1))),","),"")</f>
        <v/>
      </c>
      <c r="L33" s="0" t="str">
        <f aca="false" t="array" ref="L33:L33">IFERROR(CONCATENATE((INDEX($A$7:$A$22,SMALL(IF($M$7:$M$22&lt;&gt;"",IF($J$7:$J$22&lt;&gt;"",ROW($J$7:$J$22)-MIN(ROW($J$7:$J$22))+1,""),""),ROW()-ROW(A$25)+1))),),"")</f>
        <v/>
      </c>
      <c r="O33" s="0" t="str">
        <f aca="false" t="array" ref="O33:O33">IFERROR(CONCATENATE((INDEX($R$7:$R$22,SMALL(IF($R$7:$R$22&lt;&gt;"",IF($O$7:$O$22&lt;&gt;"",ROW($O$7:$O$22)-MIN(ROW($O$7:$O$22))+1,""),""),ROW()-ROW(A$25)+1)))," "),"")</f>
        <v/>
      </c>
      <c r="P33" s="0" t="str">
        <f aca="false" t="array" ref="P33:P33">IFERROR(CONCATENATE(TEXT(INDEX($O$7:$O$22,SMALL(IF($R$7:$R$22&lt;&gt;"",IF($O$7:$O$22&lt;&gt;"",ROW($O$7:$O$22)-MIN(ROW($O$7:$O$22))+1,""),""),ROW()-ROW(A$25)+1)),"##0")," "),"")</f>
        <v/>
      </c>
      <c r="Q33" s="0" t="str">
        <f aca="false" t="array" ref="Q33:Q33">IFERROR(CONCATENATE((INDEX($A$7:$A$22,SMALL(IF($R$7:$R$22&lt;&gt;"",IF($O$7:$O$22&lt;&gt;"",ROW($O$7:$O$22)-MIN(ROW($O$7:$O$22))+1,""),""),ROW()-ROW(A$25)+1))),),"")</f>
        <v/>
      </c>
      <c r="T33" s="0" t="str">
        <f aca="false" t="array" ref="T33:T33">IFERROR(CONCATENATE((INDEX($W$7:$W$22,SMALL(IF($W$7:$W$22&lt;&gt;"",IF($T$7:$T$22&lt;&gt;"",ROW($T$7:$T$22)-MIN(ROW($T$7:$T$22))+1,""),""),ROW()-ROW(A$25)+1)))," "),"")</f>
        <v/>
      </c>
      <c r="U33" s="0" t="str">
        <f aca="false" t="array" ref="U33:U33">IFERROR(CONCATENATE(TEXT(INDEX($T$7:$T$22,SMALL(IF($W$7:$W$22&lt;&gt;"",IF($T$7:$T$22&lt;&gt;"",ROW($T$7:$T$22)-MIN(ROW($T$7:$T$22))+1,""),""),ROW()-ROW(A$25)+1)),"##0")," "),"")</f>
        <v/>
      </c>
      <c r="V33" s="0" t="str">
        <f aca="false" t="array" ref="V33:V33">IFERROR(CONCATENATE((INDEX($A$7:$A$22,SMALL(IF($W$7:$W$22&lt;&gt;"",IF($T$7:$T$22&lt;&gt;"",ROW($T$7:$T$22)-MIN(ROW($T$7:$T$22))+1,""),""),ROW()-ROW(A$25)+1))),),"")</f>
        <v/>
      </c>
    </row>
    <row r="34" customFormat="false" ht="15" hidden="false" customHeight="false" outlineLevel="0" collapsed="false">
      <c r="J34" s="0" t="str">
        <f aca="false" t="array" ref="J34:J34">IFERROR(CONCATENATE(TEXT(INDEX($J$7:$J$22,SMALL(IF($M$7:$M$22&lt;&gt;"",IF($J$7:$J$22&lt;&gt;"",ROW($J$7:$J$22)-MIN(ROW($J$7:$J$22))+1,""),""),ROW()-ROW(A$25)+1)),"##0"),","),"")</f>
        <v/>
      </c>
      <c r="K34" s="0" t="str">
        <f aca="false" t="array" ref="K34:K34">IFERROR(CONCATENATE((INDEX($M$7:$M$22,SMALL(IF($M$7:$M$22&lt;&gt;"",IF($J$7:$J$22&lt;&gt;"",ROW($J$7:$J$22)-MIN(ROW($J$7:$J$22))+1,""),""),ROW()-ROW(A$25)+1))),","),"")</f>
        <v/>
      </c>
      <c r="L34" s="0" t="str">
        <f aca="false" t="array" ref="L34:L34">IFERROR(CONCATENATE((INDEX($A$7:$A$22,SMALL(IF($M$7:$M$22&lt;&gt;"",IF($J$7:$J$22&lt;&gt;"",ROW($J$7:$J$22)-MIN(ROW($J$7:$J$22))+1,""),""),ROW()-ROW(A$25)+1))),),"")</f>
        <v/>
      </c>
      <c r="O34" s="0" t="str">
        <f aca="false" t="array" ref="O34:O34">IFERROR(CONCATENATE((INDEX($R$7:$R$22,SMALL(IF($R$7:$R$22&lt;&gt;"",IF($O$7:$O$22&lt;&gt;"",ROW($O$7:$O$22)-MIN(ROW($O$7:$O$22))+1,""),""),ROW()-ROW(A$25)+1)))," "),"")</f>
        <v/>
      </c>
      <c r="P34" s="0" t="str">
        <f aca="false" t="array" ref="P34:P34">IFERROR(CONCATENATE(TEXT(INDEX($O$7:$O$22,SMALL(IF($R$7:$R$22&lt;&gt;"",IF($O$7:$O$22&lt;&gt;"",ROW($O$7:$O$22)-MIN(ROW($O$7:$O$22))+1,""),""),ROW()-ROW(A$25)+1)),"##0")," "),"")</f>
        <v/>
      </c>
      <c r="Q34" s="0" t="str">
        <f aca="false" t="array" ref="Q34:Q34">IFERROR(CONCATENATE((INDEX($A$7:$A$22,SMALL(IF($R$7:$R$22&lt;&gt;"",IF($O$7:$O$22&lt;&gt;"",ROW($O$7:$O$22)-MIN(ROW($O$7:$O$22))+1,""),""),ROW()-ROW(A$25)+1))),),"")</f>
        <v/>
      </c>
      <c r="T34" s="0" t="str">
        <f aca="false" t="array" ref="T34:T34">IFERROR(CONCATENATE((INDEX($W$7:$W$22,SMALL(IF($W$7:$W$22&lt;&gt;"",IF($T$7:$T$22&lt;&gt;"",ROW($T$7:$T$22)-MIN(ROW($T$7:$T$22))+1,""),""),ROW()-ROW(A$25)+1)))," "),"")</f>
        <v/>
      </c>
      <c r="U34" s="0" t="str">
        <f aca="false" t="array" ref="U34:U34">IFERROR(CONCATENATE(TEXT(INDEX($T$7:$T$22,SMALL(IF($W$7:$W$22&lt;&gt;"",IF($T$7:$T$22&lt;&gt;"",ROW($T$7:$T$22)-MIN(ROW($T$7:$T$22))+1,""),""),ROW()-ROW(A$25)+1)),"##0")," "),"")</f>
        <v/>
      </c>
      <c r="V34" s="0" t="str">
        <f aca="false" t="array" ref="V34:V34">IFERROR(CONCATENATE((INDEX($A$7:$A$22,SMALL(IF($W$7:$W$22&lt;&gt;"",IF($T$7:$T$22&lt;&gt;"",ROW($T$7:$T$22)-MIN(ROW($T$7:$T$22))+1,""),""),ROW()-ROW(A$25)+1))),),"")</f>
        <v/>
      </c>
    </row>
    <row r="35" customFormat="false" ht="15" hidden="false" customHeight="false" outlineLevel="0" collapsed="false">
      <c r="J35" s="0" t="str">
        <f aca="false" t="array" ref="J35:J35">IFERROR(CONCATENATE(TEXT(INDEX($J$7:$J$22,SMALL(IF($M$7:$M$22&lt;&gt;"",IF($J$7:$J$22&lt;&gt;"",ROW($J$7:$J$22)-MIN(ROW($J$7:$J$22))+1,""),""),ROW()-ROW(A$25)+1)),"##0"),","),"")</f>
        <v/>
      </c>
      <c r="K35" s="0" t="str">
        <f aca="false" t="array" ref="K35:K35">IFERROR(CONCATENATE((INDEX($M$7:$M$22,SMALL(IF($M$7:$M$22&lt;&gt;"",IF($J$7:$J$22&lt;&gt;"",ROW($J$7:$J$22)-MIN(ROW($J$7:$J$22))+1,""),""),ROW()-ROW(A$25)+1))),","),"")</f>
        <v/>
      </c>
      <c r="L35" s="0" t="str">
        <f aca="false" t="array" ref="L35:L35">IFERROR(CONCATENATE((INDEX($A$7:$A$22,SMALL(IF($M$7:$M$22&lt;&gt;"",IF($J$7:$J$22&lt;&gt;"",ROW($J$7:$J$22)-MIN(ROW($J$7:$J$22))+1,""),""),ROW()-ROW(A$25)+1))),),"")</f>
        <v/>
      </c>
      <c r="O35" s="0" t="str">
        <f aca="false" t="array" ref="O35:O35">IFERROR(CONCATENATE((INDEX($R$7:$R$22,SMALL(IF($R$7:$R$22&lt;&gt;"",IF($O$7:$O$22&lt;&gt;"",ROW($O$7:$O$22)-MIN(ROW($O$7:$O$22))+1,""),""),ROW()-ROW(A$25)+1)))," "),"")</f>
        <v/>
      </c>
      <c r="P35" s="0" t="str">
        <f aca="false" t="array" ref="P35:P35">IFERROR(CONCATENATE(TEXT(INDEX($O$7:$O$22,SMALL(IF($R$7:$R$22&lt;&gt;"",IF($O$7:$O$22&lt;&gt;"",ROW($O$7:$O$22)-MIN(ROW($O$7:$O$22))+1,""),""),ROW()-ROW(A$25)+1)),"##0")," "),"")</f>
        <v/>
      </c>
      <c r="Q35" s="0" t="str">
        <f aca="false" t="array" ref="Q35:Q35">IFERROR(CONCATENATE((INDEX($A$7:$A$22,SMALL(IF($R$7:$R$22&lt;&gt;"",IF($O$7:$O$22&lt;&gt;"",ROW($O$7:$O$22)-MIN(ROW($O$7:$O$22))+1,""),""),ROW()-ROW(A$25)+1))),),"")</f>
        <v/>
      </c>
      <c r="T35" s="0" t="str">
        <f aca="false" t="array" ref="T35:T35">IFERROR(CONCATENATE((INDEX($W$7:$W$22,SMALL(IF($W$7:$W$22&lt;&gt;"",IF($T$7:$T$22&lt;&gt;"",ROW($T$7:$T$22)-MIN(ROW($T$7:$T$22))+1,""),""),ROW()-ROW(A$25)+1)))," "),"")</f>
        <v/>
      </c>
      <c r="U35" s="0" t="str">
        <f aca="false" t="array" ref="U35:U35">IFERROR(CONCATENATE(TEXT(INDEX($T$7:$T$22,SMALL(IF($W$7:$W$22&lt;&gt;"",IF($T$7:$T$22&lt;&gt;"",ROW($T$7:$T$22)-MIN(ROW($T$7:$T$22))+1,""),""),ROW()-ROW(A$25)+1)),"##0")," "),"")</f>
        <v/>
      </c>
      <c r="V35" s="0" t="str">
        <f aca="false" t="array" ref="V35:V35">IFERROR(CONCATENATE((INDEX($A$7:$A$22,SMALL(IF($W$7:$W$22&lt;&gt;"",IF($T$7:$T$22&lt;&gt;"",ROW($T$7:$T$22)-MIN(ROW($T$7:$T$22))+1,""),""),ROW()-ROW(A$25)+1))),),"")</f>
        <v/>
      </c>
    </row>
    <row r="36" customFormat="false" ht="15" hidden="false" customHeight="false" outlineLevel="0" collapsed="false">
      <c r="J36" s="0" t="str">
        <f aca="false" t="array" ref="J36:J36">IFERROR(CONCATENATE(TEXT(INDEX($J$7:$J$22,SMALL(IF($M$7:$M$22&lt;&gt;"",IF($J$7:$J$22&lt;&gt;"",ROW($J$7:$J$22)-MIN(ROW($J$7:$J$22))+1,""),""),ROW()-ROW(A$25)+1)),"##0"),","),"")</f>
        <v/>
      </c>
      <c r="K36" s="0" t="str">
        <f aca="false" t="array" ref="K36:K36">IFERROR(CONCATENATE((INDEX($M$7:$M$22,SMALL(IF($M$7:$M$22&lt;&gt;"",IF($J$7:$J$22&lt;&gt;"",ROW($J$7:$J$22)-MIN(ROW($J$7:$J$22))+1,""),""),ROW()-ROW(A$25)+1))),","),"")</f>
        <v/>
      </c>
      <c r="L36" s="0" t="str">
        <f aca="false" t="array" ref="L36:L36">IFERROR(CONCATENATE((INDEX($A$7:$A$22,SMALL(IF($M$7:$M$22&lt;&gt;"",IF($J$7:$J$22&lt;&gt;"",ROW($J$7:$J$22)-MIN(ROW($J$7:$J$22))+1,""),""),ROW()-ROW(A$25)+1))),),"")</f>
        <v/>
      </c>
      <c r="O36" s="0" t="str">
        <f aca="false" t="array" ref="O36:O36">IFERROR(CONCATENATE((INDEX($R$7:$R$22,SMALL(IF($R$7:$R$22&lt;&gt;"",IF($O$7:$O$22&lt;&gt;"",ROW($O$7:$O$22)-MIN(ROW($O$7:$O$22))+1,""),""),ROW()-ROW(A$25)+1)))," "),"")</f>
        <v/>
      </c>
      <c r="P36" s="0" t="str">
        <f aca="false" t="array" ref="P36:P36">IFERROR(CONCATENATE(TEXT(INDEX($O$7:$O$22,SMALL(IF($R$7:$R$22&lt;&gt;"",IF($O$7:$O$22&lt;&gt;"",ROW($O$7:$O$22)-MIN(ROW($O$7:$O$22))+1,""),""),ROW()-ROW(A$25)+1)),"##0")," "),"")</f>
        <v/>
      </c>
      <c r="Q36" s="0" t="str">
        <f aca="false" t="array" ref="Q36:Q36">IFERROR(CONCATENATE((INDEX($A$7:$A$22,SMALL(IF($R$7:$R$22&lt;&gt;"",IF($O$7:$O$22&lt;&gt;"",ROW($O$7:$O$22)-MIN(ROW($O$7:$O$22))+1,""),""),ROW()-ROW(A$25)+1))),),"")</f>
        <v/>
      </c>
      <c r="T36" s="0" t="str">
        <f aca="false" t="array" ref="T36:T36">IFERROR(CONCATENATE((INDEX($W$7:$W$22,SMALL(IF($W$7:$W$22&lt;&gt;"",IF($T$7:$T$22&lt;&gt;"",ROW($T$7:$T$22)-MIN(ROW($T$7:$T$22))+1,""),""),ROW()-ROW(A$25)+1)))," "),"")</f>
        <v/>
      </c>
      <c r="U36" s="0" t="str">
        <f aca="false" t="array" ref="U36:U36">IFERROR(CONCATENATE(TEXT(INDEX($T$7:$T$22,SMALL(IF($W$7:$W$22&lt;&gt;"",IF($T$7:$T$22&lt;&gt;"",ROW($T$7:$T$22)-MIN(ROW($T$7:$T$22))+1,""),""),ROW()-ROW(A$25)+1)),"##0")," "),"")</f>
        <v/>
      </c>
      <c r="V36" s="0" t="str">
        <f aca="false" t="array" ref="V36:V36">IFERROR(CONCATENATE((INDEX($A$7:$A$22,SMALL(IF($W$7:$W$22&lt;&gt;"",IF($T$7:$T$22&lt;&gt;"",ROW($T$7:$T$22)-MIN(ROW($T$7:$T$22))+1,""),""),ROW()-ROW(A$25)+1))),),"")</f>
        <v/>
      </c>
    </row>
    <row r="37" customFormat="false" ht="15" hidden="false" customHeight="false" outlineLevel="0" collapsed="false">
      <c r="J37" s="0" t="str">
        <f aca="false" t="array" ref="J37:J37">IFERROR(CONCATENATE(TEXT(INDEX($J$7:$J$22,SMALL(IF($M$7:$M$22&lt;&gt;"",IF($J$7:$J$22&lt;&gt;"",ROW($J$7:$J$22)-MIN(ROW($J$7:$J$22))+1,""),""),ROW()-ROW(A$25)+1)),"##0"),","),"")</f>
        <v/>
      </c>
      <c r="K37" s="0" t="str">
        <f aca="false" t="array" ref="K37:K37">IFERROR(CONCATENATE((INDEX($M$7:$M$22,SMALL(IF($M$7:$M$22&lt;&gt;"",IF($J$7:$J$22&lt;&gt;"",ROW($J$7:$J$22)-MIN(ROW($J$7:$J$22))+1,""),""),ROW()-ROW(A$25)+1))),","),"")</f>
        <v/>
      </c>
      <c r="L37" s="0" t="str">
        <f aca="false" t="array" ref="L37:L37">IFERROR(CONCATENATE((INDEX($A$7:$A$22,SMALL(IF($M$7:$M$22&lt;&gt;"",IF($J$7:$J$22&lt;&gt;"",ROW($J$7:$J$22)-MIN(ROW($J$7:$J$22))+1,""),""),ROW()-ROW(A$25)+1))),),"")</f>
        <v/>
      </c>
      <c r="O37" s="0" t="str">
        <f aca="false" t="array" ref="O37:O37">IFERROR(CONCATENATE((INDEX($R$7:$R$22,SMALL(IF($R$7:$R$22&lt;&gt;"",IF($O$7:$O$22&lt;&gt;"",ROW($O$7:$O$22)-MIN(ROW($O$7:$O$22))+1,""),""),ROW()-ROW(A$25)+1)))," "),"")</f>
        <v/>
      </c>
      <c r="P37" s="0" t="str">
        <f aca="false" t="array" ref="P37:P37">IFERROR(CONCATENATE(TEXT(INDEX($O$7:$O$22,SMALL(IF($R$7:$R$22&lt;&gt;"",IF($O$7:$O$22&lt;&gt;"",ROW($O$7:$O$22)-MIN(ROW($O$7:$O$22))+1,""),""),ROW()-ROW(A$25)+1)),"##0")," "),"")</f>
        <v/>
      </c>
      <c r="Q37" s="0" t="str">
        <f aca="false" t="array" ref="Q37:Q37">IFERROR(CONCATENATE((INDEX($A$7:$A$22,SMALL(IF($R$7:$R$22&lt;&gt;"",IF($O$7:$O$22&lt;&gt;"",ROW($O$7:$O$22)-MIN(ROW($O$7:$O$22))+1,""),""),ROW()-ROW(A$25)+1))),),"")</f>
        <v/>
      </c>
      <c r="T37" s="0" t="str">
        <f aca="false" t="array" ref="T37:T37">IFERROR(CONCATENATE((INDEX($W$7:$W$22,SMALL(IF($W$7:$W$22&lt;&gt;"",IF($T$7:$T$22&lt;&gt;"",ROW($T$7:$T$22)-MIN(ROW($T$7:$T$22))+1,""),""),ROW()-ROW(A$25)+1)))," "),"")</f>
        <v/>
      </c>
      <c r="U37" s="0" t="str">
        <f aca="false" t="array" ref="U37:U37">IFERROR(CONCATENATE(TEXT(INDEX($T$7:$T$22,SMALL(IF($W$7:$W$22&lt;&gt;"",IF($T$7:$T$22&lt;&gt;"",ROW($T$7:$T$22)-MIN(ROW($T$7:$T$22))+1,""),""),ROW()-ROW(A$25)+1)),"##0")," "),"")</f>
        <v/>
      </c>
      <c r="V37" s="0" t="str">
        <f aca="false" t="array" ref="V37:V37">IFERROR(CONCATENATE((INDEX($A$7:$A$22,SMALL(IF($W$7:$W$22&lt;&gt;"",IF($T$7:$T$22&lt;&gt;"",ROW($T$7:$T$22)-MIN(ROW($T$7:$T$22))+1,""),""),ROW()-ROW(A$25)+1))),),"")</f>
        <v/>
      </c>
    </row>
    <row r="38" customFormat="false" ht="15" hidden="false" customHeight="false" outlineLevel="0" collapsed="false">
      <c r="J38" s="0" t="str">
        <f aca="false" t="array" ref="J38:J38">IFERROR(CONCATENATE(TEXT(INDEX($J$7:$J$22,SMALL(IF($M$7:$M$22&lt;&gt;"",IF($J$7:$J$22&lt;&gt;"",ROW($J$7:$J$22)-MIN(ROW($J$7:$J$22))+1,""),""),ROW()-ROW(A$25)+1)),"##0"),","),"")</f>
        <v/>
      </c>
      <c r="K38" s="0" t="str">
        <f aca="false" t="array" ref="K38:K38">IFERROR(CONCATENATE((INDEX($M$7:$M$22,SMALL(IF($M$7:$M$22&lt;&gt;"",IF($J$7:$J$22&lt;&gt;"",ROW($J$7:$J$22)-MIN(ROW($J$7:$J$22))+1,""),""),ROW()-ROW(A$25)+1))),","),"")</f>
        <v/>
      </c>
      <c r="L38" s="0" t="str">
        <f aca="false" t="array" ref="L38:L38">IFERROR(CONCATENATE((INDEX($A$7:$A$22,SMALL(IF($M$7:$M$22&lt;&gt;"",IF($J$7:$J$22&lt;&gt;"",ROW($J$7:$J$22)-MIN(ROW($J$7:$J$22))+1,""),""),ROW()-ROW(A$25)+1))),),"")</f>
        <v/>
      </c>
      <c r="O38" s="0" t="str">
        <f aca="false" t="array" ref="O38:O38">IFERROR(CONCATENATE((INDEX($R$7:$R$22,SMALL(IF($R$7:$R$22&lt;&gt;"",IF($O$7:$O$22&lt;&gt;"",ROW($O$7:$O$22)-MIN(ROW($O$7:$O$22))+1,""),""),ROW()-ROW(A$25)+1)))," "),"")</f>
        <v/>
      </c>
      <c r="P38" s="0" t="str">
        <f aca="false" t="array" ref="P38:P38">IFERROR(CONCATENATE(TEXT(INDEX($O$7:$O$22,SMALL(IF($R$7:$R$22&lt;&gt;"",IF($O$7:$O$22&lt;&gt;"",ROW($O$7:$O$22)-MIN(ROW($O$7:$O$22))+1,""),""),ROW()-ROW(A$25)+1)),"##0")," "),"")</f>
        <v/>
      </c>
      <c r="Q38" s="0" t="str">
        <f aca="false" t="array" ref="Q38:Q38">IFERROR(CONCATENATE((INDEX($A$7:$A$22,SMALL(IF($R$7:$R$22&lt;&gt;"",IF($O$7:$O$22&lt;&gt;"",ROW($O$7:$O$22)-MIN(ROW($O$7:$O$22))+1,""),""),ROW()-ROW(A$25)+1))),),"")</f>
        <v/>
      </c>
      <c r="T38" s="0" t="str">
        <f aca="false" t="array" ref="T38:T38">IFERROR(CONCATENATE((INDEX($W$7:$W$22,SMALL(IF($W$7:$W$22&lt;&gt;"",IF($T$7:$T$22&lt;&gt;"",ROW($T$7:$T$22)-MIN(ROW($T$7:$T$22))+1,""),""),ROW()-ROW(A$25)+1)))," "),"")</f>
        <v/>
      </c>
      <c r="U38" s="0" t="str">
        <f aca="false" t="array" ref="U38:U38">IFERROR(CONCATENATE(TEXT(INDEX($T$7:$T$22,SMALL(IF($W$7:$W$22&lt;&gt;"",IF($T$7:$T$22&lt;&gt;"",ROW($T$7:$T$22)-MIN(ROW($T$7:$T$22))+1,""),""),ROW()-ROW(A$25)+1)),"##0")," "),"")</f>
        <v/>
      </c>
      <c r="V38" s="0" t="str">
        <f aca="false" t="array" ref="V38:V38">IFERROR(CONCATENATE((INDEX($A$7:$A$22,SMALL(IF($W$7:$W$22&lt;&gt;"",IF($T$7:$T$22&lt;&gt;"",ROW($T$7:$T$22)-MIN(ROW($T$7:$T$22))+1,""),""),ROW()-ROW(A$25)+1))),),"")</f>
        <v/>
      </c>
    </row>
    <row r="39" customFormat="false" ht="15" hidden="false" customHeight="false" outlineLevel="0" collapsed="false">
      <c r="J39" s="0" t="str">
        <f aca="false" t="array" ref="J39:J39">IFERROR(CONCATENATE(TEXT(INDEX($J$7:$J$22,SMALL(IF($M$7:$M$22&lt;&gt;"",IF($J$7:$J$22&lt;&gt;"",ROW($J$7:$J$22)-MIN(ROW($J$7:$J$22))+1,""),""),ROW()-ROW(A$25)+1)),"##0"),","),"")</f>
        <v/>
      </c>
      <c r="K39" s="0" t="str">
        <f aca="false" t="array" ref="K39:K39">IFERROR(CONCATENATE((INDEX($M$7:$M$22,SMALL(IF($M$7:$M$22&lt;&gt;"",IF($J$7:$J$22&lt;&gt;"",ROW($J$7:$J$22)-MIN(ROW($J$7:$J$22))+1,""),""),ROW()-ROW(A$25)+1))),","),"")</f>
        <v/>
      </c>
      <c r="L39" s="0" t="str">
        <f aca="false" t="array" ref="L39:L39">IFERROR(CONCATENATE((INDEX($A$7:$A$22,SMALL(IF($M$7:$M$22&lt;&gt;"",IF($J$7:$J$22&lt;&gt;"",ROW($J$7:$J$22)-MIN(ROW($J$7:$J$22))+1,""),""),ROW()-ROW(A$25)+1))),),"")</f>
        <v/>
      </c>
      <c r="O39" s="0" t="str">
        <f aca="false" t="array" ref="O39:O39">IFERROR(CONCATENATE((INDEX($R$7:$R$22,SMALL(IF($R$7:$R$22&lt;&gt;"",IF($O$7:$O$22&lt;&gt;"",ROW($O$7:$O$22)-MIN(ROW($O$7:$O$22))+1,""),""),ROW()-ROW(A$25)+1)))," "),"")</f>
        <v/>
      </c>
      <c r="P39" s="0" t="str">
        <f aca="false" t="array" ref="P39:P39">IFERROR(CONCATENATE(TEXT(INDEX($O$7:$O$22,SMALL(IF($R$7:$R$22&lt;&gt;"",IF($O$7:$O$22&lt;&gt;"",ROW($O$7:$O$22)-MIN(ROW($O$7:$O$22))+1,""),""),ROW()-ROW(A$25)+1)),"##0")," "),"")</f>
        <v/>
      </c>
      <c r="Q39" s="0" t="str">
        <f aca="false" t="array" ref="Q39:Q39">IFERROR(CONCATENATE((INDEX($A$7:$A$22,SMALL(IF($R$7:$R$22&lt;&gt;"",IF($O$7:$O$22&lt;&gt;"",ROW($O$7:$O$22)-MIN(ROW($O$7:$O$22))+1,""),""),ROW()-ROW(A$25)+1))),),"")</f>
        <v/>
      </c>
      <c r="T39" s="0" t="str">
        <f aca="false" t="array" ref="T39:T39">IFERROR(CONCATENATE((INDEX($W$7:$W$22,SMALL(IF($W$7:$W$22&lt;&gt;"",IF($T$7:$T$22&lt;&gt;"",ROW($T$7:$T$22)-MIN(ROW($T$7:$T$22))+1,""),""),ROW()-ROW(A$25)+1)))," "),"")</f>
        <v/>
      </c>
      <c r="U39" s="0" t="str">
        <f aca="false" t="array" ref="U39:U39">IFERROR(CONCATENATE(TEXT(INDEX($T$7:$T$22,SMALL(IF($W$7:$W$22&lt;&gt;"",IF($T$7:$T$22&lt;&gt;"",ROW($T$7:$T$22)-MIN(ROW($T$7:$T$22))+1,""),""),ROW()-ROW(A$25)+1)),"##0")," "),"")</f>
        <v/>
      </c>
      <c r="V39" s="0" t="str">
        <f aca="false" t="array" ref="V39:V39">IFERROR(CONCATENATE((INDEX($A$7:$A$22,SMALL(IF($W$7:$W$22&lt;&gt;"",IF($T$7:$T$22&lt;&gt;"",ROW($T$7:$T$22)-MIN(ROW($T$7:$T$22))+1,""),""),ROW()-ROW(A$25)+1))),),"")</f>
        <v/>
      </c>
    </row>
    <row r="40" customFormat="false" ht="15" hidden="false" customHeight="false" outlineLevel="0" collapsed="false">
      <c r="J40" s="0" t="str">
        <f aca="false" t="array" ref="J40:J40">IFERROR(CONCATENATE(TEXT(INDEX($J$7:$J$22,SMALL(IF($M$7:$M$22&lt;&gt;"",IF($J$7:$J$22&lt;&gt;"",ROW($J$7:$J$22)-MIN(ROW($J$7:$J$22))+1,""),""),ROW()-ROW(A$25)+1)),"##0"),","),"")</f>
        <v/>
      </c>
      <c r="K40" s="0" t="str">
        <f aca="false" t="array" ref="K40:K40">IFERROR(CONCATENATE((INDEX($M$7:$M$22,SMALL(IF($M$7:$M$22&lt;&gt;"",IF($J$7:$J$22&lt;&gt;"",ROW($J$7:$J$22)-MIN(ROW($J$7:$J$22))+1,""),""),ROW()-ROW(A$25)+1))),","),"")</f>
        <v/>
      </c>
      <c r="L40" s="0" t="str">
        <f aca="false" t="array" ref="L40:L40">IFERROR(CONCATENATE((INDEX($A$7:$A$22,SMALL(IF($M$7:$M$22&lt;&gt;"",IF($J$7:$J$22&lt;&gt;"",ROW($J$7:$J$22)-MIN(ROW($J$7:$J$22))+1,""),""),ROW()-ROW(A$25)+1))),),"")</f>
        <v/>
      </c>
      <c r="O40" s="0" t="str">
        <f aca="false" t="array" ref="O40:O40">IFERROR(CONCATENATE((INDEX($R$7:$R$22,SMALL(IF($R$7:$R$22&lt;&gt;"",IF($O$7:$O$22&lt;&gt;"",ROW($O$7:$O$22)-MIN(ROW($O$7:$O$22))+1,""),""),ROW()-ROW(A$25)+1)))," "),"")</f>
        <v/>
      </c>
      <c r="P40" s="0" t="str">
        <f aca="false" t="array" ref="P40:P40">IFERROR(CONCATENATE(TEXT(INDEX($O$7:$O$22,SMALL(IF($R$7:$R$22&lt;&gt;"",IF($O$7:$O$22&lt;&gt;"",ROW($O$7:$O$22)-MIN(ROW($O$7:$O$22))+1,""),""),ROW()-ROW(A$25)+1)),"##0")," "),"")</f>
        <v/>
      </c>
      <c r="Q40" s="0" t="str">
        <f aca="false" t="array" ref="Q40:Q40">IFERROR(CONCATENATE((INDEX($A$7:$A$22,SMALL(IF($R$7:$R$22&lt;&gt;"",IF($O$7:$O$22&lt;&gt;"",ROW($O$7:$O$22)-MIN(ROW($O$7:$O$22))+1,""),""),ROW()-ROW(A$25)+1))),),"")</f>
        <v/>
      </c>
      <c r="T40" s="0" t="str">
        <f aca="false" t="array" ref="T40:T40">IFERROR(CONCATENATE((INDEX($W$7:$W$22,SMALL(IF($W$7:$W$22&lt;&gt;"",IF($T$7:$T$22&lt;&gt;"",ROW($T$7:$T$22)-MIN(ROW($T$7:$T$22))+1,""),""),ROW()-ROW(A$25)+1)))," "),"")</f>
        <v/>
      </c>
      <c r="U40" s="0" t="str">
        <f aca="false" t="array" ref="U40:U40">IFERROR(CONCATENATE(TEXT(INDEX($T$7:$T$22,SMALL(IF($W$7:$W$22&lt;&gt;"",IF($T$7:$T$22&lt;&gt;"",ROW($T$7:$T$22)-MIN(ROW($T$7:$T$22))+1,""),""),ROW()-ROW(A$25)+1)),"##0")," "),"")</f>
        <v/>
      </c>
      <c r="V40" s="0" t="str">
        <f aca="false" t="array" ref="V40:V40">IFERROR(CONCATENATE((INDEX($A$7:$A$22,SMALL(IF($W$7:$W$22&lt;&gt;"",IF($T$7:$T$22&lt;&gt;"",ROW($T$7:$T$22)-MIN(ROW($T$7:$T$22))+1,""),""),ROW()-ROW(A$25)+1))),),"")</f>
        <v/>
      </c>
    </row>
  </sheetData>
  <mergeCells count="4">
    <mergeCell ref="A5:H5"/>
    <mergeCell ref="I5:M5"/>
    <mergeCell ref="N5:R5"/>
    <mergeCell ref="S5:W5"/>
  </mergeCells>
  <conditionalFormatting sqref="F10">
    <cfRule type="expression" priority="2" aboveAverage="0" equalAverage="0" bottom="0" percent="0" rank="0" text="" dxfId="0">
      <formula>AND(ISBLANK(E10),ISBLANK(INDIRECT(ADDRESS(ROW(),COLUMN(digikey_part_data)+4))),ISBLANK(INDIRECT(ADDRESS(ROW(),COLUMN(rs_part_data)+4))),ISBLANK(INDIRECT(ADDRESS(ROW(),COLUMN(mouser_part_data)+4))))</formula>
    </cfRule>
    <cfRule type="expression" priority="3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4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1">
    <cfRule type="expression" priority="6" aboveAverage="0" equalAverage="0" bottom="0" percent="0" rank="0" text="" dxfId="0">
      <formula>AND(ISBLANK(E11),ISBLANK(INDIRECT(ADDRESS(ROW(),COLUMN(digikey_part_data)+4))),ISBLANK(INDIRECT(ADDRESS(ROW(),COLUMN(rs_part_data)+4))),ISBLANK(INDIRECT(ADDRESS(ROW(),COLUMN(mouser_part_data)+4))))</formula>
    </cfRule>
    <cfRule type="expression" priority="7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8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2">
    <cfRule type="expression" priority="10" aboveAverage="0" equalAverage="0" bottom="0" percent="0" rank="0" text="" dxfId="0">
      <formula>AND(ISBLANK(E12),ISBLANK(INDIRECT(ADDRESS(ROW(),COLUMN(digikey_part_data)+4))),ISBLANK(INDIRECT(ADDRESS(ROW(),COLUMN(rs_part_data)+4))),ISBLANK(INDIRECT(ADDRESS(ROW(),COLUMN(mouser_part_data)+4))))</formula>
    </cfRule>
    <cfRule type="expression" priority="11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12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1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3">
    <cfRule type="expression" priority="14" aboveAverage="0" equalAverage="0" bottom="0" percent="0" rank="0" text="" dxfId="0">
      <formula>AND(ISBLANK(E13),ISBLANK(INDIRECT(ADDRESS(ROW(),COLUMN(digikey_part_data)+4))),ISBLANK(INDIRECT(ADDRESS(ROW(),COLUMN(rs_part_data)+4))),ISBLANK(INDIRECT(ADDRESS(ROW(),COLUMN(mouser_part_data)+4))))</formula>
    </cfRule>
    <cfRule type="expression" priority="15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16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1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4">
    <cfRule type="expression" priority="18" aboveAverage="0" equalAverage="0" bottom="0" percent="0" rank="0" text="" dxfId="0">
      <formula>AND(ISBLANK(E14),ISBLANK(INDIRECT(ADDRESS(ROW(),COLUMN(digikey_part_data)+4))),ISBLANK(INDIRECT(ADDRESS(ROW(),COLUMN(rs_part_data)+4))),ISBLANK(INDIRECT(ADDRESS(ROW(),COLUMN(mouser_part_data)+4))))</formula>
    </cfRule>
    <cfRule type="expression" priority="19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20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2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5">
    <cfRule type="expression" priority="22" aboveAverage="0" equalAverage="0" bottom="0" percent="0" rank="0" text="" dxfId="0">
      <formula>AND(ISBLANK(E15),ISBLANK(INDIRECT(ADDRESS(ROW(),COLUMN(digikey_part_data)+4))),ISBLANK(INDIRECT(ADDRESS(ROW(),COLUMN(rs_part_data)+4))),ISBLANK(INDIRECT(ADDRESS(ROW(),COLUMN(mouser_part_data)+4))))</formula>
    </cfRule>
    <cfRule type="expression" priority="23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24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2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6">
    <cfRule type="expression" priority="26" aboveAverage="0" equalAverage="0" bottom="0" percent="0" rank="0" text="" dxfId="0">
      <formula>AND(ISBLANK(E16),ISBLANK(INDIRECT(ADDRESS(ROW(),COLUMN(digikey_part_data)+4))),ISBLANK(INDIRECT(ADDRESS(ROW(),COLUMN(rs_part_data)+4))),ISBLANK(INDIRECT(ADDRESS(ROW(),COLUMN(mouser_part_data)+4))))</formula>
    </cfRule>
    <cfRule type="expression" priority="27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28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2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7">
    <cfRule type="expression" priority="30" aboveAverage="0" equalAverage="0" bottom="0" percent="0" rank="0" text="" dxfId="0">
      <formula>AND(ISBLANK(E17),ISBLANK(INDIRECT(ADDRESS(ROW(),COLUMN(digikey_part_data)+4))),ISBLANK(INDIRECT(ADDRESS(ROW(),COLUMN(rs_part_data)+4))),ISBLANK(INDIRECT(ADDRESS(ROW(),COLUMN(mouser_part_data)+4))))</formula>
    </cfRule>
    <cfRule type="expression" priority="31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32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3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8">
    <cfRule type="expression" priority="34" aboveAverage="0" equalAverage="0" bottom="0" percent="0" rank="0" text="" dxfId="0">
      <formula>AND(ISBLANK(E18),ISBLANK(INDIRECT(ADDRESS(ROW(),COLUMN(digikey_part_data)+4))),ISBLANK(INDIRECT(ADDRESS(ROW(),COLUMN(rs_part_data)+4))),ISBLANK(INDIRECT(ADDRESS(ROW(),COLUMN(mouser_part_data)+4))))</formula>
    </cfRule>
    <cfRule type="expression" priority="35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36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3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19">
    <cfRule type="expression" priority="38" aboveAverage="0" equalAverage="0" bottom="0" percent="0" rank="0" text="" dxfId="0">
      <formula>AND(ISBLANK(E19),ISBLANK(INDIRECT(ADDRESS(ROW(),COLUMN(digikey_part_data)+4))),ISBLANK(INDIRECT(ADDRESS(ROW(),COLUMN(rs_part_data)+4))),ISBLANK(INDIRECT(ADDRESS(ROW(),COLUMN(mouser_part_data)+4))))</formula>
    </cfRule>
    <cfRule type="expression" priority="39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40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4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20">
    <cfRule type="expression" priority="42" aboveAverage="0" equalAverage="0" bottom="0" percent="0" rank="0" text="" dxfId="0">
      <formula>AND(ISBLANK(E20),ISBLANK(INDIRECT(ADDRESS(ROW(),COLUMN(digikey_part_data)+4))),ISBLANK(INDIRECT(ADDRESS(ROW(),COLUMN(rs_part_data)+4))),ISBLANK(INDIRECT(ADDRESS(ROW(),COLUMN(mouser_part_data)+4))))</formula>
    </cfRule>
    <cfRule type="expression" priority="43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44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4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21">
    <cfRule type="expression" priority="46" aboveAverage="0" equalAverage="0" bottom="0" percent="0" rank="0" text="" dxfId="0">
      <formula>AND(ISBLANK(E21),ISBLANK(INDIRECT(ADDRESS(ROW(),COLUMN(digikey_part_data)+4))),ISBLANK(INDIRECT(ADDRESS(ROW(),COLUMN(rs_part_data)+4))),ISBLANK(INDIRECT(ADDRESS(ROW(),COLUMN(mouser_part_data)+4))))</formula>
    </cfRule>
    <cfRule type="expression" priority="47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48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4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22">
    <cfRule type="expression" priority="50" aboveAverage="0" equalAverage="0" bottom="0" percent="0" rank="0" text="" dxfId="0">
      <formula>AND(ISBLANK(E22),ISBLANK(INDIRECT(ADDRESS(ROW(),COLUMN(digikey_part_data)+4))),ISBLANK(INDIRECT(ADDRESS(ROW(),COLUMN(rs_part_data)+4))),ISBLANK(INDIRECT(ADDRESS(ROW(),COLUMN(mouser_part_data)+4))))</formula>
    </cfRule>
    <cfRule type="expression" priority="51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52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5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7">
    <cfRule type="expression" priority="54" aboveAverage="0" equalAverage="0" bottom="0" percent="0" rank="0" text="" dxfId="0">
      <formula>AND(ISBLANK(E7),ISBLANK(INDIRECT(ADDRESS(ROW(),COLUMN(digikey_part_data)+4))),ISBLANK(INDIRECT(ADDRESS(ROW(),COLUMN(rs_part_data)+4))),ISBLANK(INDIRECT(ADDRESS(ROW(),COLUMN(mouser_part_data)+4))))</formula>
    </cfRule>
    <cfRule type="expression" priority="55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56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5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8">
    <cfRule type="expression" priority="58" aboveAverage="0" equalAverage="0" bottom="0" percent="0" rank="0" text="" dxfId="0">
      <formula>AND(ISBLANK(E8),ISBLANK(INDIRECT(ADDRESS(ROW(),COLUMN(digikey_part_data)+4))),ISBLANK(INDIRECT(ADDRESS(ROW(),COLUMN(rs_part_data)+4))),ISBLANK(INDIRECT(ADDRESS(ROW(),COLUMN(mouser_part_data)+4))))</formula>
    </cfRule>
    <cfRule type="expression" priority="59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60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6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F9">
    <cfRule type="expression" priority="62" aboveAverage="0" equalAverage="0" bottom="0" percent="0" rank="0" text="" dxfId="0">
      <formula>AND(ISBLANK(E9),ISBLANK(INDIRECT(ADDRESS(ROW(),COLUMN(digikey_part_data)+4))),ISBLANK(INDIRECT(ADDRESS(ROW(),COLUMN(rs_part_data)+4))),ISBLANK(INDIRECT(ADDRESS(ROW(),COLUMN(mouser_part_data)+4))))</formula>
    </cfRule>
    <cfRule type="expression" priority="63" aboveAverage="0" equalAverage="0" bottom="0" percent="0" rank="0" text="" dxfId="0">
      <formula>IF(SUM(INDIRECT(ADDRESS(ROW(),COLUMN(digikey_part_data)+0)),INDIRECT(ADDRESS(ROW(),COLUMN(rs_part_data)+0)),INDIRECT(ADDRESS(ROW(),COLUMN(mouser_part_data)+0)))=0,1,0)</formula>
    </cfRule>
    <cfRule type="cellIs" priority="64" operator="greaterThan" aboveAverage="0" equalAverage="0" bottom="0" percent="0" rank="0" text="" dxfId="1">
      <formula>SUM(INDIRECT(ADDRESS(ROW(),COLUMN(digikey_part_data)+0)),INDIRECT(ADDRESS(ROW(),COLUMN(rs_part_data)+0)),INDIRECT(ADDRESS(ROW(),COLUMN(mouser_part_data)+0)))</formula>
    </cfRule>
    <cfRule type="cellIs" priority="6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I10">
    <cfRule type="cellIs" priority="66" operator="equal" aboveAverage="0" equalAverage="0" bottom="0" percent="0" rank="0" text="" dxfId="0">
      <formula>0</formula>
    </cfRule>
    <cfRule type="cellIs" priority="67" operator="lessThan" aboveAverage="0" equalAverage="0" bottom="0" percent="0" rank="0" text="" dxfId="1">
      <formula>F10</formula>
    </cfRule>
  </conditionalFormatting>
  <conditionalFormatting sqref="I11">
    <cfRule type="cellIs" priority="68" operator="equal" aboveAverage="0" equalAverage="0" bottom="0" percent="0" rank="0" text="" dxfId="0">
      <formula>0</formula>
    </cfRule>
    <cfRule type="cellIs" priority="69" operator="lessThan" aboveAverage="0" equalAverage="0" bottom="0" percent="0" rank="0" text="" dxfId="1">
      <formula>F11</formula>
    </cfRule>
  </conditionalFormatting>
  <conditionalFormatting sqref="I12">
    <cfRule type="cellIs" priority="70" operator="equal" aboveAverage="0" equalAverage="0" bottom="0" percent="0" rank="0" text="" dxfId="0">
      <formula>0</formula>
    </cfRule>
    <cfRule type="cellIs" priority="71" operator="lessThan" aboveAverage="0" equalAverage="0" bottom="0" percent="0" rank="0" text="" dxfId="1">
      <formula>F12</formula>
    </cfRule>
  </conditionalFormatting>
  <conditionalFormatting sqref="I13">
    <cfRule type="cellIs" priority="72" operator="equal" aboveAverage="0" equalAverage="0" bottom="0" percent="0" rank="0" text="" dxfId="0">
      <formula>0</formula>
    </cfRule>
    <cfRule type="cellIs" priority="73" operator="lessThan" aboveAverage="0" equalAverage="0" bottom="0" percent="0" rank="0" text="" dxfId="1">
      <formula>F13</formula>
    </cfRule>
  </conditionalFormatting>
  <conditionalFormatting sqref="I14">
    <cfRule type="cellIs" priority="74" operator="equal" aboveAverage="0" equalAverage="0" bottom="0" percent="0" rank="0" text="" dxfId="0">
      <formula>0</formula>
    </cfRule>
    <cfRule type="cellIs" priority="75" operator="lessThan" aboveAverage="0" equalAverage="0" bottom="0" percent="0" rank="0" text="" dxfId="1">
      <formula>F14</formula>
    </cfRule>
  </conditionalFormatting>
  <conditionalFormatting sqref="I15">
    <cfRule type="cellIs" priority="76" operator="equal" aboveAverage="0" equalAverage="0" bottom="0" percent="0" rank="0" text="" dxfId="0">
      <formula>0</formula>
    </cfRule>
    <cfRule type="cellIs" priority="77" operator="lessThan" aboveAverage="0" equalAverage="0" bottom="0" percent="0" rank="0" text="" dxfId="1">
      <formula>F15</formula>
    </cfRule>
  </conditionalFormatting>
  <conditionalFormatting sqref="I16">
    <cfRule type="cellIs" priority="78" operator="equal" aboveAverage="0" equalAverage="0" bottom="0" percent="0" rank="0" text="" dxfId="0">
      <formula>0</formula>
    </cfRule>
    <cfRule type="cellIs" priority="79" operator="lessThan" aboveAverage="0" equalAverage="0" bottom="0" percent="0" rank="0" text="" dxfId="1">
      <formula>F16</formula>
    </cfRule>
  </conditionalFormatting>
  <conditionalFormatting sqref="I17">
    <cfRule type="cellIs" priority="80" operator="equal" aboveAverage="0" equalAverage="0" bottom="0" percent="0" rank="0" text="" dxfId="0">
      <formula>0</formula>
    </cfRule>
    <cfRule type="cellIs" priority="81" operator="lessThan" aboveAverage="0" equalAverage="0" bottom="0" percent="0" rank="0" text="" dxfId="1">
      <formula>F17</formula>
    </cfRule>
  </conditionalFormatting>
  <conditionalFormatting sqref="I19">
    <cfRule type="cellIs" priority="82" operator="equal" aboveAverage="0" equalAverage="0" bottom="0" percent="0" rank="0" text="" dxfId="0">
      <formula>0</formula>
    </cfRule>
    <cfRule type="cellIs" priority="83" operator="lessThan" aboveAverage="0" equalAverage="0" bottom="0" percent="0" rank="0" text="" dxfId="1">
      <formula>F19</formula>
    </cfRule>
  </conditionalFormatting>
  <conditionalFormatting sqref="I20">
    <cfRule type="cellIs" priority="84" operator="equal" aboveAverage="0" equalAverage="0" bottom="0" percent="0" rank="0" text="" dxfId="0">
      <formula>0</formula>
    </cfRule>
    <cfRule type="cellIs" priority="85" operator="lessThan" aboveAverage="0" equalAverage="0" bottom="0" percent="0" rank="0" text="" dxfId="1">
      <formula>F20</formula>
    </cfRule>
  </conditionalFormatting>
  <conditionalFormatting sqref="I21">
    <cfRule type="cellIs" priority="86" operator="equal" aboveAverage="0" equalAverage="0" bottom="0" percent="0" rank="0" text="" dxfId="0">
      <formula>0</formula>
    </cfRule>
    <cfRule type="cellIs" priority="87" operator="lessThan" aboveAverage="0" equalAverage="0" bottom="0" percent="0" rank="0" text="" dxfId="1">
      <formula>F21</formula>
    </cfRule>
  </conditionalFormatting>
  <conditionalFormatting sqref="I22">
    <cfRule type="cellIs" priority="88" operator="equal" aboveAverage="0" equalAverage="0" bottom="0" percent="0" rank="0" text="" dxfId="0">
      <formula>0</formula>
    </cfRule>
    <cfRule type="cellIs" priority="89" operator="lessThan" aboveAverage="0" equalAverage="0" bottom="0" percent="0" rank="0" text="" dxfId="1">
      <formula>F22</formula>
    </cfRule>
  </conditionalFormatting>
  <conditionalFormatting sqref="I7">
    <cfRule type="cellIs" priority="90" operator="equal" aboveAverage="0" equalAverage="0" bottom="0" percent="0" rank="0" text="" dxfId="0">
      <formula>0</formula>
    </cfRule>
    <cfRule type="cellIs" priority="91" operator="lessThan" aboveAverage="0" equalAverage="0" bottom="0" percent="0" rank="0" text="" dxfId="1">
      <formula>F7</formula>
    </cfRule>
  </conditionalFormatting>
  <conditionalFormatting sqref="I8">
    <cfRule type="cellIs" priority="92" operator="equal" aboveAverage="0" equalAverage="0" bottom="0" percent="0" rank="0" text="" dxfId="0">
      <formula>0</formula>
    </cfRule>
    <cfRule type="cellIs" priority="93" operator="lessThan" aboveAverage="0" equalAverage="0" bottom="0" percent="0" rank="0" text="" dxfId="1">
      <formula>F8</formula>
    </cfRule>
  </conditionalFormatting>
  <conditionalFormatting sqref="I9">
    <cfRule type="cellIs" priority="94" operator="equal" aboveAverage="0" equalAverage="0" bottom="0" percent="0" rank="0" text="" dxfId="0">
      <formula>0</formula>
    </cfRule>
    <cfRule type="cellIs" priority="95" operator="lessThan" aboveAverage="0" equalAverage="0" bottom="0" percent="0" rank="0" text="" dxfId="1">
      <formula>F9</formula>
    </cfRule>
  </conditionalFormatting>
  <conditionalFormatting sqref="J10">
    <cfRule type="cellIs" priority="96" operator="greaterThan" aboveAverage="0" equalAverage="0" bottom="0" percent="0" rank="0" text="" dxfId="0">
      <formula>I10</formula>
    </cfRule>
  </conditionalFormatting>
  <conditionalFormatting sqref="J11">
    <cfRule type="cellIs" priority="97" operator="greaterThan" aboveAverage="0" equalAverage="0" bottom="0" percent="0" rank="0" text="" dxfId="0">
      <formula>I11</formula>
    </cfRule>
  </conditionalFormatting>
  <conditionalFormatting sqref="J12">
    <cfRule type="cellIs" priority="98" operator="greaterThan" aboveAverage="0" equalAverage="0" bottom="0" percent="0" rank="0" text="" dxfId="0">
      <formula>I12</formula>
    </cfRule>
  </conditionalFormatting>
  <conditionalFormatting sqref="J13">
    <cfRule type="cellIs" priority="99" operator="greaterThan" aboveAverage="0" equalAverage="0" bottom="0" percent="0" rank="0" text="" dxfId="0">
      <formula>I13</formula>
    </cfRule>
  </conditionalFormatting>
  <conditionalFormatting sqref="J14">
    <cfRule type="cellIs" priority="100" operator="greaterThan" aboveAverage="0" equalAverage="0" bottom="0" percent="0" rank="0" text="" dxfId="0">
      <formula>I14</formula>
    </cfRule>
  </conditionalFormatting>
  <conditionalFormatting sqref="J15">
    <cfRule type="cellIs" priority="101" operator="greaterThan" aboveAverage="0" equalAverage="0" bottom="0" percent="0" rank="0" text="" dxfId="0">
      <formula>I15</formula>
    </cfRule>
  </conditionalFormatting>
  <conditionalFormatting sqref="J16">
    <cfRule type="cellIs" priority="102" operator="greaterThan" aboveAverage="0" equalAverage="0" bottom="0" percent="0" rank="0" text="" dxfId="0">
      <formula>I16</formula>
    </cfRule>
  </conditionalFormatting>
  <conditionalFormatting sqref="J17">
    <cfRule type="cellIs" priority="103" operator="greaterThan" aboveAverage="0" equalAverage="0" bottom="0" percent="0" rank="0" text="" dxfId="0">
      <formula>I17</formula>
    </cfRule>
  </conditionalFormatting>
  <conditionalFormatting sqref="J19">
    <cfRule type="cellIs" priority="104" operator="greaterThan" aboveAverage="0" equalAverage="0" bottom="0" percent="0" rank="0" text="" dxfId="0">
      <formula>I19</formula>
    </cfRule>
  </conditionalFormatting>
  <conditionalFormatting sqref="J20">
    <cfRule type="cellIs" priority="105" operator="greaterThan" aboveAverage="0" equalAverage="0" bottom="0" percent="0" rank="0" text="" dxfId="0">
      <formula>I20</formula>
    </cfRule>
  </conditionalFormatting>
  <conditionalFormatting sqref="J21">
    <cfRule type="cellIs" priority="106" operator="greaterThan" aboveAverage="0" equalAverage="0" bottom="0" percent="0" rank="0" text="" dxfId="0">
      <formula>I21</formula>
    </cfRule>
  </conditionalFormatting>
  <conditionalFormatting sqref="J22">
    <cfRule type="cellIs" priority="107" operator="greaterThan" aboveAverage="0" equalAverage="0" bottom="0" percent="0" rank="0" text="" dxfId="0">
      <formula>I22</formula>
    </cfRule>
  </conditionalFormatting>
  <conditionalFormatting sqref="J7">
    <cfRule type="cellIs" priority="108" operator="greaterThan" aboveAverage="0" equalAverage="0" bottom="0" percent="0" rank="0" text="" dxfId="0">
      <formula>I7</formula>
    </cfRule>
  </conditionalFormatting>
  <conditionalFormatting sqref="J8">
    <cfRule type="cellIs" priority="109" operator="greaterThan" aboveAverage="0" equalAverage="0" bottom="0" percent="0" rank="0" text="" dxfId="0">
      <formula>I8</formula>
    </cfRule>
  </conditionalFormatting>
  <conditionalFormatting sqref="J9">
    <cfRule type="cellIs" priority="110" operator="greaterThan" aboveAverage="0" equalAverage="0" bottom="0" percent="0" rank="0" text="" dxfId="0">
      <formula>I9</formula>
    </cfRule>
  </conditionalFormatting>
  <conditionalFormatting sqref="K10">
    <cfRule type="cellIs" priority="111" operator="lessThanOrEqual" aboveAverage="0" equalAverage="0" bottom="0" percent="0" rank="0" text="" dxfId="3">
      <formula>G10</formula>
    </cfRule>
  </conditionalFormatting>
  <conditionalFormatting sqref="K11">
    <cfRule type="cellIs" priority="112" operator="lessThanOrEqual" aboveAverage="0" equalAverage="0" bottom="0" percent="0" rank="0" text="" dxfId="3">
      <formula>G11</formula>
    </cfRule>
  </conditionalFormatting>
  <conditionalFormatting sqref="K12">
    <cfRule type="cellIs" priority="113" operator="lessThanOrEqual" aboveAverage="0" equalAverage="0" bottom="0" percent="0" rank="0" text="" dxfId="3">
      <formula>G12</formula>
    </cfRule>
  </conditionalFormatting>
  <conditionalFormatting sqref="K13">
    <cfRule type="cellIs" priority="114" operator="lessThanOrEqual" aboveAverage="0" equalAverage="0" bottom="0" percent="0" rank="0" text="" dxfId="3">
      <formula>G13</formula>
    </cfRule>
  </conditionalFormatting>
  <conditionalFormatting sqref="K14">
    <cfRule type="cellIs" priority="115" operator="lessThanOrEqual" aboveAverage="0" equalAverage="0" bottom="0" percent="0" rank="0" text="" dxfId="3">
      <formula>G14</formula>
    </cfRule>
  </conditionalFormatting>
  <conditionalFormatting sqref="K15">
    <cfRule type="cellIs" priority="116" operator="lessThanOrEqual" aboveAverage="0" equalAverage="0" bottom="0" percent="0" rank="0" text="" dxfId="3">
      <formula>G15</formula>
    </cfRule>
  </conditionalFormatting>
  <conditionalFormatting sqref="K16">
    <cfRule type="cellIs" priority="117" operator="lessThanOrEqual" aboveAverage="0" equalAverage="0" bottom="0" percent="0" rank="0" text="" dxfId="3">
      <formula>G16</formula>
    </cfRule>
  </conditionalFormatting>
  <conditionalFormatting sqref="K17">
    <cfRule type="cellIs" priority="118" operator="lessThanOrEqual" aboveAverage="0" equalAverage="0" bottom="0" percent="0" rank="0" text="" dxfId="3">
      <formula>G17</formula>
    </cfRule>
  </conditionalFormatting>
  <conditionalFormatting sqref="K19">
    <cfRule type="cellIs" priority="119" operator="lessThanOrEqual" aboveAverage="0" equalAverage="0" bottom="0" percent="0" rank="0" text="" dxfId="3">
      <formula>G19</formula>
    </cfRule>
  </conditionalFormatting>
  <conditionalFormatting sqref="K20">
    <cfRule type="cellIs" priority="120" operator="lessThanOrEqual" aboveAverage="0" equalAverage="0" bottom="0" percent="0" rank="0" text="" dxfId="3">
      <formula>G20</formula>
    </cfRule>
  </conditionalFormatting>
  <conditionalFormatting sqref="K21">
    <cfRule type="cellIs" priority="121" operator="lessThanOrEqual" aboveAverage="0" equalAverage="0" bottom="0" percent="0" rank="0" text="" dxfId="3">
      <formula>G21</formula>
    </cfRule>
  </conditionalFormatting>
  <conditionalFormatting sqref="K22">
    <cfRule type="cellIs" priority="122" operator="lessThanOrEqual" aboveAverage="0" equalAverage="0" bottom="0" percent="0" rank="0" text="" dxfId="3">
      <formula>G22</formula>
    </cfRule>
  </conditionalFormatting>
  <conditionalFormatting sqref="K7">
    <cfRule type="cellIs" priority="123" operator="lessThanOrEqual" aboveAverage="0" equalAverage="0" bottom="0" percent="0" rank="0" text="" dxfId="3">
      <formula>G7</formula>
    </cfRule>
  </conditionalFormatting>
  <conditionalFormatting sqref="K8">
    <cfRule type="cellIs" priority="124" operator="lessThanOrEqual" aboveAverage="0" equalAverage="0" bottom="0" percent="0" rank="0" text="" dxfId="3">
      <formula>G8</formula>
    </cfRule>
  </conditionalFormatting>
  <conditionalFormatting sqref="K9">
    <cfRule type="cellIs" priority="125" operator="lessThanOrEqual" aboveAverage="0" equalAverage="0" bottom="0" percent="0" rank="0" text="" dxfId="3">
      <formula>G9</formula>
    </cfRule>
  </conditionalFormatting>
  <conditionalFormatting sqref="L10">
    <cfRule type="cellIs" priority="126" operator="lessThanOrEqual" aboveAverage="0" equalAverage="0" bottom="0" percent="0" rank="0" text="" dxfId="3">
      <formula>H10</formula>
    </cfRule>
  </conditionalFormatting>
  <conditionalFormatting sqref="L11">
    <cfRule type="cellIs" priority="127" operator="lessThanOrEqual" aboveAverage="0" equalAverage="0" bottom="0" percent="0" rank="0" text="" dxfId="3">
      <formula>H11</formula>
    </cfRule>
  </conditionalFormatting>
  <conditionalFormatting sqref="L12">
    <cfRule type="cellIs" priority="128" operator="lessThanOrEqual" aboveAverage="0" equalAverage="0" bottom="0" percent="0" rank="0" text="" dxfId="3">
      <formula>H12</formula>
    </cfRule>
  </conditionalFormatting>
  <conditionalFormatting sqref="L13">
    <cfRule type="cellIs" priority="129" operator="lessThanOrEqual" aboveAverage="0" equalAverage="0" bottom="0" percent="0" rank="0" text="" dxfId="3">
      <formula>H13</formula>
    </cfRule>
  </conditionalFormatting>
  <conditionalFormatting sqref="L14">
    <cfRule type="cellIs" priority="130" operator="lessThanOrEqual" aboveAverage="0" equalAverage="0" bottom="0" percent="0" rank="0" text="" dxfId="3">
      <formula>H14</formula>
    </cfRule>
  </conditionalFormatting>
  <conditionalFormatting sqref="L15">
    <cfRule type="cellIs" priority="131" operator="lessThanOrEqual" aboveAverage="0" equalAverage="0" bottom="0" percent="0" rank="0" text="" dxfId="3">
      <formula>H15</formula>
    </cfRule>
  </conditionalFormatting>
  <conditionalFormatting sqref="L16">
    <cfRule type="cellIs" priority="132" operator="lessThanOrEqual" aboveAverage="0" equalAverage="0" bottom="0" percent="0" rank="0" text="" dxfId="3">
      <formula>H16</formula>
    </cfRule>
  </conditionalFormatting>
  <conditionalFormatting sqref="L17">
    <cfRule type="cellIs" priority="133" operator="lessThanOrEqual" aboveAverage="0" equalAverage="0" bottom="0" percent="0" rank="0" text="" dxfId="3">
      <formula>H17</formula>
    </cfRule>
  </conditionalFormatting>
  <conditionalFormatting sqref="L19">
    <cfRule type="cellIs" priority="134" operator="lessThanOrEqual" aboveAverage="0" equalAverage="0" bottom="0" percent="0" rank="0" text="" dxfId="3">
      <formula>H19</formula>
    </cfRule>
  </conditionalFormatting>
  <conditionalFormatting sqref="L20">
    <cfRule type="cellIs" priority="135" operator="lessThanOrEqual" aboveAverage="0" equalAverage="0" bottom="0" percent="0" rank="0" text="" dxfId="3">
      <formula>H20</formula>
    </cfRule>
  </conditionalFormatting>
  <conditionalFormatting sqref="L21">
    <cfRule type="cellIs" priority="136" operator="lessThanOrEqual" aboveAverage="0" equalAverage="0" bottom="0" percent="0" rank="0" text="" dxfId="3">
      <formula>H21</formula>
    </cfRule>
  </conditionalFormatting>
  <conditionalFormatting sqref="L22">
    <cfRule type="cellIs" priority="137" operator="lessThanOrEqual" aboveAverage="0" equalAverage="0" bottom="0" percent="0" rank="0" text="" dxfId="3">
      <formula>H22</formula>
    </cfRule>
  </conditionalFormatting>
  <conditionalFormatting sqref="L7">
    <cfRule type="cellIs" priority="138" operator="lessThanOrEqual" aboveAverage="0" equalAverage="0" bottom="0" percent="0" rank="0" text="" dxfId="3">
      <formula>H7</formula>
    </cfRule>
  </conditionalFormatting>
  <conditionalFormatting sqref="L8">
    <cfRule type="cellIs" priority="139" operator="lessThanOrEqual" aboveAverage="0" equalAverage="0" bottom="0" percent="0" rank="0" text="" dxfId="3">
      <formula>H8</formula>
    </cfRule>
  </conditionalFormatting>
  <conditionalFormatting sqref="L9">
    <cfRule type="cellIs" priority="140" operator="lessThanOrEqual" aboveAverage="0" equalAverage="0" bottom="0" percent="0" rank="0" text="" dxfId="3">
      <formula>H9</formula>
    </cfRule>
  </conditionalFormatting>
  <conditionalFormatting sqref="N8">
    <cfRule type="cellIs" priority="141" operator="equal" aboveAverage="0" equalAverage="0" bottom="0" percent="0" rank="0" text="" dxfId="0">
      <formula>0</formula>
    </cfRule>
    <cfRule type="cellIs" priority="142" operator="lessThan" aboveAverage="0" equalAverage="0" bottom="0" percent="0" rank="0" text="" dxfId="1">
      <formula>F8</formula>
    </cfRule>
  </conditionalFormatting>
  <conditionalFormatting sqref="N9">
    <cfRule type="cellIs" priority="143" operator="equal" aboveAverage="0" equalAverage="0" bottom="0" percent="0" rank="0" text="" dxfId="0">
      <formula>0</formula>
    </cfRule>
    <cfRule type="cellIs" priority="144" operator="lessThan" aboveAverage="0" equalAverage="0" bottom="0" percent="0" rank="0" text="" dxfId="1">
      <formula>F9</formula>
    </cfRule>
  </conditionalFormatting>
  <conditionalFormatting sqref="O8">
    <cfRule type="cellIs" priority="145" operator="greaterThan" aboveAverage="0" equalAverage="0" bottom="0" percent="0" rank="0" text="" dxfId="0">
      <formula>N8</formula>
    </cfRule>
  </conditionalFormatting>
  <conditionalFormatting sqref="O9">
    <cfRule type="cellIs" priority="146" operator="greaterThan" aboveAverage="0" equalAverage="0" bottom="0" percent="0" rank="0" text="" dxfId="0">
      <formula>N9</formula>
    </cfRule>
  </conditionalFormatting>
  <conditionalFormatting sqref="P8">
    <cfRule type="cellIs" priority="147" operator="lessThanOrEqual" aboveAverage="0" equalAverage="0" bottom="0" percent="0" rank="0" text="" dxfId="3">
      <formula>G8</formula>
    </cfRule>
  </conditionalFormatting>
  <conditionalFormatting sqref="P9">
    <cfRule type="cellIs" priority="148" operator="lessThanOrEqual" aboveAverage="0" equalAverage="0" bottom="0" percent="0" rank="0" text="" dxfId="3">
      <formula>G9</formula>
    </cfRule>
  </conditionalFormatting>
  <conditionalFormatting sqref="Q8">
    <cfRule type="cellIs" priority="149" operator="lessThanOrEqual" aboveAverage="0" equalAverage="0" bottom="0" percent="0" rank="0" text="" dxfId="3">
      <formula>H8</formula>
    </cfRule>
  </conditionalFormatting>
  <conditionalFormatting sqref="Q9">
    <cfRule type="cellIs" priority="150" operator="lessThanOrEqual" aboveAverage="0" equalAverage="0" bottom="0" percent="0" rank="0" text="" dxfId="3">
      <formula>H9</formula>
    </cfRule>
  </conditionalFormatting>
  <conditionalFormatting sqref="S11">
    <cfRule type="cellIs" priority="151" operator="equal" aboveAverage="0" equalAverage="0" bottom="0" percent="0" rank="0" text="" dxfId="0">
      <formula>0</formula>
    </cfRule>
    <cfRule type="cellIs" priority="152" operator="lessThan" aboveAverage="0" equalAverage="0" bottom="0" percent="0" rank="0" text="" dxfId="1">
      <formula>F11</formula>
    </cfRule>
  </conditionalFormatting>
  <conditionalFormatting sqref="S12">
    <cfRule type="cellIs" priority="153" operator="equal" aboveAverage="0" equalAverage="0" bottom="0" percent="0" rank="0" text="" dxfId="0">
      <formula>0</formula>
    </cfRule>
    <cfRule type="cellIs" priority="154" operator="lessThan" aboveAverage="0" equalAverage="0" bottom="0" percent="0" rank="0" text="" dxfId="1">
      <formula>F12</formula>
    </cfRule>
  </conditionalFormatting>
  <conditionalFormatting sqref="S14">
    <cfRule type="cellIs" priority="155" operator="equal" aboveAverage="0" equalAverage="0" bottom="0" percent="0" rank="0" text="" dxfId="0">
      <formula>0</formula>
    </cfRule>
    <cfRule type="cellIs" priority="156" operator="lessThan" aboveAverage="0" equalAverage="0" bottom="0" percent="0" rank="0" text="" dxfId="1">
      <formula>F14</formula>
    </cfRule>
  </conditionalFormatting>
  <conditionalFormatting sqref="S9">
    <cfRule type="cellIs" priority="157" operator="equal" aboveAverage="0" equalAverage="0" bottom="0" percent="0" rank="0" text="" dxfId="0">
      <formula>0</formula>
    </cfRule>
    <cfRule type="cellIs" priority="158" operator="lessThan" aboveAverage="0" equalAverage="0" bottom="0" percent="0" rank="0" text="" dxfId="1">
      <formula>F9</formula>
    </cfRule>
  </conditionalFormatting>
  <conditionalFormatting sqref="T11">
    <cfRule type="cellIs" priority="159" operator="greaterThan" aboveAverage="0" equalAverage="0" bottom="0" percent="0" rank="0" text="" dxfId="0">
      <formula>S11</formula>
    </cfRule>
  </conditionalFormatting>
  <conditionalFormatting sqref="T12">
    <cfRule type="cellIs" priority="160" operator="greaterThan" aboveAverage="0" equalAverage="0" bottom="0" percent="0" rank="0" text="" dxfId="0">
      <formula>S12</formula>
    </cfRule>
  </conditionalFormatting>
  <conditionalFormatting sqref="T14">
    <cfRule type="cellIs" priority="161" operator="greaterThan" aboveAverage="0" equalAverage="0" bottom="0" percent="0" rank="0" text="" dxfId="0">
      <formula>S14</formula>
    </cfRule>
  </conditionalFormatting>
  <conditionalFormatting sqref="T9">
    <cfRule type="cellIs" priority="162" operator="greaterThan" aboveAverage="0" equalAverage="0" bottom="0" percent="0" rank="0" text="" dxfId="0">
      <formula>S9</formula>
    </cfRule>
  </conditionalFormatting>
  <conditionalFormatting sqref="U11">
    <cfRule type="cellIs" priority="163" operator="lessThanOrEqual" aboveAverage="0" equalAverage="0" bottom="0" percent="0" rank="0" text="" dxfId="3">
      <formula>G11</formula>
    </cfRule>
  </conditionalFormatting>
  <conditionalFormatting sqref="U12">
    <cfRule type="cellIs" priority="164" operator="lessThanOrEqual" aboveAverage="0" equalAverage="0" bottom="0" percent="0" rank="0" text="" dxfId="3">
      <formula>G12</formula>
    </cfRule>
  </conditionalFormatting>
  <conditionalFormatting sqref="U14">
    <cfRule type="cellIs" priority="165" operator="lessThanOrEqual" aboveAverage="0" equalAverage="0" bottom="0" percent="0" rank="0" text="" dxfId="3">
      <formula>G14</formula>
    </cfRule>
  </conditionalFormatting>
  <conditionalFormatting sqref="U9">
    <cfRule type="cellIs" priority="166" operator="lessThanOrEqual" aboveAverage="0" equalAverage="0" bottom="0" percent="0" rank="0" text="" dxfId="3">
      <formula>G9</formula>
    </cfRule>
  </conditionalFormatting>
  <conditionalFormatting sqref="V11">
    <cfRule type="cellIs" priority="167" operator="lessThanOrEqual" aboveAverage="0" equalAverage="0" bottom="0" percent="0" rank="0" text="" dxfId="3">
      <formula>H11</formula>
    </cfRule>
  </conditionalFormatting>
  <conditionalFormatting sqref="V12">
    <cfRule type="cellIs" priority="168" operator="lessThanOrEqual" aboveAverage="0" equalAverage="0" bottom="0" percent="0" rank="0" text="" dxfId="3">
      <formula>H12</formula>
    </cfRule>
  </conditionalFormatting>
  <conditionalFormatting sqref="V14">
    <cfRule type="cellIs" priority="169" operator="lessThanOrEqual" aboveAverage="0" equalAverage="0" bottom="0" percent="0" rank="0" text="" dxfId="3">
      <formula>H14</formula>
    </cfRule>
  </conditionalFormatting>
  <conditionalFormatting sqref="V9">
    <cfRule type="cellIs" priority="170" operator="lessThanOrEqual" aboveAverage="0" equalAverage="0" bottom="0" percent="0" rank="0" text="" dxfId="3">
      <formula>H9</formula>
    </cfRule>
  </conditionalFormatting>
  <hyperlinks>
    <hyperlink ref="M7" r:id="rId2" display="478-5719-1-ND"/>
    <hyperlink ref="M8" r:id="rId3" display="08053C102KAT2A-ND"/>
    <hyperlink ref="R8" r:id="rId4" display="581-08053C102KAT2A"/>
    <hyperlink ref="M9" r:id="rId5" display="478-3755-1-ND"/>
    <hyperlink ref="R9" r:id="rId6" display="581-08053C104K"/>
    <hyperlink ref="W9" r:id="rId7" display="390-990"/>
    <hyperlink ref="M10" r:id="rId8" display="478-11516-1-ND"/>
    <hyperlink ref="M11" r:id="rId9" display="497-5559-1-ND"/>
    <hyperlink ref="W11" r:id="rId10" display="714-6850"/>
    <hyperlink ref="M12" r:id="rId11" display="277-1667-ND"/>
    <hyperlink ref="W12" r:id="rId12" display="548-7238"/>
    <hyperlink ref="M13" r:id="rId13" display="BC857BLT1GOSCT-ND"/>
    <hyperlink ref="M14" r:id="rId14" display="BC847BLT1GOSCT-ND"/>
    <hyperlink ref="W14" r:id="rId15" display="545-2759"/>
    <hyperlink ref="M15" r:id="rId16" display="RMCF0805JT12K0CT-ND"/>
    <hyperlink ref="M16" r:id="rId17" display="RMCF0805JT3K30CT-ND"/>
    <hyperlink ref="M17" r:id="rId18" display="RMCF0805JT1R50CT-ND"/>
    <hyperlink ref="M19" r:id="rId19" display="RMCF0805JT4K70CT-ND"/>
    <hyperlink ref="M20" r:id="rId20" display="732-4459-1-ND"/>
    <hyperlink ref="M21" r:id="rId21" display="296-10193-5-ND"/>
    <hyperlink ref="M22" r:id="rId22" display="296-27138-5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2018-01-31T15:10:02Z</dcterms:created>
  <dc:creator/>
  <dc:description/>
  <dc:language>pt-BR</dc:language>
  <cp:lastModifiedBy>Hildo Guillardi Junior</cp:lastModifiedBy>
  <dcterms:modified xsi:type="dcterms:W3CDTF">2018-01-31T15:11:35Z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