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c90c7b976d1c7/Documents/GitHub/PassiveHouse/"/>
    </mc:Choice>
  </mc:AlternateContent>
  <bookViews>
    <workbookView xWindow="0" yWindow="0" windowWidth="23040" windowHeight="9048" xr2:uid="{BA548996-6B57-48C3-B389-673B6A17FC7F}"/>
  </bookViews>
  <sheets>
    <sheet name="Sheet1" sheetId="1" r:id="rId1"/>
  </sheets>
  <definedNames>
    <definedName name="SAP1a">Sheet1!$A$2</definedName>
    <definedName name="SAP1b">Sheet1!$A$3</definedName>
    <definedName name="SAP1c">Sheet1!$A$4</definedName>
    <definedName name="SAP1d">Sheet1!$A$5</definedName>
    <definedName name="SAP1e">Sheet1!$A$6</definedName>
    <definedName name="SAP1h">Sheet1!$A$7</definedName>
    <definedName name="SAP1n">Sheet1!$A$7</definedName>
    <definedName name="SAP2a">Sheet1!$B$2</definedName>
    <definedName name="SAP2b">Sheet1!$B$3</definedName>
    <definedName name="SAP2c">Sheet1!$B$4</definedName>
    <definedName name="SAP2d">Sheet1!$B$5</definedName>
    <definedName name="SAP2e">Sheet1!$B$6</definedName>
    <definedName name="SAP2n">Sheet1!$B$7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" i="1" l="1"/>
  <c r="AC7" i="1" s="1"/>
  <c r="AB10" i="1"/>
  <c r="AC10" i="1" s="1"/>
  <c r="AC8" i="1"/>
  <c r="AR2" i="1"/>
  <c r="AP13" i="1"/>
  <c r="AP3" i="1"/>
  <c r="AP14" i="1" s="1"/>
  <c r="AP4" i="1"/>
  <c r="AP5" i="1"/>
  <c r="AP6" i="1"/>
  <c r="AP7" i="1"/>
  <c r="AP8" i="1"/>
  <c r="AP9" i="1"/>
  <c r="AP10" i="1"/>
  <c r="AP11" i="1"/>
  <c r="AP12" i="1"/>
  <c r="AP2" i="1"/>
  <c r="AN2" i="1"/>
  <c r="AM2" i="1"/>
  <c r="AE3" i="1"/>
  <c r="AE4" i="1"/>
  <c r="AE5" i="1"/>
  <c r="AE6" i="1"/>
  <c r="AE7" i="1"/>
  <c r="AE8" i="1"/>
  <c r="AE9" i="1"/>
  <c r="AE10" i="1"/>
  <c r="AE11" i="1"/>
  <c r="AE12" i="1"/>
  <c r="AE13" i="1"/>
  <c r="AE2" i="1"/>
  <c r="AC9" i="1"/>
  <c r="AC13" i="1"/>
  <c r="AC14" i="1"/>
  <c r="AC15" i="1"/>
  <c r="AC16" i="1"/>
  <c r="AC18" i="1"/>
  <c r="AC6" i="1"/>
  <c r="AA9" i="1"/>
  <c r="Y17" i="1"/>
  <c r="AC17" i="1" s="1"/>
  <c r="AA13" i="1"/>
  <c r="Y18" i="1"/>
  <c r="Y10" i="1"/>
  <c r="X10" i="1"/>
  <c r="W10" i="1"/>
  <c r="Z4" i="1"/>
  <c r="AA11" i="1"/>
  <c r="Y11" i="1"/>
  <c r="Y4" i="1"/>
  <c r="Y8" i="1"/>
  <c r="AA8" i="1" s="1"/>
  <c r="Y7" i="1"/>
  <c r="AA5" i="1"/>
  <c r="AA6" i="1"/>
  <c r="AA10" i="1"/>
  <c r="AA3" i="1"/>
  <c r="AA2" i="1"/>
  <c r="O3" i="1"/>
  <c r="O4" i="1"/>
  <c r="O5" i="1"/>
  <c r="O6" i="1"/>
  <c r="O7" i="1"/>
  <c r="O8" i="1"/>
  <c r="O9" i="1"/>
  <c r="O10" i="1"/>
  <c r="O11" i="1"/>
  <c r="O12" i="1"/>
  <c r="O13" i="1"/>
  <c r="O2" i="1"/>
  <c r="L5" i="1"/>
  <c r="J7" i="1"/>
  <c r="J3" i="1"/>
  <c r="J4" i="1"/>
  <c r="J5" i="1"/>
  <c r="J6" i="1"/>
  <c r="J2" i="1"/>
  <c r="H3" i="1"/>
  <c r="H2" i="1"/>
  <c r="A8" i="1"/>
  <c r="C7" i="1"/>
  <c r="C6" i="1"/>
  <c r="C5" i="1"/>
  <c r="C4" i="1"/>
  <c r="C3" i="1"/>
  <c r="C2" i="1"/>
  <c r="AB11" i="1" l="1"/>
  <c r="AC11" i="1" s="1"/>
  <c r="AC21" i="1" s="1"/>
  <c r="AC22" i="1" s="1"/>
  <c r="AA4" i="1"/>
  <c r="Y12" i="1"/>
  <c r="AC23" i="1" s="1"/>
  <c r="AA7" i="1"/>
  <c r="C8" i="1"/>
  <c r="J8" i="1" s="1"/>
  <c r="L3" i="1" s="1"/>
  <c r="L6" i="1" s="1"/>
  <c r="AC20" i="1" l="1"/>
  <c r="AC24" i="1" s="1"/>
  <c r="P6" i="1"/>
  <c r="T6" i="1" s="1"/>
  <c r="P10" i="1"/>
  <c r="T10" i="1" s="1"/>
  <c r="P2" i="1"/>
  <c r="T2" i="1" s="1"/>
  <c r="P3" i="1"/>
  <c r="T3" i="1" s="1"/>
  <c r="P7" i="1"/>
  <c r="T7" i="1" s="1"/>
  <c r="P11" i="1"/>
  <c r="T11" i="1" s="1"/>
  <c r="P4" i="1"/>
  <c r="T4" i="1" s="1"/>
  <c r="P8" i="1"/>
  <c r="T8" i="1" s="1"/>
  <c r="P12" i="1"/>
  <c r="T12" i="1" s="1"/>
  <c r="P5" i="1"/>
  <c r="T5" i="1" s="1"/>
  <c r="P9" i="1"/>
  <c r="T9" i="1" s="1"/>
  <c r="P13" i="1"/>
  <c r="T13" i="1" s="1"/>
  <c r="AF4" i="1" l="1"/>
  <c r="AG4" i="1" s="1"/>
  <c r="AF8" i="1"/>
  <c r="AG8" i="1" s="1"/>
  <c r="AF12" i="1"/>
  <c r="AG12" i="1" s="1"/>
  <c r="AF5" i="1"/>
  <c r="AG5" i="1" s="1"/>
  <c r="AF9" i="1"/>
  <c r="AG9" i="1" s="1"/>
  <c r="AF2" i="1"/>
  <c r="AF13" i="1"/>
  <c r="AG13" i="1" s="1"/>
  <c r="AF6" i="1"/>
  <c r="AG6" i="1" s="1"/>
  <c r="AF10" i="1"/>
  <c r="AG10" i="1" s="1"/>
  <c r="AF3" i="1"/>
  <c r="AG3" i="1" s="1"/>
  <c r="AF7" i="1"/>
  <c r="AG7" i="1" s="1"/>
  <c r="AF11" i="1"/>
  <c r="AG11" i="1" s="1"/>
  <c r="AG2" i="1" l="1"/>
  <c r="AG14" i="1" s="1"/>
  <c r="AF14" i="1"/>
</calcChain>
</file>

<file path=xl/sharedStrings.xml><?xml version="1.0" encoding="utf-8"?>
<sst xmlns="http://schemas.openxmlformats.org/spreadsheetml/2006/main" count="6" uniqueCount="6">
  <si>
    <t>22m</t>
  </si>
  <si>
    <t>22am</t>
  </si>
  <si>
    <t>22bm</t>
  </si>
  <si>
    <t>25m</t>
  </si>
  <si>
    <t>Vdm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</si>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</sst>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0C9-330B-46B3-A40C-8295ADD74717}">
  <dimension ref="A1:AR24"/>
  <sheetViews>
    <sheetView tabSelected="1" topLeftCell="AB1" workbookViewId="0">
      <selection activeCell="AO2" sqref="AO2"/>
    </sheetView>
  </sheetViews>
  <sheetFormatPr defaultRowHeight="14.4" x14ac:dyDescent="0.3"/>
  <cols>
    <col min="4" max="4" width="8.88671875" style="1"/>
    <col min="22" max="22" width="8.88671875" style="1"/>
    <col min="29" max="29" width="11.109375" customWidth="1"/>
    <col min="37" max="37" width="8.88671875" style="1"/>
  </cols>
  <sheetData>
    <row r="1" spans="1:44" s="2" customFormat="1" x14ac:dyDescent="0.3">
      <c r="N1" s="2" t="s">
        <v>0</v>
      </c>
      <c r="O1" s="2" t="s">
        <v>1</v>
      </c>
      <c r="P1" s="2" t="s">
        <v>2</v>
      </c>
      <c r="R1" s="2">
        <v>23</v>
      </c>
      <c r="T1" s="2" t="s">
        <v>3</v>
      </c>
      <c r="AE1" s="2">
        <v>38</v>
      </c>
      <c r="AF1" s="2">
        <v>39</v>
      </c>
      <c r="AG1" s="2">
        <v>40</v>
      </c>
      <c r="AI1" s="2">
        <v>41</v>
      </c>
      <c r="AK1" s="1"/>
      <c r="AM1" s="2">
        <v>42</v>
      </c>
      <c r="AN1" s="2">
        <v>43</v>
      </c>
      <c r="AO1" s="2" t="s">
        <v>4</v>
      </c>
      <c r="AP1" s="2">
        <v>44</v>
      </c>
      <c r="AQ1" s="2" t="s">
        <v>5</v>
      </c>
    </row>
    <row r="2" spans="1:44" x14ac:dyDescent="0.3">
      <c r="A2">
        <v>0</v>
      </c>
      <c r="B2">
        <v>0</v>
      </c>
      <c r="C2">
        <f>SAP1a*SAP2a</f>
        <v>0</v>
      </c>
      <c r="E2">
        <v>0</v>
      </c>
      <c r="F2">
        <v>0</v>
      </c>
      <c r="G2">
        <v>0</v>
      </c>
      <c r="H2">
        <f>G2+F2+E2</f>
        <v>0</v>
      </c>
      <c r="I2">
        <v>40</v>
      </c>
      <c r="J2">
        <f>I2*H2</f>
        <v>0</v>
      </c>
      <c r="L2">
        <v>0.6</v>
      </c>
      <c r="N2">
        <v>5.7</v>
      </c>
      <c r="O2">
        <f>N2/4</f>
        <v>1.425</v>
      </c>
      <c r="P2">
        <f>O2*$L$6</f>
        <v>7.4653490830514355E-2</v>
      </c>
      <c r="R2">
        <v>0.5</v>
      </c>
      <c r="T2">
        <f>P2+$R$3*(1-$R$4/100)</f>
        <v>0.24465349083051435</v>
      </c>
      <c r="Y2">
        <v>2.1</v>
      </c>
      <c r="Z2">
        <v>0.5</v>
      </c>
      <c r="AA2">
        <f>Y2*Z2</f>
        <v>1.05</v>
      </c>
      <c r="AE2">
        <f>T2*0.33*$C$8</f>
        <v>30.310585820625011</v>
      </c>
      <c r="AF2">
        <f>AE2+$AC$24</f>
        <v>179.05009930899712</v>
      </c>
      <c r="AG2">
        <f>AF2/$A$8</f>
        <v>1.0492241389334727</v>
      </c>
      <c r="AI2">
        <v>31</v>
      </c>
      <c r="AM2">
        <f>1+1.76*(1-EXP(-0.000349*($A$8-13.9)^2))+0.0013*($A$8-13.9)</f>
        <v>2.9634428130029389</v>
      </c>
      <c r="AN2">
        <f>(25*AM2+36)</f>
        <v>110.08607032507348</v>
      </c>
      <c r="AP2">
        <f>AO2*$AN$2</f>
        <v>0</v>
      </c>
      <c r="AR2">
        <f>4.18*AO2*AQ2</f>
        <v>0</v>
      </c>
    </row>
    <row r="3" spans="1:44" x14ac:dyDescent="0.3">
      <c r="A3">
        <v>83.45</v>
      </c>
      <c r="B3">
        <v>2.2000000000000002</v>
      </c>
      <c r="C3">
        <f>SAP1b*SAP2b</f>
        <v>183.59000000000003</v>
      </c>
      <c r="E3">
        <v>0</v>
      </c>
      <c r="F3">
        <v>0</v>
      </c>
      <c r="G3">
        <v>0</v>
      </c>
      <c r="H3">
        <f t="shared" ref="H3:H6" si="0">G3+F3+E3</f>
        <v>0</v>
      </c>
      <c r="I3">
        <v>20</v>
      </c>
      <c r="J3">
        <f t="shared" ref="J3:J6" si="1">I3*H3</f>
        <v>0</v>
      </c>
      <c r="L3">
        <f>L2/20+J8</f>
        <v>5.6636123911248434E-2</v>
      </c>
      <c r="N3">
        <v>5.8</v>
      </c>
      <c r="O3">
        <f t="shared" ref="O3:O13" si="2">N3/4</f>
        <v>1.45</v>
      </c>
      <c r="P3">
        <f t="shared" ref="P3:P13" si="3">O3*$L$6</f>
        <v>7.5963201195961963E-2</v>
      </c>
      <c r="R3">
        <v>0.5</v>
      </c>
      <c r="T3">
        <f t="shared" ref="T3:T13" si="4">P3+$R$3*(1-$R$4/100)</f>
        <v>0.24596320119596193</v>
      </c>
      <c r="Y3">
        <v>0</v>
      </c>
      <c r="Z3">
        <v>0</v>
      </c>
      <c r="AA3">
        <f>Y3*Z3</f>
        <v>0</v>
      </c>
      <c r="AE3">
        <f t="shared" ref="AE3:AE13" si="5">T3*0.33*$C$8</f>
        <v>30.472848326250006</v>
      </c>
      <c r="AF3">
        <f t="shared" ref="AF3:AF12" si="6">AE3+$AC$24</f>
        <v>179.21236181462211</v>
      </c>
      <c r="AG3">
        <f t="shared" ref="AG3:AG13" si="7">AF3/$A$8</f>
        <v>1.0501749886587877</v>
      </c>
      <c r="AI3">
        <v>28</v>
      </c>
      <c r="AP3">
        <f t="shared" ref="AP3:AP12" si="8">AO3*$AN$2</f>
        <v>0</v>
      </c>
    </row>
    <row r="4" spans="1:44" x14ac:dyDescent="0.3">
      <c r="A4">
        <v>87.2</v>
      </c>
      <c r="B4">
        <v>2.2000000000000002</v>
      </c>
      <c r="C4">
        <f>SAP1c*SAP2c</f>
        <v>191.84000000000003</v>
      </c>
      <c r="H4">
        <v>1</v>
      </c>
      <c r="I4">
        <v>10</v>
      </c>
      <c r="J4">
        <f t="shared" si="1"/>
        <v>10</v>
      </c>
      <c r="L4">
        <v>1</v>
      </c>
      <c r="N4">
        <v>5.7</v>
      </c>
      <c r="O4">
        <f t="shared" si="2"/>
        <v>1.425</v>
      </c>
      <c r="P4">
        <f t="shared" si="3"/>
        <v>7.4653490830514355E-2</v>
      </c>
      <c r="R4">
        <v>66</v>
      </c>
      <c r="T4">
        <f t="shared" si="4"/>
        <v>0.24465349083051435</v>
      </c>
      <c r="Y4">
        <f>20.71+18.33+0.71</f>
        <v>39.75</v>
      </c>
      <c r="Z4">
        <f>1/((1/0.8)+0.04)</f>
        <v>0.77519379844961234</v>
      </c>
      <c r="AA4">
        <f t="shared" ref="AA4:AA10" si="9">Y4*Z4</f>
        <v>30.813953488372089</v>
      </c>
      <c r="AE4">
        <f t="shared" si="5"/>
        <v>30.310585820625011</v>
      </c>
      <c r="AF4">
        <f t="shared" si="6"/>
        <v>179.05009930899712</v>
      </c>
      <c r="AG4">
        <f t="shared" si="7"/>
        <v>1.0492241389334727</v>
      </c>
      <c r="AI4">
        <v>31</v>
      </c>
      <c r="AP4">
        <f t="shared" si="8"/>
        <v>0</v>
      </c>
    </row>
    <row r="5" spans="1:44" x14ac:dyDescent="0.3">
      <c r="A5">
        <v>0</v>
      </c>
      <c r="B5">
        <v>0</v>
      </c>
      <c r="C5">
        <f>SAP1d*SAP2d</f>
        <v>0</v>
      </c>
      <c r="H5">
        <v>0</v>
      </c>
      <c r="I5">
        <v>10</v>
      </c>
      <c r="J5">
        <f t="shared" si="1"/>
        <v>0</v>
      </c>
      <c r="L5">
        <f>1-0.075*L4</f>
        <v>0.92500000000000004</v>
      </c>
      <c r="N5">
        <v>5</v>
      </c>
      <c r="O5">
        <f t="shared" si="2"/>
        <v>1.25</v>
      </c>
      <c r="P5">
        <f t="shared" si="3"/>
        <v>6.5485518272380999E-2</v>
      </c>
      <c r="T5">
        <f t="shared" si="4"/>
        <v>0.23548551827238098</v>
      </c>
      <c r="Y5">
        <v>0</v>
      </c>
      <c r="Z5">
        <v>0</v>
      </c>
      <c r="AA5">
        <f t="shared" si="9"/>
        <v>0</v>
      </c>
      <c r="AE5">
        <f t="shared" si="5"/>
        <v>29.174748281250004</v>
      </c>
      <c r="AF5">
        <f t="shared" si="6"/>
        <v>177.9142617696221</v>
      </c>
      <c r="AG5">
        <f t="shared" si="7"/>
        <v>1.0425681908562678</v>
      </c>
      <c r="AI5">
        <v>30</v>
      </c>
      <c r="AP5">
        <f t="shared" si="8"/>
        <v>0</v>
      </c>
    </row>
    <row r="6" spans="1:44" x14ac:dyDescent="0.3">
      <c r="A6">
        <v>0</v>
      </c>
      <c r="B6">
        <v>0</v>
      </c>
      <c r="C6">
        <f>SAP1d*SAP2d</f>
        <v>0</v>
      </c>
      <c r="H6">
        <v>0</v>
      </c>
      <c r="I6">
        <v>40</v>
      </c>
      <c r="J6">
        <f t="shared" si="1"/>
        <v>0</v>
      </c>
      <c r="L6">
        <f>L3*L5</f>
        <v>5.2388414617904805E-2</v>
      </c>
      <c r="N6">
        <v>4.8</v>
      </c>
      <c r="O6">
        <f t="shared" si="2"/>
        <v>1.2</v>
      </c>
      <c r="P6">
        <f t="shared" si="3"/>
        <v>6.2866097541485769E-2</v>
      </c>
      <c r="T6">
        <f t="shared" si="4"/>
        <v>0.23286609754148574</v>
      </c>
      <c r="Y6">
        <v>0</v>
      </c>
      <c r="Z6">
        <v>0</v>
      </c>
      <c r="AA6">
        <f t="shared" si="9"/>
        <v>0</v>
      </c>
      <c r="AB6">
        <v>0</v>
      </c>
      <c r="AC6">
        <f>AB6*Y6</f>
        <v>0</v>
      </c>
      <c r="AE6">
        <f t="shared" si="5"/>
        <v>28.850223270000004</v>
      </c>
      <c r="AF6">
        <f t="shared" si="6"/>
        <v>177.58973675837211</v>
      </c>
      <c r="AG6">
        <f t="shared" si="7"/>
        <v>1.0406664914056378</v>
      </c>
      <c r="AI6">
        <v>31</v>
      </c>
      <c r="AP6">
        <f t="shared" si="8"/>
        <v>0</v>
      </c>
    </row>
    <row r="7" spans="1:44" x14ac:dyDescent="0.3">
      <c r="A7">
        <v>0</v>
      </c>
      <c r="B7">
        <v>0</v>
      </c>
      <c r="C7">
        <f>SAP1d*SAP2d</f>
        <v>0</v>
      </c>
      <c r="J7">
        <f>SUM(J2:J6)</f>
        <v>10</v>
      </c>
      <c r="N7">
        <v>4.5999999999999996</v>
      </c>
      <c r="O7">
        <f t="shared" si="2"/>
        <v>1.1499999999999999</v>
      </c>
      <c r="P7">
        <f t="shared" si="3"/>
        <v>6.0246676810590524E-2</v>
      </c>
      <c r="T7">
        <f t="shared" si="4"/>
        <v>0.23024667681059052</v>
      </c>
      <c r="Y7">
        <f>SAP1b</f>
        <v>83.45</v>
      </c>
      <c r="Z7">
        <v>0.112</v>
      </c>
      <c r="AA7">
        <f t="shared" si="9"/>
        <v>9.3464000000000009</v>
      </c>
      <c r="AB7">
        <f>400.18</f>
        <v>400.18</v>
      </c>
      <c r="AC7">
        <f>AB7*Y7</f>
        <v>33395.021000000001</v>
      </c>
      <c r="AE7">
        <f t="shared" si="5"/>
        <v>28.525698258750005</v>
      </c>
      <c r="AF7">
        <f t="shared" si="6"/>
        <v>177.26521174712209</v>
      </c>
      <c r="AG7">
        <f t="shared" si="7"/>
        <v>1.0387647919550078</v>
      </c>
      <c r="AI7">
        <v>30</v>
      </c>
      <c r="AP7">
        <f t="shared" si="8"/>
        <v>0</v>
      </c>
    </row>
    <row r="8" spans="1:44" x14ac:dyDescent="0.3">
      <c r="A8">
        <f>SUM(A2:A7)</f>
        <v>170.65</v>
      </c>
      <c r="C8">
        <f>SUM(C2:C7)</f>
        <v>375.43000000000006</v>
      </c>
      <c r="J8">
        <f>J7/C8</f>
        <v>2.6636123911248432E-2</v>
      </c>
      <c r="N8">
        <v>4.0999999999999996</v>
      </c>
      <c r="O8">
        <f t="shared" si="2"/>
        <v>1.0249999999999999</v>
      </c>
      <c r="P8">
        <f t="shared" si="3"/>
        <v>5.369812498335242E-2</v>
      </c>
      <c r="T8">
        <f t="shared" si="4"/>
        <v>0.2236981249833524</v>
      </c>
      <c r="Y8">
        <f>SAP1c-SAP1b</f>
        <v>3.75</v>
      </c>
      <c r="Z8">
        <v>0.112</v>
      </c>
      <c r="AA8">
        <f t="shared" si="9"/>
        <v>0.42</v>
      </c>
      <c r="AB8">
        <v>400.18</v>
      </c>
      <c r="AC8">
        <f t="shared" ref="AC7:AC18" si="10">AB8*Y8</f>
        <v>1500.675</v>
      </c>
      <c r="AE8">
        <f t="shared" si="5"/>
        <v>27.714385730625004</v>
      </c>
      <c r="AF8">
        <f t="shared" si="6"/>
        <v>176.45389921899709</v>
      </c>
      <c r="AG8">
        <f t="shared" si="7"/>
        <v>1.034010543328433</v>
      </c>
      <c r="AI8">
        <v>31</v>
      </c>
      <c r="AP8">
        <f t="shared" si="8"/>
        <v>0</v>
      </c>
    </row>
    <row r="9" spans="1:44" x14ac:dyDescent="0.3">
      <c r="N9">
        <v>4.0999999999999996</v>
      </c>
      <c r="O9">
        <f t="shared" si="2"/>
        <v>1.0249999999999999</v>
      </c>
      <c r="P9">
        <f t="shared" si="3"/>
        <v>5.369812498335242E-2</v>
      </c>
      <c r="T9">
        <f t="shared" si="4"/>
        <v>0.2236981249833524</v>
      </c>
      <c r="Y9">
        <v>0</v>
      </c>
      <c r="Z9">
        <v>0</v>
      </c>
      <c r="AA9">
        <f>Y9*Z9</f>
        <v>0</v>
      </c>
      <c r="AB9">
        <v>0</v>
      </c>
      <c r="AC9">
        <f t="shared" si="10"/>
        <v>0</v>
      </c>
      <c r="AE9">
        <f t="shared" si="5"/>
        <v>27.714385730625004</v>
      </c>
      <c r="AF9">
        <f t="shared" si="6"/>
        <v>176.45389921899709</v>
      </c>
      <c r="AG9">
        <f t="shared" si="7"/>
        <v>1.034010543328433</v>
      </c>
      <c r="AI9">
        <v>31</v>
      </c>
      <c r="AP9">
        <f t="shared" si="8"/>
        <v>0</v>
      </c>
    </row>
    <row r="10" spans="1:44" x14ac:dyDescent="0.3">
      <c r="N10">
        <v>4.7</v>
      </c>
      <c r="O10">
        <f t="shared" si="2"/>
        <v>1.175</v>
      </c>
      <c r="P10">
        <f t="shared" si="3"/>
        <v>6.1556387176038146E-2</v>
      </c>
      <c r="T10">
        <f t="shared" si="4"/>
        <v>0.23155638717603813</v>
      </c>
      <c r="W10">
        <f>70.16+40.2+102.7+40.2</f>
        <v>253.26</v>
      </c>
      <c r="X10">
        <f>Y4+Y2</f>
        <v>41.85</v>
      </c>
      <c r="Y10">
        <f>W10-X10</f>
        <v>211.41</v>
      </c>
      <c r="Z10">
        <v>0.112</v>
      </c>
      <c r="AA10">
        <f t="shared" si="9"/>
        <v>23.67792</v>
      </c>
      <c r="AB10">
        <f>AB8</f>
        <v>400.18</v>
      </c>
      <c r="AC10">
        <f t="shared" si="10"/>
        <v>84602.053799999994</v>
      </c>
      <c r="AE10">
        <f t="shared" si="5"/>
        <v>28.687960764375003</v>
      </c>
      <c r="AF10">
        <f t="shared" si="6"/>
        <v>177.42747425274709</v>
      </c>
      <c r="AG10">
        <f t="shared" si="7"/>
        <v>1.0397156416803228</v>
      </c>
      <c r="AI10">
        <v>30</v>
      </c>
      <c r="AP10">
        <f t="shared" si="8"/>
        <v>0</v>
      </c>
    </row>
    <row r="11" spans="1:44" x14ac:dyDescent="0.3">
      <c r="N11">
        <v>5</v>
      </c>
      <c r="O11">
        <f t="shared" si="2"/>
        <v>1.25</v>
      </c>
      <c r="P11">
        <f t="shared" si="3"/>
        <v>6.5485518272380999E-2</v>
      </c>
      <c r="T11">
        <f t="shared" si="4"/>
        <v>0.23548551827238098</v>
      </c>
      <c r="Y11">
        <f>98.66+24.86</f>
        <v>123.52</v>
      </c>
      <c r="Z11">
        <v>0.112</v>
      </c>
      <c r="AA11">
        <f>Z11*Y11</f>
        <v>13.834239999999999</v>
      </c>
      <c r="AB11">
        <f>AB10</f>
        <v>400.18</v>
      </c>
      <c r="AC11">
        <f t="shared" si="10"/>
        <v>49430.2336</v>
      </c>
      <c r="AE11">
        <f t="shared" si="5"/>
        <v>29.174748281250004</v>
      </c>
      <c r="AF11">
        <f t="shared" si="6"/>
        <v>177.9142617696221</v>
      </c>
      <c r="AG11">
        <f t="shared" si="7"/>
        <v>1.0425681908562678</v>
      </c>
      <c r="AI11">
        <v>31</v>
      </c>
      <c r="AP11">
        <f t="shared" si="8"/>
        <v>0</v>
      </c>
    </row>
    <row r="12" spans="1:44" x14ac:dyDescent="0.3">
      <c r="N12">
        <v>5.2</v>
      </c>
      <c r="O12">
        <f t="shared" si="2"/>
        <v>1.3</v>
      </c>
      <c r="P12">
        <f t="shared" si="3"/>
        <v>6.8104939003276244E-2</v>
      </c>
      <c r="T12">
        <f t="shared" si="4"/>
        <v>0.23810493900327623</v>
      </c>
      <c r="Y12">
        <f>SUM(Y2:Y11)</f>
        <v>463.98</v>
      </c>
      <c r="AE12">
        <f t="shared" si="5"/>
        <v>29.499273292500003</v>
      </c>
      <c r="AF12">
        <f t="shared" si="6"/>
        <v>178.23878678087209</v>
      </c>
      <c r="AG12">
        <f t="shared" si="7"/>
        <v>1.0444698903068976</v>
      </c>
      <c r="AI12">
        <v>30</v>
      </c>
      <c r="AP12">
        <f t="shared" si="8"/>
        <v>0</v>
      </c>
    </row>
    <row r="13" spans="1:44" x14ac:dyDescent="0.3">
      <c r="N13">
        <v>5</v>
      </c>
      <c r="O13">
        <f t="shared" si="2"/>
        <v>1.25</v>
      </c>
      <c r="P13">
        <f t="shared" si="3"/>
        <v>6.5485518272380999E-2</v>
      </c>
      <c r="T13">
        <f t="shared" si="4"/>
        <v>0.23548551827238098</v>
      </c>
      <c r="Y13">
        <v>0</v>
      </c>
      <c r="Z13">
        <v>0</v>
      </c>
      <c r="AA13">
        <f>Z13*Y13</f>
        <v>0</v>
      </c>
      <c r="AB13">
        <v>0</v>
      </c>
      <c r="AC13">
        <f t="shared" si="10"/>
        <v>0</v>
      </c>
      <c r="AE13">
        <f t="shared" si="5"/>
        <v>29.174748281250004</v>
      </c>
      <c r="AF13">
        <f>AE13+$AC$24</f>
        <v>177.9142617696221</v>
      </c>
      <c r="AG13">
        <f t="shared" si="7"/>
        <v>1.0425681908562678</v>
      </c>
      <c r="AI13">
        <v>31</v>
      </c>
      <c r="AP13">
        <f>AO13*$AN$2</f>
        <v>0</v>
      </c>
    </row>
    <row r="14" spans="1:44" x14ac:dyDescent="0.3">
      <c r="Y14">
        <v>0</v>
      </c>
      <c r="AB14">
        <v>0</v>
      </c>
      <c r="AC14">
        <f t="shared" si="10"/>
        <v>0</v>
      </c>
      <c r="AF14">
        <f>SUM(AF2:AF13)/12</f>
        <v>177.87369614321585</v>
      </c>
      <c r="AG14">
        <f>SUM(AG2:AG13)/12</f>
        <v>1.0423304784249388</v>
      </c>
      <c r="AP14">
        <f>SUM(AP2:AP13)</f>
        <v>0</v>
      </c>
    </row>
    <row r="15" spans="1:44" x14ac:dyDescent="0.3">
      <c r="Y15">
        <v>0</v>
      </c>
      <c r="AB15">
        <v>0</v>
      </c>
      <c r="AC15">
        <f t="shared" si="10"/>
        <v>0</v>
      </c>
    </row>
    <row r="16" spans="1:44" x14ac:dyDescent="0.3">
      <c r="Y16">
        <v>246.11</v>
      </c>
      <c r="AC16">
        <f t="shared" si="10"/>
        <v>0</v>
      </c>
    </row>
    <row r="17" spans="25:29" x14ac:dyDescent="0.3">
      <c r="Y17">
        <f>Y7</f>
        <v>83.45</v>
      </c>
      <c r="AB17">
        <v>400.18</v>
      </c>
      <c r="AC17">
        <f t="shared" si="10"/>
        <v>33395.021000000001</v>
      </c>
    </row>
    <row r="18" spans="25:29" x14ac:dyDescent="0.3">
      <c r="Y18">
        <f>SAP1b+SAP1c</f>
        <v>170.65</v>
      </c>
      <c r="AC18">
        <f t="shared" si="10"/>
        <v>0</v>
      </c>
    </row>
    <row r="20" spans="25:29" x14ac:dyDescent="0.3">
      <c r="AC20">
        <f>SUM(AA2:AA11)+AA13</f>
        <v>79.142513488372089</v>
      </c>
    </row>
    <row r="21" spans="25:29" x14ac:dyDescent="0.3">
      <c r="AC21">
        <f>SUM(AC6:AC11)+SUM(AC13:AC18)</f>
        <v>202323.00440000001</v>
      </c>
    </row>
    <row r="22" spans="25:29" x14ac:dyDescent="0.3">
      <c r="AC22">
        <f>AC21/A8</f>
        <v>1185.6021353647818</v>
      </c>
    </row>
    <row r="23" spans="25:29" x14ac:dyDescent="0.3">
      <c r="AC23">
        <f>0.15*Y12</f>
        <v>69.596999999999994</v>
      </c>
    </row>
    <row r="24" spans="25:29" x14ac:dyDescent="0.3">
      <c r="AC24">
        <f>AC23+AC20</f>
        <v>148.7395134883721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SAP1a</vt:lpstr>
      <vt:lpstr>SAP1b</vt:lpstr>
      <vt:lpstr>SAP1c</vt:lpstr>
      <vt:lpstr>SAP1d</vt:lpstr>
      <vt:lpstr>SAP1e</vt:lpstr>
      <vt:lpstr>SAP1h</vt:lpstr>
      <vt:lpstr>SAP1n</vt:lpstr>
      <vt:lpstr>SAP2a</vt:lpstr>
      <vt:lpstr>SAP2b</vt:lpstr>
      <vt:lpstr>SAP2c</vt:lpstr>
      <vt:lpstr>SAP2d</vt:lpstr>
      <vt:lpstr>SAP2e</vt:lpstr>
      <vt:lpstr>SAP2n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Speakman</dc:creator>
  <cp:lastModifiedBy>Jack Speakman</cp:lastModifiedBy>
  <dcterms:created xsi:type="dcterms:W3CDTF">2017-11-20T19:02:02Z</dcterms:created>
  <dcterms:modified xsi:type="dcterms:W3CDTF">2017-11-20T22:02:34Z</dcterms:modified>
</cp:coreProperties>
</file>