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t Sep 17 2016 1" sheetId="1" r:id="rId1"/>
    <sheet name="Sat Sep 10 2016 1" sheetId="2" r:id="rId2"/>
    <sheet name="Fri Sep 09 2016 2" sheetId="3" r:id="rId3"/>
    <sheet name="Sat Sep 24 2016 1" sheetId="4" r:id="rId4"/>
  </sheets>
  <calcPr calcId="124519" fullCalcOnLoad="1"/>
</workbook>
</file>

<file path=xl/sharedStrings.xml><?xml version="1.0" encoding="utf-8"?>
<sst xmlns="http://schemas.openxmlformats.org/spreadsheetml/2006/main" count="10060" uniqueCount="1005">
  <si>
    <t>contractID</t>
  </si>
  <si>
    <t>contractType</t>
  </si>
  <si>
    <t>facilityName</t>
  </si>
  <si>
    <t>latitude</t>
  </si>
  <si>
    <t>longitude</t>
  </si>
  <si>
    <t>shortName</t>
  </si>
  <si>
    <t>sitesWithWaterfront</t>
  </si>
  <si>
    <t>state</t>
  </si>
  <si>
    <t>Distance</t>
  </si>
  <si>
    <t>Bearing</t>
  </si>
  <si>
    <t>Spots_tot</t>
  </si>
  <si>
    <t>Spots_acc</t>
  </si>
  <si>
    <t>2016/08/11 20:00</t>
  </si>
  <si>
    <t>2016/08/11 17:00</t>
  </si>
  <si>
    <t>I72377</t>
  </si>
  <si>
    <t>I73494</t>
  </si>
  <si>
    <t>I70158</t>
  </si>
  <si>
    <t>I70528</t>
  </si>
  <si>
    <t>I72376</t>
  </si>
  <si>
    <t>I70984</t>
  </si>
  <si>
    <t>I120003</t>
  </si>
  <si>
    <t>I110004</t>
  </si>
  <si>
    <t>I71514</t>
  </si>
  <si>
    <t>I120006</t>
  </si>
  <si>
    <t>I70160</t>
  </si>
  <si>
    <t>I71938</t>
  </si>
  <si>
    <t>I71674</t>
  </si>
  <si>
    <t>I71546</t>
  </si>
  <si>
    <t>I71586</t>
  </si>
  <si>
    <t>I71521</t>
  </si>
  <si>
    <t>I75445</t>
  </si>
  <si>
    <t>I70181</t>
  </si>
  <si>
    <t>I75010</t>
  </si>
  <si>
    <t>I71587</t>
  </si>
  <si>
    <t>I75426</t>
  </si>
  <si>
    <t>I120009</t>
  </si>
  <si>
    <t>I75483</t>
  </si>
  <si>
    <t>I71607</t>
  </si>
  <si>
    <t>I70551</t>
  </si>
  <si>
    <t>I70518</t>
  </si>
  <si>
    <t>I70617</t>
  </si>
  <si>
    <t>I73627</t>
  </si>
  <si>
    <t>I70519</t>
  </si>
  <si>
    <t>I110452</t>
  </si>
  <si>
    <t>I940023</t>
  </si>
  <si>
    <t>I70236</t>
  </si>
  <si>
    <t>I72306</t>
  </si>
  <si>
    <t>I70237</t>
  </si>
  <si>
    <t>I70953</t>
  </si>
  <si>
    <t>I70169</t>
  </si>
  <si>
    <t>I73091</t>
  </si>
  <si>
    <t>I74128</t>
  </si>
  <si>
    <t>I74129</t>
  </si>
  <si>
    <t>I74130</t>
  </si>
  <si>
    <t>I120011</t>
  </si>
  <si>
    <t>I70240</t>
  </si>
  <si>
    <t>I71725</t>
  </si>
  <si>
    <t>I70170</t>
  </si>
  <si>
    <t>I71569</t>
  </si>
  <si>
    <t>I70146</t>
  </si>
  <si>
    <t>I74127</t>
  </si>
  <si>
    <t>I120012</t>
  </si>
  <si>
    <t>I72462</t>
  </si>
  <si>
    <t>I73102</t>
  </si>
  <si>
    <t>I70575</t>
  </si>
  <si>
    <t>I73100</t>
  </si>
  <si>
    <t>I70754</t>
  </si>
  <si>
    <t>I120013</t>
  </si>
  <si>
    <t>I74186</t>
  </si>
  <si>
    <t>I74195</t>
  </si>
  <si>
    <t>I70171</t>
  </si>
  <si>
    <t>I75428</t>
  </si>
  <si>
    <t>I120014</t>
  </si>
  <si>
    <t>I72184</t>
  </si>
  <si>
    <t>I73975</t>
  </si>
  <si>
    <t>I71677</t>
  </si>
  <si>
    <t>I110284</t>
  </si>
  <si>
    <t>I73937</t>
  </si>
  <si>
    <t>I75437</t>
  </si>
  <si>
    <t>I120015</t>
  </si>
  <si>
    <t>I120016</t>
  </si>
  <si>
    <t>I120017</t>
  </si>
  <si>
    <t>I71589</t>
  </si>
  <si>
    <t>I71722</t>
  </si>
  <si>
    <t>I71995</t>
  </si>
  <si>
    <t>I75436</t>
  </si>
  <si>
    <t>I73541</t>
  </si>
  <si>
    <t>I110533</t>
  </si>
  <si>
    <t>I71609</t>
  </si>
  <si>
    <t>I71670</t>
  </si>
  <si>
    <t>I120018</t>
  </si>
  <si>
    <t>I124900</t>
  </si>
  <si>
    <t>I71705</t>
  </si>
  <si>
    <t>I120019</t>
  </si>
  <si>
    <t>I73062</t>
  </si>
  <si>
    <t>I120020</t>
  </si>
  <si>
    <t>I71655</t>
  </si>
  <si>
    <t>I75150</t>
  </si>
  <si>
    <t>I71590</t>
  </si>
  <si>
    <t>I120021</t>
  </si>
  <si>
    <t>I75172</t>
  </si>
  <si>
    <t>I70250</t>
  </si>
  <si>
    <t>I71611</t>
  </si>
  <si>
    <t>I71657</t>
  </si>
  <si>
    <t>I70951</t>
  </si>
  <si>
    <t>I75444</t>
  </si>
  <si>
    <t>I70251</t>
  </si>
  <si>
    <t>I71552</t>
  </si>
  <si>
    <t>I71689</t>
  </si>
  <si>
    <t>I70252</t>
  </si>
  <si>
    <t>I73609</t>
  </si>
  <si>
    <t>I70790</t>
  </si>
  <si>
    <t>I70758</t>
  </si>
  <si>
    <t>I70930</t>
  </si>
  <si>
    <t>I71719</t>
  </si>
  <si>
    <t>I70147</t>
  </si>
  <si>
    <t>I123400</t>
  </si>
  <si>
    <t>I120022</t>
  </si>
  <si>
    <t>I70677</t>
  </si>
  <si>
    <t>I75266</t>
  </si>
  <si>
    <t>I120023</t>
  </si>
  <si>
    <t>I120099</t>
  </si>
  <si>
    <t>I71591</t>
  </si>
  <si>
    <t>I70172</t>
  </si>
  <si>
    <t>I71515</t>
  </si>
  <si>
    <t>I120024</t>
  </si>
  <si>
    <t>I110003</t>
  </si>
  <si>
    <t>I75427</t>
  </si>
  <si>
    <t>I96770</t>
  </si>
  <si>
    <t>I73632</t>
  </si>
  <si>
    <t>I70376</t>
  </si>
  <si>
    <t>I73747</t>
  </si>
  <si>
    <t>I70258</t>
  </si>
  <si>
    <t>I120025</t>
  </si>
  <si>
    <t>I120029</t>
  </si>
  <si>
    <t>I71601</t>
  </si>
  <si>
    <t>I70940</t>
  </si>
  <si>
    <t>I107633</t>
  </si>
  <si>
    <t>I70934</t>
  </si>
  <si>
    <t>I73750</t>
  </si>
  <si>
    <t>I70529</t>
  </si>
  <si>
    <t>I70804</t>
  </si>
  <si>
    <t>I71529</t>
  </si>
  <si>
    <t>I120030</t>
  </si>
  <si>
    <t>I70148</t>
  </si>
  <si>
    <t>I71522</t>
  </si>
  <si>
    <t>I120031</t>
  </si>
  <si>
    <t>I71645</t>
  </si>
  <si>
    <t>I120032</t>
  </si>
  <si>
    <t>I72398</t>
  </si>
  <si>
    <t>I71678</t>
  </si>
  <si>
    <t>I70144</t>
  </si>
  <si>
    <t>I71531</t>
  </si>
  <si>
    <t>I74162</t>
  </si>
  <si>
    <t>I70410</t>
  </si>
  <si>
    <t>I70752</t>
  </si>
  <si>
    <t>I70173</t>
  </si>
  <si>
    <t>I75432</t>
  </si>
  <si>
    <t>I71518</t>
  </si>
  <si>
    <t>I72124</t>
  </si>
  <si>
    <t>I71553</t>
  </si>
  <si>
    <t>I71517</t>
  </si>
  <si>
    <t>I71600</t>
  </si>
  <si>
    <t>I96769</t>
  </si>
  <si>
    <t>I73950</t>
  </si>
  <si>
    <t>I120034</t>
  </si>
  <si>
    <t>I70266</t>
  </si>
  <si>
    <t>I71666</t>
  </si>
  <si>
    <t>I120033</t>
  </si>
  <si>
    <t>I73703</t>
  </si>
  <si>
    <t>I1040013</t>
  </si>
  <si>
    <t>I74120</t>
  </si>
  <si>
    <t>I120209</t>
  </si>
  <si>
    <t>I70803</t>
  </si>
  <si>
    <t>I71559</t>
  </si>
  <si>
    <t>I70268</t>
  </si>
  <si>
    <t>I70377</t>
  </si>
  <si>
    <t>I72313</t>
  </si>
  <si>
    <t>I70978</t>
  </si>
  <si>
    <t>I70269</t>
  </si>
  <si>
    <t>I120036</t>
  </si>
  <si>
    <t>I70270</t>
  </si>
  <si>
    <t>I71676</t>
  </si>
  <si>
    <t>I74080</t>
  </si>
  <si>
    <t>I71679</t>
  </si>
  <si>
    <t>I71516</t>
  </si>
  <si>
    <t>I71671</t>
  </si>
  <si>
    <t>I71613</t>
  </si>
  <si>
    <t>I70527</t>
  </si>
  <si>
    <t>I70273</t>
  </si>
  <si>
    <t>I70174</t>
  </si>
  <si>
    <t>I70274</t>
  </si>
  <si>
    <t>I70697</t>
  </si>
  <si>
    <t>I70275</t>
  </si>
  <si>
    <t>I71616</t>
  </si>
  <si>
    <t>I120037</t>
  </si>
  <si>
    <t>I120038</t>
  </si>
  <si>
    <t>I70594</t>
  </si>
  <si>
    <t>I120039</t>
  </si>
  <si>
    <t>I70560</t>
  </si>
  <si>
    <t>I70553</t>
  </si>
  <si>
    <t>I70532</t>
  </si>
  <si>
    <t>I70530</t>
  </si>
  <si>
    <t>I70515</t>
  </si>
  <si>
    <t>I71599</t>
  </si>
  <si>
    <t>I70603</t>
  </si>
  <si>
    <t>I70278</t>
  </si>
  <si>
    <t>I120041</t>
  </si>
  <si>
    <t>I120109</t>
  </si>
  <si>
    <t>I940012</t>
  </si>
  <si>
    <t>I73203</t>
  </si>
  <si>
    <t>I71523</t>
  </si>
  <si>
    <t>I71927</t>
  </si>
  <si>
    <t>I71928</t>
  </si>
  <si>
    <t>I70929</t>
  </si>
  <si>
    <t>I71606</t>
  </si>
  <si>
    <t>I70687</t>
  </si>
  <si>
    <t>I70280</t>
  </si>
  <si>
    <t>I70458</t>
  </si>
  <si>
    <t>I73511</t>
  </si>
  <si>
    <t>I70149</t>
  </si>
  <si>
    <t>I71595</t>
  </si>
  <si>
    <t>I120042</t>
  </si>
  <si>
    <t>I71547</t>
  </si>
  <si>
    <t>I71568</t>
  </si>
  <si>
    <t>I70561</t>
  </si>
  <si>
    <t>I70283</t>
  </si>
  <si>
    <t>I70952</t>
  </si>
  <si>
    <t>I120043</t>
  </si>
  <si>
    <t>I75213</t>
  </si>
  <si>
    <t>I75486</t>
  </si>
  <si>
    <t>I75438</t>
  </si>
  <si>
    <t>I70176</t>
  </si>
  <si>
    <t>I73223</t>
  </si>
  <si>
    <t>I71581</t>
  </si>
  <si>
    <t>I73582</t>
  </si>
  <si>
    <t>I120044</t>
  </si>
  <si>
    <t>I110133</t>
  </si>
  <si>
    <t>I120045</t>
  </si>
  <si>
    <t>I70564</t>
  </si>
  <si>
    <t>I75409</t>
  </si>
  <si>
    <t>I70177</t>
  </si>
  <si>
    <t>I71663</t>
  </si>
  <si>
    <t>I71668</t>
  </si>
  <si>
    <t>I71592</t>
  </si>
  <si>
    <t>I70972</t>
  </si>
  <si>
    <t>I71993</t>
  </si>
  <si>
    <t>I109334</t>
  </si>
  <si>
    <t>I73240</t>
  </si>
  <si>
    <t>I70576</t>
  </si>
  <si>
    <t>I73584</t>
  </si>
  <si>
    <t>I72775</t>
  </si>
  <si>
    <t>I120046</t>
  </si>
  <si>
    <t>I120069</t>
  </si>
  <si>
    <t>I70167</t>
  </si>
  <si>
    <t>I71519</t>
  </si>
  <si>
    <t>I74131</t>
  </si>
  <si>
    <t>I120047</t>
  </si>
  <si>
    <t>I72074</t>
  </si>
  <si>
    <t>I73251</t>
  </si>
  <si>
    <t>I75443</t>
  </si>
  <si>
    <t>I71615</t>
  </si>
  <si>
    <t>I120048</t>
  </si>
  <si>
    <t>I123440</t>
  </si>
  <si>
    <t>I123507</t>
  </si>
  <si>
    <t>I72431</t>
  </si>
  <si>
    <t>I940021</t>
  </si>
  <si>
    <t>I71563</t>
  </si>
  <si>
    <t>I75185</t>
  </si>
  <si>
    <t>I70291</t>
  </si>
  <si>
    <t>I70941</t>
  </si>
  <si>
    <t>I70688</t>
  </si>
  <si>
    <t>I75431</t>
  </si>
  <si>
    <t>I71643</t>
  </si>
  <si>
    <t>I71541</t>
  </si>
  <si>
    <t>I70292</t>
  </si>
  <si>
    <t>I71723</t>
  </si>
  <si>
    <t>I71605</t>
  </si>
  <si>
    <t>I71724</t>
  </si>
  <si>
    <t>I108733</t>
  </si>
  <si>
    <t>I70293</t>
  </si>
  <si>
    <t>I73962</t>
  </si>
  <si>
    <t>I110538</t>
  </si>
  <si>
    <t>I74049</t>
  </si>
  <si>
    <t>I71714</t>
  </si>
  <si>
    <t>I71717</t>
  </si>
  <si>
    <t>I70928</t>
  </si>
  <si>
    <t>I70352</t>
  </si>
  <si>
    <t>I71579</t>
  </si>
  <si>
    <t>I120049</t>
  </si>
  <si>
    <t>I120050</t>
  </si>
  <si>
    <t>I120051</t>
  </si>
  <si>
    <t>I71597</t>
  </si>
  <si>
    <t>I120052</t>
  </si>
  <si>
    <t>I120053</t>
  </si>
  <si>
    <t>I74045</t>
  </si>
  <si>
    <t>I70178</t>
  </si>
  <si>
    <t>I72375</t>
  </si>
  <si>
    <t>I120054</t>
  </si>
  <si>
    <t>I120055</t>
  </si>
  <si>
    <t>I70520</t>
  </si>
  <si>
    <t>I70166</t>
  </si>
  <si>
    <t>I120056</t>
  </si>
  <si>
    <t>I71664</t>
  </si>
  <si>
    <t>I71706</t>
  </si>
  <si>
    <t>I70151</t>
  </si>
  <si>
    <t>I120057</t>
  </si>
  <si>
    <t>I72378</t>
  </si>
  <si>
    <t>I1040011</t>
  </si>
  <si>
    <t>I71582</t>
  </si>
  <si>
    <t>I71583</t>
  </si>
  <si>
    <t>I120058</t>
  </si>
  <si>
    <t>I71524</t>
  </si>
  <si>
    <t>I110456</t>
  </si>
  <si>
    <t>I120059</t>
  </si>
  <si>
    <t>I120060</t>
  </si>
  <si>
    <t>I70459</t>
  </si>
  <si>
    <t>I120063</t>
  </si>
  <si>
    <t>I73583</t>
  </si>
  <si>
    <t>I120061</t>
  </si>
  <si>
    <t>I120062</t>
  </si>
  <si>
    <t>I71525</t>
  </si>
  <si>
    <t>I71530</t>
  </si>
  <si>
    <t>I120064</t>
  </si>
  <si>
    <t>I73771</t>
  </si>
  <si>
    <t>I75212</t>
  </si>
  <si>
    <t>I75481</t>
  </si>
  <si>
    <t>I70927</t>
  </si>
  <si>
    <t>I70604</t>
  </si>
  <si>
    <t>I75502</t>
  </si>
  <si>
    <t>I109083</t>
  </si>
  <si>
    <t>I73639</t>
  </si>
  <si>
    <t>I72310</t>
  </si>
  <si>
    <t>I70155</t>
  </si>
  <si>
    <t>I120065</t>
  </si>
  <si>
    <t>I70565</t>
  </si>
  <si>
    <t>I73735</t>
  </si>
  <si>
    <t>I70303</t>
  </si>
  <si>
    <t>I73307</t>
  </si>
  <si>
    <t>I73490</t>
  </si>
  <si>
    <t>I75425</t>
  </si>
  <si>
    <t>I70306</t>
  </si>
  <si>
    <t>I120066</t>
  </si>
  <si>
    <t>I70649</t>
  </si>
  <si>
    <t>I73782</t>
  </si>
  <si>
    <t>I71566</t>
  </si>
  <si>
    <t>I940022</t>
  </si>
  <si>
    <t>I71527</t>
  </si>
  <si>
    <t>I70640</t>
  </si>
  <si>
    <t>I120067</t>
  </si>
  <si>
    <t>I75492</t>
  </si>
  <si>
    <t>I120068</t>
  </si>
  <si>
    <t>I70566</t>
  </si>
  <si>
    <t>I71526</t>
  </si>
  <si>
    <t>I70541</t>
  </si>
  <si>
    <t>I70585</t>
  </si>
  <si>
    <t>I73635</t>
  </si>
  <si>
    <t>I73984</t>
  </si>
  <si>
    <t>I71567</t>
  </si>
  <si>
    <t>I70597</t>
  </si>
  <si>
    <t>I70554</t>
  </si>
  <si>
    <t>I120070</t>
  </si>
  <si>
    <t>I70161</t>
  </si>
  <si>
    <t>I120100</t>
  </si>
  <si>
    <t>I120072</t>
  </si>
  <si>
    <t>I72393</t>
  </si>
  <si>
    <t>I71996</t>
  </si>
  <si>
    <t>I72294</t>
  </si>
  <si>
    <t>I120073</t>
  </si>
  <si>
    <t>I72461</t>
  </si>
  <si>
    <t>I120074</t>
  </si>
  <si>
    <t>I124700</t>
  </si>
  <si>
    <t>I71548</t>
  </si>
  <si>
    <t>I75053</t>
  </si>
  <si>
    <t>I70183</t>
  </si>
  <si>
    <t>I70159</t>
  </si>
  <si>
    <t>I72292</t>
  </si>
  <si>
    <t>I71610</t>
  </si>
  <si>
    <t>I75433</t>
  </si>
  <si>
    <t>I71593</t>
  </si>
  <si>
    <t>I71720</t>
  </si>
  <si>
    <t>I70562</t>
  </si>
  <si>
    <t>I70612</t>
  </si>
  <si>
    <t>I71608</t>
  </si>
  <si>
    <t>I120075</t>
  </si>
  <si>
    <t>I72148</t>
  </si>
  <si>
    <t>I120076</t>
  </si>
  <si>
    <t>I70317</t>
  </si>
  <si>
    <t>I71943</t>
  </si>
  <si>
    <t>I71598</t>
  </si>
  <si>
    <t>I73836</t>
  </si>
  <si>
    <t>I70521</t>
  </si>
  <si>
    <t>I75439</t>
  </si>
  <si>
    <t>I73569</t>
  </si>
  <si>
    <t>I120077</t>
  </si>
  <si>
    <t>I120078</t>
  </si>
  <si>
    <t>I70164</t>
  </si>
  <si>
    <t>I75430</t>
  </si>
  <si>
    <t>I120080</t>
  </si>
  <si>
    <t>I120079</t>
  </si>
  <si>
    <t>I120081</t>
  </si>
  <si>
    <t>I120082</t>
  </si>
  <si>
    <t>I120083</t>
  </si>
  <si>
    <t>I70182</t>
  </si>
  <si>
    <t>I120084</t>
  </si>
  <si>
    <t>I70983</t>
  </si>
  <si>
    <t>I120085</t>
  </si>
  <si>
    <t>I120086</t>
  </si>
  <si>
    <t>I72076</t>
  </si>
  <si>
    <t>I70982</t>
  </si>
  <si>
    <t>I70981</t>
  </si>
  <si>
    <t>I70980</t>
  </si>
  <si>
    <t>I70979</t>
  </si>
  <si>
    <t>I75265</t>
  </si>
  <si>
    <t>I75429</t>
  </si>
  <si>
    <t>I70533</t>
  </si>
  <si>
    <t>I73900</t>
  </si>
  <si>
    <t>I70950</t>
  </si>
  <si>
    <t>I70567</t>
  </si>
  <si>
    <t>I71675</t>
  </si>
  <si>
    <t>I110550</t>
  </si>
  <si>
    <t>I75435</t>
  </si>
  <si>
    <t>I70460</t>
  </si>
  <si>
    <t>I74160</t>
  </si>
  <si>
    <t>I71672</t>
  </si>
  <si>
    <t>I75194</t>
  </si>
  <si>
    <t>I70555</t>
  </si>
  <si>
    <t>I71673</t>
  </si>
  <si>
    <t>I120088</t>
  </si>
  <si>
    <t>I70327</t>
  </si>
  <si>
    <t>I120089</t>
  </si>
  <si>
    <t>I71669</t>
  </si>
  <si>
    <t>I120090</t>
  </si>
  <si>
    <t>I73802</t>
  </si>
  <si>
    <t>I74125</t>
  </si>
  <si>
    <t>I75247</t>
  </si>
  <si>
    <t>I71578</t>
  </si>
  <si>
    <t>I71612</t>
  </si>
  <si>
    <t>I120091</t>
  </si>
  <si>
    <t>I70753</t>
  </si>
  <si>
    <t>I71554</t>
  </si>
  <si>
    <t>I70336</t>
  </si>
  <si>
    <t>I120093</t>
  </si>
  <si>
    <t>I120092</t>
  </si>
  <si>
    <t>I73745</t>
  </si>
  <si>
    <t>I74047</t>
  </si>
  <si>
    <t>I74046</t>
  </si>
  <si>
    <t>I110028</t>
  </si>
  <si>
    <t>I110283</t>
  </si>
  <si>
    <t>I120094</t>
  </si>
  <si>
    <t>I70310</t>
  </si>
  <si>
    <t>I71665</t>
  </si>
  <si>
    <t>I75545</t>
  </si>
  <si>
    <t>I73585</t>
  </si>
  <si>
    <t>I70522</t>
  </si>
  <si>
    <t>I120095</t>
  </si>
  <si>
    <t>I70180</t>
  </si>
  <si>
    <t>I70516</t>
  </si>
  <si>
    <t>I125740</t>
  </si>
  <si>
    <t>I73960</t>
  </si>
  <si>
    <t>I71667</t>
  </si>
  <si>
    <t>I71570</t>
  </si>
  <si>
    <t>I70832</t>
  </si>
  <si>
    <t>I75332</t>
  </si>
  <si>
    <t>I72331</t>
  </si>
  <si>
    <t>I70349</t>
  </si>
  <si>
    <t>I70523</t>
  </si>
  <si>
    <t>I73451</t>
  </si>
  <si>
    <t>I70556</t>
  </si>
  <si>
    <t>I70926</t>
  </si>
  <si>
    <t>I120096</t>
  </si>
  <si>
    <t>I74079</t>
  </si>
  <si>
    <t>I75193</t>
  </si>
  <si>
    <t>I940011</t>
  </si>
  <si>
    <t>I75424</t>
  </si>
  <si>
    <t>I71588</t>
  </si>
  <si>
    <t>I71718</t>
  </si>
  <si>
    <t>I70165</t>
  </si>
  <si>
    <t>I70925</t>
  </si>
  <si>
    <t>I70524</t>
  </si>
  <si>
    <t>I94468</t>
  </si>
  <si>
    <t>I120097</t>
  </si>
  <si>
    <t>I71584</t>
  </si>
  <si>
    <t>I70924</t>
  </si>
  <si>
    <t>I70355</t>
  </si>
  <si>
    <t>I71729</t>
  </si>
  <si>
    <t>I70392</t>
  </si>
  <si>
    <t>I70647</t>
  </si>
  <si>
    <t>I71539</t>
  </si>
  <si>
    <t>I109333</t>
  </si>
  <si>
    <t>I70357</t>
  </si>
  <si>
    <t>I73497</t>
  </si>
  <si>
    <t>I75434</t>
  </si>
  <si>
    <t>I71585</t>
  </si>
  <si>
    <t>I71721</t>
  </si>
  <si>
    <t>I70757</t>
  </si>
  <si>
    <t>I71520</t>
  </si>
  <si>
    <t>I70150</t>
  </si>
  <si>
    <t>I120098</t>
  </si>
  <si>
    <t>I1040012</t>
  </si>
  <si>
    <t>I70152</t>
  </si>
  <si>
    <t>I72430</t>
  </si>
  <si>
    <t>I70359</t>
  </si>
  <si>
    <t>I70762</t>
  </si>
  <si>
    <t>NRSO</t>
  </si>
  <si>
    <t>CA</t>
  </si>
  <si>
    <t>EB</t>
  </si>
  <si>
    <t>CTLN</t>
  </si>
  <si>
    <t>STAN</t>
  </si>
  <si>
    <t>FEDERAL</t>
  </si>
  <si>
    <t>STATE</t>
  </si>
  <si>
    <t>COUNTY</t>
  </si>
  <si>
    <t>AKCG</t>
  </si>
  <si>
    <t>ACAM</t>
  </si>
  <si>
    <t>AGNM</t>
  </si>
  <si>
    <t>ALMA</t>
  </si>
  <si>
    <t>AVCG</t>
  </si>
  <si>
    <t>CG06</t>
  </si>
  <si>
    <t>ANGE</t>
  </si>
  <si>
    <t>ANTH</t>
  </si>
  <si>
    <t>ANTS</t>
  </si>
  <si>
    <t>ANZA</t>
  </si>
  <si>
    <t>ARRS</t>
  </si>
  <si>
    <t>ASPR</t>
  </si>
  <si>
    <t>ASGR</t>
  </si>
  <si>
    <t>ASPH</t>
  </si>
  <si>
    <t>BADG</t>
  </si>
  <si>
    <t>BAIL</t>
  </si>
  <si>
    <t>BDDO</t>
  </si>
  <si>
    <t>BART</t>
  </si>
  <si>
    <t>BGC1</t>
  </si>
  <si>
    <t>BELK</t>
  </si>
  <si>
    <t>BRGR</t>
  </si>
  <si>
    <t>BIGB</t>
  </si>
  <si>
    <t>BIBG</t>
  </si>
  <si>
    <t>BIG2</t>
  </si>
  <si>
    <t>BIGD</t>
  </si>
  <si>
    <t>BIGP</t>
  </si>
  <si>
    <t>BPCC</t>
  </si>
  <si>
    <t>BSIL</t>
  </si>
  <si>
    <t>BISH</t>
  </si>
  <si>
    <t>BDMP</t>
  </si>
  <si>
    <t>CI23</t>
  </si>
  <si>
    <t>BLAM</t>
  </si>
  <si>
    <t>BMLC</t>
  </si>
  <si>
    <t>BOSM</t>
  </si>
  <si>
    <t>CG37</t>
  </si>
  <si>
    <t>BLUG</t>
  </si>
  <si>
    <t>BOIS</t>
  </si>
  <si>
    <t>BOCA</t>
  </si>
  <si>
    <t>BORE</t>
  </si>
  <si>
    <t>BOSP</t>
  </si>
  <si>
    <t>BOTH</t>
  </si>
  <si>
    <t>BOUL</t>
  </si>
  <si>
    <t>BOUK</t>
  </si>
  <si>
    <t>BOUG</t>
  </si>
  <si>
    <t>BOGU</t>
  </si>
  <si>
    <t>CLEV</t>
  </si>
  <si>
    <t>BOYI</t>
  </si>
  <si>
    <t>BRAN</t>
  </si>
  <si>
    <t>C462</t>
  </si>
  <si>
    <t>BHOR</t>
  </si>
  <si>
    <t>BURN</t>
  </si>
  <si>
    <t>BUAY</t>
  </si>
  <si>
    <t>BUSH</t>
  </si>
  <si>
    <t>BUTA</t>
  </si>
  <si>
    <t>BUTL</t>
  </si>
  <si>
    <t>BUTG</t>
  </si>
  <si>
    <t>BUTT</t>
  </si>
  <si>
    <t>CALI</t>
  </si>
  <si>
    <t>CALA</t>
  </si>
  <si>
    <t>CFCG</t>
  </si>
  <si>
    <t>LAK9</t>
  </si>
  <si>
    <t>CAMT</t>
  </si>
  <si>
    <t>C284</t>
  </si>
  <si>
    <t>CAPP</t>
  </si>
  <si>
    <t>CRTN</t>
  </si>
  <si>
    <t>CARP</t>
  </si>
  <si>
    <t>CAST</t>
  </si>
  <si>
    <t>CASW</t>
  </si>
  <si>
    <t>CATA</t>
  </si>
  <si>
    <t>CEDF</t>
  </si>
  <si>
    <t>NW05</t>
  </si>
  <si>
    <t>CHPM</t>
  </si>
  <si>
    <t>CHEK</t>
  </si>
  <si>
    <t>D533</t>
  </si>
  <si>
    <t>CHCO</t>
  </si>
  <si>
    <t>CHKO</t>
  </si>
  <si>
    <t>CHIN</t>
  </si>
  <si>
    <t>CHSP</t>
  </si>
  <si>
    <t>CHTR</t>
  </si>
  <si>
    <t>CLEA</t>
  </si>
  <si>
    <t>CODO</t>
  </si>
  <si>
    <t>COLA</t>
  </si>
  <si>
    <t>COCR</t>
  </si>
  <si>
    <t>CLDW</t>
  </si>
  <si>
    <t>COLL</t>
  </si>
  <si>
    <t>COLU</t>
  </si>
  <si>
    <t>CONL</t>
  </si>
  <si>
    <t>COON</t>
  </si>
  <si>
    <t>COTT</t>
  </si>
  <si>
    <t>COTC</t>
  </si>
  <si>
    <t>CG39</t>
  </si>
  <si>
    <t>CLTR</t>
  </si>
  <si>
    <t>COUN</t>
  </si>
  <si>
    <t>COVG</t>
  </si>
  <si>
    <t>COYF</t>
  </si>
  <si>
    <t>COYO</t>
  </si>
  <si>
    <t>COYP</t>
  </si>
  <si>
    <t>CRAB</t>
  </si>
  <si>
    <t>CRAG</t>
  </si>
  <si>
    <t>CG60</t>
  </si>
  <si>
    <t>CRVA</t>
  </si>
  <si>
    <t>CREG</t>
  </si>
  <si>
    <t>B400</t>
  </si>
  <si>
    <t>CRYS</t>
  </si>
  <si>
    <t>CURJ</t>
  </si>
  <si>
    <t>CUYA</t>
  </si>
  <si>
    <t>BLIS</t>
  </si>
  <si>
    <t>DEAR</t>
  </si>
  <si>
    <t>DEER</t>
  </si>
  <si>
    <t>DEKK</t>
  </si>
  <si>
    <t>DELN</t>
  </si>
  <si>
    <t>DELV</t>
  </si>
  <si>
    <t>DILO</t>
  </si>
  <si>
    <t>D770</t>
  </si>
  <si>
    <t>DIMO</t>
  </si>
  <si>
    <t>DINK</t>
  </si>
  <si>
    <t>DIRT</t>
  </si>
  <si>
    <t>DOGW</t>
  </si>
  <si>
    <t>DOHE</t>
  </si>
  <si>
    <t>DONN</t>
  </si>
  <si>
    <t>DORA</t>
  </si>
  <si>
    <t>CG50</t>
  </si>
  <si>
    <t>DRSC</t>
  </si>
  <si>
    <t>CG56</t>
  </si>
  <si>
    <t>DRYG</t>
  </si>
  <si>
    <t>EAGL</t>
  </si>
  <si>
    <t>EASF</t>
  </si>
  <si>
    <t>EAME</t>
  </si>
  <si>
    <t>ELCA</t>
  </si>
  <si>
    <t>ELPR</t>
  </si>
  <si>
    <t>ELLE</t>
  </si>
  <si>
    <t>EMER</t>
  </si>
  <si>
    <t>EMIG</t>
  </si>
  <si>
    <t>EMMA</t>
  </si>
  <si>
    <t>EHCG</t>
  </si>
  <si>
    <t>FAVI</t>
  </si>
  <si>
    <t>FALC</t>
  </si>
  <si>
    <t>FALF</t>
  </si>
  <si>
    <t>FASH</t>
  </si>
  <si>
    <t>FAUC</t>
  </si>
  <si>
    <t>FAWN</t>
  </si>
  <si>
    <t>FERN</t>
  </si>
  <si>
    <t>FIDD</t>
  </si>
  <si>
    <t>FIND</t>
  </si>
  <si>
    <t>FCCG</t>
  </si>
  <si>
    <t>FIGR</t>
  </si>
  <si>
    <t>FIRT</t>
  </si>
  <si>
    <t>FICR</t>
  </si>
  <si>
    <t>D769</t>
  </si>
  <si>
    <t>FISG</t>
  </si>
  <si>
    <t>FOLS</t>
  </si>
  <si>
    <t>FORB</t>
  </si>
  <si>
    <t>FRKS</t>
  </si>
  <si>
    <t>FORT</t>
  </si>
  <si>
    <t>FOJE</t>
  </si>
  <si>
    <t>FRNK</t>
  </si>
  <si>
    <t>FRCA</t>
  </si>
  <si>
    <t>FREM</t>
  </si>
  <si>
    <t>FREN</t>
  </si>
  <si>
    <t>FREG</t>
  </si>
  <si>
    <t>FRMN</t>
  </si>
  <si>
    <t>FRYC</t>
  </si>
  <si>
    <t>CG12</t>
  </si>
  <si>
    <t>GATE</t>
  </si>
  <si>
    <t>GEOR</t>
  </si>
  <si>
    <t>GERL</t>
  </si>
  <si>
    <t>GIGA</t>
  </si>
  <si>
    <t>GLOR</t>
  </si>
  <si>
    <t>GOED</t>
  </si>
  <si>
    <t>GOOM</t>
  </si>
  <si>
    <t>GRFL</t>
  </si>
  <si>
    <t>GRAS</t>
  </si>
  <si>
    <t>GRFC</t>
  </si>
  <si>
    <t>GRAM</t>
  </si>
  <si>
    <t>GRAY</t>
  </si>
  <si>
    <t>GREC</t>
  </si>
  <si>
    <t>GRES</t>
  </si>
  <si>
    <t>GREV</t>
  </si>
  <si>
    <t>GRIZ</t>
  </si>
  <si>
    <t>GROV</t>
  </si>
  <si>
    <t>GURN</t>
  </si>
  <si>
    <t>HALF</t>
  </si>
  <si>
    <t>HALL</t>
  </si>
  <si>
    <t>HAMP</t>
  </si>
  <si>
    <t>HANN</t>
  </si>
  <si>
    <t>HATC</t>
  </si>
  <si>
    <t>HAYW</t>
  </si>
  <si>
    <t>HEAD</t>
  </si>
  <si>
    <t>HEA4</t>
  </si>
  <si>
    <t>HEA2</t>
  </si>
  <si>
    <t>HENR</t>
  </si>
  <si>
    <t>HCOE</t>
  </si>
  <si>
    <t>CI12</t>
  </si>
  <si>
    <t>HIDV</t>
  </si>
  <si>
    <t>HIRT</t>
  </si>
  <si>
    <t>HIR1</t>
  </si>
  <si>
    <t>HIR2</t>
  </si>
  <si>
    <t>CG61</t>
  </si>
  <si>
    <t>HOLE</t>
  </si>
  <si>
    <t>HOLG</t>
  </si>
  <si>
    <t>HONE</t>
  </si>
  <si>
    <t>HOPV</t>
  </si>
  <si>
    <t>HCRE</t>
  </si>
  <si>
    <t>HORG</t>
  </si>
  <si>
    <t>HOSP</t>
  </si>
  <si>
    <t>HUMB</t>
  </si>
  <si>
    <t>HULA</t>
  </si>
  <si>
    <t>HUNG</t>
  </si>
  <si>
    <t>HUTC</t>
  </si>
  <si>
    <t>ICEH</t>
  </si>
  <si>
    <t>CG38</t>
  </si>
  <si>
    <t>INDI</t>
  </si>
  <si>
    <t>INDG</t>
  </si>
  <si>
    <t>INSP</t>
  </si>
  <si>
    <t>INVA</t>
  </si>
  <si>
    <t>IROW</t>
  </si>
  <si>
    <t>PAR2</t>
  </si>
  <si>
    <t>JAAS</t>
  </si>
  <si>
    <t>JACK</t>
  </si>
  <si>
    <t>JEDE</t>
  </si>
  <si>
    <t>E133</t>
  </si>
  <si>
    <t>JULI</t>
  </si>
  <si>
    <t>JUNE</t>
  </si>
  <si>
    <t>JLGR</t>
  </si>
  <si>
    <t>JUNS</t>
  </si>
  <si>
    <t>KASP</t>
  </si>
  <si>
    <t>KELT</t>
  </si>
  <si>
    <t>KINN</t>
  </si>
  <si>
    <t>CG18</t>
  </si>
  <si>
    <t>NW03</t>
  </si>
  <si>
    <t>KITC</t>
  </si>
  <si>
    <t>KYEN</t>
  </si>
  <si>
    <t>LAGN</t>
  </si>
  <si>
    <t>LAKE</t>
  </si>
  <si>
    <t>LMRC</t>
  </si>
  <si>
    <t>OROV</t>
  </si>
  <si>
    <t>PERR</t>
  </si>
  <si>
    <t>LAKB</t>
  </si>
  <si>
    <t>LASH</t>
  </si>
  <si>
    <t>LATR</t>
  </si>
  <si>
    <t>LEOC</t>
  </si>
  <si>
    <t>LRME</t>
  </si>
  <si>
    <t>LGLE</t>
  </si>
  <si>
    <t>LTPT</t>
  </si>
  <si>
    <t>LIGH</t>
  </si>
  <si>
    <t>LIME</t>
  </si>
  <si>
    <t>E440</t>
  </si>
  <si>
    <t>LBSP</t>
  </si>
  <si>
    <t>LBAC</t>
  </si>
  <si>
    <t>CI21</t>
  </si>
  <si>
    <t>LIVO</t>
  </si>
  <si>
    <t>LIOA</t>
  </si>
  <si>
    <t>LOBO</t>
  </si>
  <si>
    <t>CG49</t>
  </si>
  <si>
    <t>LOD2</t>
  </si>
  <si>
    <t>LOVI</t>
  </si>
  <si>
    <t>LOGC</t>
  </si>
  <si>
    <t>LOGG</t>
  </si>
  <si>
    <t>LONP</t>
  </si>
  <si>
    <t>LON1</t>
  </si>
  <si>
    <t>LONM</t>
  </si>
  <si>
    <t>LALO</t>
  </si>
  <si>
    <t>B733</t>
  </si>
  <si>
    <t>LOON</t>
  </si>
  <si>
    <t>LOSP</t>
  </si>
  <si>
    <t>B538</t>
  </si>
  <si>
    <t>LOCR</t>
  </si>
  <si>
    <t>BILO</t>
  </si>
  <si>
    <t>LOLI</t>
  </si>
  <si>
    <t>CG62</t>
  </si>
  <si>
    <t>LOTL</t>
  </si>
  <si>
    <t>LUPE</t>
  </si>
  <si>
    <t>MACK</t>
  </si>
  <si>
    <t>MALA</t>
  </si>
  <si>
    <t>MALI</t>
  </si>
  <si>
    <t>MAMM</t>
  </si>
  <si>
    <t>MANC</t>
  </si>
  <si>
    <t>MANR</t>
  </si>
  <si>
    <t>MANL</t>
  </si>
  <si>
    <t>MARI</t>
  </si>
  <si>
    <t>MSCG</t>
  </si>
  <si>
    <t>MCAR</t>
  </si>
  <si>
    <t>MCCO</t>
  </si>
  <si>
    <t>MCGE</t>
  </si>
  <si>
    <t>MCGI</t>
  </si>
  <si>
    <t>MCGR</t>
  </si>
  <si>
    <t>MEEK</t>
  </si>
  <si>
    <t>MERI</t>
  </si>
  <si>
    <t>MIDM</t>
  </si>
  <si>
    <t>MILL</t>
  </si>
  <si>
    <t>MVCG</t>
  </si>
  <si>
    <t>MDST</t>
  </si>
  <si>
    <t>MONO</t>
  </si>
  <si>
    <t>MOHS</t>
  </si>
  <si>
    <t>MONT</t>
  </si>
  <si>
    <t>MOOR</t>
  </si>
  <si>
    <t>MTRP</t>
  </si>
  <si>
    <t>MORR</t>
  </si>
  <si>
    <t>MORS</t>
  </si>
  <si>
    <t>MOUR</t>
  </si>
  <si>
    <t>MTTA</t>
  </si>
  <si>
    <t>MOUN</t>
  </si>
  <si>
    <t>MTDI</t>
  </si>
  <si>
    <t>MTSA</t>
  </si>
  <si>
    <t>NELS</t>
  </si>
  <si>
    <t>NEVA</t>
  </si>
  <si>
    <t>NEWB</t>
  </si>
  <si>
    <t>NSRC</t>
  </si>
  <si>
    <t>NORD</t>
  </si>
  <si>
    <t>NOFR</t>
  </si>
  <si>
    <t>CG63</t>
  </si>
  <si>
    <t>NOS1</t>
  </si>
  <si>
    <t>OABC</t>
  </si>
  <si>
    <t>C083</t>
  </si>
  <si>
    <t>OAKK</t>
  </si>
  <si>
    <t>OBSC</t>
  </si>
  <si>
    <t>OBSI</t>
  </si>
  <si>
    <t>OCEA</t>
  </si>
  <si>
    <t>OHRI</t>
  </si>
  <si>
    <t>OLDS</t>
  </si>
  <si>
    <t>ONIO</t>
  </si>
  <si>
    <t>OBUT</t>
  </si>
  <si>
    <t>OSOG</t>
  </si>
  <si>
    <t>PASA</t>
  </si>
  <si>
    <t>PAHA</t>
  </si>
  <si>
    <t>PALO</t>
  </si>
  <si>
    <t>PANF</t>
  </si>
  <si>
    <t>PARA</t>
  </si>
  <si>
    <t>PARD</t>
  </si>
  <si>
    <t>CI22</t>
  </si>
  <si>
    <t>PASS</t>
  </si>
  <si>
    <t>PATR</t>
  </si>
  <si>
    <t>PEAR</t>
  </si>
  <si>
    <t>PFEI</t>
  </si>
  <si>
    <t>PING</t>
  </si>
  <si>
    <t>PIPO</t>
  </si>
  <si>
    <t>PINC</t>
  </si>
  <si>
    <t>PINK</t>
  </si>
  <si>
    <t>PINS</t>
  </si>
  <si>
    <t>CGPI</t>
  </si>
  <si>
    <t>PIOP</t>
  </si>
  <si>
    <t>PION</t>
  </si>
  <si>
    <t>PIPI</t>
  </si>
  <si>
    <t>PISM</t>
  </si>
  <si>
    <t>PLAS</t>
  </si>
  <si>
    <t>PLUM</t>
  </si>
  <si>
    <t>MUGU</t>
  </si>
  <si>
    <t>PRNS</t>
  </si>
  <si>
    <t>NW06</t>
  </si>
  <si>
    <t>PCOV</t>
  </si>
  <si>
    <t>PORT</t>
  </si>
  <si>
    <t>C461</t>
  </si>
  <si>
    <t>PRAI</t>
  </si>
  <si>
    <t>C700</t>
  </si>
  <si>
    <t>PRCS</t>
  </si>
  <si>
    <t>PRSS</t>
  </si>
  <si>
    <t>POCA</t>
  </si>
  <si>
    <t>PUMI</t>
  </si>
  <si>
    <t>PLLA</t>
  </si>
  <si>
    <t>QUAK</t>
  </si>
  <si>
    <t>RAMS</t>
  </si>
  <si>
    <t>RANC</t>
  </si>
  <si>
    <t>RECR</t>
  </si>
  <si>
    <t>REDF</t>
  </si>
  <si>
    <t>REDI</t>
  </si>
  <si>
    <t>REDW</t>
  </si>
  <si>
    <t>REFU</t>
  </si>
  <si>
    <t>RVCC</t>
  </si>
  <si>
    <t>RICH</t>
  </si>
  <si>
    <t>ROBI</t>
  </si>
  <si>
    <t>ROBS</t>
  </si>
  <si>
    <t>ROCK</t>
  </si>
  <si>
    <t>RCLK</t>
  </si>
  <si>
    <t>ROCC</t>
  </si>
  <si>
    <t>RORE</t>
  </si>
  <si>
    <t>RUNN</t>
  </si>
  <si>
    <t>RUSS</t>
  </si>
  <si>
    <t>SADD</t>
  </si>
  <si>
    <t>SAGE</t>
  </si>
  <si>
    <t>SACR</t>
  </si>
  <si>
    <t>SALT</t>
  </si>
  <si>
    <t>SALS</t>
  </si>
  <si>
    <t>SAMU</t>
  </si>
  <si>
    <t>SANC</t>
  </si>
  <si>
    <t>SANE</t>
  </si>
  <si>
    <t>SANG</t>
  </si>
  <si>
    <t>SANL</t>
  </si>
  <si>
    <t>CG07</t>
  </si>
  <si>
    <t>SANO</t>
  </si>
  <si>
    <t>SANS</t>
  </si>
  <si>
    <t>SANF</t>
  </si>
  <si>
    <t>CG08</t>
  </si>
  <si>
    <t>CG09</t>
  </si>
  <si>
    <t>CG10</t>
  </si>
  <si>
    <t>CG11</t>
  </si>
  <si>
    <t>SATO</t>
  </si>
  <si>
    <t>SARD</t>
  </si>
  <si>
    <t>SERR</t>
  </si>
  <si>
    <t>SHAC</t>
  </si>
  <si>
    <t>CG40</t>
  </si>
  <si>
    <t>SHEC</t>
  </si>
  <si>
    <t>SHCR</t>
  </si>
  <si>
    <t>SVRP</t>
  </si>
  <si>
    <t>SRRA</t>
  </si>
  <si>
    <t>SILC</t>
  </si>
  <si>
    <t>SILG</t>
  </si>
  <si>
    <t>SICR</t>
  </si>
  <si>
    <t>SLVL</t>
  </si>
  <si>
    <t>SILE</t>
  </si>
  <si>
    <t>SIGR</t>
  </si>
  <si>
    <t>SILV</t>
  </si>
  <si>
    <t>SKYL</t>
  </si>
  <si>
    <t>SONO</t>
  </si>
  <si>
    <t>SOQU</t>
  </si>
  <si>
    <t>SOUT</t>
  </si>
  <si>
    <t>SOUF</t>
  </si>
  <si>
    <t>SOSH</t>
  </si>
  <si>
    <t>SPNC</t>
  </si>
  <si>
    <t>SPCO</t>
  </si>
  <si>
    <t>SPCR</t>
  </si>
  <si>
    <t>STON</t>
  </si>
  <si>
    <t>STCR</t>
  </si>
  <si>
    <t>STUM</t>
  </si>
  <si>
    <t>SUGP</t>
  </si>
  <si>
    <t>SUGA</t>
  </si>
  <si>
    <t>SUMD</t>
  </si>
  <si>
    <t>SULN</t>
  </si>
  <si>
    <t>SULS</t>
  </si>
  <si>
    <t>SUNO</t>
  </si>
  <si>
    <t>B283</t>
  </si>
  <si>
    <t>SUNS</t>
  </si>
  <si>
    <t>SUNP</t>
  </si>
  <si>
    <t>SWWA</t>
  </si>
  <si>
    <t>SYGV</t>
  </si>
  <si>
    <t>TBLE</t>
  </si>
  <si>
    <t>TABL</t>
  </si>
  <si>
    <t>TAHO</t>
  </si>
  <si>
    <t>TANG</t>
  </si>
  <si>
    <t>TACA</t>
  </si>
  <si>
    <t>F740</t>
  </si>
  <si>
    <t>TENT</t>
  </si>
  <si>
    <t>TEXA</t>
  </si>
  <si>
    <t>TILL</t>
  </si>
  <si>
    <t>TRAG</t>
  </si>
  <si>
    <t>TREE</t>
  </si>
  <si>
    <t>TRCA</t>
  </si>
  <si>
    <t>TRUM</t>
  </si>
  <si>
    <t>TUFF</t>
  </si>
  <si>
    <t>TUL2</t>
  </si>
  <si>
    <t>TUNN</t>
  </si>
  <si>
    <t>CG64</t>
  </si>
  <si>
    <t>TURL</t>
  </si>
  <si>
    <t>TUTT</t>
  </si>
  <si>
    <t>TWNL</t>
  </si>
  <si>
    <t>CI11</t>
  </si>
  <si>
    <t>UNFL</t>
  </si>
  <si>
    <t>BICR</t>
  </si>
  <si>
    <t>UPLI</t>
  </si>
  <si>
    <t>UPPO</t>
  </si>
  <si>
    <t>CG65</t>
  </si>
  <si>
    <t>UPSF</t>
  </si>
  <si>
    <t>F468</t>
  </si>
  <si>
    <t>VAND</t>
  </si>
  <si>
    <t>VERI</t>
  </si>
  <si>
    <t>CG66</t>
  </si>
  <si>
    <t>WENC</t>
  </si>
  <si>
    <t>WEEA</t>
  </si>
  <si>
    <t>WHEE</t>
  </si>
  <si>
    <t>WHIC</t>
  </si>
  <si>
    <t>WTRI</t>
  </si>
  <si>
    <t>B333</t>
  </si>
  <si>
    <t>WHTP</t>
  </si>
  <si>
    <t>WILH</t>
  </si>
  <si>
    <t>WIPL</t>
  </si>
  <si>
    <t>WISO</t>
  </si>
  <si>
    <t>WISN</t>
  </si>
  <si>
    <t>WOLA</t>
  </si>
  <si>
    <t>WOCA</t>
  </si>
  <si>
    <t>WOOH</t>
  </si>
  <si>
    <t>WOOD</t>
  </si>
  <si>
    <t>WRIG</t>
  </si>
  <si>
    <t>WYAC</t>
  </si>
  <si>
    <t>YEL1</t>
  </si>
  <si>
    <t>YUBA</t>
  </si>
  <si>
    <t>Island</t>
  </si>
  <si>
    <t>Riverfront</t>
  </si>
  <si>
    <t>Lakefront</t>
  </si>
  <si>
    <t>Oceanfront</t>
  </si>
  <si>
    <t>96</t>
  </si>
  <si>
    <t>Springs</t>
  </si>
  <si>
    <t>90</t>
  </si>
  <si>
    <t>2016/08/07 22:08</t>
  </si>
  <si>
    <t>2016/08/07 21:27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</si>
</sst>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91"/>
  <sheetViews>
    <sheetView tabSelected="1" workbookViewId="0"/>
  </sheetViews>
  <sheetFormatPr defaultRowHeight="15"/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14</v>
      </c>
      <c r="B2" t="s">
        <v>504</v>
      </c>
      <c r="C2" t="s">
        <v>509</v>
      </c>
      <c r="D2">
        <f>HYPERLINK("http://www.reserveamerica.com/camping/ackerman-campground/r/facilityDetails.do?contractCode=NRSO&amp;parkId=72377", "ACKERMAN CAMPGROUND")</f>
        <v>0</v>
      </c>
      <c r="E2">
        <v>40.7855556</v>
      </c>
      <c r="F2">
        <v>-122.7716667</v>
      </c>
      <c r="G2" t="s">
        <v>512</v>
      </c>
      <c r="I2" t="s">
        <v>505</v>
      </c>
      <c r="J2">
        <f>HYPERLINK("http://maps.google.com/maps?z=10&amp;t=m&amp;q=loc:40.7855556+-122.7716667", 391)</f>
        <v>0</v>
      </c>
      <c r="K2">
        <v>349</v>
      </c>
      <c r="L2">
        <v>0</v>
      </c>
      <c r="M2">
        <v>0</v>
      </c>
      <c r="N2">
        <v>0</v>
      </c>
      <c r="O2">
        <v>0</v>
      </c>
    </row>
    <row r="3" spans="1:15">
      <c r="A3" s="1" t="s">
        <v>15</v>
      </c>
      <c r="B3" t="s">
        <v>504</v>
      </c>
      <c r="C3" t="s">
        <v>509</v>
      </c>
      <c r="D3">
        <f>HYPERLINK("http://www.reserveamerica.com/camping/acorn-campground/r/facilityDetails.do?contractCode=NRSO&amp;parkId=73494", "ACORN CAMPGROUND")</f>
        <v>0</v>
      </c>
      <c r="E3">
        <v>38.1762611</v>
      </c>
      <c r="F3">
        <v>-120.7997222</v>
      </c>
      <c r="G3" t="s">
        <v>513</v>
      </c>
      <c r="I3" t="s">
        <v>505</v>
      </c>
      <c r="J3">
        <f>HYPERLINK("http://maps.google.com/maps?z=10&amp;t=m&amp;q=loc:38.1762611+-120.7997222", 135)</f>
        <v>0</v>
      </c>
      <c r="K3">
        <v>45</v>
      </c>
      <c r="L3">
        <v>116</v>
      </c>
      <c r="M3">
        <v>3</v>
      </c>
      <c r="N3">
        <v>113</v>
      </c>
      <c r="O3">
        <v>113</v>
      </c>
    </row>
    <row r="4" spans="1:15">
      <c r="A4" s="1" t="s">
        <v>16</v>
      </c>
      <c r="B4" t="s">
        <v>504</v>
      </c>
      <c r="C4" t="s">
        <v>509</v>
      </c>
      <c r="D4">
        <f>HYPERLINK("http://www.reserveamerica.com/camping/agnew-meadows-group-camp/r/facilityDetails.do?contractCode=NRSO&amp;parkId=70158", "AGNEW MEADOWS GROUP CAMP")</f>
        <v>0</v>
      </c>
      <c r="E4">
        <v>37.6822222</v>
      </c>
      <c r="F4">
        <v>-119.0894444</v>
      </c>
      <c r="G4" t="s">
        <v>514</v>
      </c>
      <c r="I4" t="s">
        <v>505</v>
      </c>
      <c r="J4">
        <f>HYPERLINK("http://maps.google.com/maps?z=10&amp;t=m&amp;q=loc:37.6822222+-119.0894444", 251)</f>
        <v>0</v>
      </c>
      <c r="K4">
        <v>80</v>
      </c>
      <c r="L4">
        <v>0</v>
      </c>
      <c r="M4">
        <v>0</v>
      </c>
      <c r="N4">
        <v>0</v>
      </c>
      <c r="O4">
        <v>0</v>
      </c>
    </row>
    <row r="5" spans="1:15">
      <c r="A5" s="1" t="s">
        <v>17</v>
      </c>
      <c r="B5" t="s">
        <v>504</v>
      </c>
      <c r="C5" t="s">
        <v>509</v>
      </c>
      <c r="D5">
        <f>HYPERLINK("http://www.reserveamerica.com/camping/almanor/r/facilityDetails.do?contractCode=NRSO&amp;parkId=70528", "ALMANOR")</f>
        <v>0</v>
      </c>
      <c r="E5">
        <v>40.2169444</v>
      </c>
      <c r="F5">
        <v>-121.1677778</v>
      </c>
      <c r="G5" t="s">
        <v>515</v>
      </c>
      <c r="I5" t="s">
        <v>505</v>
      </c>
      <c r="J5">
        <f>HYPERLINK("http://maps.google.com/maps?z=10&amp;t=m&amp;q=loc:40.2169444+-121.1677778", 327)</f>
        <v>0</v>
      </c>
      <c r="K5">
        <v>11</v>
      </c>
      <c r="L5">
        <v>1</v>
      </c>
      <c r="M5">
        <v>0</v>
      </c>
      <c r="N5">
        <v>1</v>
      </c>
      <c r="O5">
        <v>1</v>
      </c>
    </row>
    <row r="6" spans="1:15">
      <c r="A6" s="1" t="s">
        <v>18</v>
      </c>
      <c r="B6" t="s">
        <v>504</v>
      </c>
      <c r="C6" t="s">
        <v>509</v>
      </c>
      <c r="D6">
        <f>HYPERLINK("http://www.reserveamerica.com/camping/alpine-view-campground/r/facilityDetails.do?contractCode=NRSO&amp;parkId=72376", "ALPINE VIEW CAMPGROUND")</f>
        <v>0</v>
      </c>
      <c r="E6">
        <v>40.8870639</v>
      </c>
      <c r="F6">
        <v>-122.7658139</v>
      </c>
      <c r="G6" t="s">
        <v>516</v>
      </c>
      <c r="I6" t="s">
        <v>505</v>
      </c>
      <c r="J6">
        <f>HYPERLINK("http://maps.google.com/maps?z=10&amp;t=m&amp;q=loc:40.8870639+-122.7658139", 402)</f>
        <v>0</v>
      </c>
      <c r="K6">
        <v>349</v>
      </c>
      <c r="L6">
        <v>0</v>
      </c>
      <c r="M6">
        <v>0</v>
      </c>
      <c r="N6">
        <v>0</v>
      </c>
      <c r="O6">
        <v>0</v>
      </c>
    </row>
    <row r="7" spans="1:15">
      <c r="A7" s="1" t="s">
        <v>19</v>
      </c>
      <c r="B7" t="s">
        <v>504</v>
      </c>
      <c r="C7" t="s">
        <v>509</v>
      </c>
      <c r="D7">
        <f>HYPERLINK("http://www.reserveamerica.com/camping/anacapa-island/r/facilityDetails.do?contractCode=NRSO&amp;parkId=70984", "ANACAPA ISLAND")</f>
        <v>0</v>
      </c>
      <c r="E7">
        <v>34.0141917</v>
      </c>
      <c r="F7">
        <v>-119.3677889</v>
      </c>
      <c r="G7" t="s">
        <v>517</v>
      </c>
      <c r="H7" t="s">
        <v>996</v>
      </c>
      <c r="I7" t="s">
        <v>505</v>
      </c>
      <c r="J7">
        <f>HYPERLINK("http://maps.google.com/maps?z=10&amp;t=m&amp;q=loc:34.0141917+-119.3677889", 433)</f>
        <v>0</v>
      </c>
      <c r="K7">
        <v>147</v>
      </c>
      <c r="L7">
        <v>0</v>
      </c>
      <c r="M7">
        <v>0</v>
      </c>
      <c r="N7">
        <v>0</v>
      </c>
      <c r="O7">
        <v>0</v>
      </c>
    </row>
    <row r="8" spans="1:15">
      <c r="A8" s="1" t="s">
        <v>20</v>
      </c>
      <c r="B8" t="s">
        <v>505</v>
      </c>
      <c r="C8" t="s">
        <v>510</v>
      </c>
      <c r="D8">
        <f>HYPERLINK("http://www.reserveamerica.com/camping/angel-island-sp/r/facilityDetails.do?contractCode=CA&amp;parkId=120003", "ANGEL ISLAND SP")</f>
        <v>0</v>
      </c>
      <c r="E8">
        <v>37.8641667</v>
      </c>
      <c r="F8">
        <v>-122.4308333</v>
      </c>
      <c r="G8" t="s">
        <v>518</v>
      </c>
      <c r="I8" t="s">
        <v>505</v>
      </c>
      <c r="J8">
        <f>HYPERLINK("http://maps.google.com/maps?z=10&amp;t=m&amp;q=loc:37.8641667+-122.4308333", 75)</f>
        <v>0</v>
      </c>
      <c r="K8">
        <v>322</v>
      </c>
      <c r="L8">
        <v>0</v>
      </c>
      <c r="M8">
        <v>0</v>
      </c>
      <c r="N8">
        <v>0</v>
      </c>
      <c r="O8">
        <v>0</v>
      </c>
    </row>
    <row r="9" spans="1:15">
      <c r="A9" s="1" t="s">
        <v>21</v>
      </c>
      <c r="B9" t="s">
        <v>506</v>
      </c>
      <c r="C9" t="s">
        <v>511</v>
      </c>
      <c r="D9">
        <f>HYPERLINK("http://www.reserveamerica.com/camping/anthony-chabot/r/facilityDetails.do?contractCode=EB&amp;parkId=110004", "Anthony Chabot")</f>
        <v>0</v>
      </c>
      <c r="E9">
        <v>37.7352778</v>
      </c>
      <c r="F9">
        <v>-122.0961111</v>
      </c>
      <c r="G9" t="s">
        <v>519</v>
      </c>
      <c r="I9" t="s">
        <v>505</v>
      </c>
      <c r="J9">
        <f>HYPERLINK("http://maps.google.com/maps?z=10&amp;t=m&amp;q=loc:37.7352778+-122.0961111", 48)</f>
        <v>0</v>
      </c>
      <c r="K9">
        <v>339</v>
      </c>
      <c r="L9">
        <v>6</v>
      </c>
      <c r="M9">
        <v>0</v>
      </c>
      <c r="N9">
        <v>6</v>
      </c>
      <c r="O9">
        <v>6</v>
      </c>
    </row>
    <row r="10" spans="1:15">
      <c r="A10" s="1" t="s">
        <v>22</v>
      </c>
      <c r="B10" t="s">
        <v>504</v>
      </c>
      <c r="C10" t="s">
        <v>509</v>
      </c>
      <c r="D10">
        <f>HYPERLINK("http://www.reserveamerica.com/camping/antlers/r/facilityDetails.do?contractCode=NRSO&amp;parkId=71514", "ANTLERS")</f>
        <v>0</v>
      </c>
      <c r="E10">
        <v>40.8875</v>
      </c>
      <c r="F10">
        <v>-122.3775</v>
      </c>
      <c r="G10" t="s">
        <v>520</v>
      </c>
      <c r="I10" t="s">
        <v>505</v>
      </c>
      <c r="J10">
        <f>HYPERLINK("http://maps.google.com/maps?z=10&amp;t=m&amp;q=loc:40.8875+-122.3775", 397)</f>
        <v>0</v>
      </c>
      <c r="K10">
        <v>354</v>
      </c>
      <c r="L10">
        <v>0</v>
      </c>
      <c r="M10">
        <v>0</v>
      </c>
      <c r="N10">
        <v>0</v>
      </c>
      <c r="O10">
        <v>0</v>
      </c>
    </row>
    <row r="11" spans="1:15">
      <c r="A11" s="1" t="s">
        <v>23</v>
      </c>
      <c r="B11" t="s">
        <v>505</v>
      </c>
      <c r="C11" t="s">
        <v>510</v>
      </c>
      <c r="D11">
        <f>HYPERLINK("http://www.reserveamerica.com/camping/anzaborrego-desert-sp/r/facilityDetails.do?contractCode=CA&amp;parkId=120006", "ANZA-BORREGO DESERT SP")</f>
        <v>0</v>
      </c>
      <c r="E11">
        <v>33.2686111</v>
      </c>
      <c r="F11">
        <v>-116.4052778</v>
      </c>
      <c r="G11" t="s">
        <v>521</v>
      </c>
      <c r="I11" t="s">
        <v>505</v>
      </c>
      <c r="J11">
        <f>HYPERLINK("http://maps.google.com/maps?z=10&amp;t=m&amp;q=loc:33.2686111+-116.4052778", 672)</f>
        <v>0</v>
      </c>
      <c r="K11">
        <v>130</v>
      </c>
      <c r="L11">
        <v>0</v>
      </c>
      <c r="M11">
        <v>0</v>
      </c>
      <c r="N11">
        <v>0</v>
      </c>
      <c r="O11">
        <v>0</v>
      </c>
    </row>
    <row r="12" spans="1:15">
      <c r="A12" s="1" t="s">
        <v>24</v>
      </c>
      <c r="B12" t="s">
        <v>504</v>
      </c>
      <c r="C12" t="s">
        <v>509</v>
      </c>
      <c r="D12">
        <f>HYPERLINK("http://www.reserveamerica.com/camping/arroyo-seco/r/facilityDetails.do?contractCode=NRSO&amp;parkId=70160", "ARROYO SECO")</f>
        <v>0</v>
      </c>
      <c r="E12">
        <v>36.2397222</v>
      </c>
      <c r="F12">
        <v>-121.4786111</v>
      </c>
      <c r="G12" t="s">
        <v>522</v>
      </c>
      <c r="I12" t="s">
        <v>505</v>
      </c>
      <c r="J12">
        <f>HYPERLINK("http://maps.google.com/maps?z=10&amp;t=m&amp;q=loc:36.2397222+-121.4786111", 126)</f>
        <v>0</v>
      </c>
      <c r="K12">
        <v>162</v>
      </c>
      <c r="L12">
        <v>6</v>
      </c>
      <c r="M12">
        <v>6</v>
      </c>
      <c r="N12">
        <v>0</v>
      </c>
      <c r="O12">
        <v>0</v>
      </c>
    </row>
    <row r="13" spans="1:15">
      <c r="A13" s="1" t="s">
        <v>25</v>
      </c>
      <c r="B13" t="s">
        <v>504</v>
      </c>
      <c r="C13" t="s">
        <v>509</v>
      </c>
      <c r="D13">
        <f>HYPERLINK("http://www.reserveamerica.com/camping/aspen-group-inyo/r/facilityDetails.do?contractCode=NRSO&amp;parkId=71938", "ASPEN GROUP (INYO)")</f>
        <v>0</v>
      </c>
      <c r="E13">
        <v>37.5236111</v>
      </c>
      <c r="F13">
        <v>-118.7119444</v>
      </c>
      <c r="G13" t="s">
        <v>523</v>
      </c>
      <c r="I13" t="s">
        <v>505</v>
      </c>
      <c r="J13">
        <f>HYPERLINK("http://maps.google.com/maps?z=10&amp;t=m&amp;q=loc:37.5236111+-118.7119444", 282)</f>
        <v>0</v>
      </c>
      <c r="K13">
        <v>84</v>
      </c>
      <c r="L13">
        <v>0</v>
      </c>
      <c r="M13">
        <v>0</v>
      </c>
      <c r="N13">
        <v>0</v>
      </c>
      <c r="O13">
        <v>0</v>
      </c>
    </row>
    <row r="14" spans="1:15">
      <c r="A14" s="1" t="s">
        <v>26</v>
      </c>
      <c r="B14" t="s">
        <v>504</v>
      </c>
      <c r="C14" t="s">
        <v>509</v>
      </c>
      <c r="D14">
        <f>HYPERLINK("http://www.reserveamerica.com/camping/aspen-group-tahoe/r/facilityDetails.do?contractCode=NRSO&amp;parkId=71674", "ASPEN GROUP (TAHOE)")</f>
        <v>0</v>
      </c>
      <c r="E14">
        <v>39.5072222</v>
      </c>
      <c r="F14">
        <v>-120.54</v>
      </c>
      <c r="G14" t="s">
        <v>524</v>
      </c>
      <c r="I14" t="s">
        <v>505</v>
      </c>
      <c r="J14">
        <f>HYPERLINK("http://maps.google.com/maps?z=10&amp;t=m&amp;q=loc:39.5072222+-120.54", 269)</f>
        <v>0</v>
      </c>
      <c r="K14">
        <v>25</v>
      </c>
      <c r="L14">
        <v>0</v>
      </c>
      <c r="M14">
        <v>0</v>
      </c>
      <c r="N14">
        <v>0</v>
      </c>
      <c r="O14">
        <v>0</v>
      </c>
    </row>
    <row r="15" spans="1:15">
      <c r="A15" s="1" t="s">
        <v>27</v>
      </c>
      <c r="B15" t="s">
        <v>504</v>
      </c>
      <c r="C15" t="s">
        <v>509</v>
      </c>
      <c r="D15">
        <f>HYPERLINK("http://www.reserveamerica.com/camping/aspen-hollow-group/r/facilityDetails.do?contractCode=NRSO&amp;parkId=71546", "ASPEN HOLLOW GROUP")</f>
        <v>0</v>
      </c>
      <c r="E15">
        <v>36.7811111</v>
      </c>
      <c r="F15">
        <v>-118.9027778</v>
      </c>
      <c r="G15" t="s">
        <v>525</v>
      </c>
      <c r="I15" t="s">
        <v>505</v>
      </c>
      <c r="J15">
        <f>HYPERLINK("http://maps.google.com/maps?z=10&amp;t=m&amp;q=loc:36.7811111+-118.9027778", 273)</f>
        <v>0</v>
      </c>
      <c r="K15">
        <v>101</v>
      </c>
      <c r="L15">
        <v>1</v>
      </c>
      <c r="M15">
        <v>1</v>
      </c>
      <c r="N15">
        <v>0</v>
      </c>
      <c r="O15">
        <v>0</v>
      </c>
    </row>
    <row r="16" spans="1:15">
      <c r="A16" s="1" t="s">
        <v>28</v>
      </c>
      <c r="B16" t="s">
        <v>504</v>
      </c>
      <c r="C16" t="s">
        <v>509</v>
      </c>
      <c r="D16">
        <f>HYPERLINK("http://www.reserveamerica.com/camping/badger-flats-group/r/facilityDetails.do?contractCode=NRSO&amp;parkId=71586", "BADGER FLATS GROUP")</f>
        <v>0</v>
      </c>
      <c r="E16">
        <v>37.2694444</v>
      </c>
      <c r="F16">
        <v>-119.115</v>
      </c>
      <c r="G16" t="s">
        <v>526</v>
      </c>
      <c r="I16" t="s">
        <v>505</v>
      </c>
      <c r="J16">
        <f>HYPERLINK("http://maps.google.com/maps?z=10&amp;t=m&amp;q=loc:37.2694444+-119.115", 246)</f>
        <v>0</v>
      </c>
      <c r="K16">
        <v>90</v>
      </c>
      <c r="L16">
        <v>0</v>
      </c>
      <c r="M16">
        <v>0</v>
      </c>
      <c r="N16">
        <v>0</v>
      </c>
      <c r="O16">
        <v>0</v>
      </c>
    </row>
    <row r="17" spans="1:15">
      <c r="A17" s="1" t="s">
        <v>29</v>
      </c>
      <c r="B17" t="s">
        <v>504</v>
      </c>
      <c r="C17" t="s">
        <v>509</v>
      </c>
      <c r="D17">
        <f>HYPERLINK("http://www.reserveamerica.com/camping/bailey-cove/r/facilityDetails.do?contractCode=NRSO&amp;parkId=71521", "BAILEY COVE")</f>
        <v>0</v>
      </c>
      <c r="E17">
        <v>40.8016667</v>
      </c>
      <c r="F17">
        <v>-122.2819444</v>
      </c>
      <c r="G17" t="s">
        <v>527</v>
      </c>
      <c r="I17" t="s">
        <v>505</v>
      </c>
      <c r="J17">
        <f>HYPERLINK("http://maps.google.com/maps?z=10&amp;t=m&amp;q=loc:40.8016667+-122.2819444", 387)</f>
        <v>0</v>
      </c>
      <c r="K17">
        <v>355</v>
      </c>
      <c r="L17">
        <v>0</v>
      </c>
      <c r="M17">
        <v>0</v>
      </c>
      <c r="N17">
        <v>0</v>
      </c>
      <c r="O17">
        <v>0</v>
      </c>
    </row>
    <row r="18" spans="1:15">
      <c r="A18" s="1" t="s">
        <v>30</v>
      </c>
      <c r="B18" t="s">
        <v>504</v>
      </c>
      <c r="C18" t="s">
        <v>509</v>
      </c>
      <c r="D18">
        <f>HYPERLINK("http://www.reserveamerica.com/camping/bandido-group-campground/r/facilityDetails.do?contractCode=NRSO&amp;parkId=75445", "BANDIDO GROUP CAMPGROUND")</f>
        <v>0</v>
      </c>
      <c r="E18">
        <v>34.3452778</v>
      </c>
      <c r="F18">
        <v>-118.0047222</v>
      </c>
      <c r="G18" t="s">
        <v>528</v>
      </c>
      <c r="I18" t="s">
        <v>505</v>
      </c>
      <c r="J18">
        <f>HYPERLINK("http://maps.google.com/maps?z=10&amp;t=m&amp;q=loc:34.3452778+-118.0047222", 482)</f>
        <v>0</v>
      </c>
      <c r="K18">
        <v>132</v>
      </c>
      <c r="L18">
        <v>1</v>
      </c>
      <c r="M18">
        <v>0</v>
      </c>
      <c r="N18">
        <v>1</v>
      </c>
      <c r="O18">
        <v>1</v>
      </c>
    </row>
    <row r="19" spans="1:15">
      <c r="A19" s="1" t="s">
        <v>31</v>
      </c>
      <c r="B19" t="s">
        <v>504</v>
      </c>
      <c r="C19" t="s">
        <v>509</v>
      </c>
      <c r="D19">
        <f>HYPERLINK("http://www.reserveamerica.com/camping/barton-flats/r/facilityDetails.do?contractCode=NRSO&amp;parkId=70181", "BARTON FLATS")</f>
        <v>0</v>
      </c>
      <c r="E19">
        <v>34.1722222</v>
      </c>
      <c r="F19">
        <v>-116.8744444</v>
      </c>
      <c r="G19" t="s">
        <v>529</v>
      </c>
      <c r="I19" t="s">
        <v>505</v>
      </c>
      <c r="J19">
        <f>HYPERLINK("http://maps.google.com/maps?z=10&amp;t=m&amp;q=loc:34.1722222+-116.8744444", 573)</f>
        <v>0</v>
      </c>
      <c r="K19">
        <v>126</v>
      </c>
      <c r="L19">
        <v>23</v>
      </c>
      <c r="M19">
        <v>5</v>
      </c>
      <c r="N19">
        <v>18</v>
      </c>
      <c r="O19">
        <v>18</v>
      </c>
    </row>
    <row r="20" spans="1:15">
      <c r="A20" s="1" t="s">
        <v>32</v>
      </c>
      <c r="B20" t="s">
        <v>504</v>
      </c>
      <c r="C20" t="s">
        <v>509</v>
      </c>
      <c r="D20">
        <f>HYPERLINK("http://www.reserveamerica.com/camping/bear-river-group-campground/r/facilityDetails.do?contractCode=NRSO&amp;parkId=75010", "BEAR RIVER GROUP CAMPGROUND")</f>
        <v>0</v>
      </c>
      <c r="E20">
        <v>38.5338889</v>
      </c>
      <c r="F20">
        <v>-120.2188889</v>
      </c>
      <c r="G20" t="s">
        <v>530</v>
      </c>
      <c r="I20" t="s">
        <v>505</v>
      </c>
      <c r="J20">
        <f>HYPERLINK("http://maps.google.com/maps?z=10&amp;t=m&amp;q=loc:38.5338889+-120.2188889", 199)</f>
        <v>0</v>
      </c>
      <c r="K20">
        <v>47</v>
      </c>
      <c r="L20">
        <v>1</v>
      </c>
      <c r="M20">
        <v>0</v>
      </c>
      <c r="N20">
        <v>1</v>
      </c>
      <c r="O20">
        <v>1</v>
      </c>
    </row>
    <row r="21" spans="1:15">
      <c r="A21" s="1" t="s">
        <v>33</v>
      </c>
      <c r="B21" t="s">
        <v>504</v>
      </c>
      <c r="C21" t="s">
        <v>509</v>
      </c>
      <c r="D21">
        <f>HYPERLINK("http://www.reserveamerica.com/camping/belknap/r/facilityDetails.do?contractCode=NRSO&amp;parkId=71587", "BELKNAP")</f>
        <v>0</v>
      </c>
      <c r="E21">
        <v>36.1416667</v>
      </c>
      <c r="F21">
        <v>-118.5997222</v>
      </c>
      <c r="G21" t="s">
        <v>531</v>
      </c>
      <c r="I21" t="s">
        <v>505</v>
      </c>
      <c r="J21">
        <f>HYPERLINK("http://maps.google.com/maps?z=10&amp;t=m&amp;q=loc:36.1416667+-118.5997222", 322)</f>
        <v>0</v>
      </c>
      <c r="K21">
        <v>113</v>
      </c>
      <c r="L21">
        <v>8</v>
      </c>
      <c r="M21">
        <v>0</v>
      </c>
      <c r="N21">
        <v>8</v>
      </c>
      <c r="O21">
        <v>8</v>
      </c>
    </row>
    <row r="22" spans="1:15">
      <c r="A22" s="1" t="s">
        <v>34</v>
      </c>
      <c r="B22" t="s">
        <v>504</v>
      </c>
      <c r="C22" t="s">
        <v>509</v>
      </c>
      <c r="D22">
        <f>HYPERLINK("http://www.reserveamerica.com/camping/berger/r/facilityDetails.do?contractCode=NRSO&amp;parkId=75426", "BERGER")</f>
        <v>0</v>
      </c>
      <c r="E22">
        <v>39.6277778</v>
      </c>
      <c r="F22">
        <v>-120.6447222</v>
      </c>
      <c r="G22" t="s">
        <v>532</v>
      </c>
      <c r="I22" t="s">
        <v>505</v>
      </c>
      <c r="J22">
        <f>HYPERLINK("http://maps.google.com/maps?z=10&amp;t=m&amp;q=loc:39.6277778+-120.6447222", 278)</f>
        <v>0</v>
      </c>
      <c r="K22">
        <v>22</v>
      </c>
      <c r="L22">
        <v>3</v>
      </c>
      <c r="M22">
        <v>0</v>
      </c>
      <c r="N22">
        <v>3</v>
      </c>
      <c r="O22">
        <v>3</v>
      </c>
    </row>
    <row r="23" spans="1:15">
      <c r="A23" s="1" t="s">
        <v>35</v>
      </c>
      <c r="B23" t="s">
        <v>505</v>
      </c>
      <c r="C23" t="s">
        <v>510</v>
      </c>
      <c r="D23">
        <f>HYPERLINK("http://www.reserveamerica.com/camping/big-basin-redwoods-sp/r/facilityDetails.do?contractCode=CA&amp;parkId=120009", "BIG BASIN REDWOODS SP")</f>
        <v>0</v>
      </c>
      <c r="E23">
        <v>37.1852778</v>
      </c>
      <c r="F23">
        <v>-122.2286111</v>
      </c>
      <c r="G23" t="s">
        <v>533</v>
      </c>
      <c r="I23" t="s">
        <v>505</v>
      </c>
      <c r="J23">
        <f>HYPERLINK("http://maps.google.com/maps?z=10&amp;t=m&amp;q=loc:37.1852778+-122.2286111", 32)</f>
        <v>0</v>
      </c>
      <c r="K23">
        <v>241</v>
      </c>
      <c r="L23">
        <v>2</v>
      </c>
      <c r="M23">
        <v>2</v>
      </c>
      <c r="N23">
        <v>0</v>
      </c>
      <c r="O23">
        <v>0</v>
      </c>
    </row>
    <row r="24" spans="1:15">
      <c r="A24" s="1" t="s">
        <v>36</v>
      </c>
      <c r="B24" t="s">
        <v>504</v>
      </c>
      <c r="C24" t="s">
        <v>509</v>
      </c>
      <c r="D24">
        <f>HYPERLINK("http://www.reserveamerica.com/camping/big-bend-group-yuba-river/r/facilityDetails.do?contractCode=NRSO&amp;parkId=75483", "BIG BEND GROUP (YUBA RIVER)")</f>
        <v>0</v>
      </c>
      <c r="E24">
        <v>39.3063889</v>
      </c>
      <c r="F24">
        <v>-120.5194444</v>
      </c>
      <c r="G24" t="s">
        <v>534</v>
      </c>
      <c r="I24" t="s">
        <v>505</v>
      </c>
      <c r="J24">
        <f>HYPERLINK("http://maps.google.com/maps?z=10&amp;t=m&amp;q=loc:39.3063889+-120.5194444", 250)</f>
        <v>0</v>
      </c>
      <c r="K24">
        <v>28</v>
      </c>
      <c r="L24">
        <v>2</v>
      </c>
      <c r="M24">
        <v>2</v>
      </c>
      <c r="N24">
        <v>0</v>
      </c>
      <c r="O24">
        <v>0</v>
      </c>
    </row>
    <row r="25" spans="1:15">
      <c r="A25" s="1" t="s">
        <v>37</v>
      </c>
      <c r="B25" t="s">
        <v>504</v>
      </c>
      <c r="C25" t="s">
        <v>509</v>
      </c>
      <c r="D25">
        <f>HYPERLINK("http://www.reserveamerica.com/camping/big-cove/r/facilityDetails.do?contractCode=NRSO&amp;parkId=71607", "BIG COVE")</f>
        <v>0</v>
      </c>
      <c r="E25">
        <v>39.9019444</v>
      </c>
      <c r="F25">
        <v>-120.1725</v>
      </c>
      <c r="G25" t="s">
        <v>535</v>
      </c>
      <c r="I25" t="s">
        <v>505</v>
      </c>
      <c r="J25">
        <f>HYPERLINK("http://maps.google.com/maps?z=10&amp;t=m&amp;q=loc:39.9019444+-120.1725", 323)</f>
        <v>0</v>
      </c>
      <c r="K25">
        <v>27</v>
      </c>
      <c r="L25">
        <v>0</v>
      </c>
      <c r="M25">
        <v>0</v>
      </c>
      <c r="N25">
        <v>0</v>
      </c>
      <c r="O25">
        <v>0</v>
      </c>
    </row>
    <row r="26" spans="1:15">
      <c r="A26" s="1" t="s">
        <v>38</v>
      </c>
      <c r="B26" t="s">
        <v>504</v>
      </c>
      <c r="C26" t="s">
        <v>509</v>
      </c>
      <c r="D26">
        <f>HYPERLINK("http://www.reserveamerica.com/camping/big-meadow-stanislaus-natl-fs/r/facilityDetails.do?contractCode=NRSO&amp;parkId=70551", "BIG MEADOW STANISLAUS NATL FS")</f>
        <v>0</v>
      </c>
      <c r="E26">
        <v>38.4163889</v>
      </c>
      <c r="F26">
        <v>-120.105</v>
      </c>
      <c r="G26" t="s">
        <v>536</v>
      </c>
      <c r="I26" t="s">
        <v>505</v>
      </c>
      <c r="J26">
        <f>HYPERLINK("http://maps.google.com/maps?z=10&amp;t=m&amp;q=loc:38.4163889+-120.105", 198)</f>
        <v>0</v>
      </c>
      <c r="K26">
        <v>52</v>
      </c>
      <c r="L26">
        <v>0</v>
      </c>
      <c r="M26">
        <v>0</v>
      </c>
      <c r="N26">
        <v>0</v>
      </c>
      <c r="O26">
        <v>0</v>
      </c>
    </row>
    <row r="27" spans="1:15">
      <c r="A27" s="1" t="s">
        <v>39</v>
      </c>
      <c r="B27" t="s">
        <v>504</v>
      </c>
      <c r="C27" t="s">
        <v>509</v>
      </c>
      <c r="D27">
        <f>HYPERLINK("http://www.reserveamerica.com/camping/big-pine-canyon/r/facilityDetails.do?contractCode=NRSO&amp;parkId=70518", "BIG PINE CANYON")</f>
        <v>0</v>
      </c>
      <c r="E27">
        <v>37.1283333</v>
      </c>
      <c r="F27">
        <v>-118.4222222</v>
      </c>
      <c r="G27" t="s">
        <v>537</v>
      </c>
      <c r="I27" t="s">
        <v>505</v>
      </c>
      <c r="J27">
        <f>HYPERLINK("http://maps.google.com/maps?z=10&amp;t=m&amp;q=loc:37.1283333+-118.4222222", 309)</f>
        <v>0</v>
      </c>
      <c r="K27">
        <v>93</v>
      </c>
      <c r="L27">
        <v>0</v>
      </c>
      <c r="M27">
        <v>0</v>
      </c>
      <c r="N27">
        <v>0</v>
      </c>
      <c r="O27">
        <v>0</v>
      </c>
    </row>
    <row r="28" spans="1:15">
      <c r="A28" s="1" t="s">
        <v>40</v>
      </c>
      <c r="B28" t="s">
        <v>504</v>
      </c>
      <c r="C28" t="s">
        <v>509</v>
      </c>
      <c r="D28">
        <f>HYPERLINK("http://www.reserveamerica.com/camping/big-pine-creek-campground/r/facilityDetails.do?contractCode=NRSO&amp;parkId=70617", "BIG PINE CREEK CAMPGROUND")</f>
        <v>0</v>
      </c>
      <c r="E28">
        <v>37.1258333</v>
      </c>
      <c r="F28">
        <v>-118.4325</v>
      </c>
      <c r="G28" t="s">
        <v>538</v>
      </c>
      <c r="I28" t="s">
        <v>505</v>
      </c>
      <c r="J28">
        <f>HYPERLINK("http://maps.google.com/maps?z=10&amp;t=m&amp;q=loc:37.1258333+-118.4325", 308)</f>
        <v>0</v>
      </c>
      <c r="K28">
        <v>93</v>
      </c>
      <c r="L28">
        <v>0</v>
      </c>
      <c r="M28">
        <v>0</v>
      </c>
      <c r="N28">
        <v>0</v>
      </c>
      <c r="O28">
        <v>0</v>
      </c>
    </row>
    <row r="29" spans="1:15">
      <c r="A29" s="1" t="s">
        <v>41</v>
      </c>
      <c r="B29" t="s">
        <v>504</v>
      </c>
      <c r="C29" t="s">
        <v>509</v>
      </c>
      <c r="D29">
        <f>HYPERLINK("http://www.reserveamerica.com/camping/big-silver-group/r/facilityDetails.do?contractCode=NRSO&amp;parkId=73627", "BIG SILVER GROUP")</f>
        <v>0</v>
      </c>
      <c r="E29">
        <v>38.8791667</v>
      </c>
      <c r="F29">
        <v>-120.3625</v>
      </c>
      <c r="G29" t="s">
        <v>539</v>
      </c>
      <c r="I29" t="s">
        <v>505</v>
      </c>
      <c r="J29">
        <f>HYPERLINK("http://maps.google.com/maps?z=10&amp;t=m&amp;q=loc:38.8791667+-120.3625", 218)</f>
        <v>0</v>
      </c>
      <c r="K29">
        <v>37</v>
      </c>
      <c r="L29">
        <v>0</v>
      </c>
      <c r="M29">
        <v>0</v>
      </c>
      <c r="N29">
        <v>0</v>
      </c>
      <c r="O29">
        <v>0</v>
      </c>
    </row>
    <row r="30" spans="1:15">
      <c r="A30" s="1" t="s">
        <v>42</v>
      </c>
      <c r="B30" t="s">
        <v>504</v>
      </c>
      <c r="C30" t="s">
        <v>509</v>
      </c>
      <c r="D30">
        <f>HYPERLINK("http://www.reserveamerica.com/camping/bishop-park-group/r/facilityDetails.do?contractCode=NRSO&amp;parkId=70519", "BISHOP PARK GROUP")</f>
        <v>0</v>
      </c>
      <c r="E30">
        <v>37.2438889</v>
      </c>
      <c r="F30">
        <v>-118.5933333</v>
      </c>
      <c r="G30" t="s">
        <v>540</v>
      </c>
      <c r="I30" t="s">
        <v>505</v>
      </c>
      <c r="J30">
        <f>HYPERLINK("http://maps.google.com/maps?z=10&amp;t=m&amp;q=loc:37.2438889+-118.5933333", 293)</f>
        <v>0</v>
      </c>
      <c r="K30">
        <v>90</v>
      </c>
      <c r="L30">
        <v>0</v>
      </c>
      <c r="M30">
        <v>0</v>
      </c>
      <c r="N30">
        <v>0</v>
      </c>
      <c r="O30">
        <v>0</v>
      </c>
    </row>
    <row r="31" spans="1:15">
      <c r="A31" s="1" t="s">
        <v>43</v>
      </c>
      <c r="B31" t="s">
        <v>506</v>
      </c>
      <c r="C31" t="s">
        <v>511</v>
      </c>
      <c r="D31">
        <f>HYPERLINK("http://www.reserveamerica.com/camping/black-diamond-mines-regional-preserve/r/facilityDetails.do?contractCode=EB&amp;parkId=110452", "Black Diamond Mines Regional Preserve")</f>
        <v>0</v>
      </c>
      <c r="E31">
        <v>37.9583333</v>
      </c>
      <c r="F31">
        <v>-37121.8630556</v>
      </c>
      <c r="G31" t="s">
        <v>541</v>
      </c>
      <c r="I31" t="s">
        <v>505</v>
      </c>
      <c r="J31">
        <f>HYPERLINK("http://maps.google.com/maps?z=10&amp;t=m&amp;q=loc:37.9583333+-37121.8630556", 6803)</f>
        <v>0</v>
      </c>
      <c r="K31">
        <v>62</v>
      </c>
      <c r="L31">
        <v>0</v>
      </c>
      <c r="M31">
        <v>0</v>
      </c>
      <c r="N31">
        <v>0</v>
      </c>
      <c r="O31">
        <v>0</v>
      </c>
    </row>
    <row r="32" spans="1:15">
      <c r="A32" s="1" t="s">
        <v>44</v>
      </c>
      <c r="B32" t="s">
        <v>507</v>
      </c>
      <c r="C32" t="s">
        <v>511</v>
      </c>
      <c r="D32">
        <f>HYPERLINK("http://www.reserveamerica.com/camping/black-jack-campground/r/facilityDetails.do?contractCode=CTLN&amp;parkId=940023", "BLACK JACK CAMPGROUND")</f>
        <v>0</v>
      </c>
      <c r="E32">
        <v>33.3858333</v>
      </c>
      <c r="F32">
        <v>-118.4061111</v>
      </c>
      <c r="G32" t="s">
        <v>542</v>
      </c>
      <c r="I32" t="s">
        <v>505</v>
      </c>
      <c r="J32">
        <f>HYPERLINK("http://maps.google.com/maps?z=10&amp;t=m&amp;q=loc:33.3858333+-118.4061111", 540)</f>
        <v>0</v>
      </c>
      <c r="K32">
        <v>143</v>
      </c>
      <c r="L32">
        <v>6</v>
      </c>
      <c r="M32">
        <v>0</v>
      </c>
      <c r="N32">
        <v>6</v>
      </c>
      <c r="O32">
        <v>6</v>
      </c>
    </row>
    <row r="33" spans="1:15">
      <c r="A33" s="1" t="s">
        <v>45</v>
      </c>
      <c r="B33" t="s">
        <v>504</v>
      </c>
      <c r="C33" t="s">
        <v>509</v>
      </c>
      <c r="D33">
        <f>HYPERLINK("http://www.reserveamerica.com/camping/black-mountain-san-bernardino/r/facilityDetails.do?contractCode=NRSO&amp;parkId=70236", "BLACK MOUNTAIN (SAN BERNARDINO)")</f>
        <v>0</v>
      </c>
      <c r="E33">
        <v>33.8341667</v>
      </c>
      <c r="F33">
        <v>-116.7388889</v>
      </c>
      <c r="G33" t="s">
        <v>543</v>
      </c>
      <c r="I33" t="s">
        <v>505</v>
      </c>
      <c r="J33">
        <f>HYPERLINK("http://maps.google.com/maps?z=10&amp;t=m&amp;q=loc:33.8341667+-116.7388889", 607)</f>
        <v>0</v>
      </c>
      <c r="K33">
        <v>128</v>
      </c>
      <c r="L33">
        <v>0</v>
      </c>
      <c r="M33">
        <v>0</v>
      </c>
      <c r="N33">
        <v>0</v>
      </c>
      <c r="O33">
        <v>0</v>
      </c>
    </row>
    <row r="34" spans="1:15">
      <c r="A34" s="1" t="s">
        <v>46</v>
      </c>
      <c r="B34" t="s">
        <v>504</v>
      </c>
      <c r="C34" t="s">
        <v>509</v>
      </c>
      <c r="D34">
        <f>HYPERLINK("http://www.reserveamerica.com/camping/black-mountain-lookout/r/facilityDetails.do?contractCode=NRSO&amp;parkId=72306", "BLACK MOUNTAIN LOOKOUT")</f>
        <v>0</v>
      </c>
      <c r="E34">
        <v>40.1152778</v>
      </c>
      <c r="F34">
        <v>-120.3211111</v>
      </c>
      <c r="G34" t="s">
        <v>544</v>
      </c>
      <c r="I34" t="s">
        <v>505</v>
      </c>
      <c r="J34">
        <f>HYPERLINK("http://maps.google.com/maps?z=10&amp;t=m&amp;q=loc:40.1152778+-120.3211111", 338)</f>
        <v>0</v>
      </c>
      <c r="K34">
        <v>23</v>
      </c>
      <c r="L34">
        <v>0</v>
      </c>
      <c r="M34">
        <v>0</v>
      </c>
      <c r="N34">
        <v>0</v>
      </c>
      <c r="O34">
        <v>0</v>
      </c>
    </row>
    <row r="35" spans="1:15">
      <c r="A35" s="1" t="s">
        <v>47</v>
      </c>
      <c r="B35" t="s">
        <v>504</v>
      </c>
      <c r="C35" t="s">
        <v>509</v>
      </c>
      <c r="D35">
        <f>HYPERLINK("http://www.reserveamerica.com/camping/black-oak/r/facilityDetails.do?contractCode=NRSO&amp;parkId=70237", "BLACK OAK")</f>
        <v>0</v>
      </c>
      <c r="E35">
        <v>38.9041667</v>
      </c>
      <c r="F35">
        <v>-120.5875</v>
      </c>
      <c r="G35" t="s">
        <v>545</v>
      </c>
      <c r="I35" t="s">
        <v>505</v>
      </c>
      <c r="J35">
        <f>HYPERLINK("http://maps.google.com/maps?z=10&amp;t=m&amp;q=loc:38.9041667+-120.5875", 209)</f>
        <v>0</v>
      </c>
      <c r="K35">
        <v>32</v>
      </c>
      <c r="L35">
        <v>0</v>
      </c>
      <c r="M35">
        <v>0</v>
      </c>
      <c r="N35">
        <v>0</v>
      </c>
      <c r="O35">
        <v>0</v>
      </c>
    </row>
    <row r="36" spans="1:15">
      <c r="A36" s="1" t="s">
        <v>48</v>
      </c>
      <c r="B36" t="s">
        <v>504</v>
      </c>
      <c r="C36" t="s">
        <v>509</v>
      </c>
      <c r="D36">
        <f>HYPERLINK("http://www.reserveamerica.com/camping/black-rock-campground/r/facilityDetails.do?contractCode=NRSO&amp;parkId=70953", "BLACK ROCK CAMPGROUND")</f>
        <v>0</v>
      </c>
      <c r="E36">
        <v>34.0716667</v>
      </c>
      <c r="F36">
        <v>-116.3891667</v>
      </c>
      <c r="G36" t="s">
        <v>546</v>
      </c>
      <c r="I36" t="s">
        <v>505</v>
      </c>
      <c r="J36">
        <f>HYPERLINK("http://maps.google.com/maps?z=10&amp;t=m&amp;q=loc:34.0716667+-116.3891667", 615)</f>
        <v>0</v>
      </c>
      <c r="K36">
        <v>124</v>
      </c>
      <c r="L36">
        <v>0</v>
      </c>
      <c r="M36">
        <v>0</v>
      </c>
      <c r="N36">
        <v>0</v>
      </c>
      <c r="O36">
        <v>0</v>
      </c>
    </row>
    <row r="37" spans="1:15">
      <c r="A37" s="1" t="s">
        <v>49</v>
      </c>
      <c r="B37" t="s">
        <v>504</v>
      </c>
      <c r="C37" t="s">
        <v>509</v>
      </c>
      <c r="D37">
        <f>HYPERLINK("http://www.reserveamerica.com/camping/bluff-mesa-group-camp/r/facilityDetails.do?contractCode=NRSO&amp;parkId=70169", "BLUFF MESA GROUP CAMP")</f>
        <v>0</v>
      </c>
      <c r="E37">
        <v>34.2233333</v>
      </c>
      <c r="F37">
        <v>-116.975</v>
      </c>
      <c r="G37" t="s">
        <v>547</v>
      </c>
      <c r="I37" t="s">
        <v>505</v>
      </c>
      <c r="J37">
        <f>HYPERLINK("http://maps.google.com/maps?z=10&amp;t=m&amp;q=loc:34.2233333+-116.975", 562)</f>
        <v>0</v>
      </c>
      <c r="K37">
        <v>126</v>
      </c>
      <c r="L37">
        <v>0</v>
      </c>
      <c r="M37">
        <v>0</v>
      </c>
      <c r="N37">
        <v>0</v>
      </c>
      <c r="O37">
        <v>0</v>
      </c>
    </row>
    <row r="38" spans="1:15">
      <c r="A38" s="1" t="s">
        <v>50</v>
      </c>
      <c r="B38" t="s">
        <v>504</v>
      </c>
      <c r="C38" t="s">
        <v>509</v>
      </c>
      <c r="D38">
        <f>HYPERLINK("http://www.reserveamerica.com/camping/boatin-sites-lake-sonoma/r/facilityDetails.do?contractCode=NRSO&amp;parkId=73091", "BOAT-IN SITES (LAKE SONOMA)")</f>
        <v>0</v>
      </c>
      <c r="E38">
        <v>38.7083333</v>
      </c>
      <c r="F38">
        <v>-123</v>
      </c>
      <c r="G38" t="s">
        <v>548</v>
      </c>
      <c r="I38" t="s">
        <v>505</v>
      </c>
      <c r="J38">
        <f>HYPERLINK("http://maps.google.com/maps?z=10&amp;t=m&amp;q=loc:38.7083333+-123.0", 180)</f>
        <v>0</v>
      </c>
      <c r="K38">
        <v>328</v>
      </c>
      <c r="L38">
        <v>85</v>
      </c>
      <c r="M38">
        <v>0</v>
      </c>
      <c r="N38">
        <v>85</v>
      </c>
      <c r="O38">
        <v>85</v>
      </c>
    </row>
    <row r="39" spans="1:15">
      <c r="A39" s="1" t="s">
        <v>51</v>
      </c>
      <c r="B39" t="s">
        <v>504</v>
      </c>
      <c r="C39" t="s">
        <v>509</v>
      </c>
      <c r="D39">
        <f>HYPERLINK("http://www.reserveamerica.com/camping/boca-campground/r/facilityDetails.do?contractCode=NRSO&amp;parkId=74128", "BOCA CAMPGROUND")</f>
        <v>0</v>
      </c>
      <c r="E39">
        <v>39.3941667</v>
      </c>
      <c r="F39">
        <v>-120.1055556</v>
      </c>
      <c r="G39" t="s">
        <v>549</v>
      </c>
      <c r="I39" t="s">
        <v>505</v>
      </c>
      <c r="J39">
        <f>HYPERLINK("http://maps.google.com/maps?z=10&amp;t=m&amp;q=loc:39.3941667+-120.1055556", 278)</f>
        <v>0</v>
      </c>
      <c r="K39">
        <v>33</v>
      </c>
      <c r="L39">
        <v>21</v>
      </c>
      <c r="M39">
        <v>0</v>
      </c>
      <c r="N39">
        <v>21</v>
      </c>
      <c r="O39">
        <v>21</v>
      </c>
    </row>
    <row r="40" spans="1:15">
      <c r="A40" s="1" t="s">
        <v>52</v>
      </c>
      <c r="B40" t="s">
        <v>504</v>
      </c>
      <c r="C40" t="s">
        <v>509</v>
      </c>
      <c r="D40">
        <f>HYPERLINK("http://www.reserveamerica.com/camping/boca-rest-campground/r/facilityDetails.do?contractCode=NRSO&amp;parkId=74129", "BOCA REST CAMPGROUND")</f>
        <v>0</v>
      </c>
      <c r="E40">
        <v>39.4191667</v>
      </c>
      <c r="F40">
        <v>-120.0863889</v>
      </c>
      <c r="G40" t="s">
        <v>550</v>
      </c>
      <c r="I40" t="s">
        <v>505</v>
      </c>
      <c r="J40">
        <f>HYPERLINK("http://maps.google.com/maps?z=10&amp;t=m&amp;q=loc:39.4191667+-120.0863889", 281)</f>
        <v>0</v>
      </c>
      <c r="K40">
        <v>33</v>
      </c>
      <c r="L40">
        <v>34</v>
      </c>
      <c r="M40">
        <v>0</v>
      </c>
      <c r="N40">
        <v>34</v>
      </c>
      <c r="O40">
        <v>34</v>
      </c>
    </row>
    <row r="41" spans="1:15">
      <c r="A41" s="1" t="s">
        <v>53</v>
      </c>
      <c r="B41" t="s">
        <v>504</v>
      </c>
      <c r="C41" t="s">
        <v>509</v>
      </c>
      <c r="D41">
        <f>HYPERLINK("http://www.reserveamerica.com/camping/boca-spring/r/facilityDetails.do?contractCode=NRSO&amp;parkId=74130", "BOCA SPRING")</f>
        <v>0</v>
      </c>
      <c r="E41">
        <v>39.4225</v>
      </c>
      <c r="F41">
        <v>-120.0786111</v>
      </c>
      <c r="G41" t="s">
        <v>551</v>
      </c>
      <c r="I41" t="s">
        <v>505</v>
      </c>
      <c r="J41">
        <f>HYPERLINK("http://maps.google.com/maps?z=10&amp;t=m&amp;q=loc:39.4225+-120.0786111", 282)</f>
        <v>0</v>
      </c>
      <c r="K41">
        <v>33</v>
      </c>
      <c r="L41">
        <v>13</v>
      </c>
      <c r="M41">
        <v>0</v>
      </c>
      <c r="N41">
        <v>13</v>
      </c>
      <c r="O41">
        <v>13</v>
      </c>
    </row>
    <row r="42" spans="1:15">
      <c r="A42" s="1" t="s">
        <v>54</v>
      </c>
      <c r="B42" t="s">
        <v>505</v>
      </c>
      <c r="C42" t="s">
        <v>510</v>
      </c>
      <c r="D42">
        <f>HYPERLINK("http://www.reserveamerica.com/camping/bothenapa-valley-sp/r/facilityDetails.do?contractCode=CA&amp;parkId=120011", "BOTHE-NAPA VALLEY SP")</f>
        <v>0</v>
      </c>
      <c r="E42">
        <v>38.5458333</v>
      </c>
      <c r="F42">
        <v>-122.5344444</v>
      </c>
      <c r="G42" t="s">
        <v>552</v>
      </c>
      <c r="I42" t="s">
        <v>505</v>
      </c>
      <c r="J42">
        <f>HYPERLINK("http://maps.google.com/maps?z=10&amp;t=m&amp;q=loc:38.5458333+-122.5344444", 146)</f>
        <v>0</v>
      </c>
      <c r="K42">
        <v>338</v>
      </c>
      <c r="L42">
        <v>0</v>
      </c>
      <c r="M42">
        <v>0</v>
      </c>
      <c r="N42">
        <v>0</v>
      </c>
      <c r="O42">
        <v>0</v>
      </c>
    </row>
    <row r="43" spans="1:15">
      <c r="A43" s="1" t="s">
        <v>55</v>
      </c>
      <c r="B43" t="s">
        <v>504</v>
      </c>
      <c r="C43" t="s">
        <v>509</v>
      </c>
      <c r="D43">
        <f>HYPERLINK("http://www.reserveamerica.com/camping/boulder-basin/r/facilityDetails.do?contractCode=NRSO&amp;parkId=70240", "BOULDER BASIN")</f>
        <v>0</v>
      </c>
      <c r="E43">
        <v>33.8263889</v>
      </c>
      <c r="F43">
        <v>-116.7538889</v>
      </c>
      <c r="G43" t="s">
        <v>553</v>
      </c>
      <c r="I43" t="s">
        <v>505</v>
      </c>
      <c r="J43">
        <f>HYPERLINK("http://maps.google.com/maps?z=10&amp;t=m&amp;q=loc:33.8263889+-116.7538889", 606)</f>
        <v>0</v>
      </c>
      <c r="K43">
        <v>128</v>
      </c>
      <c r="L43">
        <v>11</v>
      </c>
      <c r="M43">
        <v>0</v>
      </c>
      <c r="N43">
        <v>11</v>
      </c>
      <c r="O43">
        <v>11</v>
      </c>
    </row>
    <row r="44" spans="1:15">
      <c r="A44" s="1" t="s">
        <v>56</v>
      </c>
      <c r="B44" t="s">
        <v>504</v>
      </c>
      <c r="C44" t="s">
        <v>509</v>
      </c>
      <c r="D44">
        <f>HYPERLINK("http://www.reserveamerica.com/camping/boulder-creek-ca/r/facilityDetails.do?contractCode=NRSO&amp;parkId=71725", "BOULDER CREEK (CA)")</f>
        <v>0</v>
      </c>
      <c r="E44">
        <v>40.1833333</v>
      </c>
      <c r="F44">
        <v>-120.6119444</v>
      </c>
      <c r="G44" t="s">
        <v>554</v>
      </c>
      <c r="I44" t="s">
        <v>505</v>
      </c>
      <c r="J44">
        <f>HYPERLINK("http://maps.google.com/maps?z=10&amp;t=m&amp;q=loc:40.1833333+-120.6119444", 336)</f>
        <v>0</v>
      </c>
      <c r="K44">
        <v>19</v>
      </c>
      <c r="L44">
        <v>0</v>
      </c>
      <c r="M44">
        <v>0</v>
      </c>
      <c r="N44">
        <v>0</v>
      </c>
      <c r="O44">
        <v>0</v>
      </c>
    </row>
    <row r="45" spans="1:15">
      <c r="A45" s="1" t="s">
        <v>57</v>
      </c>
      <c r="B45" t="s">
        <v>504</v>
      </c>
      <c r="C45" t="s">
        <v>509</v>
      </c>
      <c r="D45">
        <f>HYPERLINK("http://www.reserveamerica.com/camping/boulder-group-camp/r/facilityDetails.do?contractCode=NRSO&amp;parkId=70170", "BOULDER GROUP CAMP")</f>
        <v>0</v>
      </c>
      <c r="E45">
        <v>34.2233333</v>
      </c>
      <c r="F45">
        <v>-116.975</v>
      </c>
      <c r="G45" t="s">
        <v>555</v>
      </c>
      <c r="I45" t="s">
        <v>505</v>
      </c>
      <c r="J45">
        <f>HYPERLINK("http://maps.google.com/maps?z=10&amp;t=m&amp;q=loc:34.2233333+-116.975", 562)</f>
        <v>0</v>
      </c>
      <c r="K45">
        <v>126</v>
      </c>
      <c r="L45">
        <v>0</v>
      </c>
      <c r="M45">
        <v>0</v>
      </c>
      <c r="N45">
        <v>0</v>
      </c>
      <c r="O45">
        <v>0</v>
      </c>
    </row>
    <row r="46" spans="1:15">
      <c r="A46" s="1" t="s">
        <v>58</v>
      </c>
      <c r="B46" t="s">
        <v>504</v>
      </c>
      <c r="C46" t="s">
        <v>509</v>
      </c>
      <c r="D46">
        <f>HYPERLINK("http://www.reserveamerica.com/camping/boulder-gulch/r/facilityDetails.do?contractCode=NRSO&amp;parkId=71569", "BOULDER GULCH")</f>
        <v>0</v>
      </c>
      <c r="E46">
        <v>35.6725</v>
      </c>
      <c r="F46">
        <v>-118.4691667</v>
      </c>
      <c r="G46" t="s">
        <v>556</v>
      </c>
      <c r="I46" t="s">
        <v>505</v>
      </c>
      <c r="J46">
        <f>HYPERLINK("http://maps.google.com/maps?z=10&amp;t=m&amp;q=loc:35.6725+-118.4691667", 357)</f>
        <v>0</v>
      </c>
      <c r="K46">
        <v>119</v>
      </c>
      <c r="L46">
        <v>56</v>
      </c>
      <c r="M46">
        <v>0</v>
      </c>
      <c r="N46">
        <v>56</v>
      </c>
      <c r="O46">
        <v>56</v>
      </c>
    </row>
    <row r="47" spans="1:15">
      <c r="A47" s="1" t="s">
        <v>59</v>
      </c>
      <c r="B47" t="s">
        <v>504</v>
      </c>
      <c r="C47" t="s">
        <v>509</v>
      </c>
      <c r="D47">
        <f>HYPERLINK("http://www.reserveamerica.com/camping/boulder-oaks-eqst/r/facilityDetails.do?contractCode=NRSO&amp;parkId=70146", "BOULDER OAKS EQST")</f>
        <v>0</v>
      </c>
      <c r="E47">
        <v>32.7302778</v>
      </c>
      <c r="F47">
        <v>-116.4825</v>
      </c>
      <c r="G47" t="s">
        <v>557</v>
      </c>
      <c r="I47" t="s">
        <v>505</v>
      </c>
      <c r="J47">
        <f>HYPERLINK("http://maps.google.com/maps?z=10&amp;t=m&amp;q=loc:32.7302778+-116.4825", 710)</f>
        <v>0</v>
      </c>
      <c r="K47">
        <v>134</v>
      </c>
      <c r="L47">
        <v>0</v>
      </c>
      <c r="M47">
        <v>0</v>
      </c>
      <c r="N47">
        <v>0</v>
      </c>
      <c r="O47">
        <v>0</v>
      </c>
    </row>
    <row r="48" spans="1:15">
      <c r="A48" s="1" t="s">
        <v>60</v>
      </c>
      <c r="B48" t="s">
        <v>504</v>
      </c>
      <c r="C48" t="s">
        <v>509</v>
      </c>
      <c r="D48">
        <f>HYPERLINK("http://www.reserveamerica.com/camping/boyington-mill/r/facilityDetails.do?contractCode=NRSO&amp;parkId=74127", "BOYINGTON MILL")</f>
        <v>0</v>
      </c>
      <c r="E48">
        <v>39.4375</v>
      </c>
      <c r="F48">
        <v>-120.0908333</v>
      </c>
      <c r="G48" t="s">
        <v>558</v>
      </c>
      <c r="I48" t="s">
        <v>505</v>
      </c>
      <c r="J48">
        <f>HYPERLINK("http://maps.google.com/maps?z=10&amp;t=m&amp;q=loc:39.4375+-120.0908333", 282)</f>
        <v>0</v>
      </c>
      <c r="K48">
        <v>33</v>
      </c>
      <c r="L48">
        <v>11</v>
      </c>
      <c r="M48">
        <v>0</v>
      </c>
      <c r="N48">
        <v>11</v>
      </c>
      <c r="O48">
        <v>11</v>
      </c>
    </row>
    <row r="49" spans="1:15">
      <c r="A49" s="1" t="s">
        <v>61</v>
      </c>
      <c r="B49" t="s">
        <v>505</v>
      </c>
      <c r="C49" t="s">
        <v>510</v>
      </c>
      <c r="D49">
        <f>HYPERLINK("http://www.reserveamerica.com/camping/brannan-island-sra/r/facilityDetails.do?contractCode=CA&amp;parkId=120012", "BRANNAN ISLAND SRA")</f>
        <v>0</v>
      </c>
      <c r="E49">
        <v>38.1104833</v>
      </c>
      <c r="F49">
        <v>-121.6970167</v>
      </c>
      <c r="G49" t="s">
        <v>559</v>
      </c>
      <c r="I49" t="s">
        <v>505</v>
      </c>
      <c r="J49">
        <f>HYPERLINK("http://maps.google.com/maps?z=10&amp;t=m&amp;q=loc:38.1104833+-121.6970167", 88)</f>
        <v>0</v>
      </c>
      <c r="K49">
        <v>11</v>
      </c>
      <c r="L49">
        <v>91</v>
      </c>
      <c r="M49">
        <v>10</v>
      </c>
      <c r="N49">
        <v>81</v>
      </c>
      <c r="O49">
        <v>81</v>
      </c>
    </row>
    <row r="50" spans="1:15">
      <c r="A50" s="1" t="s">
        <v>62</v>
      </c>
      <c r="B50" t="s">
        <v>504</v>
      </c>
      <c r="C50" t="s">
        <v>509</v>
      </c>
      <c r="D50">
        <f>HYPERLINK("http://www.reserveamerica.com/camping/buckeye-flat-campground/r/facilityDetails.do?contractCode=NRSO&amp;parkId=72462", "BUCKEYE FLAT CAMPGROUND")</f>
        <v>0</v>
      </c>
      <c r="E50">
        <v>36.5210556</v>
      </c>
      <c r="F50">
        <v>-118.7625972</v>
      </c>
      <c r="G50" t="s">
        <v>560</v>
      </c>
      <c r="H50" t="s">
        <v>997</v>
      </c>
      <c r="I50" t="s">
        <v>505</v>
      </c>
      <c r="J50">
        <f>HYPERLINK("http://maps.google.com/maps?z=10&amp;t=m&amp;q=loc:36.5210556+-118.7625972", 293)</f>
        <v>0</v>
      </c>
      <c r="K50">
        <v>106</v>
      </c>
      <c r="L50">
        <v>0</v>
      </c>
      <c r="M50">
        <v>0</v>
      </c>
      <c r="N50">
        <v>0</v>
      </c>
      <c r="O50">
        <v>0</v>
      </c>
    </row>
    <row r="51" spans="1:15">
      <c r="A51" s="1" t="s">
        <v>63</v>
      </c>
      <c r="B51" t="s">
        <v>504</v>
      </c>
      <c r="C51" t="s">
        <v>509</v>
      </c>
      <c r="D51">
        <f>HYPERLINK("http://www.reserveamerica.com/camping/buckhorn/r/facilityDetails.do?contractCode=NRSO&amp;parkId=73102", "BUCKHORN")</f>
        <v>0</v>
      </c>
      <c r="E51">
        <v>39.8120972</v>
      </c>
      <c r="F51">
        <v>-122.3668389</v>
      </c>
      <c r="G51" t="s">
        <v>561</v>
      </c>
      <c r="I51" t="s">
        <v>505</v>
      </c>
      <c r="J51">
        <f>HYPERLINK("http://maps.google.com/maps?z=10&amp;t=m&amp;q=loc:39.8120972+-122.3668389", 278)</f>
        <v>0</v>
      </c>
      <c r="K51">
        <v>351</v>
      </c>
      <c r="L51">
        <v>50</v>
      </c>
      <c r="M51">
        <v>0</v>
      </c>
      <c r="N51">
        <v>50</v>
      </c>
      <c r="O51">
        <v>50</v>
      </c>
    </row>
    <row r="52" spans="1:15">
      <c r="A52" s="1" t="s">
        <v>64</v>
      </c>
      <c r="B52" t="s">
        <v>504</v>
      </c>
      <c r="C52" t="s">
        <v>509</v>
      </c>
      <c r="D52">
        <f>HYPERLINK("http://www.reserveamerica.com/camping/burnt-rancheria/r/facilityDetails.do?contractCode=NRSO&amp;parkId=70575", "BURNT RANCHERIA")</f>
        <v>0</v>
      </c>
      <c r="E52">
        <v>32.8613889</v>
      </c>
      <c r="F52">
        <v>-116.4161111</v>
      </c>
      <c r="G52" t="s">
        <v>562</v>
      </c>
      <c r="I52" t="s">
        <v>505</v>
      </c>
      <c r="J52">
        <f>HYPERLINK("http://maps.google.com/maps?z=10&amp;t=m&amp;q=loc:32.8613889+-116.4161111", 703)</f>
        <v>0</v>
      </c>
      <c r="K52">
        <v>133</v>
      </c>
      <c r="L52">
        <v>42</v>
      </c>
      <c r="M52">
        <v>1</v>
      </c>
      <c r="N52">
        <v>41</v>
      </c>
      <c r="O52">
        <v>41</v>
      </c>
    </row>
    <row r="53" spans="1:15">
      <c r="A53" s="1" t="s">
        <v>65</v>
      </c>
      <c r="B53" t="s">
        <v>504</v>
      </c>
      <c r="C53" t="s">
        <v>509</v>
      </c>
      <c r="D53">
        <f>HYPERLINK("http://www.reserveamerica.com/camping/bushay-recreation-area/r/facilityDetails.do?contractCode=NRSO&amp;parkId=73100", "BUSHAY RECREATION AREA")</f>
        <v>0</v>
      </c>
      <c r="E53">
        <v>39.2350056</v>
      </c>
      <c r="F53">
        <v>-123.1659333</v>
      </c>
      <c r="G53" t="s">
        <v>563</v>
      </c>
      <c r="H53" t="s">
        <v>998</v>
      </c>
      <c r="I53" t="s">
        <v>505</v>
      </c>
      <c r="J53">
        <f>HYPERLINK("http://maps.google.com/maps?z=10&amp;t=m&amp;q=loc:39.2350056+-123.1659333", 238)</f>
        <v>0</v>
      </c>
      <c r="K53">
        <v>332</v>
      </c>
      <c r="L53">
        <v>128</v>
      </c>
      <c r="M53">
        <v>4</v>
      </c>
      <c r="N53">
        <v>124</v>
      </c>
      <c r="O53">
        <v>124</v>
      </c>
    </row>
    <row r="54" spans="1:15">
      <c r="A54" s="1" t="s">
        <v>66</v>
      </c>
      <c r="B54" t="s">
        <v>504</v>
      </c>
      <c r="C54" t="s">
        <v>509</v>
      </c>
      <c r="D54">
        <f>HYPERLINK("http://www.reserveamerica.com/camping/bushytail/r/facilityDetails.do?contractCode=NRSO&amp;parkId=70754", "BUSHYTAIL")</f>
        <v>0</v>
      </c>
      <c r="E54">
        <v>40.855</v>
      </c>
      <c r="F54">
        <v>-122.8188889</v>
      </c>
      <c r="G54" t="s">
        <v>564</v>
      </c>
      <c r="I54" t="s">
        <v>505</v>
      </c>
      <c r="J54">
        <f>HYPERLINK("http://maps.google.com/maps?z=10&amp;t=m&amp;q=loc:40.855+-122.8188889", 399)</f>
        <v>0</v>
      </c>
      <c r="K54">
        <v>348</v>
      </c>
      <c r="L54">
        <v>0</v>
      </c>
      <c r="M54">
        <v>0</v>
      </c>
      <c r="N54">
        <v>0</v>
      </c>
      <c r="O54">
        <v>0</v>
      </c>
    </row>
    <row r="55" spans="1:15">
      <c r="A55" s="1" t="s">
        <v>67</v>
      </c>
      <c r="B55" t="s">
        <v>505</v>
      </c>
      <c r="C55" t="s">
        <v>510</v>
      </c>
      <c r="D55">
        <f>HYPERLINK("http://www.reserveamerica.com/camping/butano-sp/r/facilityDetails.do?contractCode=CA&amp;parkId=120013", "BUTANO SP")</f>
        <v>0</v>
      </c>
      <c r="E55">
        <v>37.2227778</v>
      </c>
      <c r="F55">
        <v>-122.3022222</v>
      </c>
      <c r="G55" t="s">
        <v>565</v>
      </c>
      <c r="I55" t="s">
        <v>505</v>
      </c>
      <c r="J55">
        <f>HYPERLINK("http://maps.google.com/maps?z=10&amp;t=m&amp;q=loc:37.2227778+-122.3022222", 36)</f>
        <v>0</v>
      </c>
      <c r="K55">
        <v>251</v>
      </c>
      <c r="L55">
        <v>0</v>
      </c>
      <c r="M55">
        <v>0</v>
      </c>
      <c r="N55">
        <v>0</v>
      </c>
      <c r="O55">
        <v>0</v>
      </c>
    </row>
    <row r="56" spans="1:15">
      <c r="A56" s="1" t="s">
        <v>68</v>
      </c>
      <c r="B56" t="s">
        <v>504</v>
      </c>
      <c r="C56" t="s">
        <v>509</v>
      </c>
      <c r="D56">
        <f>HYPERLINK("http://www.reserveamerica.com/camping/butte-lake/r/facilityDetails.do?contractCode=NRSO&amp;parkId=74186", "BUTTE LAKE")</f>
        <v>0</v>
      </c>
      <c r="E56">
        <v>40.565</v>
      </c>
      <c r="F56">
        <v>-121.3052778</v>
      </c>
      <c r="G56" t="s">
        <v>566</v>
      </c>
      <c r="I56" t="s">
        <v>505</v>
      </c>
      <c r="J56">
        <f>HYPERLINK("http://maps.google.com/maps?z=10&amp;t=m&amp;q=loc:40.565+-121.3052778", 363)</f>
        <v>0</v>
      </c>
      <c r="K56">
        <v>8</v>
      </c>
      <c r="L56">
        <v>0</v>
      </c>
      <c r="M56">
        <v>0</v>
      </c>
      <c r="N56">
        <v>0</v>
      </c>
      <c r="O56">
        <v>0</v>
      </c>
    </row>
    <row r="57" spans="1:15">
      <c r="A57" s="1" t="s">
        <v>69</v>
      </c>
      <c r="B57" t="s">
        <v>504</v>
      </c>
      <c r="C57" t="s">
        <v>509</v>
      </c>
      <c r="E57">
        <v>40.565</v>
      </c>
      <c r="F57">
        <v>-121.3052778</v>
      </c>
      <c r="G57" t="s">
        <v>567</v>
      </c>
      <c r="I57" t="s">
        <v>505</v>
      </c>
      <c r="J57">
        <f>HYPERLINK("http://maps.google.com/maps?z=10&amp;t=m&amp;q=loc:40.565+-121.3052778", 363)</f>
        <v>0</v>
      </c>
      <c r="K57">
        <v>8</v>
      </c>
      <c r="L57">
        <v>0</v>
      </c>
      <c r="M57">
        <v>0</v>
      </c>
      <c r="N57">
        <v>0</v>
      </c>
      <c r="O57">
        <v>0</v>
      </c>
    </row>
    <row r="58" spans="1:15">
      <c r="A58" s="1" t="s">
        <v>70</v>
      </c>
      <c r="B58" t="s">
        <v>504</v>
      </c>
      <c r="C58" t="s">
        <v>509</v>
      </c>
      <c r="D58">
        <f>HYPERLINK("http://www.reserveamerica.com/camping/buttercup-group-camp/r/facilityDetails.do?contractCode=NRSO&amp;parkId=70171", "BUTTERCUP GROUP CAMP")</f>
        <v>0</v>
      </c>
      <c r="E58">
        <v>34.2352778</v>
      </c>
      <c r="F58">
        <v>-116.8802778</v>
      </c>
      <c r="G58" t="s">
        <v>568</v>
      </c>
      <c r="I58" t="s">
        <v>505</v>
      </c>
      <c r="J58">
        <f>HYPERLINK("http://maps.google.com/maps?z=10&amp;t=m&amp;q=loc:34.2352778+-116.8802778", 568)</f>
        <v>0</v>
      </c>
      <c r="K58">
        <v>125</v>
      </c>
      <c r="L58">
        <v>0</v>
      </c>
      <c r="M58">
        <v>0</v>
      </c>
      <c r="N58">
        <v>0</v>
      </c>
      <c r="O58">
        <v>0</v>
      </c>
    </row>
    <row r="59" spans="1:15">
      <c r="A59" s="1" t="s">
        <v>71</v>
      </c>
      <c r="B59" t="s">
        <v>504</v>
      </c>
      <c r="C59" t="s">
        <v>509</v>
      </c>
      <c r="D59">
        <f>HYPERLINK("http://www.reserveamerica.com/camping/calida/r/facilityDetails.do?contractCode=NRSO&amp;parkId=75428", "CAL-IDA")</f>
        <v>0</v>
      </c>
      <c r="E59">
        <v>39.52</v>
      </c>
      <c r="F59">
        <v>-120.9966667</v>
      </c>
      <c r="G59" t="s">
        <v>569</v>
      </c>
      <c r="I59" t="s">
        <v>505</v>
      </c>
      <c r="J59">
        <f>HYPERLINK("http://maps.google.com/maps?z=10&amp;t=m&amp;q=loc:39.52+-120.9966667", 256)</f>
        <v>0</v>
      </c>
      <c r="K59">
        <v>17</v>
      </c>
      <c r="L59">
        <v>14</v>
      </c>
      <c r="M59">
        <v>0</v>
      </c>
      <c r="N59">
        <v>14</v>
      </c>
      <c r="O59">
        <v>14</v>
      </c>
    </row>
    <row r="60" spans="1:15">
      <c r="A60" s="1" t="s">
        <v>72</v>
      </c>
      <c r="B60" t="s">
        <v>505</v>
      </c>
      <c r="C60" t="s">
        <v>510</v>
      </c>
      <c r="D60">
        <f>HYPERLINK("http://www.reserveamerica.com/camping/calaveras-big-trees-sp/r/facilityDetails.do?contractCode=CA&amp;parkId=120014", "CALAVERAS BIG TREES SP")</f>
        <v>0</v>
      </c>
      <c r="E60">
        <v>38.2719444</v>
      </c>
      <c r="F60">
        <v>-120.2866667</v>
      </c>
      <c r="G60" t="s">
        <v>570</v>
      </c>
      <c r="I60" t="s">
        <v>505</v>
      </c>
      <c r="J60">
        <f>HYPERLINK("http://maps.google.com/maps?z=10&amp;t=m&amp;q=loc:38.2719444+-120.2866667", 176)</f>
        <v>0</v>
      </c>
      <c r="K60">
        <v>53</v>
      </c>
      <c r="L60">
        <v>7</v>
      </c>
      <c r="M60">
        <v>7</v>
      </c>
      <c r="N60">
        <v>0</v>
      </c>
      <c r="O60">
        <v>0</v>
      </c>
    </row>
    <row r="61" spans="1:15">
      <c r="A61" s="1" t="s">
        <v>73</v>
      </c>
      <c r="B61" t="s">
        <v>504</v>
      </c>
      <c r="C61" t="s">
        <v>509</v>
      </c>
      <c r="D61">
        <f>HYPERLINK("http://www.reserveamerica.com/camping/camp-4-group-campground/r/facilityDetails.do?contractCode=NRSO&amp;parkId=72184", "CAMP 4 GROUP CAMPGROUND")</f>
        <v>0</v>
      </c>
      <c r="E61">
        <v>41.2338889</v>
      </c>
      <c r="F61">
        <v>-121.9838889</v>
      </c>
      <c r="G61" t="s">
        <v>571</v>
      </c>
      <c r="H61" t="s">
        <v>997</v>
      </c>
      <c r="I61" t="s">
        <v>505</v>
      </c>
      <c r="J61">
        <f>HYPERLINK("http://maps.google.com/maps?z=10&amp;t=m&amp;q=loc:41.2338889+-121.9838889", 434)</f>
        <v>0</v>
      </c>
      <c r="K61">
        <v>359</v>
      </c>
      <c r="L61">
        <v>0</v>
      </c>
      <c r="M61">
        <v>0</v>
      </c>
      <c r="N61">
        <v>0</v>
      </c>
      <c r="O61">
        <v>0</v>
      </c>
    </row>
    <row r="62" spans="1:15">
      <c r="A62" s="1" t="s">
        <v>74</v>
      </c>
      <c r="B62" t="s">
        <v>504</v>
      </c>
      <c r="C62" t="s">
        <v>509</v>
      </c>
      <c r="D62">
        <f>HYPERLINK("http://www.reserveamerica.com/camping/camp-9/r/facilityDetails.do?contractCode=NRSO&amp;parkId=73975", "CAMP 9")</f>
        <v>0</v>
      </c>
      <c r="E62">
        <v>35.6983333</v>
      </c>
      <c r="F62">
        <v>-118.4291667</v>
      </c>
      <c r="G62" t="s">
        <v>572</v>
      </c>
      <c r="I62" t="s">
        <v>505</v>
      </c>
      <c r="J62">
        <f>HYPERLINK("http://maps.google.com/maps?z=10&amp;t=m&amp;q=loc:35.6983333+-118.4291667", 359)</f>
        <v>0</v>
      </c>
      <c r="K62">
        <v>119</v>
      </c>
      <c r="L62">
        <v>11</v>
      </c>
      <c r="M62">
        <v>0</v>
      </c>
      <c r="N62">
        <v>11</v>
      </c>
      <c r="O62">
        <v>11</v>
      </c>
    </row>
    <row r="63" spans="1:15">
      <c r="A63" s="1" t="s">
        <v>75</v>
      </c>
      <c r="B63" t="s">
        <v>504</v>
      </c>
      <c r="C63" t="s">
        <v>509</v>
      </c>
      <c r="D63">
        <f>HYPERLINK("http://www.reserveamerica.com/camping/camp-three-campground/r/facilityDetails.do?contractCode=NRSO&amp;parkId=71677", "CAMP THREE CAMPGROUND")</f>
        <v>0</v>
      </c>
      <c r="E63">
        <v>35.8066667</v>
      </c>
      <c r="F63">
        <v>-118.4527778</v>
      </c>
      <c r="G63" t="s">
        <v>573</v>
      </c>
      <c r="I63" t="s">
        <v>505</v>
      </c>
      <c r="J63">
        <f>HYPERLINK("http://maps.google.com/maps?z=10&amp;t=m&amp;q=loc:35.8066667+-118.4527778", 351)</f>
        <v>0</v>
      </c>
      <c r="K63">
        <v>117</v>
      </c>
      <c r="L63">
        <v>0</v>
      </c>
      <c r="M63">
        <v>0</v>
      </c>
      <c r="N63">
        <v>0</v>
      </c>
      <c r="O63">
        <v>0</v>
      </c>
    </row>
    <row r="64" spans="1:15">
      <c r="A64" s="1" t="s">
        <v>76</v>
      </c>
      <c r="B64" t="s">
        <v>504</v>
      </c>
      <c r="C64" t="s">
        <v>509</v>
      </c>
      <c r="E64">
        <v>36.7872222</v>
      </c>
      <c r="F64">
        <v>-118.6652778</v>
      </c>
      <c r="G64" t="s">
        <v>574</v>
      </c>
      <c r="I64" t="s">
        <v>505</v>
      </c>
      <c r="J64">
        <f>HYPERLINK("http://maps.google.com/maps?z=10&amp;t=m&amp;q=loc:36.7872222+-118.6652778", 293)</f>
        <v>0</v>
      </c>
      <c r="K64">
        <v>100</v>
      </c>
      <c r="L64">
        <v>0</v>
      </c>
      <c r="M64">
        <v>0</v>
      </c>
      <c r="N64">
        <v>0</v>
      </c>
      <c r="O64">
        <v>0</v>
      </c>
    </row>
    <row r="65" spans="1:15">
      <c r="A65" s="1" t="s">
        <v>77</v>
      </c>
      <c r="B65" t="s">
        <v>504</v>
      </c>
      <c r="C65" t="s">
        <v>509</v>
      </c>
      <c r="D65">
        <f>HYPERLINK("http://www.reserveamerica.com/camping/capps-crossing/r/facilityDetails.do?contractCode=NRSO&amp;parkId=73937", "CAPPS CROSSING")</f>
        <v>0</v>
      </c>
      <c r="E65">
        <v>38.6511111</v>
      </c>
      <c r="F65">
        <v>-120.4061111</v>
      </c>
      <c r="G65" t="s">
        <v>575</v>
      </c>
      <c r="I65" t="s">
        <v>505</v>
      </c>
      <c r="J65">
        <f>HYPERLINK("http://maps.google.com/maps?z=10&amp;t=m&amp;q=loc:38.6511111+-120.4061111", 197)</f>
        <v>0</v>
      </c>
      <c r="K65">
        <v>41</v>
      </c>
      <c r="L65">
        <v>0</v>
      </c>
      <c r="M65">
        <v>0</v>
      </c>
      <c r="N65">
        <v>0</v>
      </c>
      <c r="O65">
        <v>0</v>
      </c>
    </row>
    <row r="66" spans="1:15">
      <c r="A66" s="1" t="s">
        <v>78</v>
      </c>
      <c r="B66" t="s">
        <v>504</v>
      </c>
      <c r="C66" t="s">
        <v>509</v>
      </c>
      <c r="D66">
        <f>HYPERLINK("http://www.reserveamerica.com/camping/carlton/r/facilityDetails.do?contractCode=NRSO&amp;parkId=75437", "CARLTON")</f>
        <v>0</v>
      </c>
      <c r="E66">
        <v>39.5191667</v>
      </c>
      <c r="F66">
        <v>-120.9997222</v>
      </c>
      <c r="G66" t="s">
        <v>576</v>
      </c>
      <c r="I66" t="s">
        <v>505</v>
      </c>
      <c r="J66">
        <f>HYPERLINK("http://maps.google.com/maps?z=10&amp;t=m&amp;q=loc:39.5191667+-120.9997222", 255)</f>
        <v>0</v>
      </c>
      <c r="K66">
        <v>17</v>
      </c>
      <c r="L66">
        <v>8</v>
      </c>
      <c r="M66">
        <v>0</v>
      </c>
      <c r="N66">
        <v>8</v>
      </c>
      <c r="O66">
        <v>8</v>
      </c>
    </row>
    <row r="67" spans="1:15">
      <c r="A67" s="1" t="s">
        <v>79</v>
      </c>
      <c r="B67" t="s">
        <v>505</v>
      </c>
      <c r="C67" t="s">
        <v>510</v>
      </c>
      <c r="D67">
        <f>HYPERLINK("http://www.reserveamerica.com/camping/carpinteria-sb/r/facilityDetails.do?contractCode=CA&amp;parkId=120015", "CARPINTERIA SB")</f>
        <v>0</v>
      </c>
      <c r="E67">
        <v>34.3919444</v>
      </c>
      <c r="F67">
        <v>-119.5202778</v>
      </c>
      <c r="G67" t="s">
        <v>577</v>
      </c>
      <c r="I67" t="s">
        <v>505</v>
      </c>
      <c r="J67">
        <f>HYPERLINK("http://maps.google.com/maps?z=10&amp;t=m&amp;q=loc:34.3919444+-119.5202778", 390)</f>
        <v>0</v>
      </c>
      <c r="K67">
        <v>145</v>
      </c>
      <c r="L67">
        <v>0</v>
      </c>
      <c r="M67">
        <v>0</v>
      </c>
      <c r="N67">
        <v>0</v>
      </c>
      <c r="O67">
        <v>0</v>
      </c>
    </row>
    <row r="68" spans="1:15">
      <c r="A68" s="1" t="s">
        <v>80</v>
      </c>
      <c r="B68" t="s">
        <v>505</v>
      </c>
      <c r="C68" t="s">
        <v>510</v>
      </c>
      <c r="D68">
        <f>HYPERLINK("http://www.reserveamerica.com/camping/castle-crags-sp/r/facilityDetails.do?contractCode=CA&amp;parkId=120016", "CASTLE CRAGS SP")</f>
        <v>0</v>
      </c>
      <c r="E68">
        <v>41.1711111</v>
      </c>
      <c r="F68">
        <v>-122.3505556</v>
      </c>
      <c r="G68" t="s">
        <v>578</v>
      </c>
      <c r="I68" t="s">
        <v>505</v>
      </c>
      <c r="J68">
        <f>HYPERLINK("http://maps.google.com/maps?z=10&amp;t=m&amp;q=loc:41.1711111+-122.3505556", 428)</f>
        <v>0</v>
      </c>
      <c r="K68">
        <v>355</v>
      </c>
      <c r="L68">
        <v>0</v>
      </c>
      <c r="M68">
        <v>0</v>
      </c>
      <c r="N68">
        <v>0</v>
      </c>
      <c r="O68">
        <v>0</v>
      </c>
    </row>
    <row r="69" spans="1:15">
      <c r="A69" s="1" t="s">
        <v>81</v>
      </c>
      <c r="B69" t="s">
        <v>505</v>
      </c>
      <c r="C69" t="s">
        <v>510</v>
      </c>
      <c r="D69">
        <f>HYPERLINK("http://www.reserveamerica.com/camping/caswell-memorial-sp/r/facilityDetails.do?contractCode=CA&amp;parkId=120017", "CASWELL MEMORIAL SP")</f>
        <v>0</v>
      </c>
      <c r="E69">
        <v>37.6933333</v>
      </c>
      <c r="F69">
        <v>-121.1866667</v>
      </c>
      <c r="G69" t="s">
        <v>579</v>
      </c>
      <c r="I69" t="s">
        <v>505</v>
      </c>
      <c r="J69">
        <f>HYPERLINK("http://maps.google.com/maps?z=10&amp;t=m&amp;q=loc:37.6933333+-121.1866667", 75)</f>
        <v>0</v>
      </c>
      <c r="K69">
        <v>57</v>
      </c>
      <c r="L69">
        <v>60</v>
      </c>
      <c r="M69">
        <v>4</v>
      </c>
      <c r="N69">
        <v>56</v>
      </c>
      <c r="O69">
        <v>56</v>
      </c>
    </row>
    <row r="70" spans="1:15">
      <c r="A70" s="1" t="s">
        <v>82</v>
      </c>
      <c r="B70" t="s">
        <v>504</v>
      </c>
      <c r="C70" t="s">
        <v>509</v>
      </c>
      <c r="D70">
        <f>HYPERLINK("http://www.reserveamerica.com/camping/catavee/r/facilityDetails.do?contractCode=NRSO&amp;parkId=71589", "CATAVEE")</f>
        <v>0</v>
      </c>
      <c r="E70">
        <v>37.2525</v>
      </c>
      <c r="F70">
        <v>-119.1769444</v>
      </c>
      <c r="G70" t="s">
        <v>580</v>
      </c>
      <c r="I70" t="s">
        <v>505</v>
      </c>
      <c r="J70">
        <f>HYPERLINK("http://maps.google.com/maps?z=10&amp;t=m&amp;q=loc:37.2525+-119.1769444", 241)</f>
        <v>0</v>
      </c>
      <c r="K70">
        <v>91</v>
      </c>
      <c r="L70">
        <v>0</v>
      </c>
      <c r="M70">
        <v>0</v>
      </c>
      <c r="N70">
        <v>0</v>
      </c>
      <c r="O70">
        <v>0</v>
      </c>
    </row>
    <row r="71" spans="1:15">
      <c r="A71" s="1" t="s">
        <v>83</v>
      </c>
      <c r="B71" t="s">
        <v>504</v>
      </c>
      <c r="C71" t="s">
        <v>509</v>
      </c>
      <c r="D71">
        <f>HYPERLINK("http://www.reserveamerica.com/camping/cedar-bluff/r/facilityDetails.do?contractCode=NRSO&amp;parkId=71722", "CEDAR BLUFF")</f>
        <v>0</v>
      </c>
      <c r="E71">
        <v>37.3077778</v>
      </c>
      <c r="F71">
        <v>-119.5441667</v>
      </c>
      <c r="G71" t="s">
        <v>581</v>
      </c>
      <c r="I71" t="s">
        <v>505</v>
      </c>
      <c r="J71">
        <f>HYPERLINK("http://maps.google.com/maps?z=10&amp;t=m&amp;q=loc:37.3077778+-119.5441667", 208)</f>
        <v>0</v>
      </c>
      <c r="K71">
        <v>89</v>
      </c>
      <c r="L71">
        <v>20</v>
      </c>
      <c r="M71">
        <v>0</v>
      </c>
      <c r="N71">
        <v>20</v>
      </c>
      <c r="O71">
        <v>20</v>
      </c>
    </row>
    <row r="72" spans="1:15">
      <c r="A72" s="1" t="s">
        <v>84</v>
      </c>
      <c r="B72" t="s">
        <v>504</v>
      </c>
      <c r="C72" t="s">
        <v>509</v>
      </c>
      <c r="D72">
        <f>HYPERLINK("http://www.reserveamerica.com/camping/cerro-alto-campground/r/facilityDetails.do?contractCode=NRSO&amp;parkId=71995", "CERRO ALTO CAMPGROUND")</f>
        <v>0</v>
      </c>
      <c r="E72">
        <v>35.4275</v>
      </c>
      <c r="F72">
        <v>-120.7383333</v>
      </c>
      <c r="G72" t="s">
        <v>582</v>
      </c>
      <c r="I72" t="s">
        <v>505</v>
      </c>
      <c r="J72">
        <f>HYPERLINK("http://maps.google.com/maps?z=10&amp;t=m&amp;q=loc:35.4275+-120.7383333", 235)</f>
        <v>0</v>
      </c>
      <c r="K72">
        <v>153</v>
      </c>
      <c r="L72">
        <v>4</v>
      </c>
      <c r="M72">
        <v>0</v>
      </c>
      <c r="N72">
        <v>4</v>
      </c>
      <c r="O72">
        <v>4</v>
      </c>
    </row>
    <row r="73" spans="1:15">
      <c r="A73" s="1" t="s">
        <v>85</v>
      </c>
      <c r="B73" t="s">
        <v>504</v>
      </c>
      <c r="C73" t="s">
        <v>509</v>
      </c>
      <c r="D73">
        <f>HYPERLINK("http://www.reserveamerica.com/camping/chapman/r/facilityDetails.do?contractCode=NRSO&amp;parkId=75436", "CHAPMAN")</f>
        <v>0</v>
      </c>
      <c r="E73">
        <v>39.6294444</v>
      </c>
      <c r="F73">
        <v>-120.5447222</v>
      </c>
      <c r="G73" t="s">
        <v>583</v>
      </c>
      <c r="I73" t="s">
        <v>505</v>
      </c>
      <c r="J73">
        <f>HYPERLINK("http://maps.google.com/maps?z=10&amp;t=m&amp;q=loc:39.6294444+-120.5447222", 281)</f>
        <v>0</v>
      </c>
      <c r="K73">
        <v>24</v>
      </c>
      <c r="L73">
        <v>20</v>
      </c>
      <c r="M73">
        <v>0</v>
      </c>
      <c r="N73">
        <v>20</v>
      </c>
      <c r="O73">
        <v>20</v>
      </c>
    </row>
    <row r="74" spans="1:15">
      <c r="A74" s="1" t="s">
        <v>86</v>
      </c>
      <c r="B74" t="s">
        <v>504</v>
      </c>
      <c r="C74" t="s">
        <v>509</v>
      </c>
      <c r="D74">
        <f>HYPERLINK("http://www.reserveamerica.com/camping/chekaka-recreation-area-lake-mendocino/r/facilityDetails.do?contractCode=NRSO&amp;parkId=73541", "CHEKAKA RECREATION AREA LAKE MENDOCINO")</f>
        <v>0</v>
      </c>
      <c r="E74">
        <v>39.2030556</v>
      </c>
      <c r="F74">
        <v>-123.1863889</v>
      </c>
      <c r="G74" t="s">
        <v>584</v>
      </c>
      <c r="I74" t="s">
        <v>505</v>
      </c>
      <c r="J74">
        <f>HYPERLINK("http://maps.google.com/maps?z=10&amp;t=m&amp;q=loc:39.2030556+-123.1863889", 236)</f>
        <v>0</v>
      </c>
      <c r="K74">
        <v>332</v>
      </c>
      <c r="L74">
        <v>0</v>
      </c>
      <c r="M74">
        <v>0</v>
      </c>
      <c r="N74">
        <v>0</v>
      </c>
      <c r="O74">
        <v>0</v>
      </c>
    </row>
    <row r="75" spans="1:15">
      <c r="A75" s="1" t="s">
        <v>87</v>
      </c>
      <c r="B75" t="s">
        <v>504</v>
      </c>
      <c r="C75" t="s">
        <v>509</v>
      </c>
      <c r="D75">
        <f>HYPERLINK("http://www.reserveamerica.com/camping/cherry-valley/r/facilityDetails.do?contractCode=NRSO&amp;parkId=110533", "CHERRY VALLEY")</f>
        <v>0</v>
      </c>
      <c r="E75">
        <v>37.9855556</v>
      </c>
      <c r="F75">
        <v>-119.9169444</v>
      </c>
      <c r="G75" t="s">
        <v>585</v>
      </c>
      <c r="I75" t="s">
        <v>505</v>
      </c>
      <c r="J75">
        <f>HYPERLINK("http://maps.google.com/maps?z=10&amp;t=m&amp;q=loc:37.9855556+-119.9169444", 189)</f>
        <v>0</v>
      </c>
      <c r="K75">
        <v>66</v>
      </c>
      <c r="L75">
        <v>22</v>
      </c>
      <c r="M75">
        <v>0</v>
      </c>
      <c r="N75">
        <v>22</v>
      </c>
      <c r="O75">
        <v>22</v>
      </c>
    </row>
    <row r="76" spans="1:15">
      <c r="A76" s="1" t="s">
        <v>88</v>
      </c>
      <c r="B76" t="s">
        <v>504</v>
      </c>
      <c r="C76" t="s">
        <v>509</v>
      </c>
      <c r="D76">
        <f>HYPERLINK("http://www.reserveamerica.com/camping/chilcoot/r/facilityDetails.do?contractCode=NRSO&amp;parkId=71609", "CHILCOOT")</f>
        <v>0</v>
      </c>
      <c r="E76">
        <v>39.8655556</v>
      </c>
      <c r="F76">
        <v>-120.1661111</v>
      </c>
      <c r="G76" t="s">
        <v>586</v>
      </c>
      <c r="I76" t="s">
        <v>505</v>
      </c>
      <c r="J76">
        <f>HYPERLINK("http://maps.google.com/maps?z=10&amp;t=m&amp;q=loc:39.8655556+-120.1661111", 319)</f>
        <v>0</v>
      </c>
      <c r="K76">
        <v>27</v>
      </c>
      <c r="L76">
        <v>0</v>
      </c>
      <c r="M76">
        <v>0</v>
      </c>
      <c r="N76">
        <v>0</v>
      </c>
      <c r="O76">
        <v>0</v>
      </c>
    </row>
    <row r="77" spans="1:15">
      <c r="A77" s="1" t="s">
        <v>89</v>
      </c>
      <c r="B77" t="s">
        <v>504</v>
      </c>
      <c r="C77" t="s">
        <v>509</v>
      </c>
      <c r="D77">
        <f>HYPERLINK("http://www.reserveamerica.com/camping/chilkoot/r/facilityDetails.do?contractCode=NRSO&amp;parkId=71670", "CHILKOOT")</f>
        <v>0</v>
      </c>
      <c r="E77">
        <v>37.3627778</v>
      </c>
      <c r="F77">
        <v>-119.5386111</v>
      </c>
      <c r="G77" t="s">
        <v>587</v>
      </c>
      <c r="I77" t="s">
        <v>505</v>
      </c>
      <c r="J77">
        <f>HYPERLINK("http://maps.google.com/maps?z=10&amp;t=m&amp;q=loc:37.3627778+-119.5386111", 209)</f>
        <v>0</v>
      </c>
      <c r="K77">
        <v>88</v>
      </c>
      <c r="L77">
        <v>11</v>
      </c>
      <c r="M77">
        <v>0</v>
      </c>
      <c r="N77">
        <v>11</v>
      </c>
      <c r="O77">
        <v>11</v>
      </c>
    </row>
    <row r="78" spans="1:15">
      <c r="A78" s="1" t="s">
        <v>90</v>
      </c>
      <c r="B78" t="s">
        <v>505</v>
      </c>
      <c r="C78" t="s">
        <v>510</v>
      </c>
      <c r="D78">
        <f>HYPERLINK("http://www.reserveamerica.com/camping/china-camp-sp/r/facilityDetails.do?contractCode=CA&amp;parkId=120018", "CHINA CAMP SP")</f>
        <v>0</v>
      </c>
      <c r="E78">
        <v>38.0008333</v>
      </c>
      <c r="F78">
        <v>-122.4605556</v>
      </c>
      <c r="G78" t="s">
        <v>588</v>
      </c>
      <c r="H78" t="s">
        <v>999</v>
      </c>
      <c r="I78" t="s">
        <v>505</v>
      </c>
      <c r="J78">
        <f>HYPERLINK("http://maps.google.com/maps?z=10&amp;t=m&amp;q=loc:38.0008333+-122.4605556", 89)</f>
        <v>0</v>
      </c>
      <c r="K78">
        <v>327</v>
      </c>
      <c r="L78">
        <v>2</v>
      </c>
      <c r="M78">
        <v>0</v>
      </c>
      <c r="N78">
        <v>2</v>
      </c>
      <c r="O78">
        <v>2</v>
      </c>
    </row>
    <row r="79" spans="1:15">
      <c r="A79" s="1" t="s">
        <v>91</v>
      </c>
      <c r="B79" t="s">
        <v>505</v>
      </c>
      <c r="C79" t="s">
        <v>510</v>
      </c>
      <c r="D79">
        <f>HYPERLINK("http://www.reserveamerica.com/camping/chino-hills-sp/r/facilityDetails.do?contractCode=CA&amp;parkId=124900", "CHINO HILLS SP")</f>
        <v>0</v>
      </c>
      <c r="G79" t="s">
        <v>589</v>
      </c>
      <c r="I79" t="s">
        <v>505</v>
      </c>
      <c r="J79">
        <f>HYPERLINK("http://maps.google.com/maps?z=10&amp;t=m&amp;q=loc:nan+nan", 0)</f>
        <v>0</v>
      </c>
      <c r="K79">
        <v>0</v>
      </c>
      <c r="L79">
        <v>19</v>
      </c>
      <c r="M79">
        <v>2</v>
      </c>
      <c r="N79">
        <v>17</v>
      </c>
      <c r="O79">
        <v>17</v>
      </c>
    </row>
    <row r="80" spans="1:15">
      <c r="A80" s="1" t="s">
        <v>92</v>
      </c>
      <c r="B80" t="s">
        <v>504</v>
      </c>
      <c r="C80" t="s">
        <v>509</v>
      </c>
      <c r="D80">
        <f>HYPERLINK("http://www.reserveamerica.com/camping/christie-campground/r/facilityDetails.do?contractCode=NRSO&amp;parkId=71705", "CHRISTIE CAMPGROUND")</f>
        <v>0</v>
      </c>
      <c r="E80">
        <v>40.5663889</v>
      </c>
      <c r="F80">
        <v>-120.8387833</v>
      </c>
      <c r="G80" t="s">
        <v>590</v>
      </c>
      <c r="I80" t="s">
        <v>505</v>
      </c>
      <c r="J80">
        <f>HYPERLINK("http://maps.google.com/maps?z=10&amp;t=m&amp;q=loc:40.5663889+-120.8387833", 371)</f>
        <v>0</v>
      </c>
      <c r="K80">
        <v>14</v>
      </c>
      <c r="L80">
        <v>0</v>
      </c>
      <c r="M80">
        <v>0</v>
      </c>
      <c r="N80">
        <v>0</v>
      </c>
      <c r="O80">
        <v>0</v>
      </c>
    </row>
    <row r="81" spans="1:15">
      <c r="A81" s="1" t="s">
        <v>93</v>
      </c>
      <c r="B81" t="s">
        <v>505</v>
      </c>
      <c r="C81" t="s">
        <v>510</v>
      </c>
      <c r="D81">
        <f>HYPERLINK("http://www.reserveamerica.com/camping/clear-lake-sp/r/facilityDetails.do?contractCode=CA&amp;parkId=120019", "CLEAR LAKE SP")</f>
        <v>0</v>
      </c>
      <c r="E81">
        <v>39.0066667</v>
      </c>
      <c r="F81">
        <v>-122.8141667</v>
      </c>
      <c r="G81" t="s">
        <v>591</v>
      </c>
      <c r="I81" t="s">
        <v>505</v>
      </c>
      <c r="J81">
        <f>HYPERLINK("http://maps.google.com/maps?z=10&amp;t=m&amp;q=loc:39.0066667+-122.8141667", 202)</f>
        <v>0</v>
      </c>
      <c r="K81">
        <v>337</v>
      </c>
      <c r="L81">
        <v>123</v>
      </c>
      <c r="M81">
        <v>7</v>
      </c>
      <c r="N81">
        <v>116</v>
      </c>
      <c r="O81">
        <v>116</v>
      </c>
    </row>
    <row r="82" spans="1:15">
      <c r="A82" s="1" t="s">
        <v>94</v>
      </c>
      <c r="B82" t="s">
        <v>504</v>
      </c>
      <c r="C82" t="s">
        <v>509</v>
      </c>
      <c r="D82">
        <f>HYPERLINK("http://www.reserveamerica.com/camping/codorniz-recreation-area-campground/r/facilityDetails.do?contractCode=NRSO&amp;parkId=73062", "Codorniz Recreation Area Campground")</f>
        <v>0</v>
      </c>
      <c r="E82">
        <v>37.2158333</v>
      </c>
      <c r="F82">
        <v>-119.9686111</v>
      </c>
      <c r="G82" t="s">
        <v>592</v>
      </c>
      <c r="I82" t="s">
        <v>505</v>
      </c>
      <c r="J82">
        <f>HYPERLINK("http://maps.google.com/maps?z=10&amp;t=m&amp;q=loc:37.2158333+-119.9686111", 171)</f>
        <v>0</v>
      </c>
      <c r="K82">
        <v>93</v>
      </c>
      <c r="L82">
        <v>79</v>
      </c>
      <c r="M82">
        <v>2</v>
      </c>
      <c r="N82">
        <v>77</v>
      </c>
      <c r="O82">
        <v>77</v>
      </c>
    </row>
    <row r="83" spans="1:15">
      <c r="A83" s="1" t="s">
        <v>95</v>
      </c>
      <c r="B83" t="s">
        <v>505</v>
      </c>
      <c r="C83" t="s">
        <v>510</v>
      </c>
      <c r="D83">
        <f>HYPERLINK("http://www.reserveamerica.com/camping/col-allensworth-shp/r/facilityDetails.do?contractCode=CA&amp;parkId=120020", "COL. ALLENSWORTH SHP")</f>
        <v>0</v>
      </c>
      <c r="E83">
        <v>35.8636111</v>
      </c>
      <c r="F83">
        <v>-119.3869444</v>
      </c>
      <c r="G83" t="s">
        <v>593</v>
      </c>
      <c r="I83" t="s">
        <v>505</v>
      </c>
      <c r="J83">
        <f>HYPERLINK("http://maps.google.com/maps?z=10&amp;t=m&amp;q=loc:35.8636111+-119.3869444", 277)</f>
        <v>0</v>
      </c>
      <c r="K83">
        <v>125</v>
      </c>
      <c r="L83">
        <v>115</v>
      </c>
      <c r="M83">
        <v>2</v>
      </c>
      <c r="N83">
        <v>113</v>
      </c>
      <c r="O83">
        <v>113</v>
      </c>
    </row>
    <row r="84" spans="1:15">
      <c r="A84" s="1" t="s">
        <v>96</v>
      </c>
      <c r="B84" t="s">
        <v>504</v>
      </c>
      <c r="C84" t="s">
        <v>509</v>
      </c>
      <c r="D84">
        <f>HYPERLINK("http://www.reserveamerica.com/camping/cold-creek/r/facilityDetails.do?contractCode=NRSO&amp;parkId=71655", "COLD CREEK")</f>
        <v>0</v>
      </c>
      <c r="E84">
        <v>39.5427778</v>
      </c>
      <c r="F84">
        <v>-120.3147222</v>
      </c>
      <c r="G84" t="s">
        <v>594</v>
      </c>
      <c r="I84" t="s">
        <v>505</v>
      </c>
      <c r="J84">
        <f>HYPERLINK("http://maps.google.com/maps?z=10&amp;t=m&amp;q=loc:39.5427778+-120.3147222", 282)</f>
        <v>0</v>
      </c>
      <c r="K84">
        <v>28</v>
      </c>
      <c r="L84">
        <v>6</v>
      </c>
      <c r="M84">
        <v>0</v>
      </c>
      <c r="N84">
        <v>6</v>
      </c>
      <c r="O84">
        <v>6</v>
      </c>
    </row>
    <row r="85" spans="1:15">
      <c r="A85" s="1" t="s">
        <v>97</v>
      </c>
      <c r="B85" t="s">
        <v>504</v>
      </c>
      <c r="C85" t="s">
        <v>509</v>
      </c>
      <c r="D85">
        <f>HYPERLINK("http://www.reserveamerica.com/camping/coldwater-campground/r/facilityDetails.do?contractCode=NRSO&amp;parkId=75150", "COLDWATER CAMPGROUND")</f>
        <v>0</v>
      </c>
      <c r="E85">
        <v>37.5991667</v>
      </c>
      <c r="F85">
        <v>-118.9969444</v>
      </c>
      <c r="G85" t="s">
        <v>595</v>
      </c>
      <c r="I85" t="s">
        <v>505</v>
      </c>
      <c r="J85">
        <f>HYPERLINK("http://maps.google.com/maps?z=10&amp;t=m&amp;q=loc:37.5991667+-118.9969444", 258)</f>
        <v>0</v>
      </c>
      <c r="K85">
        <v>82</v>
      </c>
      <c r="L85">
        <v>39</v>
      </c>
      <c r="M85">
        <v>0</v>
      </c>
      <c r="N85">
        <v>39</v>
      </c>
      <c r="O85">
        <v>38</v>
      </c>
    </row>
    <row r="86" spans="1:15">
      <c r="A86" s="1" t="s">
        <v>98</v>
      </c>
      <c r="B86" t="s">
        <v>504</v>
      </c>
      <c r="C86" t="s">
        <v>509</v>
      </c>
      <c r="D86">
        <f>HYPERLINK("http://www.reserveamerica.com/camping/college/r/facilityDetails.do?contractCode=NRSO&amp;parkId=71590", "COLLEGE")</f>
        <v>0</v>
      </c>
      <c r="E86">
        <v>37.2519444</v>
      </c>
      <c r="F86">
        <v>-119.1688889</v>
      </c>
      <c r="G86" t="s">
        <v>596</v>
      </c>
      <c r="H86" t="s">
        <v>998</v>
      </c>
      <c r="I86" t="s">
        <v>505</v>
      </c>
      <c r="J86">
        <f>HYPERLINK("http://maps.google.com/maps?z=10&amp;t=m&amp;q=loc:37.2519444+-119.1688889", 242)</f>
        <v>0</v>
      </c>
      <c r="K86">
        <v>91</v>
      </c>
      <c r="L86">
        <v>0</v>
      </c>
      <c r="M86">
        <v>0</v>
      </c>
      <c r="N86">
        <v>0</v>
      </c>
      <c r="O86">
        <v>0</v>
      </c>
    </row>
    <row r="87" spans="1:15">
      <c r="A87" s="1" t="s">
        <v>99</v>
      </c>
      <c r="B87" t="s">
        <v>505</v>
      </c>
      <c r="C87" t="s">
        <v>510</v>
      </c>
      <c r="D87">
        <f>HYPERLINK("http://www.reserveamerica.com/camping/colusasacramento-river-sra/r/facilityDetails.do?contractCode=CA&amp;parkId=120021", "COLUSA-SACRAMENTO RIVER SRA")</f>
        <v>0</v>
      </c>
      <c r="E87">
        <v>39.2211111</v>
      </c>
      <c r="F87">
        <v>-122.0130556</v>
      </c>
      <c r="G87" t="s">
        <v>597</v>
      </c>
      <c r="I87" t="s">
        <v>505</v>
      </c>
      <c r="J87">
        <f>HYPERLINK("http://maps.google.com/maps?z=10&amp;t=m&amp;q=loc:39.2211111+-122.0130556", 210)</f>
        <v>0</v>
      </c>
      <c r="K87">
        <v>357</v>
      </c>
      <c r="L87">
        <v>10</v>
      </c>
      <c r="M87">
        <v>0</v>
      </c>
      <c r="N87">
        <v>10</v>
      </c>
      <c r="O87">
        <v>10</v>
      </c>
    </row>
    <row r="88" spans="1:15">
      <c r="A88" s="1" t="s">
        <v>100</v>
      </c>
      <c r="B88" t="s">
        <v>504</v>
      </c>
      <c r="C88" t="s">
        <v>509</v>
      </c>
      <c r="D88">
        <f>HYPERLINK("http://www.reserveamerica.com/camping/convict-lake-campground/r/facilityDetails.do?contractCode=NRSO&amp;parkId=75172", "CONVICT LAKE CAMPGROUND")</f>
        <v>0</v>
      </c>
      <c r="E88">
        <v>37.5988889</v>
      </c>
      <c r="F88">
        <v>-118.8508333</v>
      </c>
      <c r="G88" t="s">
        <v>598</v>
      </c>
      <c r="H88" t="s">
        <v>998</v>
      </c>
      <c r="I88" t="s">
        <v>505</v>
      </c>
      <c r="J88">
        <f>HYPERLINK("http://maps.google.com/maps?z=10&amp;t=m&amp;q=loc:37.5988889+-118.8508333", 271)</f>
        <v>0</v>
      </c>
      <c r="K88">
        <v>82</v>
      </c>
      <c r="L88">
        <v>0</v>
      </c>
      <c r="M88">
        <v>0</v>
      </c>
      <c r="N88">
        <v>0</v>
      </c>
      <c r="O88">
        <v>0</v>
      </c>
    </row>
    <row r="89" spans="1:15">
      <c r="A89" s="1" t="s">
        <v>101</v>
      </c>
      <c r="B89" t="s">
        <v>504</v>
      </c>
      <c r="C89" t="s">
        <v>509</v>
      </c>
      <c r="D89">
        <f>HYPERLINK("http://www.reserveamerica.com/camping/coon-creek-group-campground/r/facilityDetails.do?contractCode=NRSO&amp;parkId=70250", "COON CREEK GROUP CAMPGROUND")</f>
        <v>0</v>
      </c>
      <c r="E89">
        <v>34.1488889</v>
      </c>
      <c r="F89">
        <v>-116.7094444</v>
      </c>
      <c r="G89" t="s">
        <v>599</v>
      </c>
      <c r="I89" t="s">
        <v>505</v>
      </c>
      <c r="J89">
        <f>HYPERLINK("http://maps.google.com/maps?z=10&amp;t=m&amp;q=loc:34.1488889+-116.7094444", 586)</f>
        <v>0</v>
      </c>
      <c r="K89">
        <v>125</v>
      </c>
      <c r="L89">
        <v>1</v>
      </c>
      <c r="M89">
        <v>0</v>
      </c>
      <c r="N89">
        <v>1</v>
      </c>
      <c r="O89">
        <v>1</v>
      </c>
    </row>
    <row r="90" spans="1:15">
      <c r="A90" s="1" t="s">
        <v>102</v>
      </c>
      <c r="B90" t="s">
        <v>504</v>
      </c>
      <c r="C90" t="s">
        <v>509</v>
      </c>
      <c r="D90">
        <f>HYPERLINK("http://www.reserveamerica.com/camping/cottonwood-ca/r/facilityDetails.do?contractCode=NRSO&amp;parkId=71611", "COTTONWOOD (CA)")</f>
        <v>0</v>
      </c>
      <c r="E90">
        <v>39.8847222</v>
      </c>
      <c r="F90">
        <v>-120.2366667</v>
      </c>
      <c r="G90" t="s">
        <v>600</v>
      </c>
      <c r="I90" t="s">
        <v>505</v>
      </c>
      <c r="J90">
        <f>HYPERLINK("http://maps.google.com/maps?z=10&amp;t=m&amp;q=loc:39.8847222+-120.2366667", 318)</f>
        <v>0</v>
      </c>
      <c r="K90">
        <v>26</v>
      </c>
      <c r="L90">
        <v>0</v>
      </c>
      <c r="M90">
        <v>0</v>
      </c>
      <c r="N90">
        <v>0</v>
      </c>
      <c r="O90">
        <v>0</v>
      </c>
    </row>
    <row r="91" spans="1:15">
      <c r="A91" s="1" t="s">
        <v>103</v>
      </c>
      <c r="B91" t="s">
        <v>504</v>
      </c>
      <c r="C91" t="s">
        <v>509</v>
      </c>
      <c r="D91">
        <f>HYPERLINK("http://www.reserveamerica.com/camping/cottonwood-creek/r/facilityDetails.do?contractCode=NRSO&amp;parkId=71657", "COTTONWOOD CREEK")</f>
        <v>0</v>
      </c>
      <c r="E91">
        <v>39.5494444</v>
      </c>
      <c r="F91">
        <v>-120.3163889</v>
      </c>
      <c r="G91" t="s">
        <v>601</v>
      </c>
      <c r="I91" t="s">
        <v>505</v>
      </c>
      <c r="J91">
        <f>HYPERLINK("http://maps.google.com/maps?z=10&amp;t=m&amp;q=loc:39.5494444+-120.3163889", 283)</f>
        <v>0</v>
      </c>
      <c r="K91">
        <v>28</v>
      </c>
      <c r="L91">
        <v>39</v>
      </c>
      <c r="M91">
        <v>0</v>
      </c>
      <c r="N91">
        <v>39</v>
      </c>
      <c r="O91">
        <v>39</v>
      </c>
    </row>
    <row r="92" spans="1:15">
      <c r="A92" s="1" t="s">
        <v>104</v>
      </c>
      <c r="B92" t="s">
        <v>504</v>
      </c>
      <c r="C92" t="s">
        <v>509</v>
      </c>
      <c r="E92">
        <v>33.75</v>
      </c>
      <c r="F92">
        <v>-115.825</v>
      </c>
      <c r="G92" t="s">
        <v>602</v>
      </c>
      <c r="I92" t="s">
        <v>505</v>
      </c>
      <c r="J92">
        <f>HYPERLINK("http://maps.google.com/maps?z=10&amp;t=m&amp;q=loc:33.75+-115.825", 678)</f>
        <v>0</v>
      </c>
      <c r="K92">
        <v>124</v>
      </c>
      <c r="L92">
        <v>0</v>
      </c>
      <c r="M92">
        <v>0</v>
      </c>
      <c r="N92">
        <v>0</v>
      </c>
      <c r="O92">
        <v>0</v>
      </c>
    </row>
    <row r="93" spans="1:15">
      <c r="A93" s="1" t="s">
        <v>105</v>
      </c>
      <c r="B93" t="s">
        <v>504</v>
      </c>
      <c r="C93" t="s">
        <v>509</v>
      </c>
      <c r="D93">
        <f>HYPERLINK("http://www.reserveamerica.com/camping/coulter-group-campground/r/facilityDetails.do?contractCode=NRSO&amp;parkId=75444", "COULTER GROUP CAMPGROUND")</f>
        <v>0</v>
      </c>
      <c r="E93">
        <v>34.3227778</v>
      </c>
      <c r="F93">
        <v>-118.0177778</v>
      </c>
      <c r="G93" t="s">
        <v>603</v>
      </c>
      <c r="I93" t="s">
        <v>505</v>
      </c>
      <c r="J93">
        <f>HYPERLINK("http://maps.google.com/maps?z=10&amp;t=m&amp;q=loc:34.3227778+-118.0177778", 483)</f>
        <v>0</v>
      </c>
      <c r="K93">
        <v>132</v>
      </c>
      <c r="L93">
        <v>0</v>
      </c>
      <c r="M93">
        <v>0</v>
      </c>
      <c r="N93">
        <v>0</v>
      </c>
      <c r="O93">
        <v>0</v>
      </c>
    </row>
    <row r="94" spans="1:15">
      <c r="A94" s="1" t="s">
        <v>106</v>
      </c>
      <c r="B94" t="s">
        <v>504</v>
      </c>
      <c r="C94" t="s">
        <v>509</v>
      </c>
      <c r="D94">
        <f>HYPERLINK("http://www.reserveamerica.com/camping/council/r/facilityDetails.do?contractCode=NRSO&amp;parkId=70251", "COUNCIL")</f>
        <v>0</v>
      </c>
      <c r="E94">
        <v>34.1713889</v>
      </c>
      <c r="F94">
        <v>-116.8816667</v>
      </c>
      <c r="G94" t="s">
        <v>604</v>
      </c>
      <c r="I94" t="s">
        <v>505</v>
      </c>
      <c r="J94">
        <f>HYPERLINK("http://maps.google.com/maps?z=10&amp;t=m&amp;q=loc:34.1713889+-116.8816667", 572)</f>
        <v>0</v>
      </c>
      <c r="K94">
        <v>126</v>
      </c>
      <c r="L94">
        <v>0</v>
      </c>
      <c r="M94">
        <v>0</v>
      </c>
      <c r="N94">
        <v>0</v>
      </c>
      <c r="O94">
        <v>0</v>
      </c>
    </row>
    <row r="95" spans="1:15">
      <c r="A95" s="1" t="s">
        <v>107</v>
      </c>
      <c r="B95" t="s">
        <v>504</v>
      </c>
      <c r="C95" t="s">
        <v>509</v>
      </c>
      <c r="D95">
        <f>HYPERLINK("http://www.reserveamerica.com/camping/cove-group/r/facilityDetails.do?contractCode=NRSO&amp;parkId=71552", "COVE GROUP")</f>
        <v>0</v>
      </c>
      <c r="E95">
        <v>36.665</v>
      </c>
      <c r="F95">
        <v>-118.8380556</v>
      </c>
      <c r="G95" t="s">
        <v>605</v>
      </c>
      <c r="I95" t="s">
        <v>505</v>
      </c>
      <c r="J95">
        <f>HYPERLINK("http://maps.google.com/maps?z=10&amp;t=m&amp;q=loc:36.665+-118.8380556", 282)</f>
        <v>0</v>
      </c>
      <c r="K95">
        <v>104</v>
      </c>
      <c r="L95">
        <v>1</v>
      </c>
      <c r="M95">
        <v>0</v>
      </c>
      <c r="N95">
        <v>1</v>
      </c>
      <c r="O95">
        <v>1</v>
      </c>
    </row>
    <row r="96" spans="1:15">
      <c r="A96" s="1" t="s">
        <v>108</v>
      </c>
      <c r="B96" t="s">
        <v>504</v>
      </c>
      <c r="C96" t="s">
        <v>509</v>
      </c>
      <c r="D96">
        <f>HYPERLINK("http://www.reserveamerica.com/camping/coy-flat/r/facilityDetails.do?contractCode=NRSO&amp;parkId=71689", "COY FLAT")</f>
        <v>0</v>
      </c>
      <c r="E96">
        <v>36.1291667</v>
      </c>
      <c r="F96">
        <v>-118.6180556</v>
      </c>
      <c r="G96" t="s">
        <v>606</v>
      </c>
      <c r="I96" t="s">
        <v>505</v>
      </c>
      <c r="J96">
        <f>HYPERLINK("http://maps.google.com/maps?z=10&amp;t=m&amp;q=loc:36.1291667+-118.6180556", 321)</f>
        <v>0</v>
      </c>
      <c r="K96">
        <v>113</v>
      </c>
      <c r="L96">
        <v>18</v>
      </c>
      <c r="M96">
        <v>0</v>
      </c>
      <c r="N96">
        <v>18</v>
      </c>
      <c r="O96">
        <v>18</v>
      </c>
    </row>
    <row r="97" spans="1:15">
      <c r="A97" s="1" t="s">
        <v>109</v>
      </c>
      <c r="B97" t="s">
        <v>504</v>
      </c>
      <c r="C97" t="s">
        <v>509</v>
      </c>
      <c r="D97">
        <f>HYPERLINK("http://www.reserveamerica.com/camping/coyote-group/r/facilityDetails.do?contractCode=NRSO&amp;parkId=70252", "COYOTE GROUP")</f>
        <v>0</v>
      </c>
      <c r="E97">
        <v>39.1355556</v>
      </c>
      <c r="F97">
        <v>-120.4105556</v>
      </c>
      <c r="G97" t="s">
        <v>607</v>
      </c>
      <c r="I97" t="s">
        <v>505</v>
      </c>
      <c r="J97">
        <f>HYPERLINK("http://maps.google.com/maps?z=10&amp;t=m&amp;q=loc:39.1355556+-120.4105556", 239)</f>
        <v>0</v>
      </c>
      <c r="K97">
        <v>32</v>
      </c>
      <c r="L97">
        <v>0</v>
      </c>
      <c r="M97">
        <v>0</v>
      </c>
      <c r="N97">
        <v>0</v>
      </c>
      <c r="O97">
        <v>0</v>
      </c>
    </row>
    <row r="98" spans="1:15">
      <c r="A98" s="1" t="s">
        <v>110</v>
      </c>
      <c r="B98" t="s">
        <v>504</v>
      </c>
      <c r="C98" t="s">
        <v>509</v>
      </c>
      <c r="E98">
        <v>37.9844444</v>
      </c>
      <c r="F98">
        <v>-120.8447222</v>
      </c>
      <c r="G98" t="s">
        <v>608</v>
      </c>
      <c r="H98" t="s">
        <v>998</v>
      </c>
      <c r="I98" t="s">
        <v>505</v>
      </c>
      <c r="J98">
        <f>HYPERLINK("http://maps.google.com/maps?z=10&amp;t=m&amp;q=loc:37.9844444+-120.8447222", 118)</f>
        <v>0</v>
      </c>
      <c r="K98">
        <v>51</v>
      </c>
      <c r="L98">
        <v>0</v>
      </c>
      <c r="M98">
        <v>0</v>
      </c>
      <c r="N98">
        <v>0</v>
      </c>
      <c r="O98">
        <v>0</v>
      </c>
    </row>
    <row r="99" spans="1:15">
      <c r="A99" s="1" t="s">
        <v>111</v>
      </c>
      <c r="B99" t="s">
        <v>504</v>
      </c>
      <c r="C99" t="s">
        <v>509</v>
      </c>
      <c r="D99">
        <f>HYPERLINK("http://www.reserveamerica.com/camping/crab-flats/r/facilityDetails.do?contractCode=NRSO&amp;parkId=70790", "CRAB FLATS")</f>
        <v>0</v>
      </c>
      <c r="E99">
        <v>34.2616667</v>
      </c>
      <c r="F99">
        <v>-117.0833333</v>
      </c>
      <c r="G99" t="s">
        <v>609</v>
      </c>
      <c r="I99" t="s">
        <v>505</v>
      </c>
      <c r="J99">
        <f>HYPERLINK("http://maps.google.com/maps?z=10&amp;t=m&amp;q=loc:34.2616667+-117.0833333", 552)</f>
        <v>0</v>
      </c>
      <c r="K99">
        <v>126</v>
      </c>
      <c r="L99">
        <v>0</v>
      </c>
      <c r="M99">
        <v>0</v>
      </c>
      <c r="N99">
        <v>0</v>
      </c>
      <c r="O99">
        <v>0</v>
      </c>
    </row>
    <row r="100" spans="1:15">
      <c r="A100" s="1" t="s">
        <v>112</v>
      </c>
      <c r="B100" t="s">
        <v>504</v>
      </c>
      <c r="C100" t="s">
        <v>509</v>
      </c>
      <c r="D100">
        <f>HYPERLINK("http://www.reserveamerica.com/camping/crags-campground/r/facilityDetails.do?contractCode=NRSO&amp;parkId=70758", "CRAGS CAMPGROUND")</f>
        <v>0</v>
      </c>
      <c r="E100">
        <v>38.1736111</v>
      </c>
      <c r="F100">
        <v>-119.3041667</v>
      </c>
      <c r="G100" t="s">
        <v>610</v>
      </c>
      <c r="I100" t="s">
        <v>505</v>
      </c>
      <c r="J100">
        <f>HYPERLINK("http://maps.google.com/maps?z=10&amp;t=m&amp;q=loc:38.1736111+-119.3041667", 247)</f>
        <v>0</v>
      </c>
      <c r="K100">
        <v>66</v>
      </c>
      <c r="L100">
        <v>0</v>
      </c>
      <c r="M100">
        <v>0</v>
      </c>
      <c r="N100">
        <v>0</v>
      </c>
      <c r="O100">
        <v>0</v>
      </c>
    </row>
    <row r="101" spans="1:15">
      <c r="A101" s="1" t="s">
        <v>113</v>
      </c>
      <c r="B101" t="s">
        <v>504</v>
      </c>
      <c r="C101" t="s">
        <v>509</v>
      </c>
      <c r="D101">
        <f>HYPERLINK("http://www.reserveamerica.com/camping/crane-flat/r/facilityDetails.do?contractCode=NRSO&amp;parkId=70930", "CRANE FLAT")</f>
        <v>0</v>
      </c>
      <c r="E101">
        <v>37.7638889</v>
      </c>
      <c r="F101">
        <v>-119.8444444</v>
      </c>
      <c r="G101" t="s">
        <v>611</v>
      </c>
      <c r="I101" t="s">
        <v>505</v>
      </c>
      <c r="J101">
        <f>HYPERLINK("http://maps.google.com/maps?z=10&amp;t=m&amp;q=loc:37.7638889+-119.8444444", 187)</f>
        <v>0</v>
      </c>
      <c r="K101">
        <v>74</v>
      </c>
      <c r="L101">
        <v>0</v>
      </c>
      <c r="M101">
        <v>0</v>
      </c>
      <c r="N101">
        <v>0</v>
      </c>
      <c r="O101">
        <v>0</v>
      </c>
    </row>
    <row r="102" spans="1:15">
      <c r="A102" s="1" t="s">
        <v>114</v>
      </c>
      <c r="B102" t="s">
        <v>504</v>
      </c>
      <c r="C102" t="s">
        <v>509</v>
      </c>
      <c r="D102">
        <f>HYPERLINK("http://www.reserveamerica.com/camping/crane-valley/r/facilityDetails.do?contractCode=NRSO&amp;parkId=71719", "CRANE VALLEY")</f>
        <v>0</v>
      </c>
      <c r="E102">
        <v>37.3330556</v>
      </c>
      <c r="F102">
        <v>-119.5852778</v>
      </c>
      <c r="G102" t="s">
        <v>612</v>
      </c>
      <c r="I102" t="s">
        <v>505</v>
      </c>
      <c r="J102">
        <f>HYPERLINK("http://maps.google.com/maps?z=10&amp;t=m&amp;q=loc:37.3330556+-119.5852778", 205)</f>
        <v>0</v>
      </c>
      <c r="K102">
        <v>89</v>
      </c>
      <c r="L102">
        <v>0</v>
      </c>
      <c r="M102">
        <v>0</v>
      </c>
      <c r="N102">
        <v>0</v>
      </c>
      <c r="O102">
        <v>0</v>
      </c>
    </row>
    <row r="103" spans="1:15">
      <c r="A103" s="1" t="s">
        <v>115</v>
      </c>
      <c r="B103" t="s">
        <v>504</v>
      </c>
      <c r="C103" t="s">
        <v>509</v>
      </c>
      <c r="D103">
        <f>HYPERLINK("http://www.reserveamerica.com/camping/crestline-group/r/facilityDetails.do?contractCode=NRSO&amp;parkId=70147", "CRESTLINE GROUP")</f>
        <v>0</v>
      </c>
      <c r="E103">
        <v>33.3127778</v>
      </c>
      <c r="F103">
        <v>-116.8647222</v>
      </c>
      <c r="G103" t="s">
        <v>613</v>
      </c>
      <c r="I103" t="s">
        <v>505</v>
      </c>
      <c r="J103">
        <f>HYPERLINK("http://maps.google.com/maps?z=10&amp;t=m&amp;q=loc:33.3127778+-116.8647222", 638)</f>
        <v>0</v>
      </c>
      <c r="K103">
        <v>132</v>
      </c>
      <c r="L103">
        <v>0</v>
      </c>
      <c r="M103">
        <v>0</v>
      </c>
      <c r="N103">
        <v>0</v>
      </c>
      <c r="O103">
        <v>0</v>
      </c>
    </row>
    <row r="104" spans="1:15">
      <c r="A104" s="1" t="s">
        <v>116</v>
      </c>
      <c r="B104" t="s">
        <v>505</v>
      </c>
      <c r="C104" t="s">
        <v>510</v>
      </c>
      <c r="D104">
        <f>HYPERLINK("http://www.reserveamerica.com/camping/crystal-cove-sp-moro-campground/r/facilityDetails.do?contractCode=CA&amp;parkId=123400", "CRYSTAL COVE SP MORO CAMPGROUND")</f>
        <v>0</v>
      </c>
      <c r="E104">
        <v>33.5631417</v>
      </c>
      <c r="F104">
        <v>-117.8220556</v>
      </c>
      <c r="G104" t="s">
        <v>614</v>
      </c>
      <c r="I104" t="s">
        <v>505</v>
      </c>
      <c r="J104">
        <f>HYPERLINK("http://maps.google.com/maps?z=10&amp;t=m&amp;q=loc:33.5631417+-117.8220556", 558)</f>
        <v>0</v>
      </c>
      <c r="K104">
        <v>137</v>
      </c>
      <c r="L104">
        <v>0</v>
      </c>
      <c r="M104">
        <v>0</v>
      </c>
      <c r="N104">
        <v>0</v>
      </c>
      <c r="O104">
        <v>0</v>
      </c>
    </row>
    <row r="105" spans="1:15">
      <c r="A105" s="1" t="s">
        <v>117</v>
      </c>
      <c r="B105" t="s">
        <v>505</v>
      </c>
      <c r="C105" t="s">
        <v>510</v>
      </c>
      <c r="D105">
        <f>HYPERLINK("http://www.reserveamerica.com/camping/crystal-cove-sp-primitive-tent-camping/r/facilityDetails.do?contractCode=CA&amp;parkId=120022", "CRYSTAL COVE SP PRIMITIVE TENT CAMPING")</f>
        <v>0</v>
      </c>
      <c r="E105">
        <v>33.5705556</v>
      </c>
      <c r="F105">
        <v>-117.81</v>
      </c>
      <c r="G105" t="s">
        <v>615</v>
      </c>
      <c r="I105" t="s">
        <v>505</v>
      </c>
      <c r="J105">
        <f>HYPERLINK("http://maps.google.com/maps?z=10&amp;t=m&amp;q=loc:33.5705556+-117.81", 558)</f>
        <v>0</v>
      </c>
      <c r="K105">
        <v>137</v>
      </c>
      <c r="L105">
        <v>32</v>
      </c>
      <c r="M105">
        <v>0</v>
      </c>
      <c r="N105">
        <v>32</v>
      </c>
      <c r="O105">
        <v>32</v>
      </c>
    </row>
    <row r="106" spans="1:15">
      <c r="A106" s="1" t="s">
        <v>118</v>
      </c>
      <c r="B106" t="s">
        <v>504</v>
      </c>
      <c r="C106" t="s">
        <v>509</v>
      </c>
      <c r="D106">
        <f>HYPERLINK("http://www.reserveamerica.com/camping/crystal-lake/r/facilityDetails.do?contractCode=NRSO&amp;parkId=70677", "CRYSTAL LAKE")</f>
        <v>0</v>
      </c>
      <c r="E106">
        <v>34.3255556</v>
      </c>
      <c r="F106">
        <v>-117.8372222</v>
      </c>
      <c r="G106" t="s">
        <v>615</v>
      </c>
      <c r="I106" t="s">
        <v>505</v>
      </c>
      <c r="J106">
        <f>HYPERLINK("http://maps.google.com/maps?z=10&amp;t=m&amp;q=loc:34.3255556+-117.8372222", 495)</f>
        <v>0</v>
      </c>
      <c r="K106">
        <v>131</v>
      </c>
      <c r="L106">
        <v>0</v>
      </c>
      <c r="M106">
        <v>0</v>
      </c>
      <c r="N106">
        <v>0</v>
      </c>
      <c r="O106">
        <v>0</v>
      </c>
    </row>
    <row r="107" spans="1:15">
      <c r="A107" s="1" t="s">
        <v>119</v>
      </c>
      <c r="B107" t="s">
        <v>504</v>
      </c>
      <c r="C107" t="s">
        <v>509</v>
      </c>
      <c r="D107">
        <f>HYPERLINK("http://www.reserveamerica.com/camping/curly-jack-campground/r/facilityDetails.do?contractCode=NRSO&amp;parkId=75266", "CURLY JACK CAMPGROUND")</f>
        <v>0</v>
      </c>
      <c r="E107">
        <v>41.7936111</v>
      </c>
      <c r="F107">
        <v>-123.3827778</v>
      </c>
      <c r="G107" t="s">
        <v>616</v>
      </c>
      <c r="I107" t="s">
        <v>505</v>
      </c>
      <c r="J107">
        <f>HYPERLINK("http://maps.google.com/maps?z=10&amp;t=m&amp;q=loc:41.7936111+-123.3827778", 512)</f>
        <v>0</v>
      </c>
      <c r="K107">
        <v>346</v>
      </c>
      <c r="L107">
        <v>4</v>
      </c>
      <c r="M107">
        <v>0</v>
      </c>
      <c r="N107">
        <v>4</v>
      </c>
      <c r="O107">
        <v>4</v>
      </c>
    </row>
    <row r="108" spans="1:15">
      <c r="A108" s="1" t="s">
        <v>120</v>
      </c>
      <c r="B108" t="s">
        <v>505</v>
      </c>
      <c r="C108" t="s">
        <v>510</v>
      </c>
      <c r="D108">
        <f>HYPERLINK("http://www.reserveamerica.com/camping/cuyamaca-rancho-sp/r/facilityDetails.do?contractCode=CA&amp;parkId=120023", "CUYAMACA RANCHO SP")</f>
        <v>0</v>
      </c>
      <c r="E108">
        <v>32.9358333</v>
      </c>
      <c r="F108">
        <v>-116.5616667</v>
      </c>
      <c r="G108" t="s">
        <v>617</v>
      </c>
      <c r="I108" t="s">
        <v>505</v>
      </c>
      <c r="J108">
        <f>HYPERLINK("http://maps.google.com/maps?z=10&amp;t=m&amp;q=loc:32.9358333+-116.5616667", 688)</f>
        <v>0</v>
      </c>
      <c r="K108">
        <v>133</v>
      </c>
      <c r="L108">
        <v>96</v>
      </c>
      <c r="M108">
        <v>5</v>
      </c>
      <c r="N108">
        <v>91</v>
      </c>
      <c r="O108">
        <v>91</v>
      </c>
    </row>
    <row r="109" spans="1:15">
      <c r="A109" s="1" t="s">
        <v>121</v>
      </c>
      <c r="B109" t="s">
        <v>505</v>
      </c>
      <c r="C109" t="s">
        <v>510</v>
      </c>
      <c r="D109">
        <f>HYPERLINK("http://www.reserveamerica.com/camping/dl-bliss-sp/r/facilityDetails.do?contractCode=CA&amp;parkId=120099", "D.L. BLISS SP")</f>
        <v>0</v>
      </c>
      <c r="E109">
        <v>38.9822222</v>
      </c>
      <c r="F109">
        <v>-120.095</v>
      </c>
      <c r="G109" t="s">
        <v>618</v>
      </c>
      <c r="I109" t="s">
        <v>505</v>
      </c>
      <c r="J109">
        <f>HYPERLINK("http://maps.google.com/maps?z=10&amp;t=m&amp;q=loc:38.9822222+-120.095", 242)</f>
        <v>0</v>
      </c>
      <c r="K109">
        <v>40</v>
      </c>
      <c r="L109">
        <v>0</v>
      </c>
      <c r="M109">
        <v>0</v>
      </c>
      <c r="N109">
        <v>0</v>
      </c>
      <c r="O109">
        <v>0</v>
      </c>
    </row>
    <row r="110" spans="1:15">
      <c r="A110" s="1" t="s">
        <v>122</v>
      </c>
      <c r="B110" t="s">
        <v>504</v>
      </c>
      <c r="C110" t="s">
        <v>509</v>
      </c>
      <c r="D110">
        <f>HYPERLINK("http://www.reserveamerica.com/camping/deer-creek/r/facilityDetails.do?contractCode=NRSO&amp;parkId=71591", "DEER CREEK")</f>
        <v>0</v>
      </c>
      <c r="E110">
        <v>37.2519444</v>
      </c>
      <c r="F110">
        <v>-119.1769444</v>
      </c>
      <c r="G110" t="s">
        <v>619</v>
      </c>
      <c r="H110" t="s">
        <v>998</v>
      </c>
      <c r="I110" t="s">
        <v>505</v>
      </c>
      <c r="J110">
        <f>HYPERLINK("http://maps.google.com/maps?z=10&amp;t=m&amp;q=loc:37.2519444+-119.1769444", 241)</f>
        <v>0</v>
      </c>
      <c r="K110">
        <v>91</v>
      </c>
      <c r="L110">
        <v>0</v>
      </c>
      <c r="M110">
        <v>0</v>
      </c>
      <c r="N110">
        <v>0</v>
      </c>
      <c r="O110">
        <v>0</v>
      </c>
    </row>
    <row r="111" spans="1:15">
      <c r="A111" s="1" t="s">
        <v>123</v>
      </c>
      <c r="B111" t="s">
        <v>504</v>
      </c>
      <c r="C111" t="s">
        <v>509</v>
      </c>
      <c r="D111">
        <f>HYPERLINK("http://www.reserveamerica.com/camping/deer-group-camp/r/facilityDetails.do?contractCode=NRSO&amp;parkId=70172", "DEER GROUP CAMP")</f>
        <v>0</v>
      </c>
      <c r="E111">
        <v>34.225</v>
      </c>
      <c r="F111">
        <v>-116.9141667</v>
      </c>
      <c r="G111" t="s">
        <v>620</v>
      </c>
      <c r="I111" t="s">
        <v>505</v>
      </c>
      <c r="J111">
        <f>HYPERLINK("http://maps.google.com/maps?z=10&amp;t=m&amp;q=loc:34.225+-116.9141667", 566)</f>
        <v>0</v>
      </c>
      <c r="K111">
        <v>125</v>
      </c>
      <c r="L111">
        <v>0</v>
      </c>
      <c r="M111">
        <v>0</v>
      </c>
      <c r="N111">
        <v>0</v>
      </c>
      <c r="O111">
        <v>0</v>
      </c>
    </row>
    <row r="112" spans="1:15">
      <c r="A112" s="1" t="s">
        <v>124</v>
      </c>
      <c r="B112" t="s">
        <v>504</v>
      </c>
      <c r="C112" t="s">
        <v>509</v>
      </c>
      <c r="D112">
        <f>HYPERLINK("http://www.reserveamerica.com/camping/dekkas-rock/r/facilityDetails.do?contractCode=NRSO&amp;parkId=71515", "DEKKAS ROCK")</f>
        <v>0</v>
      </c>
      <c r="E112">
        <v>40.8747222</v>
      </c>
      <c r="F112">
        <v>-122.2375</v>
      </c>
      <c r="G112" t="s">
        <v>621</v>
      </c>
      <c r="I112" t="s">
        <v>505</v>
      </c>
      <c r="J112">
        <f>HYPERLINK("http://maps.google.com/maps?z=10&amp;t=m&amp;q=loc:40.8747222+-122.2375", 395)</f>
        <v>0</v>
      </c>
      <c r="K112">
        <v>355</v>
      </c>
      <c r="L112">
        <v>1</v>
      </c>
      <c r="M112">
        <v>0</v>
      </c>
      <c r="N112">
        <v>1</v>
      </c>
      <c r="O112">
        <v>1</v>
      </c>
    </row>
    <row r="113" spans="1:15">
      <c r="A113" s="1" t="s">
        <v>125</v>
      </c>
      <c r="B113" t="s">
        <v>505</v>
      </c>
      <c r="C113" t="s">
        <v>510</v>
      </c>
      <c r="D113">
        <f>HYPERLINK("http://www.reserveamerica.com/camping/del-norte-coast-redwood-sp-mill-creek-campground/r/facilityDetails.do?contractCode=CA&amp;parkId=120024", "Del Norte Coast Redwood SP Mill Creek Campground")</f>
        <v>0</v>
      </c>
      <c r="E113">
        <v>41.6708333</v>
      </c>
      <c r="F113">
        <v>-124.1172222</v>
      </c>
      <c r="G113" t="s">
        <v>622</v>
      </c>
      <c r="I113" t="s">
        <v>505</v>
      </c>
      <c r="J113">
        <f>HYPERLINK("http://maps.google.com/maps?z=10&amp;t=m&amp;q=loc:41.6708333+-124.1172222", 518)</f>
        <v>0</v>
      </c>
      <c r="K113">
        <v>339</v>
      </c>
      <c r="L113">
        <v>85</v>
      </c>
      <c r="M113">
        <v>5</v>
      </c>
      <c r="N113">
        <v>80</v>
      </c>
      <c r="O113">
        <v>80</v>
      </c>
    </row>
    <row r="114" spans="1:15">
      <c r="A114" s="1" t="s">
        <v>126</v>
      </c>
      <c r="B114" t="s">
        <v>506</v>
      </c>
      <c r="C114" t="s">
        <v>511</v>
      </c>
      <c r="D114">
        <f>HYPERLINK("http://www.reserveamerica.com/camping/del-valle/r/facilityDetails.do?contractCode=EB&amp;parkId=110003", "Del Valle")</f>
        <v>0</v>
      </c>
      <c r="E114">
        <v>37.5691667</v>
      </c>
      <c r="F114">
        <v>-121.6872222</v>
      </c>
      <c r="G114" t="s">
        <v>623</v>
      </c>
      <c r="I114" t="s">
        <v>505</v>
      </c>
      <c r="J114">
        <f>HYPERLINK("http://maps.google.com/maps?z=10&amp;t=m&amp;q=loc:37.5691667+-121.6872222", 33)</f>
        <v>0</v>
      </c>
      <c r="K114">
        <v>35</v>
      </c>
      <c r="L114">
        <v>0</v>
      </c>
      <c r="M114">
        <v>0</v>
      </c>
      <c r="N114">
        <v>0</v>
      </c>
      <c r="O114">
        <v>0</v>
      </c>
    </row>
    <row r="115" spans="1:15">
      <c r="A115" s="1" t="s">
        <v>127</v>
      </c>
      <c r="B115" t="s">
        <v>504</v>
      </c>
      <c r="C115" t="s">
        <v>509</v>
      </c>
      <c r="D115">
        <f>HYPERLINK("http://www.reserveamerica.com/camping/diablo/r/facilityDetails.do?contractCode=NRSO&amp;parkId=75427", "DIABLO")</f>
        <v>0</v>
      </c>
      <c r="E115">
        <v>39.6330556</v>
      </c>
      <c r="F115">
        <v>-120.6377778</v>
      </c>
      <c r="G115" t="s">
        <v>624</v>
      </c>
      <c r="I115" t="s">
        <v>505</v>
      </c>
      <c r="J115">
        <f>HYPERLINK("http://maps.google.com/maps?z=10&amp;t=m&amp;q=loc:39.6330556+-120.6377778", 278)</f>
        <v>0</v>
      </c>
      <c r="K115">
        <v>22</v>
      </c>
      <c r="L115">
        <v>16</v>
      </c>
      <c r="M115">
        <v>0</v>
      </c>
      <c r="N115">
        <v>16</v>
      </c>
      <c r="O115">
        <v>16</v>
      </c>
    </row>
    <row r="116" spans="1:15">
      <c r="A116" s="1" t="s">
        <v>128</v>
      </c>
      <c r="B116" t="s">
        <v>504</v>
      </c>
      <c r="C116" t="s">
        <v>509</v>
      </c>
      <c r="D116">
        <f>HYPERLINK("http://www.reserveamerica.com/camping/dillon-creek-campground/r/facilityDetails.do?contractCode=NRSO&amp;parkId=96770", "DILLON CREEK CAMPGROUND")</f>
        <v>0</v>
      </c>
      <c r="E116">
        <v>41.5733333</v>
      </c>
      <c r="F116">
        <v>-123.5430556</v>
      </c>
      <c r="G116" t="s">
        <v>625</v>
      </c>
      <c r="I116" t="s">
        <v>505</v>
      </c>
      <c r="J116">
        <f>HYPERLINK("http://maps.google.com/maps?z=10&amp;t=m&amp;q=loc:41.5733333+-123.5430556", 492)</f>
        <v>0</v>
      </c>
      <c r="K116">
        <v>343</v>
      </c>
      <c r="L116">
        <v>10</v>
      </c>
      <c r="M116">
        <v>0</v>
      </c>
      <c r="N116">
        <v>10</v>
      </c>
      <c r="O116">
        <v>10</v>
      </c>
    </row>
    <row r="117" spans="1:15">
      <c r="A117" s="1" t="s">
        <v>129</v>
      </c>
      <c r="B117" t="s">
        <v>504</v>
      </c>
      <c r="C117" t="s">
        <v>509</v>
      </c>
      <c r="D117">
        <f>HYPERLINK("http://www.reserveamerica.com/camping/dimond-o/r/facilityDetails.do?contractCode=NRSO&amp;parkId=73632", "DIMOND O")</f>
        <v>0</v>
      </c>
      <c r="E117">
        <v>37.825</v>
      </c>
      <c r="F117">
        <v>-119.8611111</v>
      </c>
      <c r="G117" t="s">
        <v>626</v>
      </c>
      <c r="H117" t="s">
        <v>997</v>
      </c>
      <c r="I117" t="s">
        <v>505</v>
      </c>
      <c r="J117">
        <f>HYPERLINK("http://maps.google.com/maps?z=10&amp;t=m&amp;q=loc:37.825+-119.8611111", 188)</f>
        <v>0</v>
      </c>
      <c r="K117">
        <v>72</v>
      </c>
      <c r="L117">
        <v>2</v>
      </c>
      <c r="M117">
        <v>2</v>
      </c>
      <c r="N117">
        <v>0</v>
      </c>
      <c r="O117">
        <v>0</v>
      </c>
    </row>
    <row r="118" spans="1:15">
      <c r="A118" s="1" t="s">
        <v>130</v>
      </c>
      <c r="B118" t="s">
        <v>504</v>
      </c>
      <c r="C118" t="s">
        <v>509</v>
      </c>
      <c r="D118">
        <f>HYPERLINK("http://www.reserveamerica.com/camping/dinkey-creek/r/facilityDetails.do?contractCode=NRSO&amp;parkId=70376", "DINKEY CREEK")</f>
        <v>0</v>
      </c>
      <c r="E118">
        <v>37.0730556</v>
      </c>
      <c r="F118">
        <v>-119.1538889</v>
      </c>
      <c r="G118" t="s">
        <v>627</v>
      </c>
      <c r="I118" t="s">
        <v>505</v>
      </c>
      <c r="J118">
        <f>HYPERLINK("http://maps.google.com/maps?z=10&amp;t=m&amp;q=loc:37.0730556+-119.1538889", 245)</f>
        <v>0</v>
      </c>
      <c r="K118">
        <v>95</v>
      </c>
      <c r="L118">
        <v>21</v>
      </c>
      <c r="M118">
        <v>4</v>
      </c>
      <c r="N118">
        <v>17</v>
      </c>
      <c r="O118">
        <v>17</v>
      </c>
    </row>
    <row r="119" spans="1:15">
      <c r="A119" s="1" t="s">
        <v>131</v>
      </c>
      <c r="B119" t="s">
        <v>504</v>
      </c>
      <c r="C119" t="s">
        <v>509</v>
      </c>
      <c r="D119">
        <f>HYPERLINK("http://www.reserveamerica.com/camping/dirt-flat/r/facilityDetails.do?contractCode=NRSO&amp;parkId=73747", "DIRT FLAT")</f>
        <v>0</v>
      </c>
      <c r="E119">
        <v>37.6633333</v>
      </c>
      <c r="F119">
        <v>-119.8444444</v>
      </c>
      <c r="G119" t="s">
        <v>628</v>
      </c>
      <c r="I119" t="s">
        <v>505</v>
      </c>
      <c r="J119">
        <f>HYPERLINK("http://maps.google.com/maps?z=10&amp;t=m&amp;q=loc:37.6633333+-119.8444444", 185)</f>
        <v>0</v>
      </c>
      <c r="K119">
        <v>77</v>
      </c>
      <c r="L119">
        <v>0</v>
      </c>
      <c r="M119">
        <v>0</v>
      </c>
      <c r="N119">
        <v>0</v>
      </c>
      <c r="O119">
        <v>0</v>
      </c>
    </row>
    <row r="120" spans="1:15">
      <c r="A120" s="1" t="s">
        <v>132</v>
      </c>
      <c r="B120" t="s">
        <v>504</v>
      </c>
      <c r="C120" t="s">
        <v>509</v>
      </c>
      <c r="D120">
        <f>HYPERLINK("http://www.reserveamerica.com/camping/dogwood/r/facilityDetails.do?contractCode=NRSO&amp;parkId=70258", "DOGWOOD")</f>
        <v>0</v>
      </c>
      <c r="E120">
        <v>34.2352778</v>
      </c>
      <c r="F120">
        <v>-117.2091667</v>
      </c>
      <c r="G120" t="s">
        <v>629</v>
      </c>
      <c r="I120" t="s">
        <v>505</v>
      </c>
      <c r="J120">
        <f>HYPERLINK("http://maps.google.com/maps?z=10&amp;t=m&amp;q=loc:34.2352778+-117.2091667", 545)</f>
        <v>0</v>
      </c>
      <c r="K120">
        <v>127</v>
      </c>
      <c r="L120">
        <v>23</v>
      </c>
      <c r="M120">
        <v>1</v>
      </c>
      <c r="N120">
        <v>22</v>
      </c>
      <c r="O120">
        <v>22</v>
      </c>
    </row>
    <row r="121" spans="1:15">
      <c r="A121" s="1" t="s">
        <v>133</v>
      </c>
      <c r="B121" t="s">
        <v>505</v>
      </c>
      <c r="C121" t="s">
        <v>510</v>
      </c>
      <c r="D121">
        <f>HYPERLINK("http://www.reserveamerica.com/camping/doheny-sb/r/facilityDetails.do?contractCode=CA&amp;parkId=120025", "DOHENY SB")</f>
        <v>0</v>
      </c>
      <c r="E121">
        <v>33.4622222</v>
      </c>
      <c r="F121">
        <v>-117.68</v>
      </c>
      <c r="G121" t="s">
        <v>630</v>
      </c>
      <c r="H121" t="s">
        <v>999</v>
      </c>
      <c r="I121" t="s">
        <v>505</v>
      </c>
      <c r="J121">
        <f>HYPERLINK("http://maps.google.com/maps?z=10&amp;t=m&amp;q=loc:33.4622222+-117.68", 575)</f>
        <v>0</v>
      </c>
      <c r="K121">
        <v>137</v>
      </c>
      <c r="L121">
        <v>0</v>
      </c>
      <c r="M121">
        <v>0</v>
      </c>
      <c r="N121">
        <v>0</v>
      </c>
      <c r="O121">
        <v>0</v>
      </c>
    </row>
    <row r="122" spans="1:15">
      <c r="A122" s="1" t="s">
        <v>134</v>
      </c>
      <c r="B122" t="s">
        <v>505</v>
      </c>
      <c r="C122" t="s">
        <v>510</v>
      </c>
      <c r="D122">
        <f>HYPERLINK("http://www.reserveamerica.com/camping/donner-memorial-sp/r/facilityDetails.do?contractCode=CA&amp;parkId=120029", "DONNER MEMORIAL SP")</f>
        <v>0</v>
      </c>
      <c r="E122">
        <v>39.32</v>
      </c>
      <c r="F122">
        <v>-120.2419444</v>
      </c>
      <c r="G122" t="s">
        <v>631</v>
      </c>
      <c r="I122" t="s">
        <v>505</v>
      </c>
      <c r="J122">
        <f>HYPERLINK("http://maps.google.com/maps?z=10&amp;t=m&amp;q=loc:39.32+-120.2419444", 264)</f>
        <v>0</v>
      </c>
      <c r="K122">
        <v>32</v>
      </c>
      <c r="L122">
        <v>0</v>
      </c>
      <c r="M122">
        <v>0</v>
      </c>
      <c r="N122">
        <v>0</v>
      </c>
      <c r="O122">
        <v>0</v>
      </c>
    </row>
    <row r="123" spans="1:15">
      <c r="A123" s="1" t="s">
        <v>135</v>
      </c>
      <c r="B123" t="s">
        <v>504</v>
      </c>
      <c r="C123" t="s">
        <v>509</v>
      </c>
      <c r="D123">
        <f>HYPERLINK("http://www.reserveamerica.com/camping/dorabelle-campground/r/facilityDetails.do?contractCode=NRSO&amp;parkId=71601", "DORABELLE CAMPGROUND")</f>
        <v>0</v>
      </c>
      <c r="E123">
        <v>37.1138889</v>
      </c>
      <c r="F123">
        <v>-119.3097222</v>
      </c>
      <c r="G123" t="s">
        <v>632</v>
      </c>
      <c r="I123" t="s">
        <v>505</v>
      </c>
      <c r="J123">
        <f>HYPERLINK("http://maps.google.com/maps?z=10&amp;t=m&amp;q=loc:37.1138889+-119.3097222", 230)</f>
        <v>0</v>
      </c>
      <c r="K123">
        <v>95</v>
      </c>
      <c r="L123">
        <v>44</v>
      </c>
      <c r="M123">
        <v>13</v>
      </c>
      <c r="N123">
        <v>31</v>
      </c>
      <c r="O123">
        <v>31</v>
      </c>
    </row>
    <row r="124" spans="1:15">
      <c r="A124" s="1" t="s">
        <v>136</v>
      </c>
      <c r="B124" t="s">
        <v>504</v>
      </c>
      <c r="C124" t="s">
        <v>509</v>
      </c>
      <c r="D124">
        <f>HYPERLINK("http://www.reserveamerica.com/camping/dorst-creek-campgroundsequoia-and-kings-canyon-national-park/r/facilityDetails.do?contractCode=NRSO&amp;parkId=70940", "Dorst Creek Campground-Sequoia and Kings Canyon National Park")</f>
        <v>0</v>
      </c>
      <c r="E124">
        <v>36.6361111</v>
      </c>
      <c r="F124">
        <v>-118.8097222</v>
      </c>
      <c r="G124" t="s">
        <v>633</v>
      </c>
      <c r="I124" t="s">
        <v>505</v>
      </c>
      <c r="J124">
        <f>HYPERLINK("http://maps.google.com/maps?z=10&amp;t=m&amp;q=loc:36.6361111+-118.8097222", 285)</f>
        <v>0</v>
      </c>
      <c r="K124">
        <v>104</v>
      </c>
      <c r="L124">
        <v>0</v>
      </c>
      <c r="M124">
        <v>0</v>
      </c>
      <c r="N124">
        <v>0</v>
      </c>
      <c r="O124">
        <v>0</v>
      </c>
    </row>
    <row r="125" spans="1:15">
      <c r="A125" s="1" t="s">
        <v>137</v>
      </c>
      <c r="B125" t="s">
        <v>504</v>
      </c>
      <c r="C125" t="s">
        <v>509</v>
      </c>
      <c r="D125">
        <f>HYPERLINK("http://www.reserveamerica.com/camping/dripping-springs-campground-ca/r/facilityDetails.do?contractCode=NRSO&amp;parkId=107633", "DRIPPING SPRINGS CAMPGROUND (CA)")</f>
        <v>0</v>
      </c>
      <c r="E125">
        <v>33.4638889</v>
      </c>
      <c r="F125">
        <v>-116.9708333</v>
      </c>
      <c r="G125" t="s">
        <v>634</v>
      </c>
      <c r="I125" t="s">
        <v>505</v>
      </c>
      <c r="J125">
        <f>HYPERLINK("http://maps.google.com/maps?z=10&amp;t=m&amp;q=loc:33.4638889+-116.9708333", 619)</f>
        <v>0</v>
      </c>
      <c r="K125">
        <v>132</v>
      </c>
      <c r="L125">
        <v>15</v>
      </c>
      <c r="M125">
        <v>0</v>
      </c>
      <c r="N125">
        <v>15</v>
      </c>
      <c r="O125">
        <v>15</v>
      </c>
    </row>
    <row r="126" spans="1:15">
      <c r="A126" s="1" t="s">
        <v>138</v>
      </c>
      <c r="B126" t="s">
        <v>504</v>
      </c>
      <c r="C126" t="s">
        <v>509</v>
      </c>
      <c r="E126">
        <v>40.6255556</v>
      </c>
      <c r="F126">
        <v>-122.5808333</v>
      </c>
      <c r="G126" t="s">
        <v>635</v>
      </c>
      <c r="H126" t="s">
        <v>998</v>
      </c>
      <c r="I126" t="s">
        <v>505</v>
      </c>
      <c r="J126">
        <f>HYPERLINK("http://maps.google.com/maps?z=10&amp;t=m&amp;q=loc:40.6255556+-122.5808333", 371)</f>
        <v>0</v>
      </c>
      <c r="K126">
        <v>351</v>
      </c>
      <c r="L126">
        <v>0</v>
      </c>
      <c r="M126">
        <v>0</v>
      </c>
      <c r="N126">
        <v>0</v>
      </c>
      <c r="O126">
        <v>0</v>
      </c>
    </row>
    <row r="127" spans="1:15">
      <c r="A127" s="1" t="s">
        <v>139</v>
      </c>
      <c r="B127" t="s">
        <v>504</v>
      </c>
      <c r="C127" t="s">
        <v>509</v>
      </c>
      <c r="D127">
        <f>HYPERLINK("http://www.reserveamerica.com/camping/dry-gulch/r/facilityDetails.do?contractCode=NRSO&amp;parkId=73750", "DRY GULCH")</f>
        <v>0</v>
      </c>
      <c r="E127">
        <v>37.6633333</v>
      </c>
      <c r="F127">
        <v>-119.8444444</v>
      </c>
      <c r="G127" t="s">
        <v>636</v>
      </c>
      <c r="I127" t="s">
        <v>505</v>
      </c>
      <c r="J127">
        <f>HYPERLINK("http://maps.google.com/maps?z=10&amp;t=m&amp;q=loc:37.6633333+-119.8444444", 185)</f>
        <v>0</v>
      </c>
      <c r="K127">
        <v>77</v>
      </c>
      <c r="L127">
        <v>0</v>
      </c>
      <c r="M127">
        <v>0</v>
      </c>
      <c r="N127">
        <v>0</v>
      </c>
      <c r="O127">
        <v>0</v>
      </c>
    </row>
    <row r="128" spans="1:15">
      <c r="A128" s="1" t="s">
        <v>140</v>
      </c>
      <c r="B128" t="s">
        <v>504</v>
      </c>
      <c r="C128" t="s">
        <v>509</v>
      </c>
      <c r="D128">
        <f>HYPERLINK("http://www.reserveamerica.com/camping/eagle-campground/r/facilityDetails.do?contractCode=NRSO&amp;parkId=70529", "EAGLE CAMPGROUND")</f>
        <v>0</v>
      </c>
      <c r="E128">
        <v>40.54785</v>
      </c>
      <c r="F128">
        <v>-120.7830556</v>
      </c>
      <c r="G128" t="s">
        <v>637</v>
      </c>
      <c r="I128" t="s">
        <v>505</v>
      </c>
      <c r="J128">
        <f>HYPERLINK("http://maps.google.com/maps?z=10&amp;t=m&amp;q=loc:40.54785+-120.7830556", 370)</f>
        <v>0</v>
      </c>
      <c r="K128">
        <v>14</v>
      </c>
      <c r="L128">
        <v>0</v>
      </c>
      <c r="M128">
        <v>0</v>
      </c>
      <c r="N128">
        <v>0</v>
      </c>
      <c r="O128">
        <v>0</v>
      </c>
    </row>
    <row r="129" spans="1:15">
      <c r="A129" s="1" t="s">
        <v>141</v>
      </c>
      <c r="B129" t="s">
        <v>504</v>
      </c>
      <c r="C129" t="s">
        <v>509</v>
      </c>
      <c r="D129">
        <f>HYPERLINK("http://www.reserveamerica.com/camping/east-fork-california/r/facilityDetails.do?contractCode=NRSO&amp;parkId=70804", "EAST FORK CALIFORNIA")</f>
        <v>0</v>
      </c>
      <c r="E129">
        <v>37.4836111</v>
      </c>
      <c r="F129">
        <v>-118.7175</v>
      </c>
      <c r="G129" t="s">
        <v>638</v>
      </c>
      <c r="I129" t="s">
        <v>505</v>
      </c>
      <c r="J129">
        <f>HYPERLINK("http://maps.google.com/maps?z=10&amp;t=m&amp;q=loc:37.4836111+-118.7175", 281)</f>
        <v>0</v>
      </c>
      <c r="K129">
        <v>85</v>
      </c>
      <c r="L129">
        <v>36</v>
      </c>
      <c r="M129">
        <v>0</v>
      </c>
      <c r="N129">
        <v>36</v>
      </c>
      <c r="O129">
        <v>36</v>
      </c>
    </row>
    <row r="130" spans="1:15">
      <c r="A130" s="1" t="s">
        <v>142</v>
      </c>
      <c r="B130" t="s">
        <v>504</v>
      </c>
      <c r="C130" t="s">
        <v>509</v>
      </c>
      <c r="D130">
        <f>HYPERLINK("http://www.reserveamerica.com/camping/east-meadow-campground/r/facilityDetails.do?contractCode=NRSO&amp;parkId=71529", "EAST MEADOW CAMPGROUND")</f>
        <v>0</v>
      </c>
      <c r="E130">
        <v>39.5008333</v>
      </c>
      <c r="F130">
        <v>-120.5325</v>
      </c>
      <c r="G130" t="s">
        <v>639</v>
      </c>
      <c r="I130" t="s">
        <v>505</v>
      </c>
      <c r="J130">
        <f>HYPERLINK("http://maps.google.com/maps?z=10&amp;t=m&amp;q=loc:39.5008333+-120.5325", 269)</f>
        <v>0</v>
      </c>
      <c r="K130">
        <v>25</v>
      </c>
      <c r="L130">
        <v>28</v>
      </c>
      <c r="M130">
        <v>0</v>
      </c>
      <c r="N130">
        <v>28</v>
      </c>
      <c r="O130">
        <v>28</v>
      </c>
    </row>
    <row r="131" spans="1:15">
      <c r="A131" s="1" t="s">
        <v>143</v>
      </c>
      <c r="B131" t="s">
        <v>505</v>
      </c>
      <c r="C131" t="s">
        <v>510</v>
      </c>
      <c r="D131">
        <f>HYPERLINK("http://www.reserveamerica.com/camping/el-capitan-sb/r/facilityDetails.do?contractCode=CA&amp;parkId=120030", "EL CAPITAN SB")</f>
        <v>0</v>
      </c>
      <c r="E131">
        <v>34.46</v>
      </c>
      <c r="F131">
        <v>-120.0202778</v>
      </c>
      <c r="G131" t="s">
        <v>640</v>
      </c>
      <c r="I131" t="s">
        <v>505</v>
      </c>
      <c r="J131">
        <f>HYPERLINK("http://maps.google.com/maps?z=10&amp;t=m&amp;q=loc:34.46+-120.0202778", 361)</f>
        <v>0</v>
      </c>
      <c r="K131">
        <v>151</v>
      </c>
      <c r="L131">
        <v>0</v>
      </c>
      <c r="M131">
        <v>0</v>
      </c>
      <c r="N131">
        <v>0</v>
      </c>
      <c r="O131">
        <v>0</v>
      </c>
    </row>
    <row r="132" spans="1:15">
      <c r="A132" s="1" t="s">
        <v>144</v>
      </c>
      <c r="B132" t="s">
        <v>504</v>
      </c>
      <c r="C132" t="s">
        <v>509</v>
      </c>
      <c r="D132">
        <f>HYPERLINK("http://www.reserveamerica.com/camping/el-prado-group/r/facilityDetails.do?contractCode=NRSO&amp;parkId=70148", "EL PRADO GROUP")</f>
        <v>0</v>
      </c>
      <c r="E132">
        <v>32.8869444</v>
      </c>
      <c r="F132">
        <v>-116.4555556</v>
      </c>
      <c r="G132" t="s">
        <v>641</v>
      </c>
      <c r="I132" t="s">
        <v>505</v>
      </c>
      <c r="J132">
        <f>HYPERLINK("http://maps.google.com/maps?z=10&amp;t=m&amp;q=loc:32.8869444+-116.4555556", 699)</f>
        <v>0</v>
      </c>
      <c r="K132">
        <v>133</v>
      </c>
      <c r="L132">
        <v>1</v>
      </c>
      <c r="M132">
        <v>0</v>
      </c>
      <c r="N132">
        <v>1</v>
      </c>
      <c r="O132">
        <v>1</v>
      </c>
    </row>
    <row r="133" spans="1:15">
      <c r="A133" s="1" t="s">
        <v>145</v>
      </c>
      <c r="B133" t="s">
        <v>504</v>
      </c>
      <c r="C133" t="s">
        <v>509</v>
      </c>
      <c r="D133">
        <f>HYPERLINK("http://www.reserveamerica.com/camping/ellery-creek/r/facilityDetails.do?contractCode=NRSO&amp;parkId=71522", "ELLERY CREEK")</f>
        <v>0</v>
      </c>
      <c r="E133">
        <v>40.9158333</v>
      </c>
      <c r="F133">
        <v>-122.2408333</v>
      </c>
      <c r="G133" t="s">
        <v>642</v>
      </c>
      <c r="I133" t="s">
        <v>505</v>
      </c>
      <c r="J133">
        <f>HYPERLINK("http://maps.google.com/maps?z=10&amp;t=m&amp;q=loc:40.9158333+-122.2408333", 399)</f>
        <v>0</v>
      </c>
      <c r="K133">
        <v>355</v>
      </c>
      <c r="L133">
        <v>0</v>
      </c>
      <c r="M133">
        <v>0</v>
      </c>
      <c r="N133">
        <v>0</v>
      </c>
      <c r="O133">
        <v>0</v>
      </c>
    </row>
    <row r="134" spans="1:15">
      <c r="A134" s="1" t="s">
        <v>146</v>
      </c>
      <c r="B134" t="s">
        <v>505</v>
      </c>
      <c r="C134" t="s">
        <v>510</v>
      </c>
      <c r="D134">
        <f>HYPERLINK("http://www.reserveamerica.com/camping/emerald-bay-sp/r/facilityDetails.do?contractCode=CA&amp;parkId=120031", "EMERALD BAY SP")</f>
        <v>0</v>
      </c>
      <c r="E134">
        <v>38.9544444</v>
      </c>
      <c r="F134">
        <v>-120.0930556</v>
      </c>
      <c r="G134" t="s">
        <v>643</v>
      </c>
      <c r="I134" t="s">
        <v>505</v>
      </c>
      <c r="J134">
        <f>HYPERLINK("http://maps.google.com/maps?z=10&amp;t=m&amp;q=loc:38.9544444+-120.0930556", 240)</f>
        <v>0</v>
      </c>
      <c r="K134">
        <v>40</v>
      </c>
      <c r="L134">
        <v>0</v>
      </c>
      <c r="M134">
        <v>0</v>
      </c>
      <c r="N134">
        <v>0</v>
      </c>
      <c r="O134">
        <v>0</v>
      </c>
    </row>
    <row r="135" spans="1:15">
      <c r="A135" s="1" t="s">
        <v>147</v>
      </c>
      <c r="B135" t="s">
        <v>504</v>
      </c>
      <c r="C135" t="s">
        <v>509</v>
      </c>
      <c r="D135">
        <f>HYPERLINK("http://www.reserveamerica.com/camping/emigrant-group/r/facilityDetails.do?contractCode=NRSO&amp;parkId=71645", "EMIGRANT GROUP")</f>
        <v>0</v>
      </c>
      <c r="E135">
        <v>39.4705556</v>
      </c>
      <c r="F135">
        <v>-120.1163889</v>
      </c>
      <c r="G135" t="s">
        <v>644</v>
      </c>
      <c r="I135" t="s">
        <v>505</v>
      </c>
      <c r="J135">
        <f>HYPERLINK("http://maps.google.com/maps?z=10&amp;t=m&amp;q=loc:39.4705556+-120.1163889", 284)</f>
        <v>0</v>
      </c>
      <c r="K135">
        <v>32</v>
      </c>
      <c r="L135">
        <v>1</v>
      </c>
      <c r="M135">
        <v>0</v>
      </c>
      <c r="N135">
        <v>1</v>
      </c>
      <c r="O135">
        <v>1</v>
      </c>
    </row>
    <row r="136" spans="1:15">
      <c r="A136" s="1" t="s">
        <v>148</v>
      </c>
      <c r="B136" t="s">
        <v>505</v>
      </c>
      <c r="C136" t="s">
        <v>510</v>
      </c>
      <c r="E136">
        <v>34.2852778</v>
      </c>
      <c r="F136">
        <v>-119.3247222</v>
      </c>
      <c r="G136" t="s">
        <v>645</v>
      </c>
      <c r="I136" t="s">
        <v>505</v>
      </c>
      <c r="J136">
        <f>HYPERLINK("http://maps.google.com/maps?z=10&amp;t=m&amp;q=loc:34.2852778+-119.3247222", 410)</f>
        <v>0</v>
      </c>
      <c r="K136">
        <v>144</v>
      </c>
      <c r="L136">
        <v>0</v>
      </c>
      <c r="M136">
        <v>0</v>
      </c>
      <c r="N136">
        <v>0</v>
      </c>
      <c r="O136">
        <v>0</v>
      </c>
    </row>
    <row r="137" spans="1:15">
      <c r="A137" s="1" t="s">
        <v>149</v>
      </c>
      <c r="B137" t="s">
        <v>504</v>
      </c>
      <c r="C137" t="s">
        <v>509</v>
      </c>
      <c r="D137">
        <f>HYPERLINK("http://www.reserveamerica.com/camping/eshom-campground/r/facilityDetails.do?contractCode=NRSO&amp;parkId=72398", "ESHOM CAMPGROUND")</f>
        <v>0</v>
      </c>
      <c r="E137">
        <v>36.6891</v>
      </c>
      <c r="F137">
        <v>-118.9504</v>
      </c>
      <c r="G137" t="s">
        <v>646</v>
      </c>
      <c r="I137" t="s">
        <v>505</v>
      </c>
      <c r="J137">
        <f>HYPERLINK("http://maps.google.com/maps?z=10&amp;t=m&amp;q=loc:36.6891+-118.9504", 271)</f>
        <v>0</v>
      </c>
      <c r="K137">
        <v>104</v>
      </c>
      <c r="L137">
        <v>16</v>
      </c>
      <c r="M137">
        <v>0</v>
      </c>
      <c r="N137">
        <v>16</v>
      </c>
      <c r="O137">
        <v>16</v>
      </c>
    </row>
    <row r="138" spans="1:15">
      <c r="A138" s="1" t="s">
        <v>150</v>
      </c>
      <c r="B138" t="s">
        <v>504</v>
      </c>
      <c r="C138" t="s">
        <v>509</v>
      </c>
      <c r="D138">
        <f>HYPERLINK("http://www.reserveamerica.com/camping/fairview-campground/r/facilityDetails.do?contractCode=NRSO&amp;parkId=71678", "FAIRVIEW CAMPGROUND")</f>
        <v>0</v>
      </c>
      <c r="E138">
        <v>35.9288889</v>
      </c>
      <c r="F138">
        <v>-118.4922222</v>
      </c>
      <c r="G138" t="s">
        <v>647</v>
      </c>
      <c r="H138" t="s">
        <v>997</v>
      </c>
      <c r="I138" t="s">
        <v>505</v>
      </c>
      <c r="J138">
        <f>HYPERLINK("http://maps.google.com/maps?z=10&amp;t=m&amp;q=loc:35.9288889+-118.4922222", 341)</f>
        <v>0</v>
      </c>
      <c r="K138">
        <v>116</v>
      </c>
      <c r="L138">
        <v>9</v>
      </c>
      <c r="M138">
        <v>0</v>
      </c>
      <c r="N138">
        <v>9</v>
      </c>
      <c r="O138">
        <v>9</v>
      </c>
    </row>
    <row r="139" spans="1:15">
      <c r="A139" s="1" t="s">
        <v>151</v>
      </c>
      <c r="B139" t="s">
        <v>504</v>
      </c>
      <c r="C139" t="s">
        <v>509</v>
      </c>
      <c r="D139">
        <f>HYPERLINK("http://www.reserveamerica.com/camping/falcon-group/r/facilityDetails.do?contractCode=NRSO&amp;parkId=70144", "FALCON GROUP")</f>
        <v>0</v>
      </c>
      <c r="E139">
        <v>33.6558333</v>
      </c>
      <c r="F139">
        <v>-117.4602778</v>
      </c>
      <c r="G139" t="s">
        <v>648</v>
      </c>
      <c r="I139" t="s">
        <v>505</v>
      </c>
      <c r="J139">
        <f>HYPERLINK("http://maps.google.com/maps?z=10&amp;t=m&amp;q=loc:33.6558333+-117.4602778", 572)</f>
        <v>0</v>
      </c>
      <c r="K139">
        <v>134</v>
      </c>
      <c r="L139">
        <v>0</v>
      </c>
      <c r="M139">
        <v>0</v>
      </c>
      <c r="N139">
        <v>0</v>
      </c>
      <c r="O139">
        <v>0</v>
      </c>
    </row>
    <row r="140" spans="1:15">
      <c r="A140" s="1" t="s">
        <v>152</v>
      </c>
      <c r="B140" t="s">
        <v>504</v>
      </c>
      <c r="C140" t="s">
        <v>509</v>
      </c>
      <c r="D140">
        <f>HYPERLINK("http://www.reserveamerica.com/camping/fallen-leaf-campground/r/facilityDetails.do?contractCode=NRSO&amp;parkId=71531", "FALLEN LEAF CAMPGROUND")</f>
        <v>0</v>
      </c>
      <c r="E140">
        <v>38.9263889</v>
      </c>
      <c r="F140">
        <v>-120.05</v>
      </c>
      <c r="G140" t="s">
        <v>649</v>
      </c>
      <c r="I140" t="s">
        <v>505</v>
      </c>
      <c r="J140">
        <f>HYPERLINK("http://maps.google.com/maps?z=10&amp;t=m&amp;q=loc:38.9263889+-120.05", 240)</f>
        <v>0</v>
      </c>
      <c r="K140">
        <v>41</v>
      </c>
      <c r="L140">
        <v>0</v>
      </c>
      <c r="M140">
        <v>0</v>
      </c>
      <c r="N140">
        <v>0</v>
      </c>
      <c r="O140">
        <v>0</v>
      </c>
    </row>
    <row r="141" spans="1:15">
      <c r="A141" s="1" t="s">
        <v>153</v>
      </c>
      <c r="B141" t="s">
        <v>504</v>
      </c>
      <c r="C141" t="s">
        <v>509</v>
      </c>
      <c r="D141">
        <f>HYPERLINK("http://www.reserveamerica.com/camping/fashoda/r/facilityDetails.do?contractCode=NRSO&amp;parkId=74162", "FASHODA")</f>
        <v>0</v>
      </c>
      <c r="E141">
        <v>38.8682</v>
      </c>
      <c r="F141">
        <v>-120.3974611</v>
      </c>
      <c r="G141" t="s">
        <v>650</v>
      </c>
      <c r="I141" t="s">
        <v>505</v>
      </c>
      <c r="J141">
        <f>HYPERLINK("http://maps.google.com/maps?z=10&amp;t=m&amp;q=loc:38.8682+-120.3974611", 216)</f>
        <v>0</v>
      </c>
      <c r="K141">
        <v>37</v>
      </c>
      <c r="L141">
        <v>0</v>
      </c>
      <c r="M141">
        <v>0</v>
      </c>
      <c r="N141">
        <v>0</v>
      </c>
      <c r="O141">
        <v>0</v>
      </c>
    </row>
    <row r="142" spans="1:15">
      <c r="A142" s="1" t="s">
        <v>154</v>
      </c>
      <c r="B142" t="s">
        <v>504</v>
      </c>
      <c r="C142" t="s">
        <v>509</v>
      </c>
      <c r="D142">
        <f>HYPERLINK("http://www.reserveamerica.com/camping/faucherie/r/facilityDetails.do?contractCode=NRSO&amp;parkId=70410", "FAUCHERIE")</f>
        <v>0</v>
      </c>
      <c r="E142">
        <v>39.4166667</v>
      </c>
      <c r="F142">
        <v>-120.5997222</v>
      </c>
      <c r="G142" t="s">
        <v>651</v>
      </c>
      <c r="I142" t="s">
        <v>505</v>
      </c>
      <c r="J142">
        <f>HYPERLINK("http://maps.google.com/maps?z=10&amp;t=m&amp;q=loc:39.4166667+-120.5997222", 258)</f>
        <v>0</v>
      </c>
      <c r="K142">
        <v>25</v>
      </c>
      <c r="L142">
        <v>0</v>
      </c>
      <c r="M142">
        <v>0</v>
      </c>
      <c r="N142">
        <v>0</v>
      </c>
      <c r="O142">
        <v>0</v>
      </c>
    </row>
    <row r="143" spans="1:15">
      <c r="A143" s="1" t="s">
        <v>155</v>
      </c>
      <c r="B143" t="s">
        <v>504</v>
      </c>
      <c r="C143" t="s">
        <v>509</v>
      </c>
      <c r="D143">
        <f>HYPERLINK("http://www.reserveamerica.com/camping/fawn/r/facilityDetails.do?contractCode=NRSO&amp;parkId=70752", "FAWN")</f>
        <v>0</v>
      </c>
      <c r="E143">
        <v>40.8444444</v>
      </c>
      <c r="F143">
        <v>-122.8433333</v>
      </c>
      <c r="G143" t="s">
        <v>652</v>
      </c>
      <c r="I143" t="s">
        <v>505</v>
      </c>
      <c r="J143">
        <f>HYPERLINK("http://maps.google.com/maps?z=10&amp;t=m&amp;q=loc:40.8444444+-122.8433333", 399)</f>
        <v>0</v>
      </c>
      <c r="K143">
        <v>348</v>
      </c>
      <c r="L143">
        <v>2</v>
      </c>
      <c r="M143">
        <v>0</v>
      </c>
      <c r="N143">
        <v>2</v>
      </c>
      <c r="O143">
        <v>2</v>
      </c>
    </row>
    <row r="144" spans="1:15">
      <c r="A144" s="1" t="s">
        <v>156</v>
      </c>
      <c r="B144" t="s">
        <v>504</v>
      </c>
      <c r="C144" t="s">
        <v>509</v>
      </c>
      <c r="D144">
        <f>HYPERLINK("http://www.reserveamerica.com/camping/fern-basin/r/facilityDetails.do?contractCode=NRSO&amp;parkId=70173", "FERN BASIN")</f>
        <v>0</v>
      </c>
      <c r="E144">
        <v>33.7886111</v>
      </c>
      <c r="F144">
        <v>-116.7377778</v>
      </c>
      <c r="G144" t="s">
        <v>653</v>
      </c>
      <c r="I144" t="s">
        <v>505</v>
      </c>
      <c r="J144">
        <f>HYPERLINK("http://maps.google.com/maps?z=10&amp;t=m&amp;q=loc:33.7886111+-116.7377778", 610)</f>
        <v>0</v>
      </c>
      <c r="K144">
        <v>128</v>
      </c>
      <c r="L144">
        <v>8</v>
      </c>
      <c r="M144">
        <v>0</v>
      </c>
      <c r="N144">
        <v>8</v>
      </c>
      <c r="O144">
        <v>12</v>
      </c>
    </row>
    <row r="145" spans="1:15">
      <c r="A145" s="1" t="s">
        <v>157</v>
      </c>
      <c r="B145" t="s">
        <v>504</v>
      </c>
      <c r="C145" t="s">
        <v>509</v>
      </c>
      <c r="D145">
        <f>HYPERLINK("http://www.reserveamerica.com/camping/fiddle-creek/r/facilityDetails.do?contractCode=NRSO&amp;parkId=75432", "FIDDLE CREEK")</f>
        <v>0</v>
      </c>
      <c r="E145">
        <v>39.5183333</v>
      </c>
      <c r="F145">
        <v>-120.9925</v>
      </c>
      <c r="G145" t="s">
        <v>654</v>
      </c>
      <c r="I145" t="s">
        <v>505</v>
      </c>
      <c r="J145">
        <f>HYPERLINK("http://maps.google.com/maps?z=10&amp;t=m&amp;q=loc:39.5183333+-120.9925", 256)</f>
        <v>0</v>
      </c>
      <c r="K145">
        <v>17</v>
      </c>
      <c r="L145">
        <v>9</v>
      </c>
      <c r="M145">
        <v>0</v>
      </c>
      <c r="N145">
        <v>9</v>
      </c>
      <c r="O145">
        <v>9</v>
      </c>
    </row>
    <row r="146" spans="1:15">
      <c r="A146" s="1" t="s">
        <v>158</v>
      </c>
      <c r="B146" t="s">
        <v>504</v>
      </c>
      <c r="C146" t="s">
        <v>509</v>
      </c>
      <c r="D146">
        <f>HYPERLINK("http://www.reserveamerica.com/camping/findley-campground/r/facilityDetails.do?contractCode=NRSO&amp;parkId=71518", "FINDLEY CAMPGROUND")</f>
        <v>0</v>
      </c>
      <c r="E146">
        <v>39.4847222</v>
      </c>
      <c r="F146">
        <v>-120.5530556</v>
      </c>
      <c r="G146" t="s">
        <v>655</v>
      </c>
      <c r="I146" t="s">
        <v>505</v>
      </c>
      <c r="J146">
        <f>HYPERLINK("http://maps.google.com/maps?z=10&amp;t=m&amp;q=loc:39.4847222+-120.5530556", 267)</f>
        <v>0</v>
      </c>
      <c r="K146">
        <v>25</v>
      </c>
      <c r="L146">
        <v>11</v>
      </c>
      <c r="M146">
        <v>0</v>
      </c>
      <c r="N146">
        <v>11</v>
      </c>
      <c r="O146">
        <v>11</v>
      </c>
    </row>
    <row r="147" spans="1:15">
      <c r="A147" s="1" t="s">
        <v>159</v>
      </c>
      <c r="B147" t="s">
        <v>504</v>
      </c>
      <c r="C147" t="s">
        <v>509</v>
      </c>
      <c r="D147">
        <f>HYPERLINK("http://www.reserveamerica.com/camping/fir-cove-campground/r/facilityDetails.do?contractCode=NRSO&amp;parkId=72124", "FIR COVE CAMPGROUND")</f>
        <v>0</v>
      </c>
      <c r="E147">
        <v>40.3441667</v>
      </c>
      <c r="F147">
        <v>-123.4030556</v>
      </c>
      <c r="G147" t="s">
        <v>656</v>
      </c>
      <c r="H147" t="s">
        <v>998</v>
      </c>
      <c r="I147" t="s">
        <v>505</v>
      </c>
      <c r="J147">
        <f>HYPERLINK("http://maps.google.com/maps?z=10&amp;t=m&amp;q=loc:40.3441667+-123.4030556", 359)</f>
        <v>0</v>
      </c>
      <c r="K147">
        <v>339</v>
      </c>
      <c r="L147">
        <v>0</v>
      </c>
      <c r="M147">
        <v>0</v>
      </c>
      <c r="N147">
        <v>0</v>
      </c>
      <c r="O147">
        <v>0</v>
      </c>
    </row>
    <row r="148" spans="1:15">
      <c r="A148" s="1" t="s">
        <v>160</v>
      </c>
      <c r="B148" t="s">
        <v>504</v>
      </c>
      <c r="C148" t="s">
        <v>509</v>
      </c>
      <c r="D148">
        <f>HYPERLINK("http://www.reserveamerica.com/camping/fir-group/r/facilityDetails.do?contractCode=NRSO&amp;parkId=71553", "FIR GROUP")</f>
        <v>0</v>
      </c>
      <c r="E148">
        <v>36.6641667</v>
      </c>
      <c r="F148">
        <v>-118.8416667</v>
      </c>
      <c r="G148" t="s">
        <v>657</v>
      </c>
      <c r="I148" t="s">
        <v>505</v>
      </c>
      <c r="J148">
        <f>HYPERLINK("http://maps.google.com/maps?z=10&amp;t=m&amp;q=loc:36.6641667+-118.8416667", 281)</f>
        <v>0</v>
      </c>
      <c r="K148">
        <v>104</v>
      </c>
      <c r="L148">
        <v>0</v>
      </c>
      <c r="M148">
        <v>0</v>
      </c>
      <c r="N148">
        <v>0</v>
      </c>
      <c r="O148">
        <v>0</v>
      </c>
    </row>
    <row r="149" spans="1:15">
      <c r="A149" s="1" t="s">
        <v>161</v>
      </c>
      <c r="B149" t="s">
        <v>504</v>
      </c>
      <c r="C149" t="s">
        <v>509</v>
      </c>
      <c r="D149">
        <f>HYPERLINK("http://www.reserveamerica.com/camping/fir-top-campground/r/facilityDetails.do?contractCode=NRSO&amp;parkId=71517", "FIR TOP CAMPGROUND")</f>
        <v>0</v>
      </c>
      <c r="E149">
        <v>39.4855556</v>
      </c>
      <c r="F149">
        <v>-120.5502778</v>
      </c>
      <c r="G149" t="s">
        <v>658</v>
      </c>
      <c r="I149" t="s">
        <v>505</v>
      </c>
      <c r="J149">
        <f>HYPERLINK("http://maps.google.com/maps?z=10&amp;t=m&amp;q=loc:39.4855556+-120.5502778", 267)</f>
        <v>0</v>
      </c>
      <c r="K149">
        <v>25</v>
      </c>
      <c r="L149">
        <v>10</v>
      </c>
      <c r="M149">
        <v>0</v>
      </c>
      <c r="N149">
        <v>10</v>
      </c>
      <c r="O149">
        <v>10</v>
      </c>
    </row>
    <row r="150" spans="1:15">
      <c r="A150" s="1" t="s">
        <v>162</v>
      </c>
      <c r="B150" t="s">
        <v>504</v>
      </c>
      <c r="C150" t="s">
        <v>509</v>
      </c>
      <c r="D150">
        <f>HYPERLINK("http://www.reserveamerica.com/camping/fish-creek-ca/r/facilityDetails.do?contractCode=NRSO&amp;parkId=71600", "FISH CREEK (CA)")</f>
        <v>0</v>
      </c>
      <c r="E150">
        <v>37.2602778</v>
      </c>
      <c r="F150">
        <v>-119.3527778</v>
      </c>
      <c r="G150" t="s">
        <v>659</v>
      </c>
      <c r="I150" t="s">
        <v>505</v>
      </c>
      <c r="J150">
        <f>HYPERLINK("http://maps.google.com/maps?z=10&amp;t=m&amp;q=loc:37.2602778+-119.3527778", 225)</f>
        <v>0</v>
      </c>
      <c r="K150">
        <v>91</v>
      </c>
      <c r="L150">
        <v>0</v>
      </c>
      <c r="M150">
        <v>0</v>
      </c>
      <c r="N150">
        <v>0</v>
      </c>
      <c r="O150">
        <v>0</v>
      </c>
    </row>
    <row r="151" spans="1:15">
      <c r="A151" s="1" t="s">
        <v>163</v>
      </c>
      <c r="B151" t="s">
        <v>504</v>
      </c>
      <c r="C151" t="s">
        <v>509</v>
      </c>
      <c r="D151">
        <f>HYPERLINK("http://www.reserveamerica.com/camping/fish-lake-campground/r/facilityDetails.do?contractCode=NRSO&amp;parkId=96769", "FISH LAKE CAMPGROUND")</f>
        <v>0</v>
      </c>
      <c r="E151">
        <v>41.2641667</v>
      </c>
      <c r="F151">
        <v>-123.6844444</v>
      </c>
      <c r="G151" t="s">
        <v>660</v>
      </c>
      <c r="H151" t="s">
        <v>998</v>
      </c>
      <c r="I151" t="s">
        <v>505</v>
      </c>
      <c r="J151">
        <f>HYPERLINK("http://maps.google.com/maps?z=10&amp;t=m&amp;q=loc:41.2641667+-123.6844444", 463)</f>
        <v>0</v>
      </c>
      <c r="K151">
        <v>341</v>
      </c>
      <c r="L151">
        <v>10</v>
      </c>
      <c r="M151">
        <v>2</v>
      </c>
      <c r="N151">
        <v>8</v>
      </c>
      <c r="O151">
        <v>8</v>
      </c>
    </row>
    <row r="152" spans="1:15">
      <c r="A152" s="1" t="s">
        <v>164</v>
      </c>
      <c r="B152" t="s">
        <v>504</v>
      </c>
      <c r="C152" t="s">
        <v>509</v>
      </c>
      <c r="D152">
        <f>HYPERLINK("http://www.reserveamerica.com/camping/fishermans-group/r/facilityDetails.do?contractCode=NRSO&amp;parkId=73950", "FISHERMANS GROUP")</f>
        <v>0</v>
      </c>
      <c r="E152">
        <v>34.2467083</v>
      </c>
      <c r="F152">
        <v>-117.1108222</v>
      </c>
      <c r="G152" t="s">
        <v>661</v>
      </c>
      <c r="I152" t="s">
        <v>505</v>
      </c>
      <c r="J152">
        <f>HYPERLINK("http://maps.google.com/maps?z=10&amp;t=m&amp;q=loc:34.2467083+-117.1108222", 551)</f>
        <v>0</v>
      </c>
      <c r="K152">
        <v>126</v>
      </c>
      <c r="L152">
        <v>2</v>
      </c>
      <c r="M152">
        <v>0</v>
      </c>
      <c r="N152">
        <v>2</v>
      </c>
      <c r="O152">
        <v>2</v>
      </c>
    </row>
    <row r="153" spans="1:15">
      <c r="A153" s="1" t="s">
        <v>165</v>
      </c>
      <c r="B153" t="s">
        <v>505</v>
      </c>
      <c r="C153" t="s">
        <v>510</v>
      </c>
      <c r="D153">
        <f>HYPERLINK("http://www.reserveamerica.com/camping/folsom-lake-sra/r/facilityDetails.do?contractCode=CA&amp;parkId=120034", "FOLSOM LAKE SRA")</f>
        <v>0</v>
      </c>
      <c r="E153">
        <v>38.7316667</v>
      </c>
      <c r="F153">
        <v>-121.1319444</v>
      </c>
      <c r="G153" t="s">
        <v>662</v>
      </c>
      <c r="I153" t="s">
        <v>505</v>
      </c>
      <c r="J153">
        <f>HYPERLINK("http://maps.google.com/maps?z=10&amp;t=m&amp;q=loc:38.7316667+-121.1319444", 170)</f>
        <v>0</v>
      </c>
      <c r="K153">
        <v>23</v>
      </c>
      <c r="L153">
        <v>28</v>
      </c>
      <c r="M153">
        <v>4</v>
      </c>
      <c r="N153">
        <v>24</v>
      </c>
      <c r="O153">
        <v>24</v>
      </c>
    </row>
    <row r="154" spans="1:15">
      <c r="A154" s="1" t="s">
        <v>166</v>
      </c>
      <c r="B154" t="s">
        <v>504</v>
      </c>
      <c r="C154" t="s">
        <v>509</v>
      </c>
      <c r="D154">
        <f>HYPERLINK("http://www.reserveamerica.com/camping/forbes-creek/r/facilityDetails.do?contractCode=NRSO&amp;parkId=70266", "FORBES CREEK")</f>
        <v>0</v>
      </c>
      <c r="E154">
        <v>39.1311111</v>
      </c>
      <c r="F154">
        <v>-120.7819444</v>
      </c>
      <c r="G154" t="s">
        <v>663</v>
      </c>
      <c r="I154" t="s">
        <v>505</v>
      </c>
      <c r="J154">
        <f>HYPERLINK("http://maps.google.com/maps?z=10&amp;t=m&amp;q=loc:39.1311111+-120.7819444", 223)</f>
        <v>0</v>
      </c>
      <c r="K154">
        <v>25</v>
      </c>
      <c r="L154">
        <v>0</v>
      </c>
      <c r="M154">
        <v>0</v>
      </c>
      <c r="N154">
        <v>0</v>
      </c>
      <c r="O154">
        <v>0</v>
      </c>
    </row>
    <row r="155" spans="1:15">
      <c r="A155" s="1" t="s">
        <v>167</v>
      </c>
      <c r="B155" t="s">
        <v>504</v>
      </c>
      <c r="C155" t="s">
        <v>509</v>
      </c>
      <c r="D155">
        <f>HYPERLINK("http://www.reserveamerica.com/camping/forks-campground/r/facilityDetails.do?contractCode=NRSO&amp;parkId=71666", "FORKS CAMPGROUND")</f>
        <v>0</v>
      </c>
      <c r="E155">
        <v>37.3130556</v>
      </c>
      <c r="F155">
        <v>-119.57</v>
      </c>
      <c r="G155" t="s">
        <v>664</v>
      </c>
      <c r="I155" t="s">
        <v>505</v>
      </c>
      <c r="J155">
        <f>HYPERLINK("http://maps.google.com/maps?z=10&amp;t=m&amp;q=loc:37.3130556+-119.57", 206)</f>
        <v>0</v>
      </c>
      <c r="K155">
        <v>89</v>
      </c>
      <c r="L155">
        <v>0</v>
      </c>
      <c r="M155">
        <v>0</v>
      </c>
      <c r="N155">
        <v>0</v>
      </c>
      <c r="O155">
        <v>0</v>
      </c>
    </row>
    <row r="156" spans="1:15">
      <c r="A156" s="1" t="s">
        <v>168</v>
      </c>
      <c r="B156" t="s">
        <v>505</v>
      </c>
      <c r="C156" t="s">
        <v>510</v>
      </c>
      <c r="E156">
        <v>34.8727778</v>
      </c>
      <c r="F156">
        <v>-118.8991667</v>
      </c>
      <c r="G156" t="s">
        <v>665</v>
      </c>
      <c r="I156" t="s">
        <v>505</v>
      </c>
      <c r="J156">
        <f>HYPERLINK("http://maps.google.com/maps?z=10&amp;t=m&amp;q=loc:34.8727778+-118.8991667", 383)</f>
        <v>0</v>
      </c>
      <c r="K156">
        <v>134</v>
      </c>
      <c r="L156">
        <v>0</v>
      </c>
      <c r="M156">
        <v>0</v>
      </c>
      <c r="N156">
        <v>0</v>
      </c>
      <c r="O156">
        <v>0</v>
      </c>
    </row>
    <row r="157" spans="1:15">
      <c r="A157" s="1" t="s">
        <v>169</v>
      </c>
      <c r="B157" t="s">
        <v>504</v>
      </c>
      <c r="C157" t="s">
        <v>509</v>
      </c>
      <c r="D157">
        <f>HYPERLINK("http://www.reserveamerica.com/camping/four-jeffrey/r/facilityDetails.do?contractCode=NRSO&amp;parkId=73703", "FOUR JEFFREY")</f>
        <v>0</v>
      </c>
      <c r="E157">
        <v>37.25</v>
      </c>
      <c r="F157">
        <v>-118.55</v>
      </c>
      <c r="G157" t="s">
        <v>666</v>
      </c>
      <c r="I157" t="s">
        <v>505</v>
      </c>
      <c r="J157">
        <f>HYPERLINK("http://maps.google.com/maps?z=10&amp;t=m&amp;q=loc:37.25+-118.55", 296)</f>
        <v>0</v>
      </c>
      <c r="K157">
        <v>90</v>
      </c>
      <c r="L157">
        <v>0</v>
      </c>
      <c r="M157">
        <v>0</v>
      </c>
      <c r="N157">
        <v>0</v>
      </c>
      <c r="O157">
        <v>0</v>
      </c>
    </row>
    <row r="158" spans="1:15">
      <c r="A158" s="1" t="s">
        <v>170</v>
      </c>
      <c r="B158" t="s">
        <v>508</v>
      </c>
      <c r="C158" t="s">
        <v>511</v>
      </c>
      <c r="D158">
        <f>HYPERLINK("http://www.reserveamerica.com/camping/frank-raines-regional-park/r/facilityDetails.do?contractCode=STAN&amp;parkId=1040013", "FRANK RAINES REGIONAL PARK")</f>
        <v>0</v>
      </c>
      <c r="E158">
        <v>37.4222222</v>
      </c>
      <c r="F158">
        <v>-121.3752778</v>
      </c>
      <c r="G158" t="s">
        <v>667</v>
      </c>
      <c r="I158" t="s">
        <v>505</v>
      </c>
      <c r="J158">
        <f>HYPERLINK("http://maps.google.com/maps?z=10&amp;t=m&amp;q=loc:37.4222222+-121.3752778", 48)</f>
        <v>0</v>
      </c>
      <c r="K158">
        <v>77</v>
      </c>
      <c r="L158">
        <v>29</v>
      </c>
      <c r="M158">
        <v>0</v>
      </c>
      <c r="N158">
        <v>29</v>
      </c>
      <c r="O158">
        <v>29</v>
      </c>
    </row>
    <row r="159" spans="1:15">
      <c r="A159" s="1" t="s">
        <v>171</v>
      </c>
      <c r="B159" t="s">
        <v>504</v>
      </c>
      <c r="C159" t="s">
        <v>509</v>
      </c>
      <c r="D159">
        <f>HYPERLINK("http://www.reserveamerica.com/camping/fremont-campground/r/facilityDetails.do?contractCode=NRSO&amp;parkId=74120", "FREMONT CAMPGROUND")</f>
        <v>0</v>
      </c>
      <c r="E159">
        <v>34.5430556</v>
      </c>
      <c r="F159">
        <v>-119.8202778</v>
      </c>
      <c r="G159" t="s">
        <v>668</v>
      </c>
      <c r="I159" t="s">
        <v>505</v>
      </c>
      <c r="J159">
        <f>HYPERLINK("http://maps.google.com/maps?z=10&amp;t=m&amp;q=loc:34.5430556+-119.8202778", 361)</f>
        <v>0</v>
      </c>
      <c r="K159">
        <v>148</v>
      </c>
      <c r="L159">
        <v>8</v>
      </c>
      <c r="M159">
        <v>0</v>
      </c>
      <c r="N159">
        <v>8</v>
      </c>
      <c r="O159">
        <v>8</v>
      </c>
    </row>
    <row r="160" spans="1:15">
      <c r="A160" s="1" t="s">
        <v>172</v>
      </c>
      <c r="B160" t="s">
        <v>505</v>
      </c>
      <c r="C160" t="s">
        <v>510</v>
      </c>
      <c r="D160">
        <f>HYPERLINK("http://www.reserveamerica.com/camping/fremont-peak-sp/r/facilityDetails.do?contractCode=CA&amp;parkId=120209", "FREMONT PEAK SP")</f>
        <v>0</v>
      </c>
      <c r="E160">
        <v>36.7608333</v>
      </c>
      <c r="F160">
        <v>-121.5013889</v>
      </c>
      <c r="G160" t="s">
        <v>669</v>
      </c>
      <c r="I160" t="s">
        <v>505</v>
      </c>
      <c r="J160">
        <f>HYPERLINK("http://maps.google.com/maps?z=10&amp;t=m&amp;q=loc:36.7608333+-121.5013889", 72)</f>
        <v>0</v>
      </c>
      <c r="K160">
        <v>150</v>
      </c>
      <c r="L160">
        <v>13</v>
      </c>
      <c r="M160">
        <v>3</v>
      </c>
      <c r="N160">
        <v>10</v>
      </c>
      <c r="O160">
        <v>10</v>
      </c>
    </row>
    <row r="161" spans="1:15">
      <c r="A161" s="1" t="s">
        <v>173</v>
      </c>
      <c r="B161" t="s">
        <v>504</v>
      </c>
      <c r="C161" t="s">
        <v>509</v>
      </c>
      <c r="D161">
        <f>HYPERLINK("http://www.reserveamerica.com/camping/french-camp/r/facilityDetails.do?contractCode=NRSO&amp;parkId=70803", "FRENCH CAMP")</f>
        <v>0</v>
      </c>
      <c r="E161">
        <v>37.5525</v>
      </c>
      <c r="F161">
        <v>-118.6791667</v>
      </c>
      <c r="G161" t="s">
        <v>670</v>
      </c>
      <c r="I161" t="s">
        <v>505</v>
      </c>
      <c r="J161">
        <f>HYPERLINK("http://maps.google.com/maps?z=10&amp;t=m&amp;q=loc:37.5525+-118.6791667", 285)</f>
        <v>0</v>
      </c>
      <c r="K161">
        <v>84</v>
      </c>
      <c r="L161">
        <v>31</v>
      </c>
      <c r="M161">
        <v>0</v>
      </c>
      <c r="N161">
        <v>31</v>
      </c>
      <c r="O161">
        <v>31</v>
      </c>
    </row>
    <row r="162" spans="1:15">
      <c r="A162" s="1" t="s">
        <v>174</v>
      </c>
      <c r="B162" t="s">
        <v>504</v>
      </c>
      <c r="C162" t="s">
        <v>509</v>
      </c>
      <c r="D162">
        <f>HYPERLINK("http://www.reserveamerica.com/camping/french-gulch/r/facilityDetails.do?contractCode=NRSO&amp;parkId=71559", "FRENCH GULCH")</f>
        <v>0</v>
      </c>
      <c r="E162">
        <v>35.6708333</v>
      </c>
      <c r="F162">
        <v>-118.4722222</v>
      </c>
      <c r="G162" t="s">
        <v>671</v>
      </c>
      <c r="I162" t="s">
        <v>505</v>
      </c>
      <c r="J162">
        <f>HYPERLINK("http://maps.google.com/maps?z=10&amp;t=m&amp;q=loc:35.6708333+-118.4722222", 357)</f>
        <v>0</v>
      </c>
      <c r="K162">
        <v>119</v>
      </c>
      <c r="L162">
        <v>0</v>
      </c>
      <c r="M162">
        <v>0</v>
      </c>
      <c r="N162">
        <v>0</v>
      </c>
      <c r="O162">
        <v>0</v>
      </c>
    </row>
    <row r="163" spans="1:15">
      <c r="A163" s="1" t="s">
        <v>175</v>
      </c>
      <c r="B163" t="s">
        <v>504</v>
      </c>
      <c r="C163" t="s">
        <v>509</v>
      </c>
      <c r="D163">
        <f>HYPERLINK("http://www.reserveamerica.com/camping/french-meadows/r/facilityDetails.do?contractCode=NRSO&amp;parkId=70268", "FRENCH MEADOWS")</f>
        <v>0</v>
      </c>
      <c r="E163">
        <v>39.1138889</v>
      </c>
      <c r="F163">
        <v>-120.4238889</v>
      </c>
      <c r="G163" t="s">
        <v>669</v>
      </c>
      <c r="I163" t="s">
        <v>505</v>
      </c>
      <c r="J163">
        <f>HYPERLINK("http://maps.google.com/maps?z=10&amp;t=m&amp;q=loc:39.1138889+-120.4238889", 236)</f>
        <v>0</v>
      </c>
      <c r="K163">
        <v>32</v>
      </c>
      <c r="L163">
        <v>45</v>
      </c>
      <c r="M163">
        <v>3</v>
      </c>
      <c r="N163">
        <v>42</v>
      </c>
      <c r="O163">
        <v>42</v>
      </c>
    </row>
    <row r="164" spans="1:15">
      <c r="A164" s="1" t="s">
        <v>176</v>
      </c>
      <c r="B164" t="s">
        <v>504</v>
      </c>
      <c r="C164" t="s">
        <v>509</v>
      </c>
      <c r="D164">
        <f>HYPERLINK("http://www.reserveamerica.com/camping/frenchman/r/facilityDetails.do?contractCode=NRSO&amp;parkId=70377", "FRENCHMAN")</f>
        <v>0</v>
      </c>
      <c r="E164">
        <v>39.8997222</v>
      </c>
      <c r="F164">
        <v>-120.1866667</v>
      </c>
      <c r="G164" t="s">
        <v>672</v>
      </c>
      <c r="I164" t="s">
        <v>505</v>
      </c>
      <c r="J164">
        <f>HYPERLINK("http://maps.google.com/maps?z=10&amp;t=m&amp;q=loc:39.8997222+-120.1866667", 322)</f>
        <v>0</v>
      </c>
      <c r="K164">
        <v>27</v>
      </c>
      <c r="L164">
        <v>0</v>
      </c>
      <c r="M164">
        <v>0</v>
      </c>
      <c r="N164">
        <v>0</v>
      </c>
      <c r="O164">
        <v>0</v>
      </c>
    </row>
    <row r="165" spans="1:15">
      <c r="A165" s="1" t="s">
        <v>177</v>
      </c>
      <c r="B165" t="s">
        <v>504</v>
      </c>
      <c r="C165" t="s">
        <v>509</v>
      </c>
      <c r="D165">
        <f>HYPERLINK("http://www.reserveamerica.com/camping/fry-creek-campground/r/facilityDetails.do?contractCode=NRSO&amp;parkId=72313", "FRY CREEK CAMPGROUND")</f>
        <v>0</v>
      </c>
      <c r="E165">
        <v>33.345</v>
      </c>
      <c r="F165">
        <v>-116.88</v>
      </c>
      <c r="G165" t="s">
        <v>673</v>
      </c>
      <c r="I165" t="s">
        <v>505</v>
      </c>
      <c r="J165">
        <f>HYPERLINK("http://maps.google.com/maps?z=10&amp;t=m&amp;q=loc:33.345+-116.88", 634)</f>
        <v>0</v>
      </c>
      <c r="K165">
        <v>132</v>
      </c>
      <c r="L165">
        <v>6</v>
      </c>
      <c r="M165">
        <v>0</v>
      </c>
      <c r="N165">
        <v>6</v>
      </c>
      <c r="O165">
        <v>6</v>
      </c>
    </row>
    <row r="166" spans="1:15">
      <c r="A166" s="1" t="s">
        <v>178</v>
      </c>
      <c r="B166" t="s">
        <v>504</v>
      </c>
      <c r="C166" t="s">
        <v>509</v>
      </c>
      <c r="D166">
        <f>HYPERLINK("http://www.reserveamerica.com/camping/furnace-creek/r/facilityDetails.do?contractCode=NRSO&amp;parkId=70978", "FURNACE CREEK")</f>
        <v>0</v>
      </c>
      <c r="E166">
        <v>36.4630556</v>
      </c>
      <c r="F166">
        <v>-116.8677778</v>
      </c>
      <c r="G166" t="s">
        <v>674</v>
      </c>
      <c r="I166" t="s">
        <v>505</v>
      </c>
      <c r="J166">
        <f>HYPERLINK("http://maps.google.com/maps?z=10&amp;t=m&amp;q=loc:36.4630556+-116.8677778", 457)</f>
        <v>0</v>
      </c>
      <c r="K166">
        <v>100</v>
      </c>
      <c r="L166">
        <v>0</v>
      </c>
      <c r="M166">
        <v>0</v>
      </c>
      <c r="N166">
        <v>0</v>
      </c>
      <c r="O166">
        <v>0</v>
      </c>
    </row>
    <row r="167" spans="1:15">
      <c r="A167" s="1" t="s">
        <v>179</v>
      </c>
      <c r="B167" t="s">
        <v>504</v>
      </c>
      <c r="C167" t="s">
        <v>509</v>
      </c>
      <c r="D167">
        <f>HYPERLINK("http://www.reserveamerica.com/camping/gates-group/r/facilityDetails.do?contractCode=NRSO&amp;parkId=70269", "GATES GROUP")</f>
        <v>0</v>
      </c>
      <c r="E167">
        <v>39.1413889</v>
      </c>
      <c r="F167">
        <v>-120.4091667</v>
      </c>
      <c r="G167" t="s">
        <v>675</v>
      </c>
      <c r="I167" t="s">
        <v>505</v>
      </c>
      <c r="J167">
        <f>HYPERLINK("http://maps.google.com/maps?z=10&amp;t=m&amp;q=loc:39.1413889+-120.4091667", 240)</f>
        <v>0</v>
      </c>
      <c r="K167">
        <v>32</v>
      </c>
      <c r="L167">
        <v>0</v>
      </c>
      <c r="M167">
        <v>0</v>
      </c>
      <c r="N167">
        <v>0</v>
      </c>
      <c r="O167">
        <v>0</v>
      </c>
    </row>
    <row r="168" spans="1:15">
      <c r="A168" s="1" t="s">
        <v>180</v>
      </c>
      <c r="B168" t="s">
        <v>505</v>
      </c>
      <c r="C168" t="s">
        <v>510</v>
      </c>
      <c r="E168">
        <v>37.3577778</v>
      </c>
      <c r="F168">
        <v>-120.9594444</v>
      </c>
      <c r="G168" t="s">
        <v>676</v>
      </c>
      <c r="I168" t="s">
        <v>505</v>
      </c>
      <c r="J168">
        <f>HYPERLINK("http://maps.google.com/maps?z=10&amp;t=m&amp;q=loc:37.3577778+-120.9594444", 83)</f>
        <v>0</v>
      </c>
      <c r="K168">
        <v>87</v>
      </c>
      <c r="L168">
        <v>0</v>
      </c>
      <c r="M168">
        <v>0</v>
      </c>
      <c r="N168">
        <v>0</v>
      </c>
      <c r="O168">
        <v>0</v>
      </c>
    </row>
    <row r="169" spans="1:15">
      <c r="A169" s="1" t="s">
        <v>181</v>
      </c>
      <c r="B169" t="s">
        <v>504</v>
      </c>
      <c r="C169" t="s">
        <v>509</v>
      </c>
      <c r="D169">
        <f>HYPERLINK("http://www.reserveamerica.com/camping/gerle-creek/r/facilityDetails.do?contractCode=NRSO&amp;parkId=70270", "GERLE CREEK")</f>
        <v>0</v>
      </c>
      <c r="E169">
        <v>38.975</v>
      </c>
      <c r="F169">
        <v>-120.3916667</v>
      </c>
      <c r="G169" t="s">
        <v>677</v>
      </c>
      <c r="H169" t="s">
        <v>997</v>
      </c>
      <c r="I169" t="s">
        <v>505</v>
      </c>
      <c r="J169">
        <f>HYPERLINK("http://maps.google.com/maps?z=10&amp;t=m&amp;q=loc:38.975+-120.3916667", 225)</f>
        <v>0</v>
      </c>
      <c r="K169">
        <v>35</v>
      </c>
      <c r="L169">
        <v>0</v>
      </c>
      <c r="M169">
        <v>0</v>
      </c>
      <c r="N169">
        <v>0</v>
      </c>
      <c r="O169">
        <v>0</v>
      </c>
    </row>
    <row r="170" spans="1:15">
      <c r="A170" s="1" t="s">
        <v>182</v>
      </c>
      <c r="B170" t="s">
        <v>504</v>
      </c>
      <c r="C170" t="s">
        <v>509</v>
      </c>
      <c r="D170">
        <f>HYPERLINK("http://www.reserveamerica.com/camping/giant-gap/r/facilityDetails.do?contractCode=NRSO&amp;parkId=71676", "GIANT GAP")</f>
        <v>0</v>
      </c>
      <c r="E170">
        <v>39.1388889</v>
      </c>
      <c r="F170">
        <v>-120.7922222</v>
      </c>
      <c r="G170" t="s">
        <v>678</v>
      </c>
      <c r="I170" t="s">
        <v>505</v>
      </c>
      <c r="J170">
        <f>HYPERLINK("http://maps.google.com/maps?z=10&amp;t=m&amp;q=loc:39.1388889+-120.7922222", 223)</f>
        <v>0</v>
      </c>
      <c r="K170">
        <v>25</v>
      </c>
      <c r="L170">
        <v>6</v>
      </c>
      <c r="M170">
        <v>1</v>
      </c>
      <c r="N170">
        <v>5</v>
      </c>
      <c r="O170">
        <v>5</v>
      </c>
    </row>
    <row r="171" spans="1:15">
      <c r="A171" s="1" t="s">
        <v>183</v>
      </c>
      <c r="B171" t="s">
        <v>504</v>
      </c>
      <c r="C171" t="s">
        <v>509</v>
      </c>
      <c r="D171">
        <f>HYPERLINK("http://www.reserveamerica.com/camping/glory-hole-recreation-area/r/facilityDetails.do?contractCode=NRSO&amp;parkId=74080", "GLORY HOLE RECREATION AREA")</f>
        <v>0</v>
      </c>
      <c r="E171">
        <v>38.0075</v>
      </c>
      <c r="F171">
        <v>-120.5402778</v>
      </c>
      <c r="G171" t="s">
        <v>679</v>
      </c>
      <c r="I171" t="s">
        <v>505</v>
      </c>
      <c r="J171">
        <f>HYPERLINK("http://maps.google.com/maps?z=10&amp;t=m&amp;q=loc:38.0075+-120.5402778", 141)</f>
        <v>0</v>
      </c>
      <c r="K171">
        <v>57</v>
      </c>
      <c r="L171">
        <v>11</v>
      </c>
      <c r="M171">
        <v>8</v>
      </c>
      <c r="N171">
        <v>3</v>
      </c>
      <c r="O171">
        <v>3</v>
      </c>
    </row>
    <row r="172" spans="1:15">
      <c r="A172" s="1" t="s">
        <v>184</v>
      </c>
      <c r="B172" t="s">
        <v>504</v>
      </c>
      <c r="C172" t="s">
        <v>509</v>
      </c>
      <c r="D172">
        <f>HYPERLINK("http://www.reserveamerica.com/camping/goldledge-campground/r/facilityDetails.do?contractCode=NRSO&amp;parkId=71679", "GOLDLEDGE CAMPGROUND")</f>
        <v>0</v>
      </c>
      <c r="E172">
        <v>35.8777778</v>
      </c>
      <c r="F172">
        <v>-118.4563889</v>
      </c>
      <c r="G172" t="s">
        <v>680</v>
      </c>
      <c r="I172" t="s">
        <v>505</v>
      </c>
      <c r="J172">
        <f>HYPERLINK("http://maps.google.com/maps?z=10&amp;t=m&amp;q=loc:35.8777778+-118.4563889", 347)</f>
        <v>0</v>
      </c>
      <c r="K172">
        <v>116</v>
      </c>
      <c r="L172">
        <v>0</v>
      </c>
      <c r="M172">
        <v>0</v>
      </c>
      <c r="N172">
        <v>0</v>
      </c>
      <c r="O172">
        <v>0</v>
      </c>
    </row>
    <row r="173" spans="1:15">
      <c r="A173" s="1" t="s">
        <v>185</v>
      </c>
      <c r="B173" t="s">
        <v>504</v>
      </c>
      <c r="C173" t="s">
        <v>509</v>
      </c>
      <c r="D173">
        <f>HYPERLINK("http://www.reserveamerica.com/camping/goose-meadows/r/facilityDetails.do?contractCode=NRSO&amp;parkId=71516", "GOOSE MEADOWS")</f>
        <v>0</v>
      </c>
      <c r="E173">
        <v>39.2575</v>
      </c>
      <c r="F173">
        <v>-120.2091667</v>
      </c>
      <c r="G173" t="s">
        <v>681</v>
      </c>
      <c r="I173" t="s">
        <v>505</v>
      </c>
      <c r="J173">
        <f>HYPERLINK("http://maps.google.com/maps?z=10&amp;t=m&amp;q=loc:39.2575+-120.2091667", 260)</f>
        <v>0</v>
      </c>
      <c r="K173">
        <v>34</v>
      </c>
      <c r="L173">
        <v>19</v>
      </c>
      <c r="M173">
        <v>0</v>
      </c>
      <c r="N173">
        <v>19</v>
      </c>
      <c r="O173">
        <v>19</v>
      </c>
    </row>
    <row r="174" spans="1:15">
      <c r="A174" s="1" t="s">
        <v>186</v>
      </c>
      <c r="B174" t="s">
        <v>504</v>
      </c>
      <c r="C174" t="s">
        <v>509</v>
      </c>
      <c r="D174">
        <f>HYPERLINK("http://www.reserveamerica.com/camping/granite-flat-california/r/facilityDetails.do?contractCode=NRSO&amp;parkId=71671", "GRANITE FLAT (CALIFORNIA)")</f>
        <v>0</v>
      </c>
      <c r="E174">
        <v>39.2991667</v>
      </c>
      <c r="F174">
        <v>-120.2036111</v>
      </c>
      <c r="G174" t="s">
        <v>682</v>
      </c>
      <c r="I174" t="s">
        <v>505</v>
      </c>
      <c r="J174">
        <f>HYPERLINK("http://maps.google.com/maps?z=10&amp;t=m&amp;q=loc:39.2991667+-120.2036111", 264)</f>
        <v>0</v>
      </c>
      <c r="K174">
        <v>33</v>
      </c>
      <c r="L174">
        <v>47</v>
      </c>
      <c r="M174">
        <v>7</v>
      </c>
      <c r="N174">
        <v>40</v>
      </c>
      <c r="O174">
        <v>40</v>
      </c>
    </row>
    <row r="175" spans="1:15">
      <c r="A175" s="1" t="s">
        <v>187</v>
      </c>
      <c r="B175" t="s">
        <v>504</v>
      </c>
      <c r="C175" t="s">
        <v>509</v>
      </c>
      <c r="D175">
        <f>HYPERLINK("http://www.reserveamerica.com/camping/grasshopper-flat/r/facilityDetails.do?contractCode=NRSO&amp;parkId=71613", "GRASSHOPPER FLAT")</f>
        <v>0</v>
      </c>
      <c r="E175">
        <v>39.8905556</v>
      </c>
      <c r="F175">
        <v>-120.4769444</v>
      </c>
      <c r="G175" t="s">
        <v>683</v>
      </c>
      <c r="I175" t="s">
        <v>505</v>
      </c>
      <c r="J175">
        <f>HYPERLINK("http://maps.google.com/maps?z=10&amp;t=m&amp;q=loc:39.8905556+-120.4769444", 310)</f>
        <v>0</v>
      </c>
      <c r="K175">
        <v>23</v>
      </c>
      <c r="L175">
        <v>0</v>
      </c>
      <c r="M175">
        <v>0</v>
      </c>
      <c r="N175">
        <v>0</v>
      </c>
      <c r="O175">
        <v>0</v>
      </c>
    </row>
    <row r="176" spans="1:15">
      <c r="A176" s="1" t="s">
        <v>188</v>
      </c>
      <c r="B176" t="s">
        <v>504</v>
      </c>
      <c r="C176" t="s">
        <v>509</v>
      </c>
      <c r="D176">
        <f>HYPERLINK("http://www.reserveamerica.com/camping/grassy-flat-campground/r/facilityDetails.do?contractCode=NRSO&amp;parkId=70527", "GRASSY FLAT CAMPGROUND")</f>
        <v>0</v>
      </c>
      <c r="E176">
        <v>41.8563889</v>
      </c>
      <c r="F176">
        <v>-123.8888889</v>
      </c>
      <c r="G176" t="s">
        <v>684</v>
      </c>
      <c r="I176" t="s">
        <v>505</v>
      </c>
      <c r="J176">
        <f>HYPERLINK("http://maps.google.com/maps?z=10&amp;t=m&amp;q=loc:41.8563889+-123.8888889", 531)</f>
        <v>0</v>
      </c>
      <c r="K176">
        <v>341</v>
      </c>
      <c r="L176">
        <v>0</v>
      </c>
      <c r="M176">
        <v>0</v>
      </c>
      <c r="N176">
        <v>0</v>
      </c>
      <c r="O176">
        <v>0</v>
      </c>
    </row>
    <row r="177" spans="1:15">
      <c r="A177" s="1" t="s">
        <v>189</v>
      </c>
      <c r="B177" t="s">
        <v>504</v>
      </c>
      <c r="C177" t="s">
        <v>509</v>
      </c>
      <c r="D177">
        <f>HYPERLINK("http://www.reserveamerica.com/camping/grays-meadows/r/facilityDetails.do?contractCode=NRSO&amp;parkId=70273", "GRAYS MEADOWS")</f>
        <v>0</v>
      </c>
      <c r="E177">
        <v>36.7688889</v>
      </c>
      <c r="F177">
        <v>-118.295</v>
      </c>
      <c r="G177" t="s">
        <v>685</v>
      </c>
      <c r="I177" t="s">
        <v>505</v>
      </c>
      <c r="J177">
        <f>HYPERLINK("http://maps.google.com/maps?z=10&amp;t=m&amp;q=loc:36.7688889+-118.295", 326)</f>
        <v>0</v>
      </c>
      <c r="K177">
        <v>99</v>
      </c>
      <c r="L177">
        <v>19</v>
      </c>
      <c r="M177">
        <v>2</v>
      </c>
      <c r="N177">
        <v>17</v>
      </c>
      <c r="O177">
        <v>18</v>
      </c>
    </row>
    <row r="178" spans="1:15">
      <c r="A178" s="1" t="s">
        <v>190</v>
      </c>
      <c r="B178" t="s">
        <v>504</v>
      </c>
      <c r="C178" t="s">
        <v>509</v>
      </c>
      <c r="D178">
        <f>HYPERLINK("http://www.reserveamerica.com/camping/grays-peak-group-camp/r/facilityDetails.do?contractCode=NRSO&amp;parkId=70174", "GRAYS PEAK GROUP CAMP")</f>
        <v>0</v>
      </c>
      <c r="E178">
        <v>34.2733333</v>
      </c>
      <c r="F178">
        <v>-116.9705556</v>
      </c>
      <c r="G178" t="s">
        <v>686</v>
      </c>
      <c r="I178" t="s">
        <v>505</v>
      </c>
      <c r="J178">
        <f>HYPERLINK("http://maps.google.com/maps?z=10&amp;t=m&amp;q=loc:34.2733333+-116.9705556", 559)</f>
        <v>0</v>
      </c>
      <c r="K178">
        <v>125</v>
      </c>
      <c r="L178">
        <v>0</v>
      </c>
      <c r="M178">
        <v>0</v>
      </c>
      <c r="N178">
        <v>0</v>
      </c>
      <c r="O178">
        <v>0</v>
      </c>
    </row>
    <row r="179" spans="1:15">
      <c r="A179" s="1" t="s">
        <v>191</v>
      </c>
      <c r="B179" t="s">
        <v>504</v>
      </c>
      <c r="C179" t="s">
        <v>509</v>
      </c>
      <c r="D179">
        <f>HYPERLINK("http://www.reserveamerica.com/camping/green-creek-group/r/facilityDetails.do?contractCode=NRSO&amp;parkId=70274", "GREEN CREEK GROUP")</f>
        <v>0</v>
      </c>
      <c r="E179">
        <v>38.1108333</v>
      </c>
      <c r="F179">
        <v>-119.2761111</v>
      </c>
      <c r="G179" t="s">
        <v>687</v>
      </c>
      <c r="I179" t="s">
        <v>505</v>
      </c>
      <c r="J179">
        <f>HYPERLINK("http://maps.google.com/maps?z=10&amp;t=m&amp;q=loc:38.1108333+-119.2761111", 247)</f>
        <v>0</v>
      </c>
      <c r="K179">
        <v>68</v>
      </c>
      <c r="L179">
        <v>0</v>
      </c>
      <c r="M179">
        <v>0</v>
      </c>
      <c r="N179">
        <v>0</v>
      </c>
      <c r="O179">
        <v>0</v>
      </c>
    </row>
    <row r="180" spans="1:15">
      <c r="A180" s="1" t="s">
        <v>192</v>
      </c>
      <c r="B180" t="s">
        <v>504</v>
      </c>
      <c r="C180" t="s">
        <v>509</v>
      </c>
      <c r="D180">
        <f>HYPERLINK("http://www.reserveamerica.com/camping/green-spot-equestrian-group-camp/r/facilityDetails.do?contractCode=NRSO&amp;parkId=70697", "GREEN SPOT EQUESTRIAN GROUP CAMP")</f>
        <v>0</v>
      </c>
      <c r="E180">
        <v>34.2233333</v>
      </c>
      <c r="F180">
        <v>-116.8061111</v>
      </c>
      <c r="G180" t="s">
        <v>688</v>
      </c>
      <c r="I180" t="s">
        <v>505</v>
      </c>
      <c r="J180">
        <f>HYPERLINK("http://maps.google.com/maps?z=10&amp;t=m&amp;q=loc:34.2233333+-116.8061111", 574)</f>
        <v>0</v>
      </c>
      <c r="K180">
        <v>125</v>
      </c>
      <c r="L180">
        <v>1</v>
      </c>
      <c r="M180">
        <v>0</v>
      </c>
      <c r="N180">
        <v>1</v>
      </c>
      <c r="O180">
        <v>1</v>
      </c>
    </row>
    <row r="181" spans="1:15">
      <c r="A181" s="1" t="s">
        <v>193</v>
      </c>
      <c r="B181" t="s">
        <v>504</v>
      </c>
      <c r="C181" t="s">
        <v>509</v>
      </c>
      <c r="D181">
        <f>HYPERLINK("http://www.reserveamerica.com/camping/green-valley/r/facilityDetails.do?contractCode=NRSO&amp;parkId=70275", "GREEN VALLEY")</f>
        <v>0</v>
      </c>
      <c r="E181">
        <v>34.2447222</v>
      </c>
      <c r="F181">
        <v>-117.0619444</v>
      </c>
      <c r="G181" t="s">
        <v>689</v>
      </c>
      <c r="I181" t="s">
        <v>505</v>
      </c>
      <c r="J181">
        <f>HYPERLINK("http://maps.google.com/maps?z=10&amp;t=m&amp;q=loc:34.2447222+-117.0619444", 554)</f>
        <v>0</v>
      </c>
      <c r="K181">
        <v>126</v>
      </c>
      <c r="L181">
        <v>14</v>
      </c>
      <c r="M181">
        <v>0</v>
      </c>
      <c r="N181">
        <v>14</v>
      </c>
      <c r="O181">
        <v>14</v>
      </c>
    </row>
    <row r="182" spans="1:15">
      <c r="A182" s="1" t="s">
        <v>194</v>
      </c>
      <c r="B182" t="s">
        <v>504</v>
      </c>
      <c r="C182" t="s">
        <v>509</v>
      </c>
      <c r="D182">
        <f>HYPERLINK("http://www.reserveamerica.com/camping/grizzly/r/facilityDetails.do?contractCode=NRSO&amp;parkId=71616", "GRIZZLY")</f>
        <v>0</v>
      </c>
      <c r="E182">
        <v>39.8872222</v>
      </c>
      <c r="F182">
        <v>-120.4725</v>
      </c>
      <c r="G182" t="s">
        <v>690</v>
      </c>
      <c r="I182" t="s">
        <v>505</v>
      </c>
      <c r="J182">
        <f>HYPERLINK("http://maps.google.com/maps?z=10&amp;t=m&amp;q=loc:39.8872222+-120.4725", 310)</f>
        <v>0</v>
      </c>
      <c r="K182">
        <v>23</v>
      </c>
      <c r="L182">
        <v>0</v>
      </c>
      <c r="M182">
        <v>0</v>
      </c>
      <c r="N182">
        <v>0</v>
      </c>
      <c r="O182">
        <v>0</v>
      </c>
    </row>
    <row r="183" spans="1:15">
      <c r="A183" s="1" t="s">
        <v>195</v>
      </c>
      <c r="B183" t="s">
        <v>505</v>
      </c>
      <c r="C183" t="s">
        <v>510</v>
      </c>
      <c r="D183">
        <f>HYPERLINK("http://www.reserveamerica.com/camping/grizzly-creek-redwoods-sp/r/facilityDetails.do?contractCode=CA&amp;parkId=120037", "GRIZZLY CREEK REDWOODS SP")</f>
        <v>0</v>
      </c>
      <c r="E183">
        <v>40.4841667</v>
      </c>
      <c r="F183">
        <v>-123.9055556</v>
      </c>
      <c r="G183" t="s">
        <v>690</v>
      </c>
      <c r="I183" t="s">
        <v>505</v>
      </c>
      <c r="J183">
        <f>HYPERLINK("http://maps.google.com/maps?z=10&amp;t=m&amp;q=loc:40.4841667+-123.9055556", 391)</f>
        <v>0</v>
      </c>
      <c r="K183">
        <v>334</v>
      </c>
      <c r="L183">
        <v>0</v>
      </c>
      <c r="M183">
        <v>0</v>
      </c>
      <c r="N183">
        <v>0</v>
      </c>
      <c r="O183">
        <v>0</v>
      </c>
    </row>
    <row r="184" spans="1:15">
      <c r="A184" s="1" t="s">
        <v>196</v>
      </c>
      <c r="B184" t="s">
        <v>505</v>
      </c>
      <c r="C184" t="s">
        <v>510</v>
      </c>
      <c r="D184">
        <f>HYPERLINK("http://www.reserveamerica.com/camping/grover-hot-springs-sp/r/facilityDetails.do?contractCode=CA&amp;parkId=120038", "GROVER HOT SPRINGS SP")</f>
        <v>0</v>
      </c>
      <c r="E184">
        <v>38.7005556</v>
      </c>
      <c r="F184">
        <v>-119.8366667</v>
      </c>
      <c r="G184" t="s">
        <v>691</v>
      </c>
      <c r="I184" t="s">
        <v>505</v>
      </c>
      <c r="J184">
        <f>HYPERLINK("http://maps.google.com/maps?z=10&amp;t=m&amp;q=loc:38.7005556+-119.8366667", 236)</f>
        <v>0</v>
      </c>
      <c r="K184">
        <v>49</v>
      </c>
      <c r="L184">
        <v>0</v>
      </c>
      <c r="M184">
        <v>0</v>
      </c>
      <c r="N184">
        <v>0</v>
      </c>
      <c r="O184">
        <v>0</v>
      </c>
    </row>
    <row r="185" spans="1:15">
      <c r="A185" s="1" t="s">
        <v>197</v>
      </c>
      <c r="B185" t="s">
        <v>504</v>
      </c>
      <c r="C185" t="s">
        <v>509</v>
      </c>
      <c r="D185">
        <f>HYPERLINK("http://www.reserveamerica.com/camping/gurnsey-creek/r/facilityDetails.do?contractCode=NRSO&amp;parkId=70594", "GURNSEY CREEK")</f>
        <v>0</v>
      </c>
      <c r="E185">
        <v>40.3088889</v>
      </c>
      <c r="F185">
        <v>-121.4266667</v>
      </c>
      <c r="G185" t="s">
        <v>692</v>
      </c>
      <c r="I185" t="s">
        <v>505</v>
      </c>
      <c r="J185">
        <f>HYPERLINK("http://maps.google.com/maps?z=10&amp;t=m&amp;q=loc:40.3088889+-121.4266667", 333)</f>
        <v>0</v>
      </c>
      <c r="K185">
        <v>6</v>
      </c>
      <c r="L185">
        <v>1</v>
      </c>
      <c r="M185">
        <v>0</v>
      </c>
      <c r="N185">
        <v>1</v>
      </c>
      <c r="O185">
        <v>1</v>
      </c>
    </row>
    <row r="186" spans="1:15">
      <c r="A186" s="1" t="s">
        <v>198</v>
      </c>
      <c r="B186" t="s">
        <v>505</v>
      </c>
      <c r="C186" t="s">
        <v>510</v>
      </c>
      <c r="D186">
        <f>HYPERLINK("http://www.reserveamerica.com/camping/half-moon-bay-sb/r/facilityDetails.do?contractCode=CA&amp;parkId=120039", "HALF MOON BAY SB")</f>
        <v>0</v>
      </c>
      <c r="E186">
        <v>37.4597222</v>
      </c>
      <c r="F186">
        <v>-122.4441667</v>
      </c>
      <c r="G186" t="s">
        <v>693</v>
      </c>
      <c r="I186" t="s">
        <v>505</v>
      </c>
      <c r="J186">
        <f>HYPERLINK("http://maps.google.com/maps?z=10&amp;t=m&amp;q=loc:37.4597222+-122.4441667", 49)</f>
        <v>0</v>
      </c>
      <c r="K186">
        <v>287</v>
      </c>
      <c r="L186">
        <v>0</v>
      </c>
      <c r="M186">
        <v>0</v>
      </c>
      <c r="N186">
        <v>0</v>
      </c>
      <c r="O186">
        <v>0</v>
      </c>
    </row>
    <row r="187" spans="1:15">
      <c r="A187" s="1" t="s">
        <v>199</v>
      </c>
      <c r="B187" t="s">
        <v>504</v>
      </c>
      <c r="C187" t="s">
        <v>509</v>
      </c>
      <c r="D187">
        <f>HYPERLINK("http://www.reserveamerica.com/camping/hallsted/r/facilityDetails.do?contractCode=NRSO&amp;parkId=70560", "HALLSTED")</f>
        <v>0</v>
      </c>
      <c r="E187">
        <v>40.0175</v>
      </c>
      <c r="F187">
        <v>-121.0730556</v>
      </c>
      <c r="G187" t="s">
        <v>694</v>
      </c>
      <c r="H187" t="s">
        <v>997</v>
      </c>
      <c r="I187" t="s">
        <v>505</v>
      </c>
      <c r="J187">
        <f>HYPERLINK("http://maps.google.com/maps?z=10&amp;t=m&amp;q=loc:40.0175+-121.0730556", 307)</f>
        <v>0</v>
      </c>
      <c r="K187">
        <v>13</v>
      </c>
      <c r="L187">
        <v>0</v>
      </c>
      <c r="M187">
        <v>0</v>
      </c>
      <c r="N187">
        <v>0</v>
      </c>
      <c r="O187">
        <v>0</v>
      </c>
    </row>
    <row r="188" spans="1:15">
      <c r="A188" s="1" t="s">
        <v>200</v>
      </c>
      <c r="B188" t="s">
        <v>504</v>
      </c>
      <c r="C188" t="s">
        <v>509</v>
      </c>
      <c r="D188">
        <f>HYPERLINK("http://www.reserveamerica.com/camping/hampshire-rocks/r/facilityDetails.do?contractCode=NRSO&amp;parkId=70553", "HAMPSHIRE ROCKS")</f>
        <v>0</v>
      </c>
      <c r="E188">
        <v>39.3105556</v>
      </c>
      <c r="F188">
        <v>-120.4966667</v>
      </c>
      <c r="G188" t="s">
        <v>695</v>
      </c>
      <c r="I188" t="s">
        <v>505</v>
      </c>
      <c r="J188">
        <f>HYPERLINK("http://maps.google.com/maps?z=10&amp;t=m&amp;q=loc:39.3105556+-120.4966667", 252)</f>
        <v>0</v>
      </c>
      <c r="K188">
        <v>28</v>
      </c>
      <c r="L188">
        <v>22</v>
      </c>
      <c r="M188">
        <v>0</v>
      </c>
      <c r="N188">
        <v>22</v>
      </c>
      <c r="O188">
        <v>22</v>
      </c>
    </row>
    <row r="189" spans="1:15">
      <c r="A189" s="1" t="s">
        <v>201</v>
      </c>
      <c r="B189" t="s">
        <v>504</v>
      </c>
      <c r="C189" t="s">
        <v>509</v>
      </c>
      <c r="D189">
        <f>HYPERLINK("http://www.reserveamerica.com/camping/hanna-flat/r/facilityDetails.do?contractCode=NRSO&amp;parkId=70532", "HANNA FLAT")</f>
        <v>0</v>
      </c>
      <c r="E189">
        <v>34.2877778</v>
      </c>
      <c r="F189">
        <v>-116.9744444</v>
      </c>
      <c r="G189" t="s">
        <v>696</v>
      </c>
      <c r="I189" t="s">
        <v>505</v>
      </c>
      <c r="J189">
        <f>HYPERLINK("http://maps.google.com/maps?z=10&amp;t=m&amp;q=loc:34.2877778+-116.9744444", 558)</f>
        <v>0</v>
      </c>
      <c r="K189">
        <v>125</v>
      </c>
      <c r="L189">
        <v>26</v>
      </c>
      <c r="M189">
        <v>0</v>
      </c>
      <c r="N189">
        <v>26</v>
      </c>
      <c r="O189">
        <v>26</v>
      </c>
    </row>
    <row r="190" spans="1:15">
      <c r="A190" s="1" t="s">
        <v>202</v>
      </c>
      <c r="B190" t="s">
        <v>504</v>
      </c>
      <c r="C190" t="s">
        <v>509</v>
      </c>
      <c r="D190">
        <f>HYPERLINK("http://www.reserveamerica.com/camping/hat-creek/r/facilityDetails.do?contractCode=NRSO&amp;parkId=70530", "HAT CREEK")</f>
        <v>0</v>
      </c>
      <c r="E190">
        <v>40.6677778</v>
      </c>
      <c r="F190">
        <v>-121.4455556</v>
      </c>
      <c r="G190" t="s">
        <v>697</v>
      </c>
      <c r="I190" t="s">
        <v>505</v>
      </c>
      <c r="J190">
        <f>HYPERLINK("http://maps.google.com/maps?z=10&amp;t=m&amp;q=loc:40.6677778+-121.4455556", 373)</f>
        <v>0</v>
      </c>
      <c r="K190">
        <v>5</v>
      </c>
      <c r="L190">
        <v>3</v>
      </c>
      <c r="M190">
        <v>0</v>
      </c>
      <c r="N190">
        <v>3</v>
      </c>
      <c r="O190">
        <v>3</v>
      </c>
    </row>
    <row r="191" spans="1:15">
      <c r="A191" s="1" t="s">
        <v>203</v>
      </c>
      <c r="B191" t="s">
        <v>504</v>
      </c>
      <c r="C191" t="s">
        <v>509</v>
      </c>
      <c r="D191">
        <f>HYPERLINK("http://www.reserveamerica.com/camping/hayward-flat/r/facilityDetails.do?contractCode=NRSO&amp;parkId=70515", "HAYWARD FLAT")</f>
        <v>0</v>
      </c>
      <c r="E191">
        <v>40.8744444</v>
      </c>
      <c r="F191">
        <v>-122.7691667</v>
      </c>
      <c r="G191" t="s">
        <v>698</v>
      </c>
      <c r="I191" t="s">
        <v>505</v>
      </c>
      <c r="J191">
        <f>HYPERLINK("http://maps.google.com/maps?z=10&amp;t=m&amp;q=loc:40.8744444+-122.7691667", 401)</f>
        <v>0</v>
      </c>
      <c r="K191">
        <v>349</v>
      </c>
      <c r="L191">
        <v>0</v>
      </c>
      <c r="M191">
        <v>0</v>
      </c>
      <c r="N191">
        <v>0</v>
      </c>
      <c r="O191">
        <v>0</v>
      </c>
    </row>
    <row r="192" spans="1:15">
      <c r="A192" s="1" t="s">
        <v>204</v>
      </c>
      <c r="B192" t="s">
        <v>504</v>
      </c>
      <c r="C192" t="s">
        <v>509</v>
      </c>
      <c r="D192">
        <f>HYPERLINK("http://www.reserveamerica.com/camping/headquarters/r/facilityDetails.do?contractCode=NRSO&amp;parkId=71599", "HEADQUARTERS")</f>
        <v>0</v>
      </c>
      <c r="E192">
        <v>35.7958333</v>
      </c>
      <c r="F192">
        <v>-118.4511111</v>
      </c>
      <c r="G192" t="s">
        <v>699</v>
      </c>
      <c r="I192" t="s">
        <v>505</v>
      </c>
      <c r="J192">
        <f>HYPERLINK("http://maps.google.com/maps?z=10&amp;t=m&amp;q=loc:35.7958333+-118.4511111", 352)</f>
        <v>0</v>
      </c>
      <c r="K192">
        <v>117</v>
      </c>
      <c r="L192">
        <v>11</v>
      </c>
      <c r="M192">
        <v>0</v>
      </c>
      <c r="N192">
        <v>11</v>
      </c>
      <c r="O192">
        <v>11</v>
      </c>
    </row>
    <row r="193" spans="1:15">
      <c r="A193" s="1" t="s">
        <v>205</v>
      </c>
      <c r="B193" t="s">
        <v>504</v>
      </c>
      <c r="C193" t="s">
        <v>509</v>
      </c>
      <c r="D193">
        <f>HYPERLINK("http://www.reserveamerica.com/camping/heart-bar-campground/r/facilityDetails.do?contractCode=NRSO&amp;parkId=70603", "HEART BAR CAMPGROUND")</f>
        <v>0</v>
      </c>
      <c r="E193">
        <v>34.1586111</v>
      </c>
      <c r="F193">
        <v>-116.7858333</v>
      </c>
      <c r="G193" t="s">
        <v>700</v>
      </c>
      <c r="I193" t="s">
        <v>505</v>
      </c>
      <c r="J193">
        <f>HYPERLINK("http://maps.google.com/maps?z=10&amp;t=m&amp;q=loc:34.1586111+-116.7858333", 580)</f>
        <v>0</v>
      </c>
      <c r="K193">
        <v>125</v>
      </c>
      <c r="L193">
        <v>50</v>
      </c>
      <c r="M193">
        <v>2</v>
      </c>
      <c r="N193">
        <v>48</v>
      </c>
      <c r="O193">
        <v>48</v>
      </c>
    </row>
    <row r="194" spans="1:15">
      <c r="A194" s="1" t="s">
        <v>206</v>
      </c>
      <c r="B194" t="s">
        <v>504</v>
      </c>
      <c r="C194" t="s">
        <v>509</v>
      </c>
      <c r="D194">
        <f>HYPERLINK("http://www.reserveamerica.com/camping/heart-bar-equestrian/r/facilityDetails.do?contractCode=NRSO&amp;parkId=70278", "HEART BAR EQUESTRIAN")</f>
        <v>0</v>
      </c>
      <c r="E194">
        <v>34.1586111</v>
      </c>
      <c r="F194">
        <v>-116.7858333</v>
      </c>
      <c r="G194" t="s">
        <v>701</v>
      </c>
      <c r="I194" t="s">
        <v>505</v>
      </c>
      <c r="J194">
        <f>HYPERLINK("http://maps.google.com/maps?z=10&amp;t=m&amp;q=loc:34.1586111+-116.7858333", 580)</f>
        <v>0</v>
      </c>
      <c r="K194">
        <v>125</v>
      </c>
      <c r="L194">
        <v>1</v>
      </c>
      <c r="M194">
        <v>0</v>
      </c>
      <c r="N194">
        <v>1</v>
      </c>
      <c r="O194">
        <v>1</v>
      </c>
    </row>
    <row r="195" spans="1:15">
      <c r="A195" s="1" t="s">
        <v>207</v>
      </c>
      <c r="B195" t="s">
        <v>505</v>
      </c>
      <c r="C195" t="s">
        <v>510</v>
      </c>
      <c r="D195">
        <f>HYPERLINK("http://www.reserveamerica.com/camping/henry-cowell-redwoods-sp/r/facilityDetails.do?contractCode=CA&amp;parkId=120041", "HENRY COWELL REDWOODS SP")</f>
        <v>0</v>
      </c>
      <c r="E195">
        <v>37.0236111</v>
      </c>
      <c r="F195">
        <v>-122.0519444</v>
      </c>
      <c r="G195" t="s">
        <v>702</v>
      </c>
      <c r="I195" t="s">
        <v>505</v>
      </c>
      <c r="J195">
        <f>HYPERLINK("http://maps.google.com/maps?z=10&amp;t=m&amp;q=loc:37.0236111+-122.0519444", 36)</f>
        <v>0</v>
      </c>
      <c r="K195">
        <v>200</v>
      </c>
      <c r="L195">
        <v>0</v>
      </c>
      <c r="M195">
        <v>0</v>
      </c>
      <c r="N195">
        <v>0</v>
      </c>
      <c r="O195">
        <v>0</v>
      </c>
    </row>
    <row r="196" spans="1:15">
      <c r="A196" s="1" t="s">
        <v>208</v>
      </c>
      <c r="B196" t="s">
        <v>505</v>
      </c>
      <c r="C196" t="s">
        <v>510</v>
      </c>
      <c r="D196">
        <f>HYPERLINK("http://www.reserveamerica.com/camping/henry-w-coe-sp/r/facilityDetails.do?contractCode=CA&amp;parkId=120109", "HENRY W COE SP")</f>
        <v>0</v>
      </c>
      <c r="E196">
        <v>37.18</v>
      </c>
      <c r="F196">
        <v>-121.55</v>
      </c>
      <c r="G196" t="s">
        <v>703</v>
      </c>
      <c r="I196" t="s">
        <v>505</v>
      </c>
      <c r="J196">
        <f>HYPERLINK("http://maps.google.com/maps?z=10&amp;t=m&amp;q=loc:37.18+-121.55", 35)</f>
        <v>0</v>
      </c>
      <c r="K196">
        <v>117</v>
      </c>
      <c r="L196">
        <v>5</v>
      </c>
      <c r="M196">
        <v>1</v>
      </c>
      <c r="N196">
        <v>4</v>
      </c>
      <c r="O196">
        <v>4</v>
      </c>
    </row>
    <row r="197" spans="1:15">
      <c r="A197" s="1" t="s">
        <v>209</v>
      </c>
      <c r="B197" t="s">
        <v>507</v>
      </c>
      <c r="C197" t="s">
        <v>511</v>
      </c>
      <c r="D197">
        <f>HYPERLINK("http://www.reserveamerica.com/camping/hermit-gulch/r/facilityDetails.do?contractCode=CTLN&amp;parkId=940012", "HERMIT GULCH")</f>
        <v>0</v>
      </c>
      <c r="E197">
        <v>33.3311111</v>
      </c>
      <c r="F197">
        <v>-118.3488889</v>
      </c>
      <c r="G197" t="s">
        <v>704</v>
      </c>
      <c r="I197" t="s">
        <v>505</v>
      </c>
      <c r="J197">
        <f>HYPERLINK("http://maps.google.com/maps?z=10&amp;t=m&amp;q=loc:33.3311111+-118.3488889", 548)</f>
        <v>0</v>
      </c>
      <c r="K197">
        <v>142</v>
      </c>
      <c r="L197">
        <v>32</v>
      </c>
      <c r="M197">
        <v>0</v>
      </c>
      <c r="N197">
        <v>32</v>
      </c>
      <c r="O197">
        <v>32</v>
      </c>
    </row>
    <row r="198" spans="1:15">
      <c r="A198" s="1" t="s">
        <v>210</v>
      </c>
      <c r="B198" t="s">
        <v>504</v>
      </c>
      <c r="C198" t="s">
        <v>509</v>
      </c>
      <c r="D198">
        <f>HYPERLINK("http://www.reserveamerica.com/camping/hidden-view/r/facilityDetails.do?contractCode=NRSO&amp;parkId=73203", "HIDDEN VIEW")</f>
        <v>0</v>
      </c>
      <c r="E198">
        <v>37.1247222</v>
      </c>
      <c r="F198">
        <v>-119.8972222</v>
      </c>
      <c r="G198" t="s">
        <v>705</v>
      </c>
      <c r="I198" t="s">
        <v>505</v>
      </c>
      <c r="J198">
        <f>HYPERLINK("http://maps.google.com/maps?z=10&amp;t=m&amp;q=loc:37.1247222+-119.8972222", 179)</f>
        <v>0</v>
      </c>
      <c r="K198">
        <v>96</v>
      </c>
      <c r="L198">
        <v>52</v>
      </c>
      <c r="M198">
        <v>1</v>
      </c>
      <c r="N198">
        <v>51</v>
      </c>
      <c r="O198">
        <v>51</v>
      </c>
    </row>
    <row r="199" spans="1:15">
      <c r="A199" s="1" t="s">
        <v>211</v>
      </c>
      <c r="B199" t="s">
        <v>504</v>
      </c>
      <c r="C199" t="s">
        <v>509</v>
      </c>
      <c r="D199">
        <f>HYPERLINK("http://www.reserveamerica.com/camping/hirz-bay/r/facilityDetails.do?contractCode=NRSO&amp;parkId=71523", "HIRZ BAY")</f>
        <v>0</v>
      </c>
      <c r="E199">
        <v>40.8666667</v>
      </c>
      <c r="F199">
        <v>-122.2530556</v>
      </c>
      <c r="G199" t="s">
        <v>706</v>
      </c>
      <c r="I199" t="s">
        <v>505</v>
      </c>
      <c r="J199">
        <f>HYPERLINK("http://maps.google.com/maps?z=10&amp;t=m&amp;q=loc:40.8666667+-122.2530556", 394)</f>
        <v>0</v>
      </c>
      <c r="K199">
        <v>355</v>
      </c>
      <c r="L199">
        <v>0</v>
      </c>
      <c r="M199">
        <v>0</v>
      </c>
      <c r="N199">
        <v>0</v>
      </c>
      <c r="O199">
        <v>0</v>
      </c>
    </row>
    <row r="200" spans="1:15">
      <c r="A200" s="1" t="s">
        <v>212</v>
      </c>
      <c r="B200" t="s">
        <v>504</v>
      </c>
      <c r="C200" t="s">
        <v>509</v>
      </c>
      <c r="D200">
        <f>HYPERLINK("http://www.reserveamerica.com/camping/hirz-bay-group-1/r/facilityDetails.do?contractCode=NRSO&amp;parkId=71927", "HIRZ BAY GROUP 1")</f>
        <v>0</v>
      </c>
      <c r="E200">
        <v>40.8666667</v>
      </c>
      <c r="F200">
        <v>-122.2530556</v>
      </c>
      <c r="G200" t="s">
        <v>707</v>
      </c>
      <c r="I200" t="s">
        <v>505</v>
      </c>
      <c r="J200">
        <f>HYPERLINK("http://maps.google.com/maps?z=10&amp;t=m&amp;q=loc:40.8666667+-122.2530556", 394)</f>
        <v>0</v>
      </c>
      <c r="K200">
        <v>355</v>
      </c>
      <c r="L200">
        <v>1</v>
      </c>
      <c r="M200">
        <v>0</v>
      </c>
      <c r="N200">
        <v>1</v>
      </c>
      <c r="O200">
        <v>1</v>
      </c>
    </row>
    <row r="201" spans="1:15">
      <c r="A201" s="1" t="s">
        <v>213</v>
      </c>
      <c r="B201" t="s">
        <v>504</v>
      </c>
      <c r="C201" t="s">
        <v>509</v>
      </c>
      <c r="D201">
        <f>HYPERLINK("http://www.reserveamerica.com/camping/hirz-bay-group-2/r/facilityDetails.do?contractCode=NRSO&amp;parkId=71928", "HIRZ BAY GROUP 2")</f>
        <v>0</v>
      </c>
      <c r="E201">
        <v>40.8666667</v>
      </c>
      <c r="F201">
        <v>-122.2530556</v>
      </c>
      <c r="G201" t="s">
        <v>708</v>
      </c>
      <c r="I201" t="s">
        <v>505</v>
      </c>
      <c r="J201">
        <f>HYPERLINK("http://maps.google.com/maps?z=10&amp;t=m&amp;q=loc:40.8666667+-122.2530556", 394)</f>
        <v>0</v>
      </c>
      <c r="K201">
        <v>355</v>
      </c>
      <c r="L201">
        <v>1</v>
      </c>
      <c r="M201">
        <v>0</v>
      </c>
      <c r="N201">
        <v>1</v>
      </c>
      <c r="O201">
        <v>1</v>
      </c>
    </row>
    <row r="202" spans="1:15">
      <c r="A202" s="1" t="s">
        <v>214</v>
      </c>
      <c r="B202" t="s">
        <v>504</v>
      </c>
      <c r="C202" t="s">
        <v>509</v>
      </c>
      <c r="D202">
        <f>HYPERLINK("http://www.reserveamerica.com/camping/hodgdon-meadow/r/facilityDetails.do?contractCode=NRSO&amp;parkId=70929", "HODGDON MEADOW")</f>
        <v>0</v>
      </c>
      <c r="E202">
        <v>37.7988889</v>
      </c>
      <c r="F202">
        <v>-119.8658333</v>
      </c>
      <c r="G202" t="s">
        <v>709</v>
      </c>
      <c r="I202" t="s">
        <v>505</v>
      </c>
      <c r="J202">
        <f>HYPERLINK("http://maps.google.com/maps?z=10&amp;t=m&amp;q=loc:37.7988889+-119.8658333", 187)</f>
        <v>0</v>
      </c>
      <c r="K202">
        <v>73</v>
      </c>
      <c r="L202">
        <v>0</v>
      </c>
      <c r="M202">
        <v>0</v>
      </c>
      <c r="N202">
        <v>0</v>
      </c>
      <c r="O202">
        <v>0</v>
      </c>
    </row>
    <row r="203" spans="1:15">
      <c r="A203" s="1" t="s">
        <v>215</v>
      </c>
      <c r="B203" t="s">
        <v>504</v>
      </c>
      <c r="C203" t="s">
        <v>509</v>
      </c>
      <c r="D203">
        <f>HYPERLINK("http://www.reserveamerica.com/camping/holey-meadow/r/facilityDetails.do?contractCode=NRSO&amp;parkId=71606", "HOLEY MEADOW")</f>
        <v>0</v>
      </c>
      <c r="E203">
        <v>35.9541667</v>
      </c>
      <c r="F203">
        <v>-118.6180556</v>
      </c>
      <c r="G203" t="s">
        <v>710</v>
      </c>
      <c r="I203" t="s">
        <v>505</v>
      </c>
      <c r="J203">
        <f>HYPERLINK("http://maps.google.com/maps?z=10&amp;t=m&amp;q=loc:35.9541667+-118.6180556", 330)</f>
        <v>0</v>
      </c>
      <c r="K203">
        <v>116</v>
      </c>
      <c r="L203">
        <v>9</v>
      </c>
      <c r="M203">
        <v>0</v>
      </c>
      <c r="N203">
        <v>9</v>
      </c>
      <c r="O203">
        <v>9</v>
      </c>
    </row>
    <row r="204" spans="1:15">
      <c r="A204" s="1" t="s">
        <v>216</v>
      </c>
      <c r="B204" t="s">
        <v>504</v>
      </c>
      <c r="C204" t="s">
        <v>509</v>
      </c>
      <c r="D204">
        <f>HYPERLINK("http://www.reserveamerica.com/camping/holiday-group-campground/r/facilityDetails.do?contractCode=NRSO&amp;parkId=70687", "HOLIDAY GROUP CAMPGROUND")</f>
        <v>0</v>
      </c>
      <c r="E204">
        <v>34.5172222</v>
      </c>
      <c r="F204">
        <v>-119.2769444</v>
      </c>
      <c r="G204" t="s">
        <v>711</v>
      </c>
      <c r="I204" t="s">
        <v>505</v>
      </c>
      <c r="J204">
        <f>HYPERLINK("http://maps.google.com/maps?z=10&amp;t=m&amp;q=loc:34.5172222+-119.2769444", 391)</f>
        <v>0</v>
      </c>
      <c r="K204">
        <v>142</v>
      </c>
      <c r="L204">
        <v>0</v>
      </c>
      <c r="M204">
        <v>0</v>
      </c>
      <c r="N204">
        <v>0</v>
      </c>
      <c r="O204">
        <v>0</v>
      </c>
    </row>
    <row r="205" spans="1:15">
      <c r="A205" s="1" t="s">
        <v>217</v>
      </c>
      <c r="B205" t="s">
        <v>504</v>
      </c>
      <c r="C205" t="s">
        <v>509</v>
      </c>
      <c r="D205">
        <f>HYPERLINK("http://www.reserveamerica.com/camping/honeymoon-flat/r/facilityDetails.do?contractCode=NRSO&amp;parkId=70280", "HONEYMOON FLAT")</f>
        <v>0</v>
      </c>
      <c r="E205">
        <v>38.2013889</v>
      </c>
      <c r="F205">
        <v>-119.32</v>
      </c>
      <c r="G205" t="s">
        <v>712</v>
      </c>
      <c r="I205" t="s">
        <v>505</v>
      </c>
      <c r="J205">
        <f>HYPERLINK("http://maps.google.com/maps?z=10&amp;t=m&amp;q=loc:38.2013889+-119.32", 247)</f>
        <v>0</v>
      </c>
      <c r="K205">
        <v>66</v>
      </c>
      <c r="L205">
        <v>0</v>
      </c>
      <c r="M205">
        <v>0</v>
      </c>
      <c r="N205">
        <v>0</v>
      </c>
      <c r="O205">
        <v>0</v>
      </c>
    </row>
    <row r="206" spans="1:15">
      <c r="A206" s="1" t="s">
        <v>218</v>
      </c>
      <c r="B206" t="s">
        <v>504</v>
      </c>
      <c r="C206" t="s">
        <v>509</v>
      </c>
      <c r="D206">
        <f>HYPERLINK("http://www.reserveamerica.com/camping/hope-valley/r/facilityDetails.do?contractCode=NRSO&amp;parkId=70458", "HOPE VALLEY")</f>
        <v>0</v>
      </c>
      <c r="E206">
        <v>38.8972778</v>
      </c>
      <c r="F206">
        <v>-119.930125</v>
      </c>
      <c r="G206" t="s">
        <v>713</v>
      </c>
      <c r="H206" t="s">
        <v>997</v>
      </c>
      <c r="I206" t="s">
        <v>505</v>
      </c>
      <c r="J206">
        <f>HYPERLINK("http://maps.google.com/maps?z=10&amp;t=m&amp;q=loc:38.8972778+-119.930125", 245)</f>
        <v>0</v>
      </c>
      <c r="K206">
        <v>44</v>
      </c>
      <c r="L206">
        <v>0</v>
      </c>
      <c r="M206">
        <v>0</v>
      </c>
      <c r="N206">
        <v>0</v>
      </c>
      <c r="O206">
        <v>0</v>
      </c>
    </row>
    <row r="207" spans="1:15">
      <c r="A207" s="1" t="s">
        <v>219</v>
      </c>
      <c r="B207" t="s">
        <v>504</v>
      </c>
      <c r="C207" t="s">
        <v>509</v>
      </c>
      <c r="D207">
        <f>HYPERLINK("http://www.reserveamerica.com/camping/horse-creek/r/facilityDetails.do?contractCode=NRSO&amp;parkId=73511", "HORSE CREEK")</f>
        <v>0</v>
      </c>
      <c r="E207">
        <v>36.3905556</v>
      </c>
      <c r="F207">
        <v>-118.9547222</v>
      </c>
      <c r="G207" t="s">
        <v>714</v>
      </c>
      <c r="I207" t="s">
        <v>505</v>
      </c>
      <c r="J207">
        <f>HYPERLINK("http://maps.google.com/maps?z=10&amp;t=m&amp;q=loc:36.3905556+-118.9547222", 282)</f>
        <v>0</v>
      </c>
      <c r="K207">
        <v>110</v>
      </c>
      <c r="L207">
        <v>69</v>
      </c>
      <c r="M207">
        <v>1</v>
      </c>
      <c r="N207">
        <v>68</v>
      </c>
      <c r="O207">
        <v>68</v>
      </c>
    </row>
    <row r="208" spans="1:15">
      <c r="A208" s="1" t="s">
        <v>220</v>
      </c>
      <c r="B208" t="s">
        <v>504</v>
      </c>
      <c r="C208" t="s">
        <v>509</v>
      </c>
      <c r="D208">
        <f>HYPERLINK("http://www.reserveamerica.com/camping/horse-heaven-group/r/facilityDetails.do?contractCode=NRSO&amp;parkId=70149", "HORSE HEAVEN GROUP")</f>
        <v>0</v>
      </c>
      <c r="E208">
        <v>32.8875</v>
      </c>
      <c r="F208">
        <v>-116.4408333</v>
      </c>
      <c r="G208" t="s">
        <v>715</v>
      </c>
      <c r="I208" t="s">
        <v>505</v>
      </c>
      <c r="J208">
        <f>HYPERLINK("http://maps.google.com/maps?z=10&amp;t=m&amp;q=loc:32.8875+-116.4408333", 699)</f>
        <v>0</v>
      </c>
      <c r="K208">
        <v>133</v>
      </c>
      <c r="L208">
        <v>0</v>
      </c>
      <c r="M208">
        <v>0</v>
      </c>
      <c r="N208">
        <v>0</v>
      </c>
      <c r="O208">
        <v>0</v>
      </c>
    </row>
    <row r="209" spans="1:15">
      <c r="A209" s="1" t="s">
        <v>221</v>
      </c>
      <c r="B209" t="s">
        <v>504</v>
      </c>
      <c r="C209" t="s">
        <v>509</v>
      </c>
      <c r="D209">
        <f>HYPERLINK("http://www.reserveamerica.com/camping/hospital-flat/r/facilityDetails.do?contractCode=NRSO&amp;parkId=71595", "HOSPITAL FLAT")</f>
        <v>0</v>
      </c>
      <c r="E209">
        <v>35.8286111</v>
      </c>
      <c r="F209">
        <v>-118.4577778</v>
      </c>
      <c r="G209" t="s">
        <v>716</v>
      </c>
      <c r="I209" t="s">
        <v>505</v>
      </c>
      <c r="J209">
        <f>HYPERLINK("http://maps.google.com/maps?z=10&amp;t=m&amp;q=loc:35.8286111+-118.4577778", 349)</f>
        <v>0</v>
      </c>
      <c r="K209">
        <v>117</v>
      </c>
      <c r="L209">
        <v>0</v>
      </c>
      <c r="M209">
        <v>0</v>
      </c>
      <c r="N209">
        <v>0</v>
      </c>
      <c r="O209">
        <v>0</v>
      </c>
    </row>
    <row r="210" spans="1:15">
      <c r="A210" s="1" t="s">
        <v>222</v>
      </c>
      <c r="B210" t="s">
        <v>505</v>
      </c>
      <c r="C210" t="s">
        <v>510</v>
      </c>
      <c r="D210">
        <f>HYPERLINK("http://www.reserveamerica.com/camping/humboldt-redwoods-sp/r/facilityDetails.do?contractCode=CA&amp;parkId=120042", "HUMBOLDT REDWOODS SP")</f>
        <v>0</v>
      </c>
      <c r="E210">
        <v>40.3144444</v>
      </c>
      <c r="F210">
        <v>-123.915</v>
      </c>
      <c r="G210" t="s">
        <v>717</v>
      </c>
      <c r="I210" t="s">
        <v>505</v>
      </c>
      <c r="J210">
        <f>HYPERLINK("http://maps.google.com/maps?z=10&amp;t=m&amp;q=loc:40.3144444+-123.915", 374)</f>
        <v>0</v>
      </c>
      <c r="K210">
        <v>332</v>
      </c>
      <c r="L210">
        <v>17</v>
      </c>
      <c r="M210">
        <v>2</v>
      </c>
      <c r="N210">
        <v>15</v>
      </c>
      <c r="O210">
        <v>15</v>
      </c>
    </row>
    <row r="211" spans="1:15">
      <c r="A211" s="1" t="s">
        <v>223</v>
      </c>
      <c r="B211" t="s">
        <v>504</v>
      </c>
      <c r="C211" t="s">
        <v>509</v>
      </c>
      <c r="D211">
        <f>HYPERLINK("http://www.reserveamerica.com/camping/hume-lake/r/facilityDetails.do?contractCode=NRSO&amp;parkId=71547", "HUME LAKE")</f>
        <v>0</v>
      </c>
      <c r="E211">
        <v>36.7947222</v>
      </c>
      <c r="F211">
        <v>-118.9047222</v>
      </c>
      <c r="G211" t="s">
        <v>718</v>
      </c>
      <c r="I211" t="s">
        <v>505</v>
      </c>
      <c r="J211">
        <f>HYPERLINK("http://maps.google.com/maps?z=10&amp;t=m&amp;q=loc:36.7947222+-118.9047222", 272)</f>
        <v>0</v>
      </c>
      <c r="K211">
        <v>101</v>
      </c>
      <c r="L211">
        <v>28</v>
      </c>
      <c r="M211">
        <v>0</v>
      </c>
      <c r="N211">
        <v>28</v>
      </c>
      <c r="O211">
        <v>28</v>
      </c>
    </row>
    <row r="212" spans="1:15">
      <c r="A212" s="1" t="s">
        <v>224</v>
      </c>
      <c r="B212" t="s">
        <v>504</v>
      </c>
      <c r="C212" t="s">
        <v>509</v>
      </c>
      <c r="D212">
        <f>HYPERLINK("http://www.reserveamerica.com/camping/hungry-gulch/r/facilityDetails.do?contractCode=NRSO&amp;parkId=71568", "HUNGRY GULCH")</f>
        <v>0</v>
      </c>
      <c r="E212">
        <v>35.6719444</v>
      </c>
      <c r="F212">
        <v>-118.4722222</v>
      </c>
      <c r="G212" t="s">
        <v>719</v>
      </c>
      <c r="I212" t="s">
        <v>505</v>
      </c>
      <c r="J212">
        <f>HYPERLINK("http://maps.google.com/maps?z=10&amp;t=m&amp;q=loc:35.6719444+-118.4722222", 357)</f>
        <v>0</v>
      </c>
      <c r="K212">
        <v>119</v>
      </c>
      <c r="L212">
        <v>0</v>
      </c>
      <c r="M212">
        <v>0</v>
      </c>
      <c r="N212">
        <v>0</v>
      </c>
      <c r="O212">
        <v>0</v>
      </c>
    </row>
    <row r="213" spans="1:15">
      <c r="A213" s="1" t="s">
        <v>225</v>
      </c>
      <c r="B213" t="s">
        <v>504</v>
      </c>
      <c r="C213" t="s">
        <v>509</v>
      </c>
      <c r="D213">
        <f>HYPERLINK("http://www.reserveamerica.com/camping/hutchins/r/facilityDetails.do?contractCode=NRSO&amp;parkId=70561", "HUTCHINS")</f>
        <v>0</v>
      </c>
      <c r="E213">
        <v>39.8830556</v>
      </c>
      <c r="F213">
        <v>-121.1991667</v>
      </c>
      <c r="G213" t="s">
        <v>720</v>
      </c>
      <c r="I213" t="s">
        <v>505</v>
      </c>
      <c r="J213">
        <f>HYPERLINK("http://maps.google.com/maps?z=10&amp;t=m&amp;q=loc:39.8830556+-121.1991667", 290)</f>
        <v>0</v>
      </c>
      <c r="K213">
        <v>11</v>
      </c>
      <c r="L213">
        <v>0</v>
      </c>
      <c r="M213">
        <v>0</v>
      </c>
      <c r="N213">
        <v>0</v>
      </c>
      <c r="O213">
        <v>0</v>
      </c>
    </row>
    <row r="214" spans="1:15">
      <c r="A214" s="1" t="s">
        <v>226</v>
      </c>
      <c r="B214" t="s">
        <v>504</v>
      </c>
      <c r="C214" t="s">
        <v>509</v>
      </c>
      <c r="D214">
        <f>HYPERLINK("http://www.reserveamerica.com/camping/ice-house/r/facilityDetails.do?contractCode=NRSO&amp;parkId=70283", "ICE HOUSE")</f>
        <v>0</v>
      </c>
      <c r="E214">
        <v>38.8233333</v>
      </c>
      <c r="F214">
        <v>-120.3588889</v>
      </c>
      <c r="G214" t="s">
        <v>721</v>
      </c>
      <c r="I214" t="s">
        <v>505</v>
      </c>
      <c r="J214">
        <f>HYPERLINK("http://maps.google.com/maps?z=10&amp;t=m&amp;q=loc:38.8233333+-120.3588889", 214)</f>
        <v>0</v>
      </c>
      <c r="K214">
        <v>38</v>
      </c>
      <c r="L214">
        <v>0</v>
      </c>
      <c r="M214">
        <v>0</v>
      </c>
      <c r="N214">
        <v>0</v>
      </c>
      <c r="O214">
        <v>0</v>
      </c>
    </row>
    <row r="215" spans="1:15">
      <c r="A215" s="1" t="s">
        <v>227</v>
      </c>
      <c r="B215" t="s">
        <v>504</v>
      </c>
      <c r="C215" t="s">
        <v>509</v>
      </c>
      <c r="D215">
        <f>HYPERLINK("http://www.reserveamerica.com/camping/indian-cove-campground/r/facilityDetails.do?contractCode=NRSO&amp;parkId=70952", "INDIAN COVE CAMPGROUND")</f>
        <v>0</v>
      </c>
      <c r="E215">
        <v>34.12</v>
      </c>
      <c r="F215">
        <v>-116.1558333</v>
      </c>
      <c r="G215" t="s">
        <v>722</v>
      </c>
      <c r="I215" t="s">
        <v>505</v>
      </c>
      <c r="J215">
        <f>HYPERLINK("http://maps.google.com/maps?z=10&amp;t=m&amp;q=loc:34.12+-116.1558333", 629)</f>
        <v>0</v>
      </c>
      <c r="K215">
        <v>122</v>
      </c>
      <c r="L215">
        <v>0</v>
      </c>
      <c r="M215">
        <v>0</v>
      </c>
      <c r="N215">
        <v>0</v>
      </c>
      <c r="O215">
        <v>0</v>
      </c>
    </row>
    <row r="216" spans="1:15">
      <c r="A216" s="1" t="s">
        <v>228</v>
      </c>
      <c r="B216" t="s">
        <v>505</v>
      </c>
      <c r="C216" t="s">
        <v>510</v>
      </c>
      <c r="D216">
        <f>HYPERLINK("http://www.reserveamerica.com/camping/indian-grinding-rock-shp/r/facilityDetails.do?contractCode=CA&amp;parkId=120043", "INDIAN GRINDING ROCK SHP")</f>
        <v>0</v>
      </c>
      <c r="G216" t="s">
        <v>723</v>
      </c>
      <c r="I216" t="s">
        <v>505</v>
      </c>
      <c r="J216">
        <f>HYPERLINK("http://maps.google.com/maps?z=10&amp;t=m&amp;q=loc:nan+nan", 0)</f>
        <v>0</v>
      </c>
      <c r="K216">
        <v>0</v>
      </c>
      <c r="L216">
        <v>22</v>
      </c>
      <c r="M216">
        <v>0</v>
      </c>
      <c r="N216">
        <v>22</v>
      </c>
      <c r="O216">
        <v>22</v>
      </c>
    </row>
    <row r="217" spans="1:15">
      <c r="A217" s="1" t="s">
        <v>229</v>
      </c>
      <c r="B217" t="s">
        <v>504</v>
      </c>
      <c r="C217" t="s">
        <v>509</v>
      </c>
      <c r="D217">
        <f>HYPERLINK("http://www.reserveamerica.com/camping/indian-scotty-group-site/r/facilityDetails.do?contractCode=NRSO&amp;parkId=75213", "INDIAN SCOTTY GROUP SITE")</f>
        <v>0</v>
      </c>
      <c r="E217">
        <v>41.6322222</v>
      </c>
      <c r="F217">
        <v>-123.0819444</v>
      </c>
      <c r="G217" t="s">
        <v>724</v>
      </c>
      <c r="H217" t="s">
        <v>997</v>
      </c>
      <c r="I217" t="s">
        <v>505</v>
      </c>
      <c r="J217">
        <f>HYPERLINK("http://maps.google.com/maps?z=10&amp;t=m&amp;q=loc:41.6322222+-123.0819444", 488)</f>
        <v>0</v>
      </c>
      <c r="K217">
        <v>348</v>
      </c>
      <c r="L217">
        <v>0</v>
      </c>
      <c r="M217">
        <v>0</v>
      </c>
      <c r="N217">
        <v>0</v>
      </c>
      <c r="O217">
        <v>0</v>
      </c>
    </row>
    <row r="218" spans="1:15">
      <c r="A218" s="1" t="s">
        <v>230</v>
      </c>
      <c r="B218" t="s">
        <v>504</v>
      </c>
      <c r="C218" t="s">
        <v>509</v>
      </c>
      <c r="D218">
        <f>HYPERLINK("http://www.reserveamerica.com/camping/indian-springs/r/facilityDetails.do?contractCode=NRSO&amp;parkId=75486", "INDIAN SPRINGS")</f>
        <v>0</v>
      </c>
      <c r="E218">
        <v>39.3293389</v>
      </c>
      <c r="F218">
        <v>-120.5694306</v>
      </c>
      <c r="G218" t="s">
        <v>725</v>
      </c>
      <c r="I218" t="s">
        <v>505</v>
      </c>
      <c r="J218">
        <f>HYPERLINK("http://maps.google.com/maps?z=10&amp;t=m&amp;q=loc:39.3293389+-120.5694306", 251)</f>
        <v>0</v>
      </c>
      <c r="K218">
        <v>27</v>
      </c>
      <c r="L218">
        <v>26</v>
      </c>
      <c r="M218">
        <v>0</v>
      </c>
      <c r="N218">
        <v>26</v>
      </c>
      <c r="O218">
        <v>26</v>
      </c>
    </row>
    <row r="219" spans="1:15">
      <c r="A219" s="1" t="s">
        <v>231</v>
      </c>
      <c r="B219" t="s">
        <v>504</v>
      </c>
      <c r="C219" t="s">
        <v>509</v>
      </c>
      <c r="D219">
        <f>HYPERLINK("http://www.reserveamerica.com/camping/indian-valley/r/facilityDetails.do?contractCode=NRSO&amp;parkId=75438", "INDIAN VALLEY")</f>
        <v>0</v>
      </c>
      <c r="E219">
        <v>39.5133333</v>
      </c>
      <c r="F219">
        <v>-120.9833333</v>
      </c>
      <c r="G219" t="s">
        <v>726</v>
      </c>
      <c r="I219" t="s">
        <v>505</v>
      </c>
      <c r="J219">
        <f>HYPERLINK("http://maps.google.com/maps?z=10&amp;t=m&amp;q=loc:39.5133333+-120.9833333", 255)</f>
        <v>0</v>
      </c>
      <c r="K219">
        <v>18</v>
      </c>
      <c r="L219">
        <v>3</v>
      </c>
      <c r="M219">
        <v>0</v>
      </c>
      <c r="N219">
        <v>3</v>
      </c>
      <c r="O219">
        <v>3</v>
      </c>
    </row>
    <row r="220" spans="1:15">
      <c r="A220" s="1" t="s">
        <v>232</v>
      </c>
      <c r="B220" t="s">
        <v>504</v>
      </c>
      <c r="C220" t="s">
        <v>509</v>
      </c>
      <c r="D220">
        <f>HYPERLINK("http://www.reserveamerica.com/camping/ironwood-group-camp/r/facilityDetails.do?contractCode=NRSO&amp;parkId=70176", "IRONWOOD GROUP CAMP")</f>
        <v>0</v>
      </c>
      <c r="E220">
        <v>34.3038889</v>
      </c>
      <c r="F220">
        <v>-117.0119444</v>
      </c>
      <c r="G220" t="s">
        <v>727</v>
      </c>
      <c r="I220" t="s">
        <v>505</v>
      </c>
      <c r="J220">
        <f>HYPERLINK("http://maps.google.com/maps?z=10&amp;t=m&amp;q=loc:34.3038889+-117.0119444", 554)</f>
        <v>0</v>
      </c>
      <c r="K220">
        <v>125</v>
      </c>
      <c r="L220">
        <v>1</v>
      </c>
      <c r="M220">
        <v>0</v>
      </c>
      <c r="N220">
        <v>1</v>
      </c>
      <c r="O220">
        <v>1</v>
      </c>
    </row>
    <row r="221" spans="1:15">
      <c r="A221" s="1" t="s">
        <v>233</v>
      </c>
      <c r="B221" t="s">
        <v>504</v>
      </c>
      <c r="C221" t="s">
        <v>509</v>
      </c>
      <c r="D221">
        <f>HYPERLINK("http://www.reserveamerica.com/camping/island-park/r/facilityDetails.do?contractCode=NRSO&amp;parkId=73223", "ISLAND PARK")</f>
        <v>0</v>
      </c>
      <c r="E221">
        <v>36.8646444</v>
      </c>
      <c r="F221">
        <v>-119.3157278</v>
      </c>
      <c r="G221" t="s">
        <v>728</v>
      </c>
      <c r="I221" t="s">
        <v>505</v>
      </c>
      <c r="J221">
        <f>HYPERLINK("http://maps.google.com/maps?z=10&amp;t=m&amp;q=loc:36.8646444+-119.3157278", 235)</f>
        <v>0</v>
      </c>
      <c r="K221">
        <v>101</v>
      </c>
      <c r="L221">
        <v>83</v>
      </c>
      <c r="M221">
        <v>0</v>
      </c>
      <c r="N221">
        <v>83</v>
      </c>
      <c r="O221">
        <v>83</v>
      </c>
    </row>
    <row r="222" spans="1:15">
      <c r="A222" s="1" t="s">
        <v>234</v>
      </c>
      <c r="B222" t="s">
        <v>504</v>
      </c>
      <c r="C222" t="s">
        <v>509</v>
      </c>
      <c r="D222">
        <f>HYPERLINK("http://www.reserveamerica.com/camping/jackass-meadow/r/facilityDetails.do?contractCode=NRSO&amp;parkId=71581", "JACKASS MEADOW")</f>
        <v>0</v>
      </c>
      <c r="E222">
        <v>37.2797222</v>
      </c>
      <c r="F222">
        <v>-118.9636111</v>
      </c>
      <c r="G222" t="s">
        <v>729</v>
      </c>
      <c r="I222" t="s">
        <v>505</v>
      </c>
      <c r="J222">
        <f>HYPERLINK("http://maps.google.com/maps?z=10&amp;t=m&amp;q=loc:37.2797222+-118.9636111", 260)</f>
        <v>0</v>
      </c>
      <c r="K222">
        <v>90</v>
      </c>
      <c r="L222">
        <v>40</v>
      </c>
      <c r="M222">
        <v>0</v>
      </c>
      <c r="N222">
        <v>40</v>
      </c>
      <c r="O222">
        <v>39</v>
      </c>
    </row>
    <row r="223" spans="1:15">
      <c r="A223" s="1" t="s">
        <v>235</v>
      </c>
      <c r="B223" t="s">
        <v>504</v>
      </c>
      <c r="C223" t="s">
        <v>509</v>
      </c>
      <c r="D223">
        <f>HYPERLINK("http://www.reserveamerica.com/camping/jackson-flats/r/facilityDetails.do?contractCode=NRSO&amp;parkId=73582", "JACKSON FLATS")</f>
        <v>0</v>
      </c>
      <c r="E223">
        <v>34.3608333</v>
      </c>
      <c r="F223">
        <v>-117.7991667</v>
      </c>
      <c r="G223" t="s">
        <v>730</v>
      </c>
      <c r="I223" t="s">
        <v>505</v>
      </c>
      <c r="J223">
        <f>HYPERLINK("http://maps.google.com/maps?z=10&amp;t=m&amp;q=loc:34.3608333+-117.7991667", 495)</f>
        <v>0</v>
      </c>
      <c r="K223">
        <v>130</v>
      </c>
      <c r="L223">
        <v>1</v>
      </c>
      <c r="M223">
        <v>0</v>
      </c>
      <c r="N223">
        <v>1</v>
      </c>
      <c r="O223">
        <v>1</v>
      </c>
    </row>
    <row r="224" spans="1:15">
      <c r="A224" s="1" t="s">
        <v>236</v>
      </c>
      <c r="B224" t="s">
        <v>505</v>
      </c>
      <c r="C224" t="s">
        <v>510</v>
      </c>
      <c r="D224">
        <f>HYPERLINK("http://www.reserveamerica.com/camping/jedediah-smith-redwoods-sp/r/facilityDetails.do?contractCode=CA&amp;parkId=120044", "JEDEDIAH SMITH REDWOODS SP")</f>
        <v>0</v>
      </c>
      <c r="E224">
        <v>41.7816667</v>
      </c>
      <c r="F224">
        <v>-124.1008333</v>
      </c>
      <c r="G224" t="s">
        <v>731</v>
      </c>
      <c r="I224" t="s">
        <v>505</v>
      </c>
      <c r="J224">
        <f>HYPERLINK("http://maps.google.com/maps?z=10&amp;t=m&amp;q=loc:41.7816667+-124.1008333", 529)</f>
        <v>0</v>
      </c>
      <c r="K224">
        <v>339</v>
      </c>
      <c r="L224">
        <v>8</v>
      </c>
      <c r="M224">
        <v>3</v>
      </c>
      <c r="N224">
        <v>5</v>
      </c>
      <c r="O224">
        <v>5</v>
      </c>
    </row>
    <row r="225" spans="1:15">
      <c r="A225" s="1" t="s">
        <v>237</v>
      </c>
      <c r="B225" t="s">
        <v>504</v>
      </c>
      <c r="C225" t="s">
        <v>509</v>
      </c>
      <c r="E225">
        <v>41.8161111</v>
      </c>
      <c r="F225">
        <v>-122.1216667</v>
      </c>
      <c r="G225" t="s">
        <v>732</v>
      </c>
      <c r="H225" t="s">
        <v>998</v>
      </c>
      <c r="I225" t="s">
        <v>505</v>
      </c>
      <c r="J225">
        <f>HYPERLINK("http://maps.google.com/maps?z=10&amp;t=m&amp;q=loc:41.8161111+-122.1216667", 499)</f>
        <v>0</v>
      </c>
      <c r="K225">
        <v>357</v>
      </c>
      <c r="L225">
        <v>0</v>
      </c>
      <c r="M225">
        <v>0</v>
      </c>
      <c r="N225">
        <v>0</v>
      </c>
      <c r="O225">
        <v>0</v>
      </c>
    </row>
    <row r="226" spans="1:15">
      <c r="A226" s="1" t="s">
        <v>238</v>
      </c>
      <c r="B226" t="s">
        <v>505</v>
      </c>
      <c r="C226" t="s">
        <v>510</v>
      </c>
      <c r="D226">
        <f>HYPERLINK("http://www.reserveamerica.com/camping/julia-pfeiffer-burns-sp/r/facilityDetails.do?contractCode=CA&amp;parkId=120045", "JULIA PFEIFFER BURNS SP")</f>
        <v>0</v>
      </c>
      <c r="E226">
        <v>36.1711111</v>
      </c>
      <c r="F226">
        <v>-121.6722222</v>
      </c>
      <c r="G226" t="s">
        <v>733</v>
      </c>
      <c r="I226" t="s">
        <v>505</v>
      </c>
      <c r="J226">
        <f>HYPERLINK("http://maps.google.com/maps?z=10&amp;t=m&amp;q=loc:36.1711111+-121.6722222", 130)</f>
        <v>0</v>
      </c>
      <c r="K226">
        <v>170</v>
      </c>
      <c r="L226">
        <v>0</v>
      </c>
      <c r="M226">
        <v>0</v>
      </c>
      <c r="N226">
        <v>0</v>
      </c>
      <c r="O226">
        <v>0</v>
      </c>
    </row>
    <row r="227" spans="1:15">
      <c r="A227" s="1" t="s">
        <v>239</v>
      </c>
      <c r="B227" t="s">
        <v>504</v>
      </c>
      <c r="C227" t="s">
        <v>509</v>
      </c>
      <c r="D227">
        <f>HYPERLINK("http://www.reserveamerica.com/camping/june-lake/r/facilityDetails.do?contractCode=NRSO&amp;parkId=70564", "JUNE LAKE")</f>
        <v>0</v>
      </c>
      <c r="E227">
        <v>37.7819444</v>
      </c>
      <c r="F227">
        <v>-119.0738889</v>
      </c>
      <c r="G227" t="s">
        <v>734</v>
      </c>
      <c r="I227" t="s">
        <v>505</v>
      </c>
      <c r="J227">
        <f>HYPERLINK("http://maps.google.com/maps?z=10&amp;t=m&amp;q=loc:37.7819444+-119.0738889", 254)</f>
        <v>0</v>
      </c>
      <c r="K227">
        <v>77</v>
      </c>
      <c r="L227">
        <v>0</v>
      </c>
      <c r="M227">
        <v>0</v>
      </c>
      <c r="N227">
        <v>0</v>
      </c>
      <c r="O227">
        <v>0</v>
      </c>
    </row>
    <row r="228" spans="1:15">
      <c r="A228" s="1" t="s">
        <v>240</v>
      </c>
      <c r="B228" t="s">
        <v>504</v>
      </c>
      <c r="C228" t="s">
        <v>509</v>
      </c>
      <c r="E228">
        <v>40.4511111</v>
      </c>
      <c r="F228">
        <v>-121.2958333</v>
      </c>
      <c r="G228" t="s">
        <v>735</v>
      </c>
      <c r="I228" t="s">
        <v>505</v>
      </c>
      <c r="J228">
        <f>HYPERLINK("http://maps.google.com/maps?z=10&amp;t=m&amp;q=loc:40.4511111+-121.2958333", 351)</f>
        <v>0</v>
      </c>
      <c r="K228">
        <v>8</v>
      </c>
      <c r="L228">
        <v>0</v>
      </c>
      <c r="M228">
        <v>0</v>
      </c>
      <c r="N228">
        <v>0</v>
      </c>
      <c r="O228">
        <v>0</v>
      </c>
    </row>
    <row r="229" spans="1:15">
      <c r="A229" s="1" t="s">
        <v>241</v>
      </c>
      <c r="B229" t="s">
        <v>504</v>
      </c>
      <c r="C229" t="s">
        <v>509</v>
      </c>
      <c r="D229">
        <f>HYPERLINK("http://www.reserveamerica.com/camping/juniper-springs-group-camp/r/facilityDetails.do?contractCode=NRSO&amp;parkId=70177", "JUNIPER SPRINGS GROUP CAMP")</f>
        <v>0</v>
      </c>
      <c r="E229">
        <v>34.2197222</v>
      </c>
      <c r="F229">
        <v>-116.7163889</v>
      </c>
      <c r="G229" t="s">
        <v>736</v>
      </c>
      <c r="I229" t="s">
        <v>505</v>
      </c>
      <c r="J229">
        <f>HYPERLINK("http://maps.google.com/maps?z=10&amp;t=m&amp;q=loc:34.2197222+-116.7163889", 581)</f>
        <v>0</v>
      </c>
      <c r="K229">
        <v>124</v>
      </c>
      <c r="L229">
        <v>0</v>
      </c>
      <c r="M229">
        <v>0</v>
      </c>
      <c r="N229">
        <v>0</v>
      </c>
      <c r="O229">
        <v>0</v>
      </c>
    </row>
    <row r="230" spans="1:15">
      <c r="A230" s="1" t="s">
        <v>242</v>
      </c>
      <c r="B230" t="s">
        <v>504</v>
      </c>
      <c r="C230" t="s">
        <v>509</v>
      </c>
      <c r="D230">
        <f>HYPERLINK("http://www.reserveamerica.com/camping/kaspian-campground/r/facilityDetails.do?contractCode=NRSO&amp;parkId=71663", "KASPIAN CAMPGROUND")</f>
        <v>0</v>
      </c>
      <c r="E230">
        <v>39.1144444</v>
      </c>
      <c r="F230">
        <v>-120.1586111</v>
      </c>
      <c r="G230" t="s">
        <v>737</v>
      </c>
      <c r="I230" t="s">
        <v>505</v>
      </c>
      <c r="J230">
        <f>HYPERLINK("http://maps.google.com/maps?z=10&amp;t=m&amp;q=loc:39.1144444+-120.1586111", 250)</f>
        <v>0</v>
      </c>
      <c r="K230">
        <v>37</v>
      </c>
      <c r="L230">
        <v>0</v>
      </c>
      <c r="M230">
        <v>0</v>
      </c>
      <c r="N230">
        <v>0</v>
      </c>
      <c r="O230">
        <v>0</v>
      </c>
    </row>
    <row r="231" spans="1:15">
      <c r="A231" s="1" t="s">
        <v>243</v>
      </c>
      <c r="B231" t="s">
        <v>504</v>
      </c>
      <c r="C231" t="s">
        <v>509</v>
      </c>
      <c r="D231">
        <f>HYPERLINK("http://www.reserveamerica.com/camping/kelty-meadow/r/facilityDetails.do?contractCode=NRSO&amp;parkId=71668", "KELTY MEADOW")</f>
        <v>0</v>
      </c>
      <c r="E231">
        <v>37.4402778</v>
      </c>
      <c r="F231">
        <v>-119.5438889</v>
      </c>
      <c r="G231" t="s">
        <v>738</v>
      </c>
      <c r="I231" t="s">
        <v>505</v>
      </c>
      <c r="J231">
        <f>HYPERLINK("http://maps.google.com/maps?z=10&amp;t=m&amp;q=loc:37.4402778+-119.5438889", 208)</f>
        <v>0</v>
      </c>
      <c r="K231">
        <v>85</v>
      </c>
      <c r="L231">
        <v>7</v>
      </c>
      <c r="M231">
        <v>0</v>
      </c>
      <c r="N231">
        <v>7</v>
      </c>
      <c r="O231">
        <v>7</v>
      </c>
    </row>
    <row r="232" spans="1:15">
      <c r="A232" s="1" t="s">
        <v>244</v>
      </c>
      <c r="B232" t="s">
        <v>504</v>
      </c>
      <c r="C232" t="s">
        <v>509</v>
      </c>
      <c r="D232">
        <f>HYPERLINK("http://www.reserveamerica.com/camping/kinnikinnick/r/facilityDetails.do?contractCode=NRSO&amp;parkId=71592", "KINNIKINNICK")</f>
        <v>0</v>
      </c>
      <c r="E232">
        <v>37.2527778</v>
      </c>
      <c r="F232">
        <v>-119.1777778</v>
      </c>
      <c r="G232" t="s">
        <v>739</v>
      </c>
      <c r="I232" t="s">
        <v>505</v>
      </c>
      <c r="J232">
        <f>HYPERLINK("http://maps.google.com/maps?z=10&amp;t=m&amp;q=loc:37.2527778+-119.1777778", 241)</f>
        <v>0</v>
      </c>
      <c r="K232">
        <v>91</v>
      </c>
      <c r="L232">
        <v>0</v>
      </c>
      <c r="M232">
        <v>0</v>
      </c>
      <c r="N232">
        <v>0</v>
      </c>
      <c r="O232">
        <v>0</v>
      </c>
    </row>
    <row r="233" spans="1:15">
      <c r="A233" s="1" t="s">
        <v>245</v>
      </c>
      <c r="B233" t="s">
        <v>504</v>
      </c>
      <c r="C233" t="s">
        <v>509</v>
      </c>
      <c r="D233">
        <f>HYPERLINK("http://www.reserveamerica.com/camping/kirby-cove-campground/r/facilityDetails.do?contractCode=NRSO&amp;parkId=70972", "KIRBY COVE CAMPGROUND")</f>
        <v>0</v>
      </c>
      <c r="E233">
        <v>37.84035</v>
      </c>
      <c r="F233">
        <v>-122.4888889</v>
      </c>
      <c r="G233" t="s">
        <v>740</v>
      </c>
      <c r="H233" t="s">
        <v>999</v>
      </c>
      <c r="I233" t="s">
        <v>505</v>
      </c>
      <c r="J233">
        <f>HYPERLINK("http://maps.google.com/maps?z=10&amp;t=m&amp;q=loc:37.84035+-122.4888889", 76)</f>
        <v>0</v>
      </c>
      <c r="K233">
        <v>318</v>
      </c>
      <c r="L233">
        <v>0</v>
      </c>
      <c r="M233">
        <v>0</v>
      </c>
      <c r="N233">
        <v>0</v>
      </c>
      <c r="O233">
        <v>0</v>
      </c>
    </row>
    <row r="234" spans="1:15">
      <c r="A234" s="1" t="s">
        <v>246</v>
      </c>
      <c r="B234" t="s">
        <v>504</v>
      </c>
      <c r="C234" t="s">
        <v>509</v>
      </c>
      <c r="D234">
        <f>HYPERLINK("http://www.reserveamerica.com/camping/kirk-creek-campground/r/facilityDetails.do?contractCode=NRSO&amp;parkId=71993", "KIRK CREEK CAMPGROUND")</f>
        <v>0</v>
      </c>
      <c r="E234">
        <v>35.9916667</v>
      </c>
      <c r="F234">
        <v>-121.4941667</v>
      </c>
      <c r="G234" t="s">
        <v>741</v>
      </c>
      <c r="I234" t="s">
        <v>505</v>
      </c>
      <c r="J234">
        <f>HYPERLINK("http://maps.google.com/maps?z=10&amp;t=m&amp;q=loc:35.9916667+-121.4941667", 152)</f>
        <v>0</v>
      </c>
      <c r="K234">
        <v>165</v>
      </c>
      <c r="L234">
        <v>1</v>
      </c>
      <c r="M234">
        <v>0</v>
      </c>
      <c r="N234">
        <v>1</v>
      </c>
      <c r="O234">
        <v>0</v>
      </c>
    </row>
    <row r="235" spans="1:15">
      <c r="A235" s="1" t="s">
        <v>247</v>
      </c>
      <c r="B235" t="s">
        <v>504</v>
      </c>
      <c r="C235" t="s">
        <v>509</v>
      </c>
      <c r="D235">
        <f>HYPERLINK("http://www.reserveamerica.com/camping/kit-carson-campground/r/facilityDetails.do?contractCode=NRSO&amp;parkId=109334", "KIT CARSON CAMPGROUND")</f>
        <v>0</v>
      </c>
      <c r="E235">
        <v>38.7767778</v>
      </c>
      <c r="F235">
        <v>-119.8946111</v>
      </c>
      <c r="G235" t="s">
        <v>742</v>
      </c>
      <c r="H235" t="s">
        <v>997</v>
      </c>
      <c r="I235" t="s">
        <v>505</v>
      </c>
      <c r="J235">
        <f>HYPERLINK("http://maps.google.com/maps?z=10&amp;t=m&amp;q=loc:38.7767778+-119.8946111", 238)</f>
        <v>0</v>
      </c>
      <c r="K235">
        <v>46</v>
      </c>
      <c r="L235">
        <v>0</v>
      </c>
      <c r="M235">
        <v>0</v>
      </c>
      <c r="N235">
        <v>0</v>
      </c>
      <c r="O235">
        <v>0</v>
      </c>
    </row>
    <row r="236" spans="1:15">
      <c r="A236" s="1" t="s">
        <v>248</v>
      </c>
      <c r="B236" t="s">
        <v>504</v>
      </c>
      <c r="C236" t="s">
        <v>509</v>
      </c>
      <c r="D236">
        <f>HYPERLINK("http://www.reserveamerica.com/camping/kyen-campground-and-oak-grove-day-use-area/r/facilityDetails.do?contractCode=NRSO&amp;parkId=73240", "KYEN CAMPGROUND AND OAK GROVE DAY USE AREA")</f>
        <v>0</v>
      </c>
      <c r="E236">
        <v>39.2366667</v>
      </c>
      <c r="F236">
        <v>-123.1777778</v>
      </c>
      <c r="G236" t="s">
        <v>743</v>
      </c>
      <c r="I236" t="s">
        <v>505</v>
      </c>
      <c r="J236">
        <f>HYPERLINK("http://maps.google.com/maps?z=10&amp;t=m&amp;q=loc:39.2366667+-123.1777778", 239)</f>
        <v>0</v>
      </c>
      <c r="K236">
        <v>332</v>
      </c>
      <c r="L236">
        <v>34</v>
      </c>
      <c r="M236">
        <v>3</v>
      </c>
      <c r="N236">
        <v>31</v>
      </c>
      <c r="O236">
        <v>31</v>
      </c>
    </row>
    <row r="237" spans="1:15">
      <c r="A237" s="1" t="s">
        <v>249</v>
      </c>
      <c r="B237" t="s">
        <v>504</v>
      </c>
      <c r="C237" t="s">
        <v>509</v>
      </c>
      <c r="D237">
        <f>HYPERLINK("http://www.reserveamerica.com/camping/laguna/r/facilityDetails.do?contractCode=NRSO&amp;parkId=70576", "LAGUNA")</f>
        <v>0</v>
      </c>
      <c r="E237">
        <v>32.8872222</v>
      </c>
      <c r="F237">
        <v>-116.4463889</v>
      </c>
      <c r="G237" t="s">
        <v>744</v>
      </c>
      <c r="I237" t="s">
        <v>505</v>
      </c>
      <c r="J237">
        <f>HYPERLINK("http://maps.google.com/maps?z=10&amp;t=m&amp;q=loc:32.8872222+-116.4463889", 699)</f>
        <v>0</v>
      </c>
      <c r="K237">
        <v>133</v>
      </c>
      <c r="L237">
        <v>25</v>
      </c>
      <c r="M237">
        <v>0</v>
      </c>
      <c r="N237">
        <v>25</v>
      </c>
      <c r="O237">
        <v>25</v>
      </c>
    </row>
    <row r="238" spans="1:15">
      <c r="A238" s="1" t="s">
        <v>250</v>
      </c>
      <c r="B238" t="s">
        <v>504</v>
      </c>
      <c r="C238" t="s">
        <v>509</v>
      </c>
      <c r="D238">
        <f>HYPERLINK("http://www.reserveamerica.com/camping/lake-campground/r/facilityDetails.do?contractCode=NRSO&amp;parkId=73584", "LAKE CAMPGROUND")</f>
        <v>0</v>
      </c>
      <c r="E238">
        <v>34.3905556</v>
      </c>
      <c r="F238">
        <v>-117.7233333</v>
      </c>
      <c r="G238" t="s">
        <v>745</v>
      </c>
      <c r="I238" t="s">
        <v>505</v>
      </c>
      <c r="J238">
        <f>HYPERLINK("http://maps.google.com/maps?z=10&amp;t=m&amp;q=loc:34.3905556+-117.7233333", 498)</f>
        <v>0</v>
      </c>
      <c r="K238">
        <v>129</v>
      </c>
      <c r="L238">
        <v>1</v>
      </c>
      <c r="M238">
        <v>0</v>
      </c>
      <c r="N238">
        <v>1</v>
      </c>
      <c r="O238">
        <v>1</v>
      </c>
    </row>
    <row r="239" spans="1:15">
      <c r="A239" s="1" t="s">
        <v>251</v>
      </c>
      <c r="B239" t="s">
        <v>504</v>
      </c>
      <c r="C239" t="s">
        <v>509</v>
      </c>
      <c r="D239">
        <f>HYPERLINK("http://www.reserveamerica.com/camping/lake-mary-campground/r/facilityDetails.do?contractCode=NRSO&amp;parkId=72775", "LAKE MARY CAMPGROUND")</f>
        <v>0</v>
      </c>
      <c r="E239">
        <v>37.6069444</v>
      </c>
      <c r="F239">
        <v>-119.0075</v>
      </c>
      <c r="G239" t="s">
        <v>746</v>
      </c>
      <c r="I239" t="s">
        <v>505</v>
      </c>
      <c r="J239">
        <f>HYPERLINK("http://maps.google.com/maps?z=10&amp;t=m&amp;q=loc:37.6069444+-119.0075", 257)</f>
        <v>0</v>
      </c>
      <c r="K239">
        <v>82</v>
      </c>
      <c r="L239">
        <v>0</v>
      </c>
      <c r="M239">
        <v>0</v>
      </c>
      <c r="N239">
        <v>0</v>
      </c>
      <c r="O239">
        <v>0</v>
      </c>
    </row>
    <row r="240" spans="1:15">
      <c r="A240" s="1" t="s">
        <v>252</v>
      </c>
      <c r="B240" t="s">
        <v>505</v>
      </c>
      <c r="C240" t="s">
        <v>510</v>
      </c>
      <c r="D240">
        <f>HYPERLINK("http://www.reserveamerica.com/camping/lake-oroville-sra/r/facilityDetails.do?contractCode=CA&amp;parkId=120046", "LAKE OROVILLE SRA")</f>
        <v>0</v>
      </c>
      <c r="E240">
        <v>39.528225</v>
      </c>
      <c r="F240">
        <v>-121.4455222</v>
      </c>
      <c r="G240" t="s">
        <v>747</v>
      </c>
      <c r="H240" t="s">
        <v>998</v>
      </c>
      <c r="I240" t="s">
        <v>505</v>
      </c>
      <c r="J240">
        <f>HYPERLINK("http://maps.google.com/maps?z=10&amp;t=m&amp;q=loc:39.528225+-121.4455222", 247)</f>
        <v>0</v>
      </c>
      <c r="K240">
        <v>9</v>
      </c>
      <c r="L240">
        <v>200</v>
      </c>
      <c r="M240">
        <v>10</v>
      </c>
      <c r="N240">
        <v>190</v>
      </c>
      <c r="O240">
        <v>190</v>
      </c>
    </row>
    <row r="241" spans="1:15">
      <c r="A241" s="1" t="s">
        <v>253</v>
      </c>
      <c r="B241" t="s">
        <v>505</v>
      </c>
      <c r="C241" t="s">
        <v>510</v>
      </c>
      <c r="D241">
        <f>HYPERLINK("http://www.reserveamerica.com/camping/lake-perris-sra/r/facilityDetails.do?contractCode=CA&amp;parkId=120069", "LAKE PERRIS SRA")</f>
        <v>0</v>
      </c>
      <c r="E241">
        <v>33.8491667</v>
      </c>
      <c r="F241">
        <v>-117.1886111</v>
      </c>
      <c r="G241" t="s">
        <v>748</v>
      </c>
      <c r="I241" t="s">
        <v>505</v>
      </c>
      <c r="J241">
        <f>HYPERLINK("http://maps.google.com/maps?z=10&amp;t=m&amp;q=loc:33.8491667+-117.1886111", 575)</f>
        <v>0</v>
      </c>
      <c r="K241">
        <v>130</v>
      </c>
      <c r="L241">
        <v>403</v>
      </c>
      <c r="M241">
        <v>19</v>
      </c>
      <c r="N241">
        <v>384</v>
      </c>
      <c r="O241">
        <v>384</v>
      </c>
    </row>
    <row r="242" spans="1:15">
      <c r="A242" s="1" t="s">
        <v>254</v>
      </c>
      <c r="B242" t="s">
        <v>504</v>
      </c>
      <c r="C242" t="s">
        <v>509</v>
      </c>
      <c r="D242">
        <f>HYPERLINK("http://www.reserveamerica.com/camping/lakes-basin/r/facilityDetails.do?contractCode=NRSO&amp;parkId=70167", "LAKES BASIN")</f>
        <v>0</v>
      </c>
      <c r="E242">
        <v>39.6666667</v>
      </c>
      <c r="F242">
        <v>-120.6577778</v>
      </c>
      <c r="G242" t="s">
        <v>749</v>
      </c>
      <c r="I242" t="s">
        <v>505</v>
      </c>
      <c r="J242">
        <f>HYPERLINK("http://maps.google.com/maps?z=10&amp;t=m&amp;q=loc:39.6666667+-120.6577778", 281)</f>
        <v>0</v>
      </c>
      <c r="K242">
        <v>22</v>
      </c>
      <c r="L242">
        <v>0</v>
      </c>
      <c r="M242">
        <v>0</v>
      </c>
      <c r="N242">
        <v>0</v>
      </c>
      <c r="O242">
        <v>0</v>
      </c>
    </row>
    <row r="243" spans="1:15">
      <c r="A243" s="1" t="s">
        <v>255</v>
      </c>
      <c r="B243" t="s">
        <v>504</v>
      </c>
      <c r="C243" t="s">
        <v>509</v>
      </c>
      <c r="D243">
        <f>HYPERLINK("http://www.reserveamerica.com/camping/lakeshore-east/r/facilityDetails.do?contractCode=NRSO&amp;parkId=71519", "LAKESHORE EAST")</f>
        <v>0</v>
      </c>
      <c r="E243">
        <v>40.8719444</v>
      </c>
      <c r="F243">
        <v>-122.3880556</v>
      </c>
      <c r="G243" t="s">
        <v>750</v>
      </c>
      <c r="I243" t="s">
        <v>505</v>
      </c>
      <c r="J243">
        <f>HYPERLINK("http://maps.google.com/maps?z=10&amp;t=m&amp;q=loc:40.8719444+-122.3880556", 396)</f>
        <v>0</v>
      </c>
      <c r="K243">
        <v>354</v>
      </c>
      <c r="L243">
        <v>1</v>
      </c>
      <c r="M243">
        <v>1</v>
      </c>
      <c r="N243">
        <v>0</v>
      </c>
      <c r="O243">
        <v>0</v>
      </c>
    </row>
    <row r="244" spans="1:15">
      <c r="A244" s="1" t="s">
        <v>256</v>
      </c>
      <c r="B244" t="s">
        <v>504</v>
      </c>
      <c r="C244" t="s">
        <v>509</v>
      </c>
      <c r="D244">
        <f>HYPERLINK("http://www.reserveamerica.com/camping/lakeside-truckee/r/facilityDetails.do?contractCode=NRSO&amp;parkId=74131", "LAKESIDE (TRUCKEE)")</f>
        <v>0</v>
      </c>
      <c r="E244">
        <v>39.3844444</v>
      </c>
      <c r="F244">
        <v>-120.1722222</v>
      </c>
      <c r="G244" t="s">
        <v>751</v>
      </c>
      <c r="I244" t="s">
        <v>505</v>
      </c>
      <c r="J244">
        <f>HYPERLINK("http://maps.google.com/maps?z=10&amp;t=m&amp;q=loc:39.3844444+-120.1722222", 273)</f>
        <v>0</v>
      </c>
      <c r="K244">
        <v>32</v>
      </c>
      <c r="L244">
        <v>25</v>
      </c>
      <c r="M244">
        <v>0</v>
      </c>
      <c r="N244">
        <v>25</v>
      </c>
      <c r="O244">
        <v>25</v>
      </c>
    </row>
    <row r="245" spans="1:15">
      <c r="A245" s="1" t="s">
        <v>257</v>
      </c>
      <c r="B245" t="s">
        <v>505</v>
      </c>
      <c r="C245" t="s">
        <v>510</v>
      </c>
      <c r="D245">
        <f>HYPERLINK("http://www.reserveamerica.com/camping/leo-carrillo-sb/r/facilityDetails.do?contractCode=CA&amp;parkId=120047", "LEO CARRILLO SB")</f>
        <v>0</v>
      </c>
      <c r="E245">
        <v>34.0441667</v>
      </c>
      <c r="F245">
        <v>-118.9383333</v>
      </c>
      <c r="G245" t="s">
        <v>752</v>
      </c>
      <c r="I245" t="s">
        <v>505</v>
      </c>
      <c r="J245">
        <f>HYPERLINK("http://maps.google.com/maps?z=10&amp;t=m&amp;q=loc:34.0441667+-118.9383333", 452)</f>
        <v>0</v>
      </c>
      <c r="K245">
        <v>142</v>
      </c>
      <c r="L245">
        <v>0</v>
      </c>
      <c r="M245">
        <v>0</v>
      </c>
      <c r="N245">
        <v>0</v>
      </c>
      <c r="O245">
        <v>0</v>
      </c>
    </row>
    <row r="246" spans="1:15">
      <c r="A246" s="1" t="s">
        <v>258</v>
      </c>
      <c r="B246" t="s">
        <v>504</v>
      </c>
      <c r="C246" t="s">
        <v>509</v>
      </c>
      <c r="D246">
        <f>HYPERLINK("http://www.reserveamerica.com/camping/lewis-at-french-meadows/r/facilityDetails.do?contractCode=NRSO&amp;parkId=72074", "LEWIS at FRENCH MEADOWS")</f>
        <v>0</v>
      </c>
      <c r="E246">
        <v>39.1302778</v>
      </c>
      <c r="F246">
        <v>-120.4169444</v>
      </c>
      <c r="G246" t="s">
        <v>753</v>
      </c>
      <c r="I246" t="s">
        <v>505</v>
      </c>
      <c r="J246">
        <f>HYPERLINK("http://maps.google.com/maps?z=10&amp;t=m&amp;q=loc:39.1302778+-120.4169444", 238)</f>
        <v>0</v>
      </c>
      <c r="K246">
        <v>32</v>
      </c>
      <c r="L246">
        <v>0</v>
      </c>
      <c r="M246">
        <v>0</v>
      </c>
      <c r="N246">
        <v>0</v>
      </c>
      <c r="O246">
        <v>0</v>
      </c>
    </row>
    <row r="247" spans="1:15">
      <c r="A247" s="1" t="s">
        <v>259</v>
      </c>
      <c r="B247" t="s">
        <v>504</v>
      </c>
      <c r="C247" t="s">
        <v>509</v>
      </c>
      <c r="D247">
        <f>HYPERLINK("http://www.reserveamerica.com/camping/liberty-glen-lake-sonoma/r/facilityDetails.do?contractCode=NRSO&amp;parkId=73251", "LIBERTY GLEN (LAKE SONOMA)")</f>
        <v>0</v>
      </c>
      <c r="E247">
        <v>38.7136111</v>
      </c>
      <c r="F247">
        <v>-123.0563889</v>
      </c>
      <c r="G247" t="s">
        <v>754</v>
      </c>
      <c r="I247" t="s">
        <v>505</v>
      </c>
      <c r="J247">
        <f>HYPERLINK("http://maps.google.com/maps?z=10&amp;t=m&amp;q=loc:38.7136111+-123.0563889", 184)</f>
        <v>0</v>
      </c>
      <c r="K247">
        <v>327</v>
      </c>
      <c r="L247">
        <v>96</v>
      </c>
      <c r="M247">
        <v>3</v>
      </c>
      <c r="N247">
        <v>93</v>
      </c>
      <c r="O247">
        <v>93</v>
      </c>
    </row>
    <row r="248" spans="1:15">
      <c r="A248" s="1" t="s">
        <v>260</v>
      </c>
      <c r="B248" t="s">
        <v>504</v>
      </c>
      <c r="C248" t="s">
        <v>509</v>
      </c>
      <c r="D248">
        <f>HYPERLINK("http://www.reserveamerica.com/camping/lightning-point-group-campground/r/facilityDetails.do?contractCode=NRSO&amp;parkId=75443", "LIGHTNING POINT GROUP CAMPGROUND")</f>
        <v>0</v>
      </c>
      <c r="E248">
        <v>34.3719444</v>
      </c>
      <c r="F248">
        <v>-118.1830556</v>
      </c>
      <c r="G248" t="s">
        <v>755</v>
      </c>
      <c r="I248" t="s">
        <v>505</v>
      </c>
      <c r="J248">
        <f>HYPERLINK("http://maps.google.com/maps?z=10&amp;t=m&amp;q=loc:34.3719444+-118.1830556", 469)</f>
        <v>0</v>
      </c>
      <c r="K248">
        <v>133</v>
      </c>
      <c r="L248">
        <v>0</v>
      </c>
      <c r="M248">
        <v>0</v>
      </c>
      <c r="N248">
        <v>0</v>
      </c>
      <c r="O248">
        <v>0</v>
      </c>
    </row>
    <row r="249" spans="1:15">
      <c r="A249" s="1" t="s">
        <v>261</v>
      </c>
      <c r="B249" t="s">
        <v>504</v>
      </c>
      <c r="C249" t="s">
        <v>509</v>
      </c>
      <c r="D249">
        <f>HYPERLINK("http://www.reserveamerica.com/camping/lightning-tree/r/facilityDetails.do?contractCode=NRSO&amp;parkId=71615", "LIGHTNING TREE")</f>
        <v>0</v>
      </c>
      <c r="E249">
        <v>39.9254556</v>
      </c>
      <c r="F249">
        <v>-120.5104944</v>
      </c>
      <c r="G249" t="s">
        <v>756</v>
      </c>
      <c r="I249" t="s">
        <v>505</v>
      </c>
      <c r="J249">
        <f>HYPERLINK("http://maps.google.com/maps?z=10&amp;t=m&amp;q=loc:39.9254556+-120.5104944", 313)</f>
        <v>0</v>
      </c>
      <c r="K249">
        <v>22</v>
      </c>
      <c r="L249">
        <v>0</v>
      </c>
      <c r="M249">
        <v>0</v>
      </c>
      <c r="N249">
        <v>0</v>
      </c>
      <c r="O249">
        <v>0</v>
      </c>
    </row>
    <row r="250" spans="1:15">
      <c r="A250" s="1" t="s">
        <v>262</v>
      </c>
      <c r="B250" t="s">
        <v>505</v>
      </c>
      <c r="C250" t="s">
        <v>510</v>
      </c>
      <c r="D250">
        <f>HYPERLINK("http://www.reserveamerica.com/camping/limekiln-sp/r/facilityDetails.do?contractCode=CA&amp;parkId=120048", "LIMEKILN SP")</f>
        <v>0</v>
      </c>
      <c r="E250">
        <v>36.0530556</v>
      </c>
      <c r="F250">
        <v>-121.5694444</v>
      </c>
      <c r="G250" t="s">
        <v>757</v>
      </c>
      <c r="H250" t="s">
        <v>997</v>
      </c>
      <c r="I250" t="s">
        <v>505</v>
      </c>
      <c r="J250">
        <f>HYPERLINK("http://maps.google.com/maps?z=10&amp;t=m&amp;q=loc:36.0530556+-121.5694444", 144)</f>
        <v>0</v>
      </c>
      <c r="K250">
        <v>167</v>
      </c>
      <c r="L250">
        <v>0</v>
      </c>
      <c r="M250">
        <v>0</v>
      </c>
      <c r="N250">
        <v>0</v>
      </c>
      <c r="O250">
        <v>0</v>
      </c>
    </row>
    <row r="251" spans="1:15">
      <c r="A251" s="1" t="s">
        <v>263</v>
      </c>
      <c r="B251" t="s">
        <v>504</v>
      </c>
      <c r="C251" t="s">
        <v>509</v>
      </c>
      <c r="D251">
        <f>HYPERLINK("http://www.reserveamerica.com/camping/limestone-campground/r/facilityDetails.do?contractCode=NRSO&amp;parkId=123440", "LIMESTONE CAMPGROUND")</f>
        <v>0</v>
      </c>
      <c r="E251">
        <v>35.9633333</v>
      </c>
      <c r="F251">
        <v>-118.4788889</v>
      </c>
      <c r="G251" t="s">
        <v>758</v>
      </c>
      <c r="I251" t="s">
        <v>505</v>
      </c>
      <c r="J251">
        <f>HYPERLINK("http://maps.google.com/maps?z=10&amp;t=m&amp;q=loc:35.9633333+-118.4788889", 341)</f>
        <v>0</v>
      </c>
      <c r="K251">
        <v>115</v>
      </c>
      <c r="L251">
        <v>2</v>
      </c>
      <c r="M251">
        <v>0</v>
      </c>
      <c r="N251">
        <v>2</v>
      </c>
      <c r="O251">
        <v>2</v>
      </c>
    </row>
    <row r="252" spans="1:15">
      <c r="A252" s="1" t="s">
        <v>264</v>
      </c>
      <c r="B252" t="s">
        <v>505</v>
      </c>
      <c r="C252" t="s">
        <v>510</v>
      </c>
      <c r="E252">
        <v>37.1553333</v>
      </c>
      <c r="F252">
        <v>-122.2031667</v>
      </c>
      <c r="G252" t="s">
        <v>759</v>
      </c>
      <c r="I252" t="s">
        <v>505</v>
      </c>
      <c r="J252">
        <f>HYPERLINK("http://maps.google.com/maps?z=10&amp;t=m&amp;q=loc:37.1553333+-122.2031667", 32)</f>
        <v>0</v>
      </c>
      <c r="K252">
        <v>234</v>
      </c>
      <c r="L252">
        <v>0</v>
      </c>
      <c r="M252">
        <v>0</v>
      </c>
      <c r="N252">
        <v>0</v>
      </c>
      <c r="O252">
        <v>0</v>
      </c>
    </row>
    <row r="253" spans="1:15">
      <c r="A253" s="1" t="s">
        <v>265</v>
      </c>
      <c r="B253" t="s">
        <v>504</v>
      </c>
      <c r="C253" t="s">
        <v>509</v>
      </c>
      <c r="D253">
        <f>HYPERLINK("http://www.reserveamerica.com/camping/little-beaver-a-campground/r/facilityDetails.do?contractCode=NRSO&amp;parkId=72431", "LITTLE BEAVER A CAMPGROUND")</f>
        <v>0</v>
      </c>
      <c r="E253">
        <v>39.745</v>
      </c>
      <c r="F253">
        <v>-120.9875</v>
      </c>
      <c r="G253" t="s">
        <v>760</v>
      </c>
      <c r="H253" t="s">
        <v>997</v>
      </c>
      <c r="I253" t="s">
        <v>505</v>
      </c>
      <c r="J253">
        <f>HYPERLINK("http://maps.google.com/maps?z=10&amp;t=m&amp;q=loc:39.745+-120.9875", 280)</f>
        <v>0</v>
      </c>
      <c r="K253">
        <v>16</v>
      </c>
      <c r="L253">
        <v>26</v>
      </c>
      <c r="M253">
        <v>0</v>
      </c>
      <c r="N253">
        <v>26</v>
      </c>
      <c r="O253">
        <v>26</v>
      </c>
    </row>
    <row r="254" spans="1:15">
      <c r="A254" s="1" t="s">
        <v>266</v>
      </c>
      <c r="B254" t="s">
        <v>507</v>
      </c>
      <c r="C254" t="s">
        <v>511</v>
      </c>
      <c r="D254">
        <f>HYPERLINK("http://www.reserveamerica.com/camping/little-harbor-campground/r/facilityDetails.do?contractCode=CTLN&amp;parkId=940021", "LITTLE HARBOR CAMPGROUND")</f>
        <v>0</v>
      </c>
      <c r="E254">
        <v>33.3866667</v>
      </c>
      <c r="F254">
        <v>-118.4730556</v>
      </c>
      <c r="G254" t="s">
        <v>761</v>
      </c>
      <c r="I254" t="s">
        <v>505</v>
      </c>
      <c r="J254">
        <f>HYPERLINK("http://maps.google.com/maps?z=10&amp;t=m&amp;q=loc:33.3866667+-118.4730556", 537)</f>
        <v>0</v>
      </c>
      <c r="K254">
        <v>143</v>
      </c>
      <c r="L254">
        <v>0</v>
      </c>
      <c r="M254">
        <v>0</v>
      </c>
      <c r="N254">
        <v>0</v>
      </c>
      <c r="O254">
        <v>0</v>
      </c>
    </row>
    <row r="255" spans="1:15">
      <c r="A255" s="1" t="s">
        <v>267</v>
      </c>
      <c r="B255" t="s">
        <v>504</v>
      </c>
      <c r="C255" t="s">
        <v>509</v>
      </c>
      <c r="D255">
        <f>HYPERLINK("http://www.reserveamerica.com/camping/live-oak/r/facilityDetails.do?contractCode=NRSO&amp;parkId=71563", "LIVE OAK")</f>
        <v>0</v>
      </c>
      <c r="E255">
        <v>35.7027778</v>
      </c>
      <c r="F255">
        <v>-118.4611111</v>
      </c>
      <c r="G255" t="s">
        <v>762</v>
      </c>
      <c r="I255" t="s">
        <v>505</v>
      </c>
      <c r="J255">
        <f>HYPERLINK("http://maps.google.com/maps?z=10&amp;t=m&amp;q=loc:35.7027778+-118.4611111", 356)</f>
        <v>0</v>
      </c>
      <c r="K255">
        <v>119</v>
      </c>
      <c r="L255">
        <v>0</v>
      </c>
      <c r="M255">
        <v>0</v>
      </c>
      <c r="N255">
        <v>0</v>
      </c>
      <c r="O255">
        <v>0</v>
      </c>
    </row>
    <row r="256" spans="1:15">
      <c r="A256" s="1" t="s">
        <v>268</v>
      </c>
      <c r="B256" t="s">
        <v>504</v>
      </c>
      <c r="C256" t="s">
        <v>509</v>
      </c>
      <c r="D256">
        <f>HYPERLINK("http://www.reserveamerica.com/camping/live-oak-south/r/facilityDetails.do?contractCode=NRSO&amp;parkId=75185", "LIVE OAK SOUTH")</f>
        <v>0</v>
      </c>
      <c r="E256">
        <v>35.7027778</v>
      </c>
      <c r="F256">
        <v>-118.4611111</v>
      </c>
      <c r="G256" t="s">
        <v>763</v>
      </c>
      <c r="I256" t="s">
        <v>505</v>
      </c>
      <c r="J256">
        <f>HYPERLINK("http://maps.google.com/maps?z=10&amp;t=m&amp;q=loc:35.7027778+-118.4611111", 356)</f>
        <v>0</v>
      </c>
      <c r="K256">
        <v>119</v>
      </c>
      <c r="L256">
        <v>0</v>
      </c>
      <c r="M256">
        <v>0</v>
      </c>
      <c r="N256">
        <v>0</v>
      </c>
      <c r="O256">
        <v>0</v>
      </c>
    </row>
    <row r="257" spans="1:15">
      <c r="A257" s="1" t="s">
        <v>269</v>
      </c>
      <c r="B257" t="s">
        <v>504</v>
      </c>
      <c r="C257" t="s">
        <v>509</v>
      </c>
      <c r="D257">
        <f>HYPERLINK("http://www.reserveamerica.com/camping/lobo-group/r/facilityDetails.do?contractCode=NRSO&amp;parkId=70291", "LOBO GROUP")</f>
        <v>0</v>
      </c>
      <c r="E257">
        <v>34.1755556</v>
      </c>
      <c r="F257">
        <v>-116.8625</v>
      </c>
      <c r="G257" t="s">
        <v>764</v>
      </c>
      <c r="I257" t="s">
        <v>505</v>
      </c>
      <c r="J257">
        <f>HYPERLINK("http://maps.google.com/maps?z=10&amp;t=m&amp;q=loc:34.1755556+-116.8625", 573)</f>
        <v>0</v>
      </c>
      <c r="K257">
        <v>126</v>
      </c>
      <c r="L257">
        <v>0</v>
      </c>
      <c r="M257">
        <v>0</v>
      </c>
      <c r="N257">
        <v>0</v>
      </c>
      <c r="O257">
        <v>0</v>
      </c>
    </row>
    <row r="258" spans="1:15">
      <c r="A258" s="1" t="s">
        <v>270</v>
      </c>
      <c r="B258" t="s">
        <v>504</v>
      </c>
      <c r="C258" t="s">
        <v>509</v>
      </c>
      <c r="D258">
        <f>HYPERLINK("http://www.reserveamerica.com/camping/lodgepole-campgroundsequoia-and-kings-canyon-national-park/r/facilityDetails.do?contractCode=NRSO&amp;parkId=70941", "Lodgepole Campground-Sequoia and Kings Canyon National Park")</f>
        <v>0</v>
      </c>
      <c r="E258">
        <v>36.6067111</v>
      </c>
      <c r="F258">
        <v>-118.7258</v>
      </c>
      <c r="G258" t="s">
        <v>765</v>
      </c>
      <c r="H258" t="s">
        <v>997</v>
      </c>
      <c r="I258" t="s">
        <v>505</v>
      </c>
      <c r="J258">
        <f>HYPERLINK("http://maps.google.com/maps?z=10&amp;t=m&amp;q=loc:36.6067111+-118.7258", 293)</f>
        <v>0</v>
      </c>
      <c r="K258">
        <v>104</v>
      </c>
      <c r="L258">
        <v>0</v>
      </c>
      <c r="M258">
        <v>0</v>
      </c>
      <c r="N258">
        <v>0</v>
      </c>
      <c r="O258">
        <v>0</v>
      </c>
    </row>
    <row r="259" spans="1:15">
      <c r="A259" s="1" t="s">
        <v>271</v>
      </c>
      <c r="B259" t="s">
        <v>504</v>
      </c>
      <c r="C259" t="s">
        <v>509</v>
      </c>
      <c r="D259">
        <f>HYPERLINK("http://www.reserveamerica.com/camping/lodgepole-group-lake-alpine/r/facilityDetails.do?contractCode=NRSO&amp;parkId=70688", "LODGEPOLE GROUP LAKE ALPINE")</f>
        <v>0</v>
      </c>
      <c r="E259">
        <v>38.4163889</v>
      </c>
      <c r="F259">
        <v>-120.105</v>
      </c>
      <c r="G259" t="s">
        <v>766</v>
      </c>
      <c r="I259" t="s">
        <v>505</v>
      </c>
      <c r="J259">
        <f>HYPERLINK("http://maps.google.com/maps?z=10&amp;t=m&amp;q=loc:38.4163889+-120.105", 198)</f>
        <v>0</v>
      </c>
      <c r="K259">
        <v>52</v>
      </c>
      <c r="L259">
        <v>0</v>
      </c>
      <c r="M259">
        <v>0</v>
      </c>
      <c r="N259">
        <v>0</v>
      </c>
      <c r="O259">
        <v>0</v>
      </c>
    </row>
    <row r="260" spans="1:15">
      <c r="A260" s="1" t="s">
        <v>272</v>
      </c>
      <c r="B260" t="s">
        <v>504</v>
      </c>
      <c r="C260" t="s">
        <v>509</v>
      </c>
      <c r="D260">
        <f>HYPERLINK("http://www.reserveamerica.com/camping/loganville/r/facilityDetails.do?contractCode=NRSO&amp;parkId=75431", "LOGANVILLE")</f>
        <v>0</v>
      </c>
      <c r="E260">
        <v>39.5647222</v>
      </c>
      <c r="F260">
        <v>-120.6611111</v>
      </c>
      <c r="G260" t="s">
        <v>767</v>
      </c>
      <c r="I260" t="s">
        <v>505</v>
      </c>
      <c r="J260">
        <f>HYPERLINK("http://maps.google.com/maps?z=10&amp;t=m&amp;q=loc:39.5647222+-120.6611111", 271)</f>
        <v>0</v>
      </c>
      <c r="K260">
        <v>23</v>
      </c>
      <c r="L260">
        <v>16</v>
      </c>
      <c r="M260">
        <v>0</v>
      </c>
      <c r="N260">
        <v>16</v>
      </c>
      <c r="O260">
        <v>16</v>
      </c>
    </row>
    <row r="261" spans="1:15">
      <c r="A261" s="1" t="s">
        <v>273</v>
      </c>
      <c r="B261" t="s">
        <v>504</v>
      </c>
      <c r="C261" t="s">
        <v>509</v>
      </c>
      <c r="D261">
        <f>HYPERLINK("http://www.reserveamerica.com/camping/logger-campground/r/facilityDetails.do?contractCode=NRSO&amp;parkId=71643", "LOGGER CAMPGROUND")</f>
        <v>0</v>
      </c>
      <c r="E261">
        <v>39.4663889</v>
      </c>
      <c r="F261">
        <v>-120.1286111</v>
      </c>
      <c r="G261" t="s">
        <v>768</v>
      </c>
      <c r="I261" t="s">
        <v>505</v>
      </c>
      <c r="J261">
        <f>HYPERLINK("http://maps.google.com/maps?z=10&amp;t=m&amp;q=loc:39.4663889+-120.1286111", 283)</f>
        <v>0</v>
      </c>
      <c r="K261">
        <v>32</v>
      </c>
      <c r="L261">
        <v>178</v>
      </c>
      <c r="M261">
        <v>0</v>
      </c>
      <c r="N261">
        <v>178</v>
      </c>
      <c r="O261">
        <v>178</v>
      </c>
    </row>
    <row r="262" spans="1:15">
      <c r="A262" s="1" t="s">
        <v>274</v>
      </c>
      <c r="B262" t="s">
        <v>504</v>
      </c>
      <c r="C262" t="s">
        <v>509</v>
      </c>
      <c r="D262">
        <f>HYPERLINK("http://www.reserveamerica.com/camping/logger-flat-group/r/facilityDetails.do?contractCode=NRSO&amp;parkId=71541", "LOGGER FLAT GROUP")</f>
        <v>0</v>
      </c>
      <c r="E262">
        <v>36.7755556</v>
      </c>
      <c r="F262">
        <v>-118.8936111</v>
      </c>
      <c r="G262" t="s">
        <v>769</v>
      </c>
      <c r="I262" t="s">
        <v>505</v>
      </c>
      <c r="J262">
        <f>HYPERLINK("http://maps.google.com/maps?z=10&amp;t=m&amp;q=loc:36.7755556+-118.8936111", 274)</f>
        <v>0</v>
      </c>
      <c r="K262">
        <v>102</v>
      </c>
      <c r="L262">
        <v>1</v>
      </c>
      <c r="M262">
        <v>0</v>
      </c>
      <c r="N262">
        <v>1</v>
      </c>
      <c r="O262">
        <v>1</v>
      </c>
    </row>
    <row r="263" spans="1:15">
      <c r="A263" s="1" t="s">
        <v>275</v>
      </c>
      <c r="B263" t="s">
        <v>504</v>
      </c>
      <c r="C263" t="s">
        <v>509</v>
      </c>
      <c r="D263">
        <f>HYPERLINK("http://www.reserveamerica.com/camping/lone-pine/r/facilityDetails.do?contractCode=NRSO&amp;parkId=70292", "LONE PINE")</f>
        <v>0</v>
      </c>
      <c r="E263">
        <v>36.5976111</v>
      </c>
      <c r="F263">
        <v>-118.1848056</v>
      </c>
      <c r="G263" t="s">
        <v>770</v>
      </c>
      <c r="I263" t="s">
        <v>505</v>
      </c>
      <c r="J263">
        <f>HYPERLINK("http://maps.google.com/maps?z=10&amp;t=m&amp;q=loc:36.5976111+-118.1848056", 340)</f>
        <v>0</v>
      </c>
      <c r="K263">
        <v>102</v>
      </c>
      <c r="L263">
        <v>15</v>
      </c>
      <c r="M263">
        <v>0</v>
      </c>
      <c r="N263">
        <v>15</v>
      </c>
      <c r="O263">
        <v>15</v>
      </c>
    </row>
    <row r="264" spans="1:15">
      <c r="A264" s="1" t="s">
        <v>276</v>
      </c>
      <c r="B264" t="s">
        <v>504</v>
      </c>
      <c r="C264" t="s">
        <v>509</v>
      </c>
      <c r="D264">
        <f>HYPERLINK("http://www.reserveamerica.com/camping/lone-rock-ca/r/facilityDetails.do?contractCode=NRSO&amp;parkId=71723", "LONE ROCK (CA)")</f>
        <v>0</v>
      </c>
      <c r="E264">
        <v>40.1952778</v>
      </c>
      <c r="F264">
        <v>-120.6172222</v>
      </c>
      <c r="G264" t="s">
        <v>771</v>
      </c>
      <c r="H264" t="s">
        <v>998</v>
      </c>
      <c r="I264" t="s">
        <v>505</v>
      </c>
      <c r="J264">
        <f>HYPERLINK("http://maps.google.com/maps?z=10&amp;t=m&amp;q=loc:40.1952778+-120.6172222", 337)</f>
        <v>0</v>
      </c>
      <c r="K264">
        <v>18</v>
      </c>
      <c r="L264">
        <v>0</v>
      </c>
      <c r="M264">
        <v>0</v>
      </c>
      <c r="N264">
        <v>0</v>
      </c>
      <c r="O264">
        <v>0</v>
      </c>
    </row>
    <row r="265" spans="1:15">
      <c r="A265" s="1" t="s">
        <v>277</v>
      </c>
      <c r="B265" t="s">
        <v>504</v>
      </c>
      <c r="C265" t="s">
        <v>509</v>
      </c>
      <c r="D265">
        <f>HYPERLINK("http://www.reserveamerica.com/camping/long-meadow-group/r/facilityDetails.do?contractCode=NRSO&amp;parkId=71605", "LONG MEADOW GROUP")</f>
        <v>0</v>
      </c>
      <c r="E265">
        <v>35.9791667</v>
      </c>
      <c r="F265">
        <v>-118.5805556</v>
      </c>
      <c r="G265" t="s">
        <v>772</v>
      </c>
      <c r="I265" t="s">
        <v>505</v>
      </c>
      <c r="J265">
        <f>HYPERLINK("http://maps.google.com/maps?z=10&amp;t=m&amp;q=loc:35.9791667+-118.5805556", 332)</f>
        <v>0</v>
      </c>
      <c r="K265">
        <v>115</v>
      </c>
      <c r="L265">
        <v>1</v>
      </c>
      <c r="M265">
        <v>0</v>
      </c>
      <c r="N265">
        <v>1</v>
      </c>
      <c r="O265">
        <v>1</v>
      </c>
    </row>
    <row r="266" spans="1:15">
      <c r="A266" s="1" t="s">
        <v>278</v>
      </c>
      <c r="B266" t="s">
        <v>504</v>
      </c>
      <c r="C266" t="s">
        <v>509</v>
      </c>
      <c r="D266">
        <f>HYPERLINK("http://www.reserveamerica.com/camping/long-point-ca/r/facilityDetails.do?contractCode=NRSO&amp;parkId=71724", "LONG POINT (CA)")</f>
        <v>0</v>
      </c>
      <c r="E266">
        <v>40.1783333</v>
      </c>
      <c r="F266">
        <v>-120.5783333</v>
      </c>
      <c r="G266" t="s">
        <v>773</v>
      </c>
      <c r="H266" t="s">
        <v>998</v>
      </c>
      <c r="I266" t="s">
        <v>505</v>
      </c>
      <c r="J266">
        <f>HYPERLINK("http://maps.google.com/maps?z=10&amp;t=m&amp;q=loc:40.1783333+-120.5783333", 337)</f>
        <v>0</v>
      </c>
      <c r="K266">
        <v>19</v>
      </c>
      <c r="L266">
        <v>0</v>
      </c>
      <c r="M266">
        <v>0</v>
      </c>
      <c r="N266">
        <v>0</v>
      </c>
      <c r="O266">
        <v>0</v>
      </c>
    </row>
    <row r="267" spans="1:15">
      <c r="A267" s="1" t="s">
        <v>279</v>
      </c>
      <c r="B267" t="s">
        <v>504</v>
      </c>
      <c r="C267" t="s">
        <v>509</v>
      </c>
      <c r="D267">
        <f>HYPERLINK("http://www.reserveamerica.com/camping/lookout-campground/r/facilityDetails.do?contractCode=NRSO&amp;parkId=108733", "Lookout Campground")</f>
        <v>0</v>
      </c>
      <c r="E267">
        <v>39.5888972</v>
      </c>
      <c r="F267">
        <v>-120.0736111</v>
      </c>
      <c r="G267" t="s">
        <v>774</v>
      </c>
      <c r="I267" t="s">
        <v>505</v>
      </c>
      <c r="J267">
        <f>HYPERLINK("http://maps.google.com/maps?z=10&amp;t=m&amp;q=loc:39.5888972+-120.0736111", 297)</f>
        <v>0</v>
      </c>
      <c r="K267">
        <v>31</v>
      </c>
      <c r="L267">
        <v>0</v>
      </c>
      <c r="M267">
        <v>0</v>
      </c>
      <c r="N267">
        <v>0</v>
      </c>
      <c r="O267">
        <v>0</v>
      </c>
    </row>
    <row r="268" spans="1:15">
      <c r="A268" s="1" t="s">
        <v>280</v>
      </c>
      <c r="B268" t="s">
        <v>504</v>
      </c>
      <c r="C268" t="s">
        <v>509</v>
      </c>
      <c r="D268">
        <f>HYPERLINK("http://www.reserveamerica.com/camping/loon-lake/r/facilityDetails.do?contractCode=NRSO&amp;parkId=70293", "LOON LAKE")</f>
        <v>0</v>
      </c>
      <c r="E268">
        <v>38.9833333</v>
      </c>
      <c r="F268">
        <v>-120.33</v>
      </c>
      <c r="G268" t="s">
        <v>775</v>
      </c>
      <c r="I268" t="s">
        <v>505</v>
      </c>
      <c r="J268">
        <f>HYPERLINK("http://maps.google.com/maps?z=10&amp;t=m&amp;q=loc:38.9833333+-120.33", 229)</f>
        <v>0</v>
      </c>
      <c r="K268">
        <v>36</v>
      </c>
      <c r="L268">
        <v>0</v>
      </c>
      <c r="M268">
        <v>0</v>
      </c>
      <c r="N268">
        <v>0</v>
      </c>
      <c r="O268">
        <v>0</v>
      </c>
    </row>
    <row r="269" spans="1:15">
      <c r="A269" s="1" t="s">
        <v>281</v>
      </c>
      <c r="B269" t="s">
        <v>504</v>
      </c>
      <c r="C269" t="s">
        <v>509</v>
      </c>
      <c r="D269">
        <f>HYPERLINK("http://www.reserveamerica.com/camping/los-prietos/r/facilityDetails.do?contractCode=NRSO&amp;parkId=73962", "LOS PRIETOS")</f>
        <v>0</v>
      </c>
      <c r="E269">
        <v>34.5416667</v>
      </c>
      <c r="F269">
        <v>-119.8091667</v>
      </c>
      <c r="G269" t="s">
        <v>776</v>
      </c>
      <c r="I269" t="s">
        <v>505</v>
      </c>
      <c r="J269">
        <f>HYPERLINK("http://maps.google.com/maps?z=10&amp;t=m&amp;q=loc:34.5416667+-119.8091667", 362)</f>
        <v>0</v>
      </c>
      <c r="K269">
        <v>148</v>
      </c>
      <c r="L269">
        <v>16</v>
      </c>
      <c r="M269">
        <v>0</v>
      </c>
      <c r="N269">
        <v>16</v>
      </c>
      <c r="O269">
        <v>16</v>
      </c>
    </row>
    <row r="270" spans="1:15">
      <c r="A270" s="1" t="s">
        <v>282</v>
      </c>
      <c r="B270" t="s">
        <v>504</v>
      </c>
      <c r="C270" t="s">
        <v>509</v>
      </c>
      <c r="D270">
        <f>HYPERLINK("http://www.reserveamerica.com/camping/lost-claim/r/facilityDetails.do?contractCode=NRSO&amp;parkId=110538", "LOST CLAIM")</f>
        <v>0</v>
      </c>
      <c r="E270">
        <v>37.8211111</v>
      </c>
      <c r="F270">
        <v>-120.0486111</v>
      </c>
      <c r="G270" t="s">
        <v>777</v>
      </c>
      <c r="I270" t="s">
        <v>505</v>
      </c>
      <c r="J270">
        <f>HYPERLINK("http://maps.google.com/maps?z=10&amp;t=m&amp;q=loc:37.8211111+-120.0486111", 172)</f>
        <v>0</v>
      </c>
      <c r="K270">
        <v>70</v>
      </c>
      <c r="L270">
        <v>0</v>
      </c>
      <c r="M270">
        <v>0</v>
      </c>
      <c r="N270">
        <v>0</v>
      </c>
      <c r="O270">
        <v>0</v>
      </c>
    </row>
    <row r="271" spans="1:15">
      <c r="A271" s="1" t="s">
        <v>283</v>
      </c>
      <c r="B271" t="s">
        <v>504</v>
      </c>
      <c r="C271" t="s">
        <v>509</v>
      </c>
      <c r="E271">
        <v>40.5625</v>
      </c>
      <c r="F271">
        <v>-121.5166667</v>
      </c>
      <c r="G271" t="s">
        <v>778</v>
      </c>
      <c r="I271" t="s">
        <v>505</v>
      </c>
      <c r="J271">
        <f>HYPERLINK("http://maps.google.com/maps?z=10&amp;t=m&amp;q=loc:40.5625+-121.5166667", 361)</f>
        <v>0</v>
      </c>
      <c r="K271">
        <v>5</v>
      </c>
      <c r="L271">
        <v>0</v>
      </c>
      <c r="M271">
        <v>0</v>
      </c>
      <c r="N271">
        <v>0</v>
      </c>
      <c r="O271">
        <v>0</v>
      </c>
    </row>
    <row r="272" spans="1:15">
      <c r="A272" s="1" t="s">
        <v>284</v>
      </c>
      <c r="B272" t="s">
        <v>504</v>
      </c>
      <c r="C272" t="s">
        <v>509</v>
      </c>
      <c r="D272">
        <f>HYPERLINK("http://www.reserveamerica.com/camping/lower-billy-creek/r/facilityDetails.do?contractCode=NRSO&amp;parkId=71714", "LOWER BILLY CREEK")</f>
        <v>0</v>
      </c>
      <c r="E272">
        <v>37.2380556</v>
      </c>
      <c r="F272">
        <v>-119.2277778</v>
      </c>
      <c r="G272" t="s">
        <v>779</v>
      </c>
      <c r="H272" t="s">
        <v>998</v>
      </c>
      <c r="I272" t="s">
        <v>505</v>
      </c>
      <c r="J272">
        <f>HYPERLINK("http://maps.google.com/maps?z=10&amp;t=m&amp;q=loc:37.2380556+-119.2277778", 237)</f>
        <v>0</v>
      </c>
      <c r="K272">
        <v>91</v>
      </c>
      <c r="L272">
        <v>3</v>
      </c>
      <c r="M272">
        <v>0</v>
      </c>
      <c r="N272">
        <v>3</v>
      </c>
      <c r="O272">
        <v>3</v>
      </c>
    </row>
    <row r="273" spans="1:15">
      <c r="A273" s="1" t="s">
        <v>285</v>
      </c>
      <c r="B273" t="s">
        <v>504</v>
      </c>
      <c r="C273" t="s">
        <v>509</v>
      </c>
      <c r="D273">
        <f>HYPERLINK("http://www.reserveamerica.com/camping/lower-little-truckee/r/facilityDetails.do?contractCode=NRSO&amp;parkId=71717", "LOWER LITTLE TRUCKEE")</f>
        <v>0</v>
      </c>
      <c r="E273">
        <v>39.4855556</v>
      </c>
      <c r="F273">
        <v>-120.2363889</v>
      </c>
      <c r="G273" t="s">
        <v>780</v>
      </c>
      <c r="I273" t="s">
        <v>505</v>
      </c>
      <c r="J273">
        <f>HYPERLINK("http://maps.google.com/maps?z=10&amp;t=m&amp;q=loc:39.4855556+-120.2363889", 280)</f>
        <v>0</v>
      </c>
      <c r="K273">
        <v>30</v>
      </c>
      <c r="L273">
        <v>14</v>
      </c>
      <c r="M273">
        <v>0</v>
      </c>
      <c r="N273">
        <v>14</v>
      </c>
      <c r="O273">
        <v>14</v>
      </c>
    </row>
    <row r="274" spans="1:15">
      <c r="A274" s="1" t="s">
        <v>286</v>
      </c>
      <c r="B274" t="s">
        <v>504</v>
      </c>
      <c r="C274" t="s">
        <v>509</v>
      </c>
      <c r="D274">
        <f>HYPERLINK("http://www.reserveamerica.com/camping/lower-pines/r/facilityDetails.do?contractCode=NRSO&amp;parkId=70928", "LOWER PINES")</f>
        <v>0</v>
      </c>
      <c r="E274">
        <v>37.7408333</v>
      </c>
      <c r="F274">
        <v>-119.5666667</v>
      </c>
      <c r="G274" t="s">
        <v>781</v>
      </c>
      <c r="I274" t="s">
        <v>505</v>
      </c>
      <c r="J274">
        <f>HYPERLINK("http://maps.google.com/maps?z=10&amp;t=m&amp;q=loc:37.7408333+-119.5666667", 211)</f>
        <v>0</v>
      </c>
      <c r="K274">
        <v>76</v>
      </c>
      <c r="L274">
        <v>0</v>
      </c>
      <c r="M274">
        <v>0</v>
      </c>
      <c r="N274">
        <v>0</v>
      </c>
      <c r="O274">
        <v>0</v>
      </c>
    </row>
    <row r="275" spans="1:15">
      <c r="A275" s="1" t="s">
        <v>287</v>
      </c>
      <c r="B275" t="s">
        <v>504</v>
      </c>
      <c r="C275" t="s">
        <v>509</v>
      </c>
      <c r="D275">
        <f>HYPERLINK("http://www.reserveamerica.com/camping/lower-twin-lakes-at-bridgeport/r/facilityDetails.do?contractCode=NRSO&amp;parkId=70352", "LOWER TWIN LAKES AT BRIDGEPORT")</f>
        <v>0</v>
      </c>
      <c r="E275">
        <v>38.1727778</v>
      </c>
      <c r="F275">
        <v>-119.3311111</v>
      </c>
      <c r="G275" t="s">
        <v>782</v>
      </c>
      <c r="I275" t="s">
        <v>505</v>
      </c>
      <c r="J275">
        <f>HYPERLINK("http://maps.google.com/maps?z=10&amp;t=m&amp;q=loc:38.1727778+-119.3311111", 244)</f>
        <v>0</v>
      </c>
      <c r="K275">
        <v>66</v>
      </c>
      <c r="L275">
        <v>0</v>
      </c>
      <c r="M275">
        <v>0</v>
      </c>
      <c r="N275">
        <v>0</v>
      </c>
      <c r="O275">
        <v>0</v>
      </c>
    </row>
    <row r="276" spans="1:15">
      <c r="A276" s="1" t="s">
        <v>288</v>
      </c>
      <c r="B276" t="s">
        <v>504</v>
      </c>
      <c r="C276" t="s">
        <v>509</v>
      </c>
      <c r="D276">
        <f>HYPERLINK("http://www.reserveamerica.com/camping/lupine/r/facilityDetails.do?contractCode=NRSO&amp;parkId=71579", "LUPINE")</f>
        <v>0</v>
      </c>
      <c r="E276">
        <v>37.3077778</v>
      </c>
      <c r="F276">
        <v>-119.5441667</v>
      </c>
      <c r="G276" t="s">
        <v>783</v>
      </c>
      <c r="I276" t="s">
        <v>505</v>
      </c>
      <c r="J276">
        <f>HYPERLINK("http://maps.google.com/maps?z=10&amp;t=m&amp;q=loc:37.3077778+-119.5441667", 208)</f>
        <v>0</v>
      </c>
      <c r="K276">
        <v>89</v>
      </c>
      <c r="L276">
        <v>34</v>
      </c>
      <c r="M276">
        <v>0</v>
      </c>
      <c r="N276">
        <v>34</v>
      </c>
      <c r="O276">
        <v>34</v>
      </c>
    </row>
    <row r="277" spans="1:15">
      <c r="A277" s="1" t="s">
        <v>289</v>
      </c>
      <c r="B277" t="s">
        <v>505</v>
      </c>
      <c r="C277" t="s">
        <v>510</v>
      </c>
      <c r="D277">
        <f>HYPERLINK("http://www.reserveamerica.com/camping/mackerricher-sp/r/facilityDetails.do?contractCode=CA&amp;parkId=120049", "MACKERRICHER SP")</f>
        <v>0</v>
      </c>
      <c r="E277">
        <v>39.4933333</v>
      </c>
      <c r="F277">
        <v>-123.7925</v>
      </c>
      <c r="G277" t="s">
        <v>784</v>
      </c>
      <c r="I277" t="s">
        <v>505</v>
      </c>
      <c r="J277">
        <f>HYPERLINK("http://maps.google.com/maps?z=10&amp;t=m&amp;q=loc:39.4933333+-123.7925", 291)</f>
        <v>0</v>
      </c>
      <c r="K277">
        <v>326</v>
      </c>
      <c r="L277">
        <v>0</v>
      </c>
      <c r="M277">
        <v>0</v>
      </c>
      <c r="N277">
        <v>0</v>
      </c>
      <c r="O277">
        <v>0</v>
      </c>
    </row>
    <row r="278" spans="1:15">
      <c r="A278" s="1" t="s">
        <v>290</v>
      </c>
      <c r="B278" t="s">
        <v>505</v>
      </c>
      <c r="C278" t="s">
        <v>510</v>
      </c>
      <c r="D278">
        <f>HYPERLINK("http://www.reserveamerica.com/camping/malakoff-diggins-shp/r/facilityDetails.do?contractCode=CA&amp;parkId=120050", "MALAKOFF DIGGINS SHP")</f>
        <v>0</v>
      </c>
      <c r="E278">
        <v>39.3738889</v>
      </c>
      <c r="F278">
        <v>-120.9136111</v>
      </c>
      <c r="G278" t="s">
        <v>785</v>
      </c>
      <c r="I278" t="s">
        <v>505</v>
      </c>
      <c r="J278">
        <f>HYPERLINK("http://maps.google.com/maps?z=10&amp;t=m&amp;q=loc:39.3738889+-120.9136111", 243)</f>
        <v>0</v>
      </c>
      <c r="K278">
        <v>20</v>
      </c>
      <c r="L278">
        <v>28</v>
      </c>
      <c r="M278">
        <v>0</v>
      </c>
      <c r="N278">
        <v>28</v>
      </c>
      <c r="O278">
        <v>28</v>
      </c>
    </row>
    <row r="279" spans="1:15">
      <c r="A279" s="1" t="s">
        <v>291</v>
      </c>
      <c r="B279" t="s">
        <v>505</v>
      </c>
      <c r="C279" t="s">
        <v>510</v>
      </c>
      <c r="D279">
        <f>HYPERLINK("http://www.reserveamerica.com/camping/malibu-creek-sp/r/facilityDetails.do?contractCode=CA&amp;parkId=120051", "MALIBU CREEK SP")</f>
        <v>0</v>
      </c>
      <c r="E279">
        <v>34.1033333</v>
      </c>
      <c r="F279">
        <v>-118.7330556</v>
      </c>
      <c r="G279" t="s">
        <v>786</v>
      </c>
      <c r="I279" t="s">
        <v>505</v>
      </c>
      <c r="J279">
        <f>HYPERLINK("http://maps.google.com/maps?z=10&amp;t=m&amp;q=loc:34.1033333+-118.7330556", 458)</f>
        <v>0</v>
      </c>
      <c r="K279">
        <v>140</v>
      </c>
      <c r="L279">
        <v>0</v>
      </c>
      <c r="M279">
        <v>0</v>
      </c>
      <c r="N279">
        <v>0</v>
      </c>
      <c r="O279">
        <v>0</v>
      </c>
    </row>
    <row r="280" spans="1:15">
      <c r="A280" s="1" t="s">
        <v>292</v>
      </c>
      <c r="B280" t="s">
        <v>504</v>
      </c>
      <c r="C280" t="s">
        <v>509</v>
      </c>
      <c r="D280">
        <f>HYPERLINK("http://www.reserveamerica.com/camping/mammoth-pool/r/facilityDetails.do?contractCode=NRSO&amp;parkId=71597", "MAMMOTH POOL")</f>
        <v>0</v>
      </c>
      <c r="E280">
        <v>37.3441667</v>
      </c>
      <c r="F280">
        <v>-119.3311111</v>
      </c>
      <c r="G280" t="s">
        <v>787</v>
      </c>
      <c r="I280" t="s">
        <v>505</v>
      </c>
      <c r="J280">
        <f>HYPERLINK("http://maps.google.com/maps?z=10&amp;t=m&amp;q=loc:37.3441667+-119.3311111", 227)</f>
        <v>0</v>
      </c>
      <c r="K280">
        <v>88</v>
      </c>
      <c r="L280">
        <v>0</v>
      </c>
      <c r="M280">
        <v>0</v>
      </c>
      <c r="N280">
        <v>0</v>
      </c>
      <c r="O280">
        <v>0</v>
      </c>
    </row>
    <row r="281" spans="1:15">
      <c r="A281" s="1" t="s">
        <v>293</v>
      </c>
      <c r="B281" t="s">
        <v>505</v>
      </c>
      <c r="C281" t="s">
        <v>510</v>
      </c>
      <c r="E281">
        <v>38.9738889</v>
      </c>
      <c r="F281">
        <v>-123.7113889</v>
      </c>
      <c r="G281" t="s">
        <v>788</v>
      </c>
      <c r="I281" t="s">
        <v>505</v>
      </c>
      <c r="J281">
        <f>HYPERLINK("http://maps.google.com/maps?z=10&amp;t=m&amp;q=loc:38.9738889+-123.7113889", 241)</f>
        <v>0</v>
      </c>
      <c r="K281">
        <v>319</v>
      </c>
      <c r="L281">
        <v>0</v>
      </c>
      <c r="M281">
        <v>0</v>
      </c>
      <c r="N281">
        <v>0</v>
      </c>
      <c r="O281">
        <v>0</v>
      </c>
    </row>
    <row r="282" spans="1:15">
      <c r="A282" s="1" t="s">
        <v>294</v>
      </c>
      <c r="B282" t="s">
        <v>505</v>
      </c>
      <c r="C282" t="s">
        <v>510</v>
      </c>
      <c r="D282">
        <f>HYPERLINK("http://www.reserveamerica.com/camping/manresa-sb/r/facilityDetails.do?contractCode=CA&amp;parkId=120053", "MANRESA SB")</f>
        <v>0</v>
      </c>
      <c r="E282">
        <v>36.9241667</v>
      </c>
      <c r="F282">
        <v>-121.8555556</v>
      </c>
      <c r="G282" t="s">
        <v>789</v>
      </c>
      <c r="I282" t="s">
        <v>505</v>
      </c>
      <c r="J282">
        <f>HYPERLINK("http://maps.google.com/maps?z=10&amp;t=m&amp;q=loc:36.9241667+-121.8555556", 45)</f>
        <v>0</v>
      </c>
      <c r="K282">
        <v>174</v>
      </c>
      <c r="L282">
        <v>0</v>
      </c>
      <c r="M282">
        <v>0</v>
      </c>
      <c r="N282">
        <v>0</v>
      </c>
      <c r="O282">
        <v>0</v>
      </c>
    </row>
    <row r="283" spans="1:15">
      <c r="A283" s="1" t="s">
        <v>295</v>
      </c>
      <c r="B283" t="s">
        <v>504</v>
      </c>
      <c r="C283" t="s">
        <v>509</v>
      </c>
      <c r="D283">
        <f>HYPERLINK("http://www.reserveamerica.com/camping/manzanita-lake/r/facilityDetails.do?contractCode=NRSO&amp;parkId=74045", "MANZANITA LAKE")</f>
        <v>0</v>
      </c>
      <c r="E283">
        <v>40.5291667</v>
      </c>
      <c r="F283">
        <v>-121.5638889</v>
      </c>
      <c r="G283" t="s">
        <v>790</v>
      </c>
      <c r="I283" t="s">
        <v>505</v>
      </c>
      <c r="J283">
        <f>HYPERLINK("http://maps.google.com/maps?z=10&amp;t=m&amp;q=loc:40.5291667+-121.5638889", 356)</f>
        <v>0</v>
      </c>
      <c r="K283">
        <v>4</v>
      </c>
      <c r="L283">
        <v>38</v>
      </c>
      <c r="M283">
        <v>0</v>
      </c>
      <c r="N283">
        <v>38</v>
      </c>
      <c r="O283">
        <v>38</v>
      </c>
    </row>
    <row r="284" spans="1:15">
      <c r="A284" s="1" t="s">
        <v>296</v>
      </c>
      <c r="B284" t="s">
        <v>504</v>
      </c>
      <c r="C284" t="s">
        <v>509</v>
      </c>
      <c r="D284">
        <f>HYPERLINK("http://www.reserveamerica.com/camping/marion-mountain/r/facilityDetails.do?contractCode=NRSO&amp;parkId=70178", "MARION MOUNTAIN")</f>
        <v>0</v>
      </c>
      <c r="E284">
        <v>33.7916667</v>
      </c>
      <c r="F284">
        <v>-116.7319444</v>
      </c>
      <c r="G284" t="s">
        <v>791</v>
      </c>
      <c r="I284" t="s">
        <v>505</v>
      </c>
      <c r="J284">
        <f>HYPERLINK("http://maps.google.com/maps?z=10&amp;t=m&amp;q=loc:33.7916667+-116.7319444", 610)</f>
        <v>0</v>
      </c>
      <c r="K284">
        <v>128</v>
      </c>
      <c r="L284">
        <v>5</v>
      </c>
      <c r="M284">
        <v>0</v>
      </c>
      <c r="N284">
        <v>5</v>
      </c>
      <c r="O284">
        <v>5</v>
      </c>
    </row>
    <row r="285" spans="1:15">
      <c r="A285" s="1" t="s">
        <v>297</v>
      </c>
      <c r="B285" t="s">
        <v>504</v>
      </c>
      <c r="C285" t="s">
        <v>509</v>
      </c>
      <c r="D285">
        <f>HYPERLINK("http://www.reserveamerica.com/camping/mary-smith-campground/r/facilityDetails.do?contractCode=NRSO&amp;parkId=72375", "MARY SMITH CAMPGROUND")</f>
        <v>0</v>
      </c>
      <c r="E285">
        <v>40.9261111</v>
      </c>
      <c r="F285">
        <v>-122.9152778</v>
      </c>
      <c r="G285" t="s">
        <v>792</v>
      </c>
      <c r="I285" t="s">
        <v>505</v>
      </c>
      <c r="J285">
        <f>HYPERLINK("http://maps.google.com/maps?z=10&amp;t=m&amp;q=loc:40.9261111+-122.9152778", 409)</f>
        <v>0</v>
      </c>
      <c r="K285">
        <v>348</v>
      </c>
      <c r="L285">
        <v>12</v>
      </c>
      <c r="M285">
        <v>0</v>
      </c>
      <c r="N285">
        <v>12</v>
      </c>
      <c r="O285">
        <v>12</v>
      </c>
    </row>
    <row r="286" spans="1:15">
      <c r="A286" s="1" t="s">
        <v>298</v>
      </c>
      <c r="B286" t="s">
        <v>505</v>
      </c>
      <c r="C286" t="s">
        <v>510</v>
      </c>
      <c r="D286">
        <f>HYPERLINK("http://www.reserveamerica.com/camping/mcarthurburney-falls-mem-sp/r/facilityDetails.do?contractCode=CA&amp;parkId=120054", "MCARTHUR-BURNEY FALLS MEM SP")</f>
        <v>0</v>
      </c>
      <c r="E286">
        <v>41.0188889</v>
      </c>
      <c r="F286">
        <v>-121.6502778</v>
      </c>
      <c r="G286" t="s">
        <v>793</v>
      </c>
      <c r="I286" t="s">
        <v>505</v>
      </c>
      <c r="J286">
        <f>HYPERLINK("http://maps.google.com/maps?z=10&amp;t=m&amp;q=loc:41.0188889+-121.6502778", 410)</f>
        <v>0</v>
      </c>
      <c r="K286">
        <v>2</v>
      </c>
      <c r="L286">
        <v>0</v>
      </c>
      <c r="M286">
        <v>0</v>
      </c>
      <c r="N286">
        <v>0</v>
      </c>
      <c r="O286">
        <v>0</v>
      </c>
    </row>
    <row r="287" spans="1:15">
      <c r="A287" s="1" t="s">
        <v>299</v>
      </c>
      <c r="B287" t="s">
        <v>505</v>
      </c>
      <c r="C287" t="s">
        <v>510</v>
      </c>
      <c r="D287">
        <f>HYPERLINK("http://www.reserveamerica.com/camping/mcconnell-sra/r/facilityDetails.do?contractCode=CA&amp;parkId=120055", "MCCONNELL SRA")</f>
        <v>0</v>
      </c>
      <c r="E287">
        <v>37.4152778</v>
      </c>
      <c r="F287">
        <v>-120.71</v>
      </c>
      <c r="G287" t="s">
        <v>794</v>
      </c>
      <c r="I287" t="s">
        <v>505</v>
      </c>
      <c r="J287">
        <f>HYPERLINK("http://maps.google.com/maps?z=10&amp;t=m&amp;q=loc:37.4152778+-120.71", 106)</f>
        <v>0</v>
      </c>
      <c r="K287">
        <v>84</v>
      </c>
      <c r="L287">
        <v>17</v>
      </c>
      <c r="M287">
        <v>0</v>
      </c>
      <c r="N287">
        <v>17</v>
      </c>
      <c r="O287">
        <v>17</v>
      </c>
    </row>
    <row r="288" spans="1:15">
      <c r="A288" s="1" t="s">
        <v>300</v>
      </c>
      <c r="B288" t="s">
        <v>504</v>
      </c>
      <c r="C288" t="s">
        <v>509</v>
      </c>
      <c r="D288">
        <f>HYPERLINK("http://www.reserveamerica.com/camping/mcgee-creek/r/facilityDetails.do?contractCode=NRSO&amp;parkId=70520", "MCGEE CREEK")</f>
        <v>0</v>
      </c>
      <c r="E288">
        <v>37.5644444</v>
      </c>
      <c r="F288">
        <v>-118.7847222</v>
      </c>
      <c r="G288" t="s">
        <v>795</v>
      </c>
      <c r="I288" t="s">
        <v>505</v>
      </c>
      <c r="J288">
        <f>HYPERLINK("http://maps.google.com/maps?z=10&amp;t=m&amp;q=loc:37.5644444+-118.7847222", 276)</f>
        <v>0</v>
      </c>
      <c r="K288">
        <v>83</v>
      </c>
      <c r="L288">
        <v>14</v>
      </c>
      <c r="M288">
        <v>0</v>
      </c>
      <c r="N288">
        <v>14</v>
      </c>
      <c r="O288">
        <v>14</v>
      </c>
    </row>
    <row r="289" spans="1:15">
      <c r="A289" s="1" t="s">
        <v>301</v>
      </c>
      <c r="B289" t="s">
        <v>504</v>
      </c>
      <c r="C289" t="s">
        <v>509</v>
      </c>
      <c r="D289">
        <f>HYPERLINK("http://www.reserveamerica.com/camping/mcgill-campground/r/facilityDetails.do?contractCode=NRSO&amp;parkId=70166", "MCGILL CAMPGROUND")</f>
        <v>0</v>
      </c>
      <c r="E289">
        <v>34.8155556</v>
      </c>
      <c r="F289">
        <v>-119.0983333</v>
      </c>
      <c r="G289" t="s">
        <v>796</v>
      </c>
      <c r="I289" t="s">
        <v>505</v>
      </c>
      <c r="J289">
        <f>HYPERLINK("http://maps.google.com/maps?z=10&amp;t=m&amp;q=loc:34.8155556+-119.0983333", 376)</f>
        <v>0</v>
      </c>
      <c r="K289">
        <v>137</v>
      </c>
      <c r="L289">
        <v>0</v>
      </c>
      <c r="M289">
        <v>0</v>
      </c>
      <c r="N289">
        <v>0</v>
      </c>
      <c r="O289">
        <v>0</v>
      </c>
    </row>
    <row r="290" spans="1:15">
      <c r="A290" s="1" t="s">
        <v>302</v>
      </c>
      <c r="B290" t="s">
        <v>505</v>
      </c>
      <c r="C290" t="s">
        <v>510</v>
      </c>
      <c r="D290">
        <f>HYPERLINK("http://www.reserveamerica.com/camping/mcgrath-sb/r/facilityDetails.do?contractCode=CA&amp;parkId=120056", "MCGRATH SB")</f>
        <v>0</v>
      </c>
      <c r="E290">
        <v>34.2263889</v>
      </c>
      <c r="F290">
        <v>-119.2613889</v>
      </c>
      <c r="G290" t="s">
        <v>797</v>
      </c>
      <c r="I290" t="s">
        <v>505</v>
      </c>
      <c r="J290">
        <f>HYPERLINK("http://maps.google.com/maps?z=10&amp;t=m&amp;q=loc:34.2263889+-119.2613889", 419)</f>
        <v>0</v>
      </c>
      <c r="K290">
        <v>144</v>
      </c>
      <c r="L290">
        <v>0</v>
      </c>
      <c r="M290">
        <v>0</v>
      </c>
      <c r="N290">
        <v>0</v>
      </c>
      <c r="O290">
        <v>0</v>
      </c>
    </row>
    <row r="291" spans="1:15">
      <c r="A291" s="1" t="s">
        <v>303</v>
      </c>
      <c r="B291" t="s">
        <v>504</v>
      </c>
      <c r="C291" t="s">
        <v>509</v>
      </c>
      <c r="D291">
        <f>HYPERLINK("http://www.reserveamerica.com/camping/meeks-bay/r/facilityDetails.do?contractCode=NRSO&amp;parkId=71664", "MEEKS BAY")</f>
        <v>0</v>
      </c>
      <c r="E291">
        <v>39.0377778</v>
      </c>
      <c r="F291">
        <v>-120.1236111</v>
      </c>
      <c r="G291" t="s">
        <v>798</v>
      </c>
      <c r="I291" t="s">
        <v>505</v>
      </c>
      <c r="J291">
        <f>HYPERLINK("http://maps.google.com/maps?z=10&amp;t=m&amp;q=loc:39.0377778+-120.1236111", 245)</f>
        <v>0</v>
      </c>
      <c r="K291">
        <v>38</v>
      </c>
      <c r="L291">
        <v>8</v>
      </c>
      <c r="M291">
        <v>0</v>
      </c>
      <c r="N291">
        <v>8</v>
      </c>
      <c r="O291">
        <v>8</v>
      </c>
    </row>
    <row r="292" spans="1:15">
      <c r="A292" s="1" t="s">
        <v>304</v>
      </c>
      <c r="B292" t="s">
        <v>504</v>
      </c>
      <c r="C292" t="s">
        <v>509</v>
      </c>
      <c r="D292">
        <f>HYPERLINK("http://www.reserveamerica.com/camping/merrill-campground/r/facilityDetails.do?contractCode=NRSO&amp;parkId=71706", "MERRILL CAMPGROUND")</f>
        <v>0</v>
      </c>
      <c r="E292">
        <v>40.5481194</v>
      </c>
      <c r="F292">
        <v>-120.8120056</v>
      </c>
      <c r="G292" t="s">
        <v>799</v>
      </c>
      <c r="I292" t="s">
        <v>505</v>
      </c>
      <c r="J292">
        <f>HYPERLINK("http://maps.google.com/maps?z=10&amp;t=m&amp;q=loc:40.5481194+-120.8120056", 370)</f>
        <v>0</v>
      </c>
      <c r="K292">
        <v>14</v>
      </c>
      <c r="L292">
        <v>0</v>
      </c>
      <c r="M292">
        <v>0</v>
      </c>
      <c r="N292">
        <v>0</v>
      </c>
      <c r="O292">
        <v>0</v>
      </c>
    </row>
    <row r="293" spans="1:15">
      <c r="A293" s="1" t="s">
        <v>305</v>
      </c>
      <c r="B293" t="s">
        <v>504</v>
      </c>
      <c r="C293" t="s">
        <v>509</v>
      </c>
      <c r="D293">
        <f>HYPERLINK("http://www.reserveamerica.com/camping/middle-meadows/r/facilityDetails.do?contractCode=NRSO&amp;parkId=70151", "MIDDLE MEADOWS")</f>
        <v>0</v>
      </c>
      <c r="E293">
        <v>39.0511111</v>
      </c>
      <c r="F293">
        <v>-120.4661111</v>
      </c>
      <c r="G293" t="s">
        <v>800</v>
      </c>
      <c r="I293" t="s">
        <v>505</v>
      </c>
      <c r="J293">
        <f>HYPERLINK("http://maps.google.com/maps?z=10&amp;t=m&amp;q=loc:39.0511111+-120.4661111", 229)</f>
        <v>0</v>
      </c>
      <c r="K293">
        <v>32</v>
      </c>
      <c r="L293">
        <v>0</v>
      </c>
      <c r="M293">
        <v>0</v>
      </c>
      <c r="N293">
        <v>0</v>
      </c>
      <c r="O293">
        <v>0</v>
      </c>
    </row>
    <row r="294" spans="1:15">
      <c r="A294" s="1" t="s">
        <v>306</v>
      </c>
      <c r="B294" t="s">
        <v>505</v>
      </c>
      <c r="C294" t="s">
        <v>510</v>
      </c>
      <c r="D294">
        <f>HYPERLINK("http://www.reserveamerica.com/camping/millerton-lake-sra/r/facilityDetails.do?contractCode=CA&amp;parkId=120057", "MILLERTON LAKE SRA")</f>
        <v>0</v>
      </c>
      <c r="E294">
        <v>37.0202778</v>
      </c>
      <c r="F294">
        <v>-119.6669444</v>
      </c>
      <c r="G294" t="s">
        <v>801</v>
      </c>
      <c r="I294" t="s">
        <v>505</v>
      </c>
      <c r="J294">
        <f>HYPERLINK("http://maps.google.com/maps?z=10&amp;t=m&amp;q=loc:37.0202778+-119.6669444", 201)</f>
        <v>0</v>
      </c>
      <c r="K294">
        <v>99</v>
      </c>
      <c r="L294">
        <v>133</v>
      </c>
      <c r="M294">
        <v>7</v>
      </c>
      <c r="N294">
        <v>126</v>
      </c>
      <c r="O294">
        <v>126</v>
      </c>
    </row>
    <row r="295" spans="1:15">
      <c r="A295" s="1" t="s">
        <v>307</v>
      </c>
      <c r="B295" t="s">
        <v>504</v>
      </c>
      <c r="C295" t="s">
        <v>509</v>
      </c>
      <c r="D295">
        <f>HYPERLINK("http://www.reserveamerica.com/camping/minersville-campground/r/facilityDetails.do?contractCode=NRSO&amp;parkId=72378", "MINERSVILLE CAMPGROUND")</f>
        <v>0</v>
      </c>
      <c r="E295">
        <v>40.8516667</v>
      </c>
      <c r="F295">
        <v>-122.8113889</v>
      </c>
      <c r="G295" t="s">
        <v>802</v>
      </c>
      <c r="I295" t="s">
        <v>505</v>
      </c>
      <c r="J295">
        <f>HYPERLINK("http://maps.google.com/maps?z=10&amp;t=m&amp;q=loc:40.8516667+-122.8113889", 399)</f>
        <v>0</v>
      </c>
      <c r="K295">
        <v>349</v>
      </c>
      <c r="L295">
        <v>0</v>
      </c>
      <c r="M295">
        <v>0</v>
      </c>
      <c r="N295">
        <v>0</v>
      </c>
      <c r="O295">
        <v>0</v>
      </c>
    </row>
    <row r="296" spans="1:15">
      <c r="A296" s="1" t="s">
        <v>308</v>
      </c>
      <c r="B296" t="s">
        <v>508</v>
      </c>
      <c r="C296" t="s">
        <v>511</v>
      </c>
      <c r="D296">
        <f>HYPERLINK("http://www.reserveamerica.com/camping/modesto-reservoir-regional-park/r/facilityDetails.do?contractCode=STAN&amp;parkId=1040011", "MODESTO RESERVOIR REGIONAL PARK")</f>
        <v>0</v>
      </c>
      <c r="E296">
        <v>37.6597222</v>
      </c>
      <c r="F296">
        <v>-120.6555556</v>
      </c>
      <c r="G296" t="s">
        <v>803</v>
      </c>
      <c r="H296" t="s">
        <v>1000</v>
      </c>
      <c r="I296" t="s">
        <v>505</v>
      </c>
      <c r="J296">
        <f>HYPERLINK("http://maps.google.com/maps?z=10&amp;t=m&amp;q=loc:37.6597222+-120.6555556", 116)</f>
        <v>0</v>
      </c>
      <c r="K296">
        <v>71</v>
      </c>
      <c r="L296">
        <v>76</v>
      </c>
      <c r="M296">
        <v>2</v>
      </c>
      <c r="N296">
        <v>74</v>
      </c>
      <c r="O296">
        <v>74</v>
      </c>
    </row>
    <row r="297" spans="1:15">
      <c r="A297" s="1" t="s">
        <v>309</v>
      </c>
      <c r="B297" t="s">
        <v>504</v>
      </c>
      <c r="C297" t="s">
        <v>509</v>
      </c>
      <c r="D297">
        <f>HYPERLINK("http://www.reserveamerica.com/camping/mono-creek/r/facilityDetails.do?contractCode=NRSO&amp;parkId=71582", "MONO CREEK")</f>
        <v>0</v>
      </c>
      <c r="E297">
        <v>37.3586111</v>
      </c>
      <c r="F297">
        <v>-118.9975</v>
      </c>
      <c r="G297" t="s">
        <v>804</v>
      </c>
      <c r="I297" t="s">
        <v>505</v>
      </c>
      <c r="J297">
        <f>HYPERLINK("http://maps.google.com/maps?z=10&amp;t=m&amp;q=loc:37.3586111+-118.9975", 256)</f>
        <v>0</v>
      </c>
      <c r="K297">
        <v>88</v>
      </c>
      <c r="L297">
        <v>11</v>
      </c>
      <c r="M297">
        <v>0</v>
      </c>
      <c r="N297">
        <v>11</v>
      </c>
      <c r="O297">
        <v>11</v>
      </c>
    </row>
    <row r="298" spans="1:15">
      <c r="A298" s="1" t="s">
        <v>310</v>
      </c>
      <c r="B298" t="s">
        <v>504</v>
      </c>
      <c r="C298" t="s">
        <v>509</v>
      </c>
      <c r="D298">
        <f>HYPERLINK("http://www.reserveamerica.com/camping/mono-hot-springs/r/facilityDetails.do?contractCode=NRSO&amp;parkId=71583", "MONO HOT SPRINGS")</f>
        <v>0</v>
      </c>
      <c r="E298">
        <v>37.3263889</v>
      </c>
      <c r="F298">
        <v>-119.0177778</v>
      </c>
      <c r="G298" t="s">
        <v>805</v>
      </c>
      <c r="I298" t="s">
        <v>505</v>
      </c>
      <c r="J298">
        <f>HYPERLINK("http://maps.google.com/maps?z=10&amp;t=m&amp;q=loc:37.3263889+-119.0177778", 255)</f>
        <v>0</v>
      </c>
      <c r="K298">
        <v>89</v>
      </c>
      <c r="L298">
        <v>0</v>
      </c>
      <c r="M298">
        <v>0</v>
      </c>
      <c r="N298">
        <v>0</v>
      </c>
      <c r="O298">
        <v>0</v>
      </c>
    </row>
    <row r="299" spans="1:15">
      <c r="A299" s="1" t="s">
        <v>311</v>
      </c>
      <c r="B299" t="s">
        <v>505</v>
      </c>
      <c r="C299" t="s">
        <v>510</v>
      </c>
      <c r="D299">
        <f>HYPERLINK("http://www.reserveamerica.com/camping/montana-de-oro-sp/r/facilityDetails.do?contractCode=CA&amp;parkId=120058", "MONTANA DE ORO SP")</f>
        <v>0</v>
      </c>
      <c r="E299">
        <v>35.2638889</v>
      </c>
      <c r="F299">
        <v>-120.8622222</v>
      </c>
      <c r="G299" t="s">
        <v>806</v>
      </c>
      <c r="I299" t="s">
        <v>505</v>
      </c>
      <c r="J299">
        <f>HYPERLINK("http://maps.google.com/maps?z=10&amp;t=m&amp;q=loc:35.2638889+-120.8622222", 247)</f>
        <v>0</v>
      </c>
      <c r="K299">
        <v>157</v>
      </c>
      <c r="L299">
        <v>0</v>
      </c>
      <c r="M299">
        <v>0</v>
      </c>
      <c r="N299">
        <v>0</v>
      </c>
      <c r="O299">
        <v>0</v>
      </c>
    </row>
    <row r="300" spans="1:15">
      <c r="A300" s="1" t="s">
        <v>312</v>
      </c>
      <c r="B300" t="s">
        <v>504</v>
      </c>
      <c r="C300" t="s">
        <v>509</v>
      </c>
      <c r="D300">
        <f>HYPERLINK("http://www.reserveamerica.com/camping/moore-creek/r/facilityDetails.do?contractCode=NRSO&amp;parkId=71524", "MOORE CREEK")</f>
        <v>0</v>
      </c>
      <c r="E300">
        <v>40.8838889</v>
      </c>
      <c r="F300">
        <v>-122.2177778</v>
      </c>
      <c r="G300" t="s">
        <v>807</v>
      </c>
      <c r="I300" t="s">
        <v>505</v>
      </c>
      <c r="J300">
        <f>HYPERLINK("http://maps.google.com/maps?z=10&amp;t=m&amp;q=loc:40.8838889+-122.2177778", 396)</f>
        <v>0</v>
      </c>
      <c r="K300">
        <v>356</v>
      </c>
      <c r="L300">
        <v>0</v>
      </c>
      <c r="M300">
        <v>0</v>
      </c>
      <c r="N300">
        <v>0</v>
      </c>
      <c r="O300">
        <v>0</v>
      </c>
    </row>
    <row r="301" spans="1:15">
      <c r="A301" s="1" t="s">
        <v>313</v>
      </c>
      <c r="B301" t="s">
        <v>506</v>
      </c>
      <c r="C301" t="s">
        <v>511</v>
      </c>
      <c r="D301">
        <f>HYPERLINK("http://www.reserveamerica.com/camping/morgan-territory-regional-preserve/r/facilityDetails.do?contractCode=EB&amp;parkId=110456", "Morgan Territory Regional Preserve")</f>
        <v>0</v>
      </c>
      <c r="E301">
        <v>37.8191667</v>
      </c>
      <c r="F301">
        <v>-121.7955556</v>
      </c>
      <c r="G301" t="s">
        <v>808</v>
      </c>
      <c r="I301" t="s">
        <v>505</v>
      </c>
      <c r="J301">
        <f>HYPERLINK("http://maps.google.com/maps?z=10&amp;t=m&amp;q=loc:37.8191667+-121.7955556", 55)</f>
        <v>0</v>
      </c>
      <c r="K301">
        <v>10</v>
      </c>
      <c r="L301">
        <v>0</v>
      </c>
      <c r="M301">
        <v>0</v>
      </c>
      <c r="N301">
        <v>0</v>
      </c>
      <c r="O301">
        <v>0</v>
      </c>
    </row>
    <row r="302" spans="1:15">
      <c r="A302" s="1" t="s">
        <v>314</v>
      </c>
      <c r="B302" t="s">
        <v>505</v>
      </c>
      <c r="C302" t="s">
        <v>510</v>
      </c>
      <c r="D302">
        <f>HYPERLINK("http://www.reserveamerica.com/camping/morro-bay-sp/r/facilityDetails.do?contractCode=CA&amp;parkId=120059", "MORRO BAY SP")</f>
        <v>0</v>
      </c>
      <c r="E302">
        <v>35.3538889</v>
      </c>
      <c r="F302">
        <v>-120.8316667</v>
      </c>
      <c r="G302" t="s">
        <v>809</v>
      </c>
      <c r="I302" t="s">
        <v>505</v>
      </c>
      <c r="J302">
        <f>HYPERLINK("http://maps.google.com/maps?z=10&amp;t=m&amp;q=loc:35.3538889+-120.8316667", 239)</f>
        <v>0</v>
      </c>
      <c r="K302">
        <v>156</v>
      </c>
      <c r="L302">
        <v>0</v>
      </c>
      <c r="M302">
        <v>0</v>
      </c>
      <c r="N302">
        <v>0</v>
      </c>
      <c r="O302">
        <v>0</v>
      </c>
    </row>
    <row r="303" spans="1:15">
      <c r="A303" s="1" t="s">
        <v>315</v>
      </c>
      <c r="B303" t="s">
        <v>505</v>
      </c>
      <c r="C303" t="s">
        <v>510</v>
      </c>
      <c r="D303">
        <f>HYPERLINK("http://www.reserveamerica.com/camping/morro-strand-sb/r/facilityDetails.do?contractCode=CA&amp;parkId=120060", "MORRO STRAND SB")</f>
        <v>0</v>
      </c>
      <c r="E303">
        <v>35.4277778</v>
      </c>
      <c r="F303">
        <v>-120.8819444</v>
      </c>
      <c r="G303" t="s">
        <v>810</v>
      </c>
      <c r="I303" t="s">
        <v>505</v>
      </c>
      <c r="J303">
        <f>HYPERLINK("http://maps.google.com/maps?z=10&amp;t=m&amp;q=loc:35.4277778+-120.8819444", 230)</f>
        <v>0</v>
      </c>
      <c r="K303">
        <v>156</v>
      </c>
      <c r="L303">
        <v>0</v>
      </c>
      <c r="M303">
        <v>0</v>
      </c>
      <c r="N303">
        <v>0</v>
      </c>
      <c r="O303">
        <v>0</v>
      </c>
    </row>
    <row r="304" spans="1:15">
      <c r="A304" s="1" t="s">
        <v>316</v>
      </c>
      <c r="B304" t="s">
        <v>504</v>
      </c>
      <c r="C304" t="s">
        <v>509</v>
      </c>
      <c r="D304">
        <f>HYPERLINK("http://www.reserveamerica.com/camping/mount-rose-nv/r/facilityDetails.do?contractCode=NRSO&amp;parkId=70459", "MOUNT ROSE (NV)")</f>
        <v>0</v>
      </c>
      <c r="E304">
        <v>39.3122778</v>
      </c>
      <c r="F304">
        <v>-119.8973611</v>
      </c>
      <c r="G304" t="s">
        <v>811</v>
      </c>
      <c r="I304" t="s">
        <v>505</v>
      </c>
      <c r="J304">
        <f>HYPERLINK("http://maps.google.com/maps?z=10&amp;t=m&amp;q=loc:39.3122778+-119.8973611", 281)</f>
        <v>0</v>
      </c>
      <c r="K304">
        <v>37</v>
      </c>
      <c r="L304">
        <v>0</v>
      </c>
      <c r="M304">
        <v>0</v>
      </c>
      <c r="N304">
        <v>0</v>
      </c>
      <c r="O304">
        <v>0</v>
      </c>
    </row>
    <row r="305" spans="1:15">
      <c r="A305" s="1" t="s">
        <v>317</v>
      </c>
      <c r="B305" t="s">
        <v>505</v>
      </c>
      <c r="C305" t="s">
        <v>510</v>
      </c>
      <c r="D305">
        <f>HYPERLINK("http://www.reserveamerica.com/camping/mount-tamalpais-sp/r/facilityDetails.do?contractCode=CA&amp;parkId=120063", "MOUNT TAMALPAIS SP")</f>
        <v>0</v>
      </c>
      <c r="E305">
        <v>37.9038889</v>
      </c>
      <c r="F305">
        <v>-122.595</v>
      </c>
      <c r="G305" t="s">
        <v>812</v>
      </c>
      <c r="I305" t="s">
        <v>505</v>
      </c>
      <c r="J305">
        <f>HYPERLINK("http://maps.google.com/maps?z=10&amp;t=m&amp;q=loc:37.9038889+-122.595", 88)</f>
        <v>0</v>
      </c>
      <c r="K305">
        <v>316</v>
      </c>
      <c r="L305">
        <v>0</v>
      </c>
      <c r="M305">
        <v>0</v>
      </c>
      <c r="N305">
        <v>0</v>
      </c>
      <c r="O305">
        <v>0</v>
      </c>
    </row>
    <row r="306" spans="1:15">
      <c r="A306" s="1" t="s">
        <v>318</v>
      </c>
      <c r="B306" t="s">
        <v>504</v>
      </c>
      <c r="C306" t="s">
        <v>509</v>
      </c>
      <c r="D306">
        <f>HYPERLINK("http://www.reserveamerica.com/camping/mountain-oak/r/facilityDetails.do?contractCode=NRSO&amp;parkId=73583", "MOUNTAIN OAK")</f>
        <v>0</v>
      </c>
      <c r="E306">
        <v>34.3947222</v>
      </c>
      <c r="F306">
        <v>-117.7294444</v>
      </c>
      <c r="G306" t="s">
        <v>813</v>
      </c>
      <c r="I306" t="s">
        <v>505</v>
      </c>
      <c r="J306">
        <f>HYPERLINK("http://maps.google.com/maps?z=10&amp;t=m&amp;q=loc:34.3947222+-117.7294444", 497)</f>
        <v>0</v>
      </c>
      <c r="K306">
        <v>129</v>
      </c>
      <c r="L306">
        <v>2</v>
      </c>
      <c r="M306">
        <v>0</v>
      </c>
      <c r="N306">
        <v>2</v>
      </c>
      <c r="O306">
        <v>2</v>
      </c>
    </row>
    <row r="307" spans="1:15">
      <c r="A307" s="1" t="s">
        <v>319</v>
      </c>
      <c r="B307" t="s">
        <v>505</v>
      </c>
      <c r="C307" t="s">
        <v>510</v>
      </c>
      <c r="D307">
        <f>HYPERLINK("http://www.reserveamerica.com/camping/mt-diablo-sp/r/facilityDetails.do?contractCode=CA&amp;parkId=120061", "MT. DIABLO SP")</f>
        <v>0</v>
      </c>
      <c r="E307">
        <v>37.8627778</v>
      </c>
      <c r="F307">
        <v>-121.93</v>
      </c>
      <c r="G307" t="s">
        <v>814</v>
      </c>
      <c r="I307" t="s">
        <v>505</v>
      </c>
      <c r="J307">
        <f>HYPERLINK("http://maps.google.com/maps?z=10&amp;t=m&amp;q=loc:37.8627778+-121.93", 59)</f>
        <v>0</v>
      </c>
      <c r="K307">
        <v>357</v>
      </c>
      <c r="L307">
        <v>51</v>
      </c>
      <c r="M307">
        <v>0</v>
      </c>
      <c r="N307">
        <v>51</v>
      </c>
      <c r="O307">
        <v>51</v>
      </c>
    </row>
    <row r="308" spans="1:15">
      <c r="A308" s="1" t="s">
        <v>320</v>
      </c>
      <c r="B308" t="s">
        <v>505</v>
      </c>
      <c r="C308" t="s">
        <v>510</v>
      </c>
      <c r="D308">
        <f>HYPERLINK("http://www.reserveamerica.com/camping/mt-san-jacinto-sp/r/facilityDetails.do?contractCode=CA&amp;parkId=120062", "MT. SAN JACINTO SP")</f>
        <v>0</v>
      </c>
      <c r="E308">
        <v>33.8102778</v>
      </c>
      <c r="F308">
        <v>-116.675</v>
      </c>
      <c r="G308" t="s">
        <v>815</v>
      </c>
      <c r="I308" t="s">
        <v>505</v>
      </c>
      <c r="J308">
        <f>HYPERLINK("http://maps.google.com/maps?z=10&amp;t=m&amp;q=loc:33.8102778+-116.675", 613)</f>
        <v>0</v>
      </c>
      <c r="K308">
        <v>128</v>
      </c>
      <c r="L308">
        <v>24</v>
      </c>
      <c r="M308">
        <v>4</v>
      </c>
      <c r="N308">
        <v>20</v>
      </c>
      <c r="O308">
        <v>20</v>
      </c>
    </row>
    <row r="309" spans="1:15">
      <c r="A309" s="1" t="s">
        <v>321</v>
      </c>
      <c r="B309" t="s">
        <v>504</v>
      </c>
      <c r="C309" t="s">
        <v>509</v>
      </c>
      <c r="D309">
        <f>HYPERLINK("http://www.reserveamerica.com/camping/nelson-point/r/facilityDetails.do?contractCode=NRSO&amp;parkId=71525", "NELSON POINT")</f>
        <v>0</v>
      </c>
      <c r="E309">
        <v>40.8483333</v>
      </c>
      <c r="F309">
        <v>-122.3458333</v>
      </c>
      <c r="G309" t="s">
        <v>816</v>
      </c>
      <c r="I309" t="s">
        <v>505</v>
      </c>
      <c r="J309">
        <f>HYPERLINK("http://maps.google.com/maps?z=10&amp;t=m&amp;q=loc:40.8483333+-122.3458333", 393)</f>
        <v>0</v>
      </c>
      <c r="K309">
        <v>354</v>
      </c>
      <c r="L309">
        <v>0</v>
      </c>
      <c r="M309">
        <v>0</v>
      </c>
      <c r="N309">
        <v>0</v>
      </c>
      <c r="O309">
        <v>0</v>
      </c>
    </row>
    <row r="310" spans="1:15">
      <c r="A310" s="1" t="s">
        <v>322</v>
      </c>
      <c r="B310" t="s">
        <v>504</v>
      </c>
      <c r="C310" t="s">
        <v>509</v>
      </c>
      <c r="D310">
        <f>HYPERLINK("http://www.reserveamerica.com/camping/nevada-beach-campground-and-day-use-pavilion/r/facilityDetails.do?contractCode=NRSO&amp;parkId=71530", "Nevada Beach Campground and Day Use Pavilion")</f>
        <v>0</v>
      </c>
      <c r="E310">
        <v>38.9819444</v>
      </c>
      <c r="F310">
        <v>-119.9486111</v>
      </c>
      <c r="G310" t="s">
        <v>817</v>
      </c>
      <c r="H310" t="s">
        <v>998</v>
      </c>
      <c r="I310" t="s">
        <v>505</v>
      </c>
      <c r="J310">
        <f>HYPERLINK("http://maps.google.com/maps?z=10&amp;t=m&amp;q=loc:38.9819444+-119.9486111", 251)</f>
        <v>0</v>
      </c>
      <c r="K310">
        <v>42</v>
      </c>
      <c r="L310">
        <v>0</v>
      </c>
      <c r="M310">
        <v>0</v>
      </c>
      <c r="N310">
        <v>0</v>
      </c>
      <c r="O310">
        <v>0</v>
      </c>
    </row>
    <row r="311" spans="1:15">
      <c r="A311" s="1" t="s">
        <v>323</v>
      </c>
      <c r="B311" t="s">
        <v>505</v>
      </c>
      <c r="C311" t="s">
        <v>510</v>
      </c>
      <c r="D311">
        <f>HYPERLINK("http://www.reserveamerica.com/camping/new-brighton-sb/r/facilityDetails.do?contractCode=CA&amp;parkId=120064", "NEW BRIGHTON SB")</f>
        <v>0</v>
      </c>
      <c r="E311">
        <v>36.9786111</v>
      </c>
      <c r="F311">
        <v>-121.9347222</v>
      </c>
      <c r="G311" t="s">
        <v>818</v>
      </c>
      <c r="I311" t="s">
        <v>505</v>
      </c>
      <c r="J311">
        <f>HYPERLINK("http://maps.google.com/maps?z=10&amp;t=m&amp;q=loc:36.9786111+-121.9347222", 38)</f>
        <v>0</v>
      </c>
      <c r="K311">
        <v>183</v>
      </c>
      <c r="L311">
        <v>0</v>
      </c>
      <c r="M311">
        <v>0</v>
      </c>
      <c r="N311">
        <v>0</v>
      </c>
      <c r="O311">
        <v>0</v>
      </c>
    </row>
    <row r="312" spans="1:15">
      <c r="A312" s="1" t="s">
        <v>324</v>
      </c>
      <c r="B312" t="s">
        <v>504</v>
      </c>
      <c r="C312" t="s">
        <v>509</v>
      </c>
      <c r="D312">
        <f>HYPERLINK("http://www.reserveamerica.com/camping/new-shady-rest-campground/r/facilityDetails.do?contractCode=NRSO&amp;parkId=73771", "NEW SHADY REST CAMPGROUND")</f>
        <v>0</v>
      </c>
      <c r="E312">
        <v>37.65</v>
      </c>
      <c r="F312">
        <v>-118.9591667</v>
      </c>
      <c r="G312" t="s">
        <v>819</v>
      </c>
      <c r="I312" t="s">
        <v>505</v>
      </c>
      <c r="J312">
        <f>HYPERLINK("http://maps.google.com/maps?z=10&amp;t=m&amp;q=loc:37.65+-118.9591667", 262)</f>
        <v>0</v>
      </c>
      <c r="K312">
        <v>81</v>
      </c>
      <c r="L312">
        <v>55</v>
      </c>
      <c r="M312">
        <v>0</v>
      </c>
      <c r="N312">
        <v>55</v>
      </c>
      <c r="O312">
        <v>55</v>
      </c>
    </row>
    <row r="313" spans="1:15">
      <c r="A313" s="1" t="s">
        <v>325</v>
      </c>
      <c r="B313" t="s">
        <v>504</v>
      </c>
      <c r="C313" t="s">
        <v>509</v>
      </c>
      <c r="D313">
        <f>HYPERLINK("http://www.reserveamerica.com/camping/nordheimer-group-sites/r/facilityDetails.do?contractCode=NRSO&amp;parkId=75212", "NORDHEIMER GROUP SITES")</f>
        <v>0</v>
      </c>
      <c r="E313">
        <v>41.2986111</v>
      </c>
      <c r="F313">
        <v>-123.3638889</v>
      </c>
      <c r="G313" t="s">
        <v>820</v>
      </c>
      <c r="I313" t="s">
        <v>505</v>
      </c>
      <c r="J313">
        <f>HYPERLINK("http://maps.google.com/maps?z=10&amp;t=m&amp;q=loc:41.2986111+-123.3638889", 458)</f>
        <v>0</v>
      </c>
      <c r="K313">
        <v>344</v>
      </c>
      <c r="L313">
        <v>4</v>
      </c>
      <c r="M313">
        <v>0</v>
      </c>
      <c r="N313">
        <v>4</v>
      </c>
      <c r="O313">
        <v>4</v>
      </c>
    </row>
    <row r="314" spans="1:15">
      <c r="A314" s="1" t="s">
        <v>326</v>
      </c>
      <c r="B314" t="s">
        <v>504</v>
      </c>
      <c r="C314" t="s">
        <v>509</v>
      </c>
      <c r="D314">
        <f>HYPERLINK("http://www.reserveamerica.com/camping/north-fork-ca/r/facilityDetails.do?contractCode=NRSO&amp;parkId=75481", "NORTH FORK (CA)")</f>
        <v>0</v>
      </c>
      <c r="E314">
        <v>39.2705556</v>
      </c>
      <c r="F314">
        <v>-120.6588889</v>
      </c>
      <c r="G314" t="s">
        <v>821</v>
      </c>
      <c r="I314" t="s">
        <v>505</v>
      </c>
      <c r="J314">
        <f>HYPERLINK("http://maps.google.com/maps?z=10&amp;t=m&amp;q=loc:39.2705556+-120.6588889", 241)</f>
        <v>0</v>
      </c>
      <c r="K314">
        <v>26</v>
      </c>
      <c r="L314">
        <v>4</v>
      </c>
      <c r="M314">
        <v>0</v>
      </c>
      <c r="N314">
        <v>4</v>
      </c>
      <c r="O314">
        <v>4</v>
      </c>
    </row>
    <row r="315" spans="1:15">
      <c r="A315" s="1" t="s">
        <v>327</v>
      </c>
      <c r="B315" t="s">
        <v>504</v>
      </c>
      <c r="C315" t="s">
        <v>509</v>
      </c>
      <c r="D315">
        <f>HYPERLINK("http://www.reserveamerica.com/camping/north-pines/r/facilityDetails.do?contractCode=NRSO&amp;parkId=70927", "NORTH PINES")</f>
        <v>0</v>
      </c>
      <c r="E315">
        <v>37.7419444</v>
      </c>
      <c r="F315">
        <v>-119.5655556</v>
      </c>
      <c r="G315" t="s">
        <v>822</v>
      </c>
      <c r="I315" t="s">
        <v>505</v>
      </c>
      <c r="J315">
        <f>HYPERLINK("http://maps.google.com/maps?z=10&amp;t=m&amp;q=loc:37.7419444+-119.5655556", 211)</f>
        <v>0</v>
      </c>
      <c r="K315">
        <v>76</v>
      </c>
      <c r="L315">
        <v>0</v>
      </c>
      <c r="M315">
        <v>0</v>
      </c>
      <c r="N315">
        <v>0</v>
      </c>
      <c r="O315">
        <v>0</v>
      </c>
    </row>
    <row r="316" spans="1:15">
      <c r="A316" s="1" t="s">
        <v>328</v>
      </c>
      <c r="B316" t="s">
        <v>504</v>
      </c>
      <c r="C316" t="s">
        <v>509</v>
      </c>
      <c r="D316">
        <f>HYPERLINK("http://www.reserveamerica.com/camping/north-shore-ca/r/facilityDetails.do?contractCode=NRSO&amp;parkId=70604", "NORTH SHORE (CA)")</f>
        <v>0</v>
      </c>
      <c r="E316">
        <v>34.2672222</v>
      </c>
      <c r="F316">
        <v>-117.1633333</v>
      </c>
      <c r="G316" t="s">
        <v>823</v>
      </c>
      <c r="I316" t="s">
        <v>505</v>
      </c>
      <c r="J316">
        <f>HYPERLINK("http://maps.google.com/maps?z=10&amp;t=m&amp;q=loc:34.2672222+-117.1633333", 546)</f>
        <v>0</v>
      </c>
      <c r="K316">
        <v>127</v>
      </c>
      <c r="L316">
        <v>18</v>
      </c>
      <c r="M316">
        <v>0</v>
      </c>
      <c r="N316">
        <v>18</v>
      </c>
      <c r="O316">
        <v>18</v>
      </c>
    </row>
    <row r="317" spans="1:15">
      <c r="A317" s="1" t="s">
        <v>329</v>
      </c>
      <c r="B317" t="s">
        <v>504</v>
      </c>
      <c r="C317" t="s">
        <v>509</v>
      </c>
      <c r="D317">
        <f>HYPERLINK("http://www.reserveamerica.com/camping/oak-bottom-campground/r/facilityDetails.do?contractCode=NRSO&amp;parkId=75502", "OAK BOTTOM CAMPGROUND")</f>
        <v>0</v>
      </c>
      <c r="E317">
        <v>41.3772222</v>
      </c>
      <c r="F317">
        <v>-123.4513889</v>
      </c>
      <c r="G317" t="s">
        <v>824</v>
      </c>
      <c r="I317" t="s">
        <v>505</v>
      </c>
      <c r="J317">
        <f>HYPERLINK("http://maps.google.com/maps?z=10&amp;t=m&amp;q=loc:41.3772222+-123.4513889", 469)</f>
        <v>0</v>
      </c>
      <c r="K317">
        <v>344</v>
      </c>
      <c r="L317">
        <v>13</v>
      </c>
      <c r="M317">
        <v>0</v>
      </c>
      <c r="N317">
        <v>13</v>
      </c>
      <c r="O317">
        <v>13</v>
      </c>
    </row>
    <row r="318" spans="1:15">
      <c r="A318" s="1" t="s">
        <v>330</v>
      </c>
      <c r="B318" t="s">
        <v>504</v>
      </c>
      <c r="C318" t="s">
        <v>509</v>
      </c>
      <c r="D318">
        <f>HYPERLINK("http://www.reserveamerica.com/camping/oak-grove-campground/r/facilityDetails.do?contractCode=NRSO&amp;parkId=109083", "OAK GROVE CAMPGROUND")</f>
        <v>0</v>
      </c>
      <c r="E318">
        <v>33.386525</v>
      </c>
      <c r="F318">
        <v>-116.7913694</v>
      </c>
      <c r="G318" t="s">
        <v>825</v>
      </c>
      <c r="I318" t="s">
        <v>505</v>
      </c>
      <c r="J318">
        <f>HYPERLINK("http://maps.google.com/maps?z=10&amp;t=m&amp;q=loc:33.386525+-116.7913694", 637)</f>
        <v>0</v>
      </c>
      <c r="K318">
        <v>131</v>
      </c>
      <c r="L318">
        <v>55</v>
      </c>
      <c r="M318">
        <v>0</v>
      </c>
      <c r="N318">
        <v>55</v>
      </c>
      <c r="O318">
        <v>55</v>
      </c>
    </row>
    <row r="319" spans="1:15">
      <c r="A319" s="1" t="s">
        <v>331</v>
      </c>
      <c r="B319" t="s">
        <v>504</v>
      </c>
      <c r="C319" t="s">
        <v>509</v>
      </c>
      <c r="D319">
        <f>HYPERLINK("http://www.reserveamerica.com/camping/oak-knoll-campground/r/facilityDetails.do?contractCode=NRSO&amp;parkId=73639", "OAK KNOLL CAMPGROUND")</f>
        <v>0</v>
      </c>
      <c r="E319">
        <v>38.18265</v>
      </c>
      <c r="F319">
        <v>-120.8030556</v>
      </c>
      <c r="G319" t="s">
        <v>826</v>
      </c>
      <c r="I319" t="s">
        <v>505</v>
      </c>
      <c r="J319">
        <f>HYPERLINK("http://maps.google.com/maps?z=10&amp;t=m&amp;q=loc:38.18265+-120.8030556", 135)</f>
        <v>0</v>
      </c>
      <c r="K319">
        <v>45</v>
      </c>
      <c r="L319">
        <v>0</v>
      </c>
      <c r="M319">
        <v>0</v>
      </c>
      <c r="N319">
        <v>0</v>
      </c>
      <c r="O319">
        <v>0</v>
      </c>
    </row>
    <row r="320" spans="1:15">
      <c r="A320" s="1" t="s">
        <v>332</v>
      </c>
      <c r="B320" t="s">
        <v>504</v>
      </c>
      <c r="C320" t="s">
        <v>509</v>
      </c>
      <c r="D320">
        <f>HYPERLINK("http://www.reserveamerica.com/camping/observatory-campground/r/facilityDetails.do?contractCode=NRSO&amp;parkId=72310", "OBSERVATORY CAMPGROUND")</f>
        <v>0</v>
      </c>
      <c r="E320">
        <v>33.3416667</v>
      </c>
      <c r="F320">
        <v>-116.8786111</v>
      </c>
      <c r="G320" t="s">
        <v>827</v>
      </c>
      <c r="I320" t="s">
        <v>505</v>
      </c>
      <c r="J320">
        <f>HYPERLINK("http://maps.google.com/maps?z=10&amp;t=m&amp;q=loc:33.3416667+-116.8786111", 635)</f>
        <v>0</v>
      </c>
      <c r="K320">
        <v>132</v>
      </c>
      <c r="L320">
        <v>4</v>
      </c>
      <c r="M320">
        <v>2</v>
      </c>
      <c r="N320">
        <v>2</v>
      </c>
      <c r="O320">
        <v>2</v>
      </c>
    </row>
    <row r="321" spans="1:15">
      <c r="A321" s="1" t="s">
        <v>333</v>
      </c>
      <c r="B321" t="s">
        <v>504</v>
      </c>
      <c r="C321" t="s">
        <v>509</v>
      </c>
      <c r="D321">
        <f>HYPERLINK("http://www.reserveamerica.com/camping/obsidian-flat/r/facilityDetails.do?contractCode=NRSO&amp;parkId=70155", "OBSIDIAN FLAT")</f>
        <v>0</v>
      </c>
      <c r="E321">
        <v>37.7333333</v>
      </c>
      <c r="F321">
        <v>-119.0166667</v>
      </c>
      <c r="G321" t="s">
        <v>828</v>
      </c>
      <c r="I321" t="s">
        <v>505</v>
      </c>
      <c r="J321">
        <f>HYPERLINK("http://maps.google.com/maps?z=10&amp;t=m&amp;q=loc:37.7333333+-119.0166667", 258)</f>
        <v>0</v>
      </c>
      <c r="K321">
        <v>79</v>
      </c>
      <c r="L321">
        <v>0</v>
      </c>
      <c r="M321">
        <v>0</v>
      </c>
      <c r="N321">
        <v>0</v>
      </c>
      <c r="O321">
        <v>0</v>
      </c>
    </row>
    <row r="322" spans="1:15">
      <c r="A322" s="1" t="s">
        <v>334</v>
      </c>
      <c r="B322" t="s">
        <v>505</v>
      </c>
      <c r="C322" t="s">
        <v>510</v>
      </c>
      <c r="D322">
        <f>HYPERLINK("http://www.reserveamerica.com/camping/oceano-dunes-svra/r/facilityDetails.do?contractCode=CA&amp;parkId=120065", "OCEANO DUNES SVRA")</f>
        <v>0</v>
      </c>
      <c r="E322">
        <v>35.1055556</v>
      </c>
      <c r="F322">
        <v>-120.6291667</v>
      </c>
      <c r="G322" t="s">
        <v>829</v>
      </c>
      <c r="I322" t="s">
        <v>505</v>
      </c>
      <c r="J322">
        <f>HYPERLINK("http://maps.google.com/maps?z=10&amp;t=m&amp;q=loc:35.1055556+-120.6291667", 272)</f>
        <v>0</v>
      </c>
      <c r="K322">
        <v>154</v>
      </c>
      <c r="L322">
        <v>999</v>
      </c>
      <c r="M322">
        <v>0</v>
      </c>
      <c r="N322">
        <v>999</v>
      </c>
      <c r="O322">
        <v>999</v>
      </c>
    </row>
    <row r="323" spans="1:15">
      <c r="A323" s="1" t="s">
        <v>335</v>
      </c>
      <c r="B323" t="s">
        <v>504</v>
      </c>
      <c r="C323" t="s">
        <v>509</v>
      </c>
      <c r="D323">
        <f>HYPERLINK("http://www.reserveamerica.com/camping/oh-ridge/r/facilityDetails.do?contractCode=NRSO&amp;parkId=70565", "OH RIDGE")</f>
        <v>0</v>
      </c>
      <c r="E323">
        <v>37.7969444</v>
      </c>
      <c r="F323">
        <v>-119.0616667</v>
      </c>
      <c r="G323" t="s">
        <v>830</v>
      </c>
      <c r="I323" t="s">
        <v>505</v>
      </c>
      <c r="J323">
        <f>HYPERLINK("http://maps.google.com/maps?z=10&amp;t=m&amp;q=loc:37.7969444+-119.0616667", 255)</f>
        <v>0</v>
      </c>
      <c r="K323">
        <v>77</v>
      </c>
      <c r="L323">
        <v>113</v>
      </c>
      <c r="M323">
        <v>0</v>
      </c>
      <c r="N323">
        <v>113</v>
      </c>
      <c r="O323">
        <v>113</v>
      </c>
    </row>
    <row r="324" spans="1:15">
      <c r="A324" s="1" t="s">
        <v>336</v>
      </c>
      <c r="B324" t="s">
        <v>504</v>
      </c>
      <c r="C324" t="s">
        <v>509</v>
      </c>
      <c r="D324">
        <f>HYPERLINK("http://www.reserveamerica.com/camping/old-shady-rest-campground/r/facilityDetails.do?contractCode=NRSO&amp;parkId=73735", "OLD SHADY REST CAMPGROUND")</f>
        <v>0</v>
      </c>
      <c r="E324">
        <v>37.65</v>
      </c>
      <c r="F324">
        <v>-118.9616667</v>
      </c>
      <c r="G324" t="s">
        <v>831</v>
      </c>
      <c r="I324" t="s">
        <v>505</v>
      </c>
      <c r="J324">
        <f>HYPERLINK("http://maps.google.com/maps?z=10&amp;t=m&amp;q=loc:37.65+-118.9616667", 262)</f>
        <v>0</v>
      </c>
      <c r="K324">
        <v>81</v>
      </c>
      <c r="L324">
        <v>0</v>
      </c>
      <c r="M324">
        <v>0</v>
      </c>
      <c r="N324">
        <v>0</v>
      </c>
      <c r="O324">
        <v>0</v>
      </c>
    </row>
    <row r="325" spans="1:15">
      <c r="A325" s="1" t="s">
        <v>337</v>
      </c>
      <c r="B325" t="s">
        <v>504</v>
      </c>
      <c r="C325" t="s">
        <v>509</v>
      </c>
      <c r="D325">
        <f>HYPERLINK("http://www.reserveamerica.com/camping/onion-valley/r/facilityDetails.do?contractCode=NRSO&amp;parkId=70303", "ONION VALLEY")</f>
        <v>0</v>
      </c>
      <c r="E325">
        <v>36.7747222</v>
      </c>
      <c r="F325">
        <v>-118.3455556</v>
      </c>
      <c r="G325" t="s">
        <v>832</v>
      </c>
      <c r="I325" t="s">
        <v>505</v>
      </c>
      <c r="J325">
        <f>HYPERLINK("http://maps.google.com/maps?z=10&amp;t=m&amp;q=loc:36.7747222+-118.3455556", 321)</f>
        <v>0</v>
      </c>
      <c r="K325">
        <v>99</v>
      </c>
      <c r="L325">
        <v>0</v>
      </c>
      <c r="M325">
        <v>0</v>
      </c>
      <c r="N325">
        <v>0</v>
      </c>
      <c r="O325">
        <v>0</v>
      </c>
    </row>
    <row r="326" spans="1:15">
      <c r="A326" s="1" t="s">
        <v>338</v>
      </c>
      <c r="B326" t="s">
        <v>504</v>
      </c>
      <c r="C326" t="s">
        <v>509</v>
      </c>
      <c r="D326">
        <f>HYPERLINK("http://www.reserveamerica.com/camping/orland-buttes/r/facilityDetails.do?contractCode=NRSO&amp;parkId=73307", "ORLAND BUTTES")</f>
        <v>0</v>
      </c>
      <c r="E326">
        <v>39.7721972</v>
      </c>
      <c r="F326">
        <v>-122.3528472</v>
      </c>
      <c r="G326" t="s">
        <v>833</v>
      </c>
      <c r="I326" t="s">
        <v>505</v>
      </c>
      <c r="J326">
        <f>HYPERLINK("http://maps.google.com/maps?z=10&amp;t=m&amp;q=loc:39.7721972+-122.3528472", 274)</f>
        <v>0</v>
      </c>
      <c r="K326">
        <v>352</v>
      </c>
      <c r="L326">
        <v>0</v>
      </c>
      <c r="M326">
        <v>0</v>
      </c>
      <c r="N326">
        <v>0</v>
      </c>
      <c r="O326">
        <v>0</v>
      </c>
    </row>
    <row r="327" spans="1:15">
      <c r="A327" s="1" t="s">
        <v>339</v>
      </c>
      <c r="B327" t="s">
        <v>504</v>
      </c>
      <c r="C327" t="s">
        <v>509</v>
      </c>
      <c r="D327">
        <f>HYPERLINK("http://www.reserveamerica.com/camping/oso-group/r/facilityDetails.do?contractCode=NRSO&amp;parkId=73490", "OSO GROUP")</f>
        <v>0</v>
      </c>
      <c r="E327">
        <v>34.1755556</v>
      </c>
      <c r="F327">
        <v>-116.8625</v>
      </c>
      <c r="G327" t="s">
        <v>834</v>
      </c>
      <c r="I327" t="s">
        <v>505</v>
      </c>
      <c r="J327">
        <f>HYPERLINK("http://maps.google.com/maps?z=10&amp;t=m&amp;q=loc:34.1755556+-116.8625", 573)</f>
        <v>0</v>
      </c>
      <c r="K327">
        <v>126</v>
      </c>
      <c r="L327">
        <v>0</v>
      </c>
      <c r="M327">
        <v>0</v>
      </c>
      <c r="N327">
        <v>0</v>
      </c>
      <c r="O327">
        <v>0</v>
      </c>
    </row>
    <row r="328" spans="1:15">
      <c r="A328" s="1" t="s">
        <v>340</v>
      </c>
      <c r="B328" t="s">
        <v>504</v>
      </c>
      <c r="C328" t="s">
        <v>509</v>
      </c>
      <c r="D328">
        <f>HYPERLINK("http://www.reserveamerica.com/camping/packsaddle/r/facilityDetails.do?contractCode=NRSO&amp;parkId=75425", "PACKSADDLE")</f>
        <v>0</v>
      </c>
      <c r="E328">
        <v>39.6238889</v>
      </c>
      <c r="F328">
        <v>-120.6497222</v>
      </c>
      <c r="G328" t="s">
        <v>835</v>
      </c>
      <c r="I328" t="s">
        <v>505</v>
      </c>
      <c r="J328">
        <f>HYPERLINK("http://maps.google.com/maps?z=10&amp;t=m&amp;q=loc:39.6238889+-120.6497222", 277)</f>
        <v>0</v>
      </c>
      <c r="K328">
        <v>22</v>
      </c>
      <c r="L328">
        <v>13</v>
      </c>
      <c r="M328">
        <v>0</v>
      </c>
      <c r="N328">
        <v>13</v>
      </c>
      <c r="O328">
        <v>13</v>
      </c>
    </row>
    <row r="329" spans="1:15">
      <c r="A329" s="1" t="s">
        <v>341</v>
      </c>
      <c r="B329" t="s">
        <v>504</v>
      </c>
      <c r="C329" t="s">
        <v>509</v>
      </c>
      <c r="D329">
        <f>HYPERLINK("http://www.reserveamerica.com/camping/paha/r/facilityDetails.do?contractCode=NRSO&amp;parkId=70306", "PAHA")</f>
        <v>0</v>
      </c>
      <c r="E329">
        <v>38.1791667</v>
      </c>
      <c r="F329">
        <v>-119.325</v>
      </c>
      <c r="G329" t="s">
        <v>836</v>
      </c>
      <c r="I329" t="s">
        <v>505</v>
      </c>
      <c r="J329">
        <f>HYPERLINK("http://maps.google.com/maps?z=10&amp;t=m&amp;q=loc:38.1791667+-119.325", 245)</f>
        <v>0</v>
      </c>
      <c r="K329">
        <v>66</v>
      </c>
      <c r="L329">
        <v>0</v>
      </c>
      <c r="M329">
        <v>0</v>
      </c>
      <c r="N329">
        <v>0</v>
      </c>
      <c r="O329">
        <v>0</v>
      </c>
    </row>
    <row r="330" spans="1:15">
      <c r="A330" s="1" t="s">
        <v>342</v>
      </c>
      <c r="B330" t="s">
        <v>505</v>
      </c>
      <c r="C330" t="s">
        <v>510</v>
      </c>
      <c r="D330">
        <f>HYPERLINK("http://www.reserveamerica.com/camping/palomar-mountain-sp/r/facilityDetails.do?contractCode=CA&amp;parkId=120066", "PALOMAR MOUNTAIN SP")</f>
        <v>0</v>
      </c>
      <c r="E330">
        <v>33.3375</v>
      </c>
      <c r="F330">
        <v>-116.9094444</v>
      </c>
      <c r="G330" t="s">
        <v>837</v>
      </c>
      <c r="I330" t="s">
        <v>505</v>
      </c>
      <c r="J330">
        <f>HYPERLINK("http://maps.google.com/maps?z=10&amp;t=m&amp;q=loc:33.3375+-116.9094444", 633)</f>
        <v>0</v>
      </c>
      <c r="K330">
        <v>132</v>
      </c>
      <c r="L330">
        <v>1</v>
      </c>
      <c r="M330">
        <v>1</v>
      </c>
      <c r="N330">
        <v>0</v>
      </c>
      <c r="O330">
        <v>0</v>
      </c>
    </row>
    <row r="331" spans="1:15">
      <c r="A331" s="1" t="s">
        <v>343</v>
      </c>
      <c r="B331" t="s">
        <v>504</v>
      </c>
      <c r="C331" t="s">
        <v>509</v>
      </c>
      <c r="D331">
        <f>HYPERLINK("http://www.reserveamerica.com/camping/panther-flat-campground/r/facilityDetails.do?contractCode=NRSO&amp;parkId=70649", "PANTHER FLAT CAMPGROUND")</f>
        <v>0</v>
      </c>
      <c r="E331">
        <v>41.8430556</v>
      </c>
      <c r="F331">
        <v>-123.9305556</v>
      </c>
      <c r="G331" t="s">
        <v>838</v>
      </c>
      <c r="I331" t="s">
        <v>505</v>
      </c>
      <c r="J331">
        <f>HYPERLINK("http://maps.google.com/maps?z=10&amp;t=m&amp;q=loc:41.8430556+-123.9305556", 530)</f>
        <v>0</v>
      </c>
      <c r="K331">
        <v>341</v>
      </c>
      <c r="L331">
        <v>0</v>
      </c>
      <c r="M331">
        <v>0</v>
      </c>
      <c r="N331">
        <v>0</v>
      </c>
      <c r="O331">
        <v>0</v>
      </c>
    </row>
    <row r="332" spans="1:15">
      <c r="A332" s="1" t="s">
        <v>344</v>
      </c>
      <c r="B332" t="s">
        <v>504</v>
      </c>
      <c r="C332" t="s">
        <v>509</v>
      </c>
      <c r="D332">
        <f>HYPERLINK("http://www.reserveamerica.com/camping/paradise/r/facilityDetails.do?contractCode=NRSO&amp;parkId=73782", "PARADISE")</f>
        <v>0</v>
      </c>
      <c r="E332">
        <v>34.5422222</v>
      </c>
      <c r="F332">
        <v>-119.8127778</v>
      </c>
      <c r="G332" t="s">
        <v>839</v>
      </c>
      <c r="I332" t="s">
        <v>505</v>
      </c>
      <c r="J332">
        <f>HYPERLINK("http://maps.google.com/maps?z=10&amp;t=m&amp;q=loc:34.5422222+-119.8127778", 362)</f>
        <v>0</v>
      </c>
      <c r="K332">
        <v>148</v>
      </c>
      <c r="L332">
        <v>10</v>
      </c>
      <c r="M332">
        <v>0</v>
      </c>
      <c r="N332">
        <v>10</v>
      </c>
      <c r="O332">
        <v>10</v>
      </c>
    </row>
    <row r="333" spans="1:15">
      <c r="A333" s="1" t="s">
        <v>345</v>
      </c>
      <c r="B333" t="s">
        <v>504</v>
      </c>
      <c r="C333" t="s">
        <v>509</v>
      </c>
      <c r="D333">
        <f>HYPERLINK("http://www.reserveamerica.com/camping/paradise-cove/r/facilityDetails.do?contractCode=NRSO&amp;parkId=71566", "PARADISE COVE")</f>
        <v>0</v>
      </c>
      <c r="E333">
        <v>35.6491667</v>
      </c>
      <c r="F333">
        <v>-118.425</v>
      </c>
      <c r="G333" t="s">
        <v>840</v>
      </c>
      <c r="I333" t="s">
        <v>505</v>
      </c>
      <c r="J333">
        <f>HYPERLINK("http://maps.google.com/maps?z=10&amp;t=m&amp;q=loc:35.6491667+-118.425", 362)</f>
        <v>0</v>
      </c>
      <c r="K333">
        <v>119</v>
      </c>
      <c r="L333">
        <v>50</v>
      </c>
      <c r="M333">
        <v>0</v>
      </c>
      <c r="N333">
        <v>50</v>
      </c>
      <c r="O333">
        <v>50</v>
      </c>
    </row>
    <row r="334" spans="1:15">
      <c r="A334" s="1" t="s">
        <v>346</v>
      </c>
      <c r="B334" t="s">
        <v>507</v>
      </c>
      <c r="C334" t="s">
        <v>511</v>
      </c>
      <c r="D334">
        <f>HYPERLINK("http://www.reserveamerica.com/camping/parson-landing-campground/r/facilityDetails.do?contractCode=CTLN&amp;parkId=940022", "PARSON LANDING CAMPGROUND")</f>
        <v>0</v>
      </c>
      <c r="E334">
        <v>33.4722222</v>
      </c>
      <c r="F334">
        <v>-118.5502778</v>
      </c>
      <c r="G334" t="s">
        <v>841</v>
      </c>
      <c r="I334" t="s">
        <v>505</v>
      </c>
      <c r="J334">
        <f>HYPERLINK("http://maps.google.com/maps?z=10&amp;t=m&amp;q=loc:33.4722222+-118.5502778", 525)</f>
        <v>0</v>
      </c>
      <c r="K334">
        <v>143</v>
      </c>
      <c r="L334">
        <v>0</v>
      </c>
      <c r="M334">
        <v>0</v>
      </c>
      <c r="N334">
        <v>0</v>
      </c>
      <c r="O334">
        <v>0</v>
      </c>
    </row>
    <row r="335" spans="1:15">
      <c r="A335" s="1" t="s">
        <v>347</v>
      </c>
      <c r="B335" t="s">
        <v>504</v>
      </c>
      <c r="C335" t="s">
        <v>509</v>
      </c>
      <c r="D335">
        <f>HYPERLINK("http://www.reserveamerica.com/camping/pass-creek-campground/r/facilityDetails.do?contractCode=NRSO&amp;parkId=71527", "PASS CREEK CAMPGROUND")</f>
        <v>0</v>
      </c>
      <c r="E335">
        <v>39.5040667</v>
      </c>
      <c r="F335">
        <v>-120.5343778</v>
      </c>
      <c r="G335" t="s">
        <v>842</v>
      </c>
      <c r="I335" t="s">
        <v>505</v>
      </c>
      <c r="J335">
        <f>HYPERLINK("http://maps.google.com/maps?z=10&amp;t=m&amp;q=loc:39.5040667+-120.5343778", 269)</f>
        <v>0</v>
      </c>
      <c r="K335">
        <v>25</v>
      </c>
      <c r="L335">
        <v>23</v>
      </c>
      <c r="M335">
        <v>0</v>
      </c>
      <c r="N335">
        <v>23</v>
      </c>
      <c r="O335">
        <v>23</v>
      </c>
    </row>
    <row r="336" spans="1:15">
      <c r="A336" s="1" t="s">
        <v>348</v>
      </c>
      <c r="B336" t="s">
        <v>504</v>
      </c>
      <c r="C336" t="s">
        <v>509</v>
      </c>
      <c r="D336">
        <f>HYPERLINK("http://www.reserveamerica.com/camping/patrick-creek-campground/r/facilityDetails.do?contractCode=NRSO&amp;parkId=70640", "PATRICK CREEK CAMPGROUND")</f>
        <v>0</v>
      </c>
      <c r="E336">
        <v>41.8719444</v>
      </c>
      <c r="F336">
        <v>-123.8466667</v>
      </c>
      <c r="G336" t="s">
        <v>843</v>
      </c>
      <c r="I336" t="s">
        <v>505</v>
      </c>
      <c r="J336">
        <f>HYPERLINK("http://maps.google.com/maps?z=10&amp;t=m&amp;q=loc:41.8719444+-123.8466667", 531)</f>
        <v>0</v>
      </c>
      <c r="K336">
        <v>342</v>
      </c>
      <c r="L336">
        <v>0</v>
      </c>
      <c r="M336">
        <v>0</v>
      </c>
      <c r="N336">
        <v>0</v>
      </c>
      <c r="O336">
        <v>0</v>
      </c>
    </row>
    <row r="337" spans="1:15">
      <c r="A337" s="1" t="s">
        <v>349</v>
      </c>
      <c r="B337" t="s">
        <v>505</v>
      </c>
      <c r="C337" t="s">
        <v>510</v>
      </c>
      <c r="D337">
        <f>HYPERLINK("http://www.reserveamerica.com/camping/patricks-point-sp/r/facilityDetails.do?contractCode=CA&amp;parkId=120067", "PATRICKS POINT SP")</f>
        <v>0</v>
      </c>
      <c r="E337">
        <v>41.1361111</v>
      </c>
      <c r="F337">
        <v>-124.1602778</v>
      </c>
      <c r="G337" t="s">
        <v>843</v>
      </c>
      <c r="H337" t="s">
        <v>999</v>
      </c>
      <c r="I337" t="s">
        <v>505</v>
      </c>
      <c r="J337">
        <f>HYPERLINK("http://maps.google.com/maps?z=10&amp;t=m&amp;q=loc:41.1361111+-124.1602778", 465)</f>
        <v>0</v>
      </c>
      <c r="K337">
        <v>336</v>
      </c>
      <c r="L337">
        <v>0</v>
      </c>
      <c r="M337">
        <v>0</v>
      </c>
      <c r="N337">
        <v>0</v>
      </c>
      <c r="O337">
        <v>0</v>
      </c>
    </row>
    <row r="338" spans="1:15">
      <c r="A338" s="1" t="s">
        <v>350</v>
      </c>
      <c r="B338" t="s">
        <v>504</v>
      </c>
      <c r="C338" t="s">
        <v>509</v>
      </c>
      <c r="D338">
        <f>HYPERLINK("http://www.reserveamerica.com/camping/pearch-creek-campground/r/facilityDetails.do?contractCode=NRSO&amp;parkId=75492", "PEARCH CREEK CAMPGROUND")</f>
        <v>0</v>
      </c>
      <c r="E338">
        <v>41.3088889</v>
      </c>
      <c r="F338">
        <v>-123.5208333</v>
      </c>
      <c r="G338" t="s">
        <v>844</v>
      </c>
      <c r="I338" t="s">
        <v>505</v>
      </c>
      <c r="J338">
        <f>HYPERLINK("http://maps.google.com/maps?z=10&amp;t=m&amp;q=loc:41.3088889+-123.5208333", 463)</f>
        <v>0</v>
      </c>
      <c r="K338">
        <v>343</v>
      </c>
      <c r="L338">
        <v>4</v>
      </c>
      <c r="M338">
        <v>0</v>
      </c>
      <c r="N338">
        <v>4</v>
      </c>
      <c r="O338">
        <v>4</v>
      </c>
    </row>
    <row r="339" spans="1:15">
      <c r="A339" s="1" t="s">
        <v>351</v>
      </c>
      <c r="B339" t="s">
        <v>505</v>
      </c>
      <c r="C339" t="s">
        <v>510</v>
      </c>
      <c r="D339">
        <f>HYPERLINK("http://www.reserveamerica.com/camping/pfeiffer-big-sur-sp/r/facilityDetails.do?contractCode=CA&amp;parkId=120068", "PFEIFFER BIG SUR SP")</f>
        <v>0</v>
      </c>
      <c r="E339">
        <v>36.2530556</v>
      </c>
      <c r="F339">
        <v>-121.7811111</v>
      </c>
      <c r="G339" t="s">
        <v>845</v>
      </c>
      <c r="H339" t="s">
        <v>997</v>
      </c>
      <c r="I339" t="s">
        <v>505</v>
      </c>
      <c r="J339">
        <f>HYPERLINK("http://maps.google.com/maps?z=10&amp;t=m&amp;q=loc:36.2530556+-121.7811111", 119)</f>
        <v>0</v>
      </c>
      <c r="K339">
        <v>174</v>
      </c>
      <c r="L339">
        <v>0</v>
      </c>
      <c r="M339">
        <v>0</v>
      </c>
      <c r="N339">
        <v>0</v>
      </c>
      <c r="O339">
        <v>0</v>
      </c>
    </row>
    <row r="340" spans="1:15">
      <c r="A340" s="1" t="s">
        <v>352</v>
      </c>
      <c r="B340" t="s">
        <v>504</v>
      </c>
      <c r="C340" t="s">
        <v>509</v>
      </c>
      <c r="D340">
        <f>HYPERLINK("http://www.reserveamerica.com/camping/pine-glen/r/facilityDetails.do?contractCode=NRSO&amp;parkId=70566", "PINE GLEN")</f>
        <v>0</v>
      </c>
      <c r="E340">
        <v>37.6491667</v>
      </c>
      <c r="F340">
        <v>-118.9552778</v>
      </c>
      <c r="G340" t="s">
        <v>846</v>
      </c>
      <c r="I340" t="s">
        <v>505</v>
      </c>
      <c r="J340">
        <f>HYPERLINK("http://maps.google.com/maps?z=10&amp;t=m&amp;q=loc:37.6491667+-118.9552778", 262)</f>
        <v>0</v>
      </c>
      <c r="K340">
        <v>81</v>
      </c>
      <c r="L340">
        <v>7</v>
      </c>
      <c r="M340">
        <v>0</v>
      </c>
      <c r="N340">
        <v>7</v>
      </c>
      <c r="O340">
        <v>7</v>
      </c>
    </row>
    <row r="341" spans="1:15">
      <c r="A341" s="1" t="s">
        <v>353</v>
      </c>
      <c r="B341" t="s">
        <v>504</v>
      </c>
      <c r="C341" t="s">
        <v>509</v>
      </c>
      <c r="D341">
        <f>HYPERLINK("http://www.reserveamerica.com/camping/pine-point/r/facilityDetails.do?contractCode=NRSO&amp;parkId=71526", "PINE POINT")</f>
        <v>0</v>
      </c>
      <c r="E341">
        <v>40.9272222</v>
      </c>
      <c r="F341">
        <v>-122.2480556</v>
      </c>
      <c r="G341" t="s">
        <v>847</v>
      </c>
      <c r="I341" t="s">
        <v>505</v>
      </c>
      <c r="J341">
        <f>HYPERLINK("http://maps.google.com/maps?z=10&amp;t=m&amp;q=loc:40.9272222+-122.2480556", 401)</f>
        <v>0</v>
      </c>
      <c r="K341">
        <v>355</v>
      </c>
      <c r="L341">
        <v>0</v>
      </c>
      <c r="M341">
        <v>0</v>
      </c>
      <c r="N341">
        <v>0</v>
      </c>
      <c r="O341">
        <v>0</v>
      </c>
    </row>
    <row r="342" spans="1:15">
      <c r="A342" s="1" t="s">
        <v>354</v>
      </c>
      <c r="B342" t="s">
        <v>504</v>
      </c>
      <c r="C342" t="s">
        <v>509</v>
      </c>
      <c r="D342">
        <f>HYPERLINK("http://www.reserveamerica.com/camping/pinecrest/r/facilityDetails.do?contractCode=NRSO&amp;parkId=70541", "PINECREST")</f>
        <v>0</v>
      </c>
      <c r="E342">
        <v>38.1908333</v>
      </c>
      <c r="F342">
        <v>-119.9972222</v>
      </c>
      <c r="G342" t="s">
        <v>848</v>
      </c>
      <c r="I342" t="s">
        <v>505</v>
      </c>
      <c r="J342">
        <f>HYPERLINK("http://maps.google.com/maps?z=10&amp;t=m&amp;q=loc:38.1908333+-119.9972222", 193)</f>
        <v>0</v>
      </c>
      <c r="K342">
        <v>59</v>
      </c>
      <c r="L342">
        <v>0</v>
      </c>
      <c r="M342">
        <v>0</v>
      </c>
      <c r="N342">
        <v>0</v>
      </c>
      <c r="O342">
        <v>0</v>
      </c>
    </row>
    <row r="343" spans="1:15">
      <c r="A343" s="1" t="s">
        <v>355</v>
      </c>
      <c r="B343" t="s">
        <v>504</v>
      </c>
      <c r="C343" t="s">
        <v>509</v>
      </c>
      <c r="D343">
        <f>HYPERLINK("http://www.reserveamerica.com/camping/pineknot/r/facilityDetails.do?contractCode=NRSO&amp;parkId=70585", "PINEKNOT")</f>
        <v>0</v>
      </c>
      <c r="E343">
        <v>34.2352778</v>
      </c>
      <c r="F343">
        <v>-116.8830556</v>
      </c>
      <c r="G343" t="s">
        <v>849</v>
      </c>
      <c r="I343" t="s">
        <v>505</v>
      </c>
      <c r="J343">
        <f>HYPERLINK("http://maps.google.com/maps?z=10&amp;t=m&amp;q=loc:34.2352778+-116.8830556", 568)</f>
        <v>0</v>
      </c>
      <c r="K343">
        <v>125</v>
      </c>
      <c r="L343">
        <v>0</v>
      </c>
      <c r="M343">
        <v>0</v>
      </c>
      <c r="N343">
        <v>0</v>
      </c>
      <c r="O343">
        <v>0</v>
      </c>
    </row>
    <row r="344" spans="1:15">
      <c r="A344" s="1" t="s">
        <v>356</v>
      </c>
      <c r="B344" t="s">
        <v>504</v>
      </c>
      <c r="C344" t="s">
        <v>509</v>
      </c>
      <c r="D344">
        <f>HYPERLINK("http://www.reserveamerica.com/camping/pines-group-stanislaus/r/facilityDetails.do?contractCode=NRSO&amp;parkId=73635", "PINES GROUP STANISLAUS")</f>
        <v>0</v>
      </c>
      <c r="E344">
        <v>37.8166667</v>
      </c>
      <c r="F344">
        <v>-120.0833333</v>
      </c>
      <c r="G344" t="s">
        <v>850</v>
      </c>
      <c r="I344" t="s">
        <v>505</v>
      </c>
      <c r="J344">
        <f>HYPERLINK("http://maps.google.com/maps?z=10&amp;t=m&amp;q=loc:37.8166667+-120.0833333", 169)</f>
        <v>0</v>
      </c>
      <c r="K344">
        <v>70</v>
      </c>
      <c r="L344">
        <v>0</v>
      </c>
      <c r="M344">
        <v>0</v>
      </c>
      <c r="N344">
        <v>0</v>
      </c>
      <c r="O344">
        <v>0</v>
      </c>
    </row>
    <row r="345" spans="1:15">
      <c r="A345" s="1" t="s">
        <v>357</v>
      </c>
      <c r="B345" t="s">
        <v>504</v>
      </c>
      <c r="C345" t="s">
        <v>509</v>
      </c>
      <c r="D345">
        <f>HYPERLINK("http://www.reserveamerica.com/camping/pinnacles-campground/r/facilityDetails.do?contractCode=NRSO&amp;parkId=73984", "PINNACLES CAMPGROUND")</f>
        <v>0</v>
      </c>
      <c r="E345">
        <v>36.4663889</v>
      </c>
      <c r="F345">
        <v>-121.1761111</v>
      </c>
      <c r="G345" t="s">
        <v>851</v>
      </c>
      <c r="H345" t="s">
        <v>999</v>
      </c>
      <c r="I345" t="s">
        <v>505</v>
      </c>
      <c r="J345">
        <f>HYPERLINK("http://maps.google.com/maps?z=10&amp;t=m&amp;q=loc:36.4663889+-121.1761111", 115)</f>
        <v>0</v>
      </c>
      <c r="K345">
        <v>145</v>
      </c>
      <c r="L345">
        <v>51</v>
      </c>
      <c r="M345">
        <v>0</v>
      </c>
      <c r="N345">
        <v>51</v>
      </c>
      <c r="O345">
        <v>51</v>
      </c>
    </row>
    <row r="346" spans="1:15">
      <c r="A346" s="1" t="s">
        <v>358</v>
      </c>
      <c r="B346" t="s">
        <v>504</v>
      </c>
      <c r="C346" t="s">
        <v>509</v>
      </c>
      <c r="D346">
        <f>HYPERLINK("http://www.reserveamerica.com/camping/pioneer-point/r/facilityDetails.do?contractCode=NRSO&amp;parkId=71567", "PIONEER POINT")</f>
        <v>0</v>
      </c>
      <c r="E346">
        <v>35.6516667</v>
      </c>
      <c r="F346">
        <v>-118.4861111</v>
      </c>
      <c r="G346" t="s">
        <v>852</v>
      </c>
      <c r="I346" t="s">
        <v>505</v>
      </c>
      <c r="J346">
        <f>HYPERLINK("http://maps.google.com/maps?z=10&amp;t=m&amp;q=loc:35.6516667+-118.4861111", 357)</f>
        <v>0</v>
      </c>
      <c r="K346">
        <v>120</v>
      </c>
      <c r="L346">
        <v>73</v>
      </c>
      <c r="M346">
        <v>0</v>
      </c>
      <c r="N346">
        <v>73</v>
      </c>
      <c r="O346">
        <v>73</v>
      </c>
    </row>
    <row r="347" spans="1:15">
      <c r="A347" s="1" t="s">
        <v>359</v>
      </c>
      <c r="B347" t="s">
        <v>504</v>
      </c>
      <c r="C347" t="s">
        <v>509</v>
      </c>
      <c r="D347">
        <f>HYPERLINK("http://www.reserveamerica.com/camping/pioneer-trail/r/facilityDetails.do?contractCode=NRSO&amp;parkId=70597", "PIONEER TRAIL")</f>
        <v>0</v>
      </c>
      <c r="E347">
        <v>38.1875</v>
      </c>
      <c r="F347">
        <v>-119.9875</v>
      </c>
      <c r="G347" t="s">
        <v>853</v>
      </c>
      <c r="I347" t="s">
        <v>505</v>
      </c>
      <c r="J347">
        <f>HYPERLINK("http://maps.google.com/maps?z=10&amp;t=m&amp;q=loc:38.1875+-119.9875", 193)</f>
        <v>0</v>
      </c>
      <c r="K347">
        <v>59</v>
      </c>
      <c r="L347">
        <v>0</v>
      </c>
      <c r="M347">
        <v>0</v>
      </c>
      <c r="N347">
        <v>0</v>
      </c>
      <c r="O347">
        <v>0</v>
      </c>
    </row>
    <row r="348" spans="1:15">
      <c r="A348" s="1" t="s">
        <v>360</v>
      </c>
      <c r="B348" t="s">
        <v>504</v>
      </c>
      <c r="C348" t="s">
        <v>509</v>
      </c>
      <c r="D348">
        <f>HYPERLINK("http://www.reserveamerica.com/camping/pipi-campground/r/facilityDetails.do?contractCode=NRSO&amp;parkId=70554", "PIPI CAMPGROUND")</f>
        <v>0</v>
      </c>
      <c r="E348">
        <v>38.5736111</v>
      </c>
      <c r="F348">
        <v>-120.4375</v>
      </c>
      <c r="G348" t="s">
        <v>854</v>
      </c>
      <c r="I348" t="s">
        <v>505</v>
      </c>
      <c r="J348">
        <f>HYPERLINK("http://maps.google.com/maps?z=10&amp;t=m&amp;q=loc:38.5736111+-120.4375", 189)</f>
        <v>0</v>
      </c>
      <c r="K348">
        <v>42</v>
      </c>
      <c r="L348">
        <v>3</v>
      </c>
      <c r="M348">
        <v>0</v>
      </c>
      <c r="N348">
        <v>3</v>
      </c>
      <c r="O348">
        <v>3</v>
      </c>
    </row>
    <row r="349" spans="1:15">
      <c r="A349" s="1" t="s">
        <v>361</v>
      </c>
      <c r="B349" t="s">
        <v>505</v>
      </c>
      <c r="C349" t="s">
        <v>510</v>
      </c>
      <c r="D349">
        <f>HYPERLINK("http://www.reserveamerica.com/camping/pismo-sb/r/facilityDetails.do?contractCode=CA&amp;parkId=120070", "PISMO SB")</f>
        <v>0</v>
      </c>
      <c r="E349">
        <v>35.1077778</v>
      </c>
      <c r="F349">
        <v>-120.6297222</v>
      </c>
      <c r="G349" t="s">
        <v>855</v>
      </c>
      <c r="I349" t="s">
        <v>505</v>
      </c>
      <c r="J349">
        <f>HYPERLINK("http://maps.google.com/maps?z=10&amp;t=m&amp;q=loc:35.1077778+-120.6297222", 271)</f>
        <v>0</v>
      </c>
      <c r="K349">
        <v>154</v>
      </c>
      <c r="L349">
        <v>3</v>
      </c>
      <c r="M349">
        <v>3</v>
      </c>
      <c r="N349">
        <v>0</v>
      </c>
      <c r="O349">
        <v>0</v>
      </c>
    </row>
    <row r="350" spans="1:15">
      <c r="A350" s="1" t="s">
        <v>362</v>
      </c>
      <c r="B350" t="s">
        <v>504</v>
      </c>
      <c r="C350" t="s">
        <v>509</v>
      </c>
      <c r="D350">
        <f>HYPERLINK("http://www.reserveamerica.com/camping/plaskett-creek-campground/r/facilityDetails.do?contractCode=NRSO&amp;parkId=70161", "PLASKETT CREEK CAMPGROUND")</f>
        <v>0</v>
      </c>
      <c r="E350">
        <v>35.9172222</v>
      </c>
      <c r="F350">
        <v>-121.465</v>
      </c>
      <c r="G350" t="s">
        <v>856</v>
      </c>
      <c r="I350" t="s">
        <v>505</v>
      </c>
      <c r="J350">
        <f>HYPERLINK("http://maps.google.com/maps?z=10&amp;t=m&amp;q=loc:35.9172222+-121.465", 161)</f>
        <v>0</v>
      </c>
      <c r="K350">
        <v>165</v>
      </c>
      <c r="L350">
        <v>0</v>
      </c>
      <c r="M350">
        <v>0</v>
      </c>
      <c r="N350">
        <v>0</v>
      </c>
      <c r="O350">
        <v>0</v>
      </c>
    </row>
    <row r="351" spans="1:15">
      <c r="A351" s="1" t="s">
        <v>363</v>
      </c>
      <c r="B351" t="s">
        <v>505</v>
      </c>
      <c r="C351" t="s">
        <v>510</v>
      </c>
      <c r="D351">
        <f>HYPERLINK("http://www.reserveamerica.com/camping/plumaseureka-sp/r/facilityDetails.do?contractCode=CA&amp;parkId=120100", "PLUMAS-EUREKA SP")</f>
        <v>0</v>
      </c>
      <c r="E351">
        <v>39.7780556</v>
      </c>
      <c r="F351">
        <v>-120.6955556</v>
      </c>
      <c r="G351" t="s">
        <v>857</v>
      </c>
      <c r="I351" t="s">
        <v>505</v>
      </c>
      <c r="J351">
        <f>HYPERLINK("http://maps.google.com/maps?z=10&amp;t=m&amp;q=loc:39.7780556+-120.6955556", 291)</f>
        <v>0</v>
      </c>
      <c r="K351">
        <v>20</v>
      </c>
      <c r="L351">
        <v>0</v>
      </c>
      <c r="M351">
        <v>0</v>
      </c>
      <c r="N351">
        <v>0</v>
      </c>
      <c r="O351">
        <v>0</v>
      </c>
    </row>
    <row r="352" spans="1:15">
      <c r="A352" s="1" t="s">
        <v>364</v>
      </c>
      <c r="B352" t="s">
        <v>505</v>
      </c>
      <c r="C352" t="s">
        <v>510</v>
      </c>
      <c r="D352">
        <f>HYPERLINK("http://www.reserveamerica.com/camping/point-mugu-sp/r/facilityDetails.do?contractCode=CA&amp;parkId=120072", "POINT MUGU SP")</f>
        <v>0</v>
      </c>
      <c r="E352">
        <v>34.0855556</v>
      </c>
      <c r="F352">
        <v>-119.06</v>
      </c>
      <c r="G352" t="s">
        <v>858</v>
      </c>
      <c r="I352" t="s">
        <v>505</v>
      </c>
      <c r="J352">
        <f>HYPERLINK("http://maps.google.com/maps?z=10&amp;t=m&amp;q=loc:34.0855556+-119.06", 442)</f>
        <v>0</v>
      </c>
      <c r="K352">
        <v>143</v>
      </c>
      <c r="L352">
        <v>0</v>
      </c>
      <c r="M352">
        <v>0</v>
      </c>
      <c r="N352">
        <v>0</v>
      </c>
      <c r="O352">
        <v>0</v>
      </c>
    </row>
    <row r="353" spans="1:15">
      <c r="A353" s="1" t="s">
        <v>365</v>
      </c>
      <c r="B353" t="s">
        <v>504</v>
      </c>
      <c r="C353" t="s">
        <v>509</v>
      </c>
      <c r="D353">
        <f>HYPERLINK("http://www.reserveamerica.com/camping/point-reyes-national-seashore-campground/r/facilityDetails.do?contractCode=NRSO&amp;parkId=72393", "Point Reyes National Seashore Campground")</f>
        <v>0</v>
      </c>
      <c r="E353">
        <v>37.9966667</v>
      </c>
      <c r="F353">
        <v>-122.975</v>
      </c>
      <c r="G353" t="s">
        <v>859</v>
      </c>
      <c r="H353" t="s">
        <v>999</v>
      </c>
      <c r="I353" t="s">
        <v>505</v>
      </c>
      <c r="J353">
        <f>HYPERLINK("http://maps.google.com/maps?z=10&amp;t=m&amp;q=loc:37.9966667+-122.975", 119)</f>
        <v>0</v>
      </c>
      <c r="K353">
        <v>308</v>
      </c>
      <c r="L353">
        <v>0</v>
      </c>
      <c r="M353">
        <v>0</v>
      </c>
      <c r="N353">
        <v>0</v>
      </c>
      <c r="O353">
        <v>0</v>
      </c>
    </row>
    <row r="354" spans="1:15">
      <c r="A354" s="1" t="s">
        <v>366</v>
      </c>
      <c r="B354" t="s">
        <v>504</v>
      </c>
      <c r="C354" t="s">
        <v>509</v>
      </c>
      <c r="D354">
        <f>HYPERLINK("http://www.reserveamerica.com/camping/ponderosa-campground/r/facilityDetails.do?contractCode=NRSO&amp;parkId=71996", "PONDEROSA CAMPGROUND")</f>
        <v>0</v>
      </c>
      <c r="E354">
        <v>36.005</v>
      </c>
      <c r="F354">
        <v>-121.3763889</v>
      </c>
      <c r="G354" t="s">
        <v>860</v>
      </c>
      <c r="I354" t="s">
        <v>505</v>
      </c>
      <c r="J354">
        <f>HYPERLINK("http://maps.google.com/maps?z=10&amp;t=m&amp;q=loc:36.005+-121.3763889", 154)</f>
        <v>0</v>
      </c>
      <c r="K354">
        <v>162</v>
      </c>
      <c r="L354">
        <v>1</v>
      </c>
      <c r="M354">
        <v>0</v>
      </c>
      <c r="N354">
        <v>1</v>
      </c>
      <c r="O354">
        <v>1</v>
      </c>
    </row>
    <row r="355" spans="1:15">
      <c r="A355" s="1" t="s">
        <v>367</v>
      </c>
      <c r="B355" t="s">
        <v>504</v>
      </c>
      <c r="C355" t="s">
        <v>509</v>
      </c>
      <c r="D355">
        <f>HYPERLINK("http://www.reserveamerica.com/camping/ponderosa-cove-campground/r/facilityDetails.do?contractCode=NRSO&amp;parkId=72294", "PONDEROSA COVE CAMPGROUND")</f>
        <v>0</v>
      </c>
      <c r="E355">
        <v>38.8741667</v>
      </c>
      <c r="F355">
        <v>-120.6027778</v>
      </c>
      <c r="G355" t="s">
        <v>861</v>
      </c>
      <c r="I355" t="s">
        <v>505</v>
      </c>
      <c r="J355">
        <f>HYPERLINK("http://maps.google.com/maps?z=10&amp;t=m&amp;q=loc:38.8741667+-120.6027778", 206)</f>
        <v>0</v>
      </c>
      <c r="K355">
        <v>33</v>
      </c>
      <c r="L355">
        <v>0</v>
      </c>
      <c r="M355">
        <v>0</v>
      </c>
      <c r="N355">
        <v>0</v>
      </c>
      <c r="O355">
        <v>0</v>
      </c>
    </row>
    <row r="356" spans="1:15">
      <c r="A356" s="1" t="s">
        <v>368</v>
      </c>
      <c r="B356" t="s">
        <v>505</v>
      </c>
      <c r="C356" t="s">
        <v>510</v>
      </c>
      <c r="D356">
        <f>HYPERLINK("http://www.reserveamerica.com/camping/portola-redwoods-sp/r/facilityDetails.do?contractCode=CA&amp;parkId=120073", "PORTOLA REDWOODS SP")</f>
        <v>0</v>
      </c>
      <c r="E356">
        <v>37.2511111</v>
      </c>
      <c r="F356">
        <v>-122.2041667</v>
      </c>
      <c r="G356" t="s">
        <v>862</v>
      </c>
      <c r="I356" t="s">
        <v>505</v>
      </c>
      <c r="J356">
        <f>HYPERLINK("http://maps.google.com/maps?z=10&amp;t=m&amp;q=loc:37.2511111+-122.2041667", 27)</f>
        <v>0</v>
      </c>
      <c r="K356">
        <v>252</v>
      </c>
      <c r="L356">
        <v>0</v>
      </c>
      <c r="M356">
        <v>0</v>
      </c>
      <c r="N356">
        <v>0</v>
      </c>
      <c r="O356">
        <v>0</v>
      </c>
    </row>
    <row r="357" spans="1:15">
      <c r="A357" s="1" t="s">
        <v>369</v>
      </c>
      <c r="B357" t="s">
        <v>504</v>
      </c>
      <c r="C357" t="s">
        <v>509</v>
      </c>
      <c r="D357">
        <f>HYPERLINK("http://www.reserveamerica.com/camping/potwisha-campground/r/facilityDetails.do?contractCode=NRSO&amp;parkId=72461", "POTWISHA CAMPGROUND")</f>
        <v>0</v>
      </c>
      <c r="E357">
        <v>36.5174444</v>
      </c>
      <c r="F357">
        <v>-118.800375</v>
      </c>
      <c r="G357" t="s">
        <v>863</v>
      </c>
      <c r="I357" t="s">
        <v>505</v>
      </c>
      <c r="J357">
        <f>HYPERLINK("http://maps.google.com/maps?z=10&amp;t=m&amp;q=loc:36.5174444+-118.800375", 290)</f>
        <v>0</v>
      </c>
      <c r="K357">
        <v>107</v>
      </c>
      <c r="L357">
        <v>0</v>
      </c>
      <c r="M357">
        <v>0</v>
      </c>
      <c r="N357">
        <v>0</v>
      </c>
      <c r="O357">
        <v>0</v>
      </c>
    </row>
    <row r="358" spans="1:15">
      <c r="A358" s="1" t="s">
        <v>370</v>
      </c>
      <c r="B358" t="s">
        <v>505</v>
      </c>
      <c r="C358" t="s">
        <v>510</v>
      </c>
      <c r="D358">
        <f>HYPERLINK("http://www.reserveamerica.com/camping/prairie-creek-redwoods-sp-elk-prairie-campground/r/facilityDetails.do?contractCode=CA&amp;parkId=120074", "PRAIRIE CREEK REDWOODS SP ELK PRAIRIE CAMPGROUND")</f>
        <v>0</v>
      </c>
      <c r="E358">
        <v>41.4072222</v>
      </c>
      <c r="F358">
        <v>-124.0191667</v>
      </c>
      <c r="G358" t="s">
        <v>864</v>
      </c>
      <c r="I358" t="s">
        <v>505</v>
      </c>
      <c r="J358">
        <f>HYPERLINK("http://maps.google.com/maps?z=10&amp;t=m&amp;q=loc:41.4072222+-124.0191667", 488)</f>
        <v>0</v>
      </c>
      <c r="K358">
        <v>338</v>
      </c>
      <c r="L358">
        <v>33</v>
      </c>
      <c r="M358">
        <v>4</v>
      </c>
      <c r="N358">
        <v>29</v>
      </c>
      <c r="O358">
        <v>30</v>
      </c>
    </row>
    <row r="359" spans="1:15">
      <c r="A359" s="1" t="s">
        <v>371</v>
      </c>
      <c r="B359" t="s">
        <v>505</v>
      </c>
      <c r="C359" t="s">
        <v>510</v>
      </c>
      <c r="D359">
        <f>HYPERLINK("http://www.reserveamerica.com/camping/prairie-creek-redwoods-sp-gold-bluffs-beach-campground/r/facilityDetails.do?contractCode=CA&amp;parkId=124700", "PRAIRIE CREEK REDWOODS SP GOLD BLUFFS BEACH CAMPGROUND")</f>
        <v>0</v>
      </c>
      <c r="E359">
        <v>41.3835722</v>
      </c>
      <c r="F359">
        <v>-124.0694611</v>
      </c>
      <c r="G359" t="s">
        <v>865</v>
      </c>
      <c r="I359" t="s">
        <v>505</v>
      </c>
      <c r="J359">
        <f>HYPERLINK("http://maps.google.com/maps?z=10&amp;t=m&amp;q=loc:41.3835722+-124.0694611", 487)</f>
        <v>0</v>
      </c>
      <c r="K359">
        <v>338</v>
      </c>
      <c r="L359">
        <v>4</v>
      </c>
      <c r="M359">
        <v>0</v>
      </c>
      <c r="N359">
        <v>4</v>
      </c>
      <c r="O359">
        <v>4</v>
      </c>
    </row>
    <row r="360" spans="1:15">
      <c r="A360" s="1" t="s">
        <v>372</v>
      </c>
      <c r="B360" t="s">
        <v>504</v>
      </c>
      <c r="C360" t="s">
        <v>509</v>
      </c>
      <c r="D360">
        <f>HYPERLINK("http://www.reserveamerica.com/camping/princess/r/facilityDetails.do?contractCode=NRSO&amp;parkId=71548", "PRINCESS")</f>
        <v>0</v>
      </c>
      <c r="E360">
        <v>36.8027778</v>
      </c>
      <c r="F360">
        <v>-118.9369444</v>
      </c>
      <c r="G360" t="s">
        <v>866</v>
      </c>
      <c r="I360" t="s">
        <v>505</v>
      </c>
      <c r="J360">
        <f>HYPERLINK("http://maps.google.com/maps?z=10&amp;t=m&amp;q=loc:36.8027778+-118.9369444", 269)</f>
        <v>0</v>
      </c>
      <c r="K360">
        <v>101</v>
      </c>
      <c r="L360">
        <v>0</v>
      </c>
      <c r="M360">
        <v>0</v>
      </c>
      <c r="N360">
        <v>0</v>
      </c>
      <c r="O360">
        <v>0</v>
      </c>
    </row>
    <row r="361" spans="1:15">
      <c r="A361" s="1" t="s">
        <v>373</v>
      </c>
      <c r="B361" t="s">
        <v>504</v>
      </c>
      <c r="C361" t="s">
        <v>509</v>
      </c>
      <c r="D361">
        <f>HYPERLINK("http://www.reserveamerica.com/camping/prosser-family/r/facilityDetails.do?contractCode=NRSO&amp;parkId=75053", "PROSSER FAMILY")</f>
        <v>0</v>
      </c>
      <c r="E361">
        <v>39.3777778</v>
      </c>
      <c r="F361">
        <v>-120.1605556</v>
      </c>
      <c r="G361" t="s">
        <v>867</v>
      </c>
      <c r="I361" t="s">
        <v>505</v>
      </c>
      <c r="J361">
        <f>HYPERLINK("http://maps.google.com/maps?z=10&amp;t=m&amp;q=loc:39.3777778+-120.1605556", 273)</f>
        <v>0</v>
      </c>
      <c r="K361">
        <v>33</v>
      </c>
      <c r="L361">
        <v>23</v>
      </c>
      <c r="M361">
        <v>0</v>
      </c>
      <c r="N361">
        <v>23</v>
      </c>
      <c r="O361">
        <v>23</v>
      </c>
    </row>
    <row r="362" spans="1:15">
      <c r="A362" s="1" t="s">
        <v>374</v>
      </c>
      <c r="B362" t="s">
        <v>504</v>
      </c>
      <c r="C362" t="s">
        <v>509</v>
      </c>
      <c r="D362">
        <f>HYPERLINK("http://www.reserveamerica.com/camping/prosser-ranch-group/r/facilityDetails.do?contractCode=NRSO&amp;parkId=70183", "PROSSER RANCH GROUP")</f>
        <v>0</v>
      </c>
      <c r="E362">
        <v>39.3787972</v>
      </c>
      <c r="F362">
        <v>-120.1552</v>
      </c>
      <c r="G362" t="s">
        <v>868</v>
      </c>
      <c r="I362" t="s">
        <v>505</v>
      </c>
      <c r="J362">
        <f>HYPERLINK("http://maps.google.com/maps?z=10&amp;t=m&amp;q=loc:39.3787972+-120.1552", 274)</f>
        <v>0</v>
      </c>
      <c r="K362">
        <v>33</v>
      </c>
      <c r="L362">
        <v>0</v>
      </c>
      <c r="M362">
        <v>0</v>
      </c>
      <c r="N362">
        <v>0</v>
      </c>
      <c r="O362">
        <v>0</v>
      </c>
    </row>
    <row r="363" spans="1:15">
      <c r="A363" s="1" t="s">
        <v>375</v>
      </c>
      <c r="B363" t="s">
        <v>504</v>
      </c>
      <c r="C363" t="s">
        <v>509</v>
      </c>
      <c r="E363">
        <v>37.6488889</v>
      </c>
      <c r="F363">
        <v>-119.0736111</v>
      </c>
      <c r="G363" t="s">
        <v>869</v>
      </c>
      <c r="I363" t="s">
        <v>505</v>
      </c>
      <c r="J363">
        <f>HYPERLINK("http://maps.google.com/maps?z=10&amp;t=m&amp;q=loc:37.6488889+-119.0736111", 252)</f>
        <v>0</v>
      </c>
      <c r="K363">
        <v>81</v>
      </c>
      <c r="L363">
        <v>0</v>
      </c>
      <c r="M363">
        <v>0</v>
      </c>
      <c r="N363">
        <v>0</v>
      </c>
      <c r="O363">
        <v>0</v>
      </c>
    </row>
    <row r="364" spans="1:15">
      <c r="A364" s="1" t="s">
        <v>376</v>
      </c>
      <c r="B364" t="s">
        <v>504</v>
      </c>
      <c r="C364" t="s">
        <v>509</v>
      </c>
      <c r="D364">
        <f>HYPERLINK("http://www.reserveamerica.com/camping/pyramid-lake--los-alamos-campground/r/facilityDetails.do?contractCode=NRSO&amp;parkId=72292", "PYRAMID LAKE - LOS ALAMOS CAMPGROUND")</f>
        <v>0</v>
      </c>
      <c r="E364">
        <v>34.65</v>
      </c>
      <c r="F364">
        <v>-118.7666667</v>
      </c>
      <c r="G364" t="s">
        <v>870</v>
      </c>
      <c r="I364" t="s">
        <v>505</v>
      </c>
      <c r="J364">
        <f>HYPERLINK("http://maps.google.com/maps?z=10&amp;t=m&amp;q=loc:34.65+-118.7666667", 410)</f>
        <v>0</v>
      </c>
      <c r="K364">
        <v>135</v>
      </c>
      <c r="L364">
        <v>88</v>
      </c>
      <c r="M364">
        <v>1</v>
      </c>
      <c r="N364">
        <v>87</v>
      </c>
      <c r="O364">
        <v>87</v>
      </c>
    </row>
    <row r="365" spans="1:15">
      <c r="A365" s="1" t="s">
        <v>377</v>
      </c>
      <c r="B365" t="s">
        <v>504</v>
      </c>
      <c r="C365" t="s">
        <v>509</v>
      </c>
      <c r="D365">
        <f>HYPERLINK("http://www.reserveamerica.com/camping/quaking-aspen/r/facilityDetails.do?contractCode=NRSO&amp;parkId=71610", "QUAKING ASPEN")</f>
        <v>0</v>
      </c>
      <c r="E365">
        <v>36.1208333</v>
      </c>
      <c r="F365">
        <v>-118.5472222</v>
      </c>
      <c r="G365" t="s">
        <v>871</v>
      </c>
      <c r="I365" t="s">
        <v>505</v>
      </c>
      <c r="J365">
        <f>HYPERLINK("http://maps.google.com/maps?z=10&amp;t=m&amp;q=loc:36.1208333+-118.5472222", 327)</f>
        <v>0</v>
      </c>
      <c r="K365">
        <v>113</v>
      </c>
      <c r="L365">
        <v>27</v>
      </c>
      <c r="M365">
        <v>2</v>
      </c>
      <c r="N365">
        <v>25</v>
      </c>
      <c r="O365">
        <v>25</v>
      </c>
    </row>
    <row r="366" spans="1:15">
      <c r="A366" s="1" t="s">
        <v>378</v>
      </c>
      <c r="B366" t="s">
        <v>504</v>
      </c>
      <c r="C366" t="s">
        <v>509</v>
      </c>
      <c r="D366">
        <f>HYPERLINK("http://www.reserveamerica.com/camping/ramshorn/r/facilityDetails.do?contractCode=NRSO&amp;parkId=75433", "RAMSHORN")</f>
        <v>0</v>
      </c>
      <c r="E366">
        <v>39.5394444</v>
      </c>
      <c r="F366">
        <v>-120.9113889</v>
      </c>
      <c r="G366" t="s">
        <v>872</v>
      </c>
      <c r="I366" t="s">
        <v>505</v>
      </c>
      <c r="J366">
        <f>HYPERLINK("http://maps.google.com/maps?z=10&amp;t=m&amp;q=loc:39.5394444+-120.9113889", 260)</f>
        <v>0</v>
      </c>
      <c r="K366">
        <v>19</v>
      </c>
      <c r="L366">
        <v>14</v>
      </c>
      <c r="M366">
        <v>0</v>
      </c>
      <c r="N366">
        <v>14</v>
      </c>
      <c r="O366">
        <v>14</v>
      </c>
    </row>
    <row r="367" spans="1:15">
      <c r="A367" s="1" t="s">
        <v>379</v>
      </c>
      <c r="B367" t="s">
        <v>504</v>
      </c>
      <c r="C367" t="s">
        <v>509</v>
      </c>
      <c r="D367">
        <f>HYPERLINK("http://www.reserveamerica.com/camping/rancheria/r/facilityDetails.do?contractCode=NRSO&amp;parkId=71593", "RANCHERIA")</f>
        <v>0</v>
      </c>
      <c r="E367">
        <v>37.2477778</v>
      </c>
      <c r="F367">
        <v>-119.1611111</v>
      </c>
      <c r="G367" t="s">
        <v>873</v>
      </c>
      <c r="H367" t="s">
        <v>998</v>
      </c>
      <c r="I367" t="s">
        <v>505</v>
      </c>
      <c r="J367">
        <f>HYPERLINK("http://maps.google.com/maps?z=10&amp;t=m&amp;q=loc:37.2477778+-119.1611111", 242)</f>
        <v>0</v>
      </c>
      <c r="K367">
        <v>91</v>
      </c>
      <c r="L367">
        <v>33</v>
      </c>
      <c r="M367">
        <v>11</v>
      </c>
      <c r="N367">
        <v>22</v>
      </c>
      <c r="O367">
        <v>22</v>
      </c>
    </row>
    <row r="368" spans="1:15">
      <c r="A368" s="1" t="s">
        <v>380</v>
      </c>
      <c r="B368" t="s">
        <v>504</v>
      </c>
      <c r="C368" t="s">
        <v>509</v>
      </c>
      <c r="D368">
        <f>HYPERLINK("http://www.reserveamerica.com/camping/recreation-point/r/facilityDetails.do?contractCode=NRSO&amp;parkId=71720", "RECREATION POINT")</f>
        <v>0</v>
      </c>
      <c r="E368">
        <v>37.3286111</v>
      </c>
      <c r="F368">
        <v>-119.5777778</v>
      </c>
      <c r="G368" t="s">
        <v>874</v>
      </c>
      <c r="I368" t="s">
        <v>505</v>
      </c>
      <c r="J368">
        <f>HYPERLINK("http://maps.google.com/maps?z=10&amp;t=m&amp;q=loc:37.3286111+-119.5777778", 205)</f>
        <v>0</v>
      </c>
      <c r="K368">
        <v>89</v>
      </c>
      <c r="L368">
        <v>3</v>
      </c>
      <c r="M368">
        <v>0</v>
      </c>
      <c r="N368">
        <v>3</v>
      </c>
      <c r="O368">
        <v>3</v>
      </c>
    </row>
    <row r="369" spans="1:15">
      <c r="A369" s="1" t="s">
        <v>381</v>
      </c>
      <c r="B369" t="s">
        <v>504</v>
      </c>
      <c r="C369" t="s">
        <v>509</v>
      </c>
      <c r="D369">
        <f>HYPERLINK("http://www.reserveamerica.com/camping/red-feather-california/r/facilityDetails.do?contractCode=NRSO&amp;parkId=70562", "RED FEATHER CALIFORNIA")</f>
        <v>0</v>
      </c>
      <c r="E369">
        <v>39.7352778</v>
      </c>
      <c r="F369">
        <v>-120.9530556</v>
      </c>
      <c r="G369" t="s">
        <v>875</v>
      </c>
      <c r="H369" t="s">
        <v>998</v>
      </c>
      <c r="I369" t="s">
        <v>505</v>
      </c>
      <c r="J369">
        <f>HYPERLINK("http://maps.google.com/maps?z=10&amp;t=m&amp;q=loc:39.7352778+-120.9530556", 280)</f>
        <v>0</v>
      </c>
      <c r="K369">
        <v>16</v>
      </c>
      <c r="L369">
        <v>56</v>
      </c>
      <c r="M369">
        <v>0</v>
      </c>
      <c r="N369">
        <v>56</v>
      </c>
      <c r="O369">
        <v>56</v>
      </c>
    </row>
    <row r="370" spans="1:15">
      <c r="A370" s="1" t="s">
        <v>382</v>
      </c>
      <c r="B370" t="s">
        <v>504</v>
      </c>
      <c r="C370" t="s">
        <v>509</v>
      </c>
      <c r="D370">
        <f>HYPERLINK("http://www.reserveamerica.com/camping/red-fir/r/facilityDetails.do?contractCode=NRSO&amp;parkId=70612", "RED FIR")</f>
        <v>0</v>
      </c>
      <c r="E370">
        <v>39.0022222</v>
      </c>
      <c r="F370">
        <v>-120.3125</v>
      </c>
      <c r="G370" t="s">
        <v>876</v>
      </c>
      <c r="I370" t="s">
        <v>505</v>
      </c>
      <c r="J370">
        <f>HYPERLINK("http://maps.google.com/maps?z=10&amp;t=m&amp;q=loc:39.0022222+-120.3125", 232)</f>
        <v>0</v>
      </c>
      <c r="K370">
        <v>36</v>
      </c>
      <c r="L370">
        <v>0</v>
      </c>
      <c r="M370">
        <v>0</v>
      </c>
      <c r="N370">
        <v>0</v>
      </c>
      <c r="O370">
        <v>0</v>
      </c>
    </row>
    <row r="371" spans="1:15">
      <c r="A371" s="1" t="s">
        <v>383</v>
      </c>
      <c r="B371" t="s">
        <v>504</v>
      </c>
      <c r="C371" t="s">
        <v>509</v>
      </c>
      <c r="D371">
        <f>HYPERLINK("http://www.reserveamerica.com/camping/redwood-meadow/r/facilityDetails.do?contractCode=NRSO&amp;parkId=71608", "REDWOOD MEADOW")</f>
        <v>0</v>
      </c>
      <c r="E371">
        <v>35.9777778</v>
      </c>
      <c r="F371">
        <v>-118.5916667</v>
      </c>
      <c r="G371" t="s">
        <v>877</v>
      </c>
      <c r="I371" t="s">
        <v>505</v>
      </c>
      <c r="J371">
        <f>HYPERLINK("http://maps.google.com/maps?z=10&amp;t=m&amp;q=loc:35.9777778+-118.5916667", 331)</f>
        <v>0</v>
      </c>
      <c r="K371">
        <v>115</v>
      </c>
      <c r="L371">
        <v>5</v>
      </c>
      <c r="M371">
        <v>0</v>
      </c>
      <c r="N371">
        <v>5</v>
      </c>
      <c r="O371">
        <v>5</v>
      </c>
    </row>
    <row r="372" spans="1:15">
      <c r="A372" s="1" t="s">
        <v>384</v>
      </c>
      <c r="B372" t="s">
        <v>505</v>
      </c>
      <c r="C372" t="s">
        <v>510</v>
      </c>
      <c r="D372">
        <f>HYPERLINK("http://www.reserveamerica.com/camping/refugio-sb/r/facilityDetails.do?contractCode=CA&amp;parkId=120075", "REFUGIO SB")</f>
        <v>0</v>
      </c>
      <c r="E372">
        <v>34.4622222</v>
      </c>
      <c r="F372">
        <v>-120.0713889</v>
      </c>
      <c r="G372" t="s">
        <v>878</v>
      </c>
      <c r="I372" t="s">
        <v>505</v>
      </c>
      <c r="J372">
        <f>HYPERLINK("http://maps.google.com/maps?z=10&amp;t=m&amp;q=loc:34.4622222+-120.0713889", 358)</f>
        <v>0</v>
      </c>
      <c r="K372">
        <v>152</v>
      </c>
      <c r="L372">
        <v>0</v>
      </c>
      <c r="M372">
        <v>0</v>
      </c>
      <c r="N372">
        <v>0</v>
      </c>
      <c r="O372">
        <v>0</v>
      </c>
    </row>
    <row r="373" spans="1:15">
      <c r="A373" s="1" t="s">
        <v>385</v>
      </c>
      <c r="B373" t="s">
        <v>504</v>
      </c>
      <c r="C373" t="s">
        <v>509</v>
      </c>
      <c r="D373">
        <f>HYPERLINK("http://www.reserveamerica.com/camping/reversed-creek-campground/r/facilityDetails.do?contractCode=NRSO&amp;parkId=72148", "REVERSED CREEK CAMPGROUND")</f>
        <v>0</v>
      </c>
      <c r="E373">
        <v>37.7703306</v>
      </c>
      <c r="F373">
        <v>-119.084275</v>
      </c>
      <c r="G373" t="s">
        <v>879</v>
      </c>
      <c r="I373" t="s">
        <v>505</v>
      </c>
      <c r="J373">
        <f>HYPERLINK("http://maps.google.com/maps?z=10&amp;t=m&amp;q=loc:37.7703306+-119.084275", 253)</f>
        <v>0</v>
      </c>
      <c r="K373">
        <v>77</v>
      </c>
      <c r="L373">
        <v>4</v>
      </c>
      <c r="M373">
        <v>0</v>
      </c>
      <c r="N373">
        <v>4</v>
      </c>
      <c r="O373">
        <v>4</v>
      </c>
    </row>
    <row r="374" spans="1:15">
      <c r="A374" s="1" t="s">
        <v>386</v>
      </c>
      <c r="B374" t="s">
        <v>505</v>
      </c>
      <c r="C374" t="s">
        <v>510</v>
      </c>
      <c r="D374">
        <f>HYPERLINK("http://www.reserveamerica.com/camping/richardson-grove-sp/r/facilityDetails.do?contractCode=CA&amp;parkId=120076", "RICHARDSON GROVE SP")</f>
        <v>0</v>
      </c>
      <c r="E374">
        <v>40.0172222</v>
      </c>
      <c r="F374">
        <v>-123.7916667</v>
      </c>
      <c r="G374" t="s">
        <v>880</v>
      </c>
      <c r="I374" t="s">
        <v>505</v>
      </c>
      <c r="J374">
        <f>HYPERLINK("http://maps.google.com/maps?z=10&amp;t=m&amp;q=loc:40.0172222+-123.7916667", 340)</f>
        <v>0</v>
      </c>
      <c r="K374">
        <v>331</v>
      </c>
      <c r="L374">
        <v>0</v>
      </c>
      <c r="M374">
        <v>0</v>
      </c>
      <c r="N374">
        <v>0</v>
      </c>
      <c r="O374">
        <v>0</v>
      </c>
    </row>
    <row r="375" spans="1:15">
      <c r="A375" s="1" t="s">
        <v>387</v>
      </c>
      <c r="B375" t="s">
        <v>504</v>
      </c>
      <c r="C375" t="s">
        <v>509</v>
      </c>
      <c r="D375">
        <f>HYPERLINK("http://www.reserveamerica.com/camping/robinson-creek-north/r/facilityDetails.do?contractCode=NRSO&amp;parkId=70317", "ROBINSON CREEK NORTH")</f>
        <v>0</v>
      </c>
      <c r="E375">
        <v>38.1861111</v>
      </c>
      <c r="F375">
        <v>-119.3175</v>
      </c>
      <c r="G375" t="s">
        <v>881</v>
      </c>
      <c r="I375" t="s">
        <v>505</v>
      </c>
      <c r="J375">
        <f>HYPERLINK("http://maps.google.com/maps?z=10&amp;t=m&amp;q=loc:38.1861111+-119.3175", 246)</f>
        <v>0</v>
      </c>
      <c r="K375">
        <v>66</v>
      </c>
      <c r="L375">
        <v>0</v>
      </c>
      <c r="M375">
        <v>0</v>
      </c>
      <c r="N375">
        <v>0</v>
      </c>
      <c r="O375">
        <v>0</v>
      </c>
    </row>
    <row r="376" spans="1:15">
      <c r="A376" s="1" t="s">
        <v>388</v>
      </c>
      <c r="B376" t="s">
        <v>504</v>
      </c>
      <c r="C376" t="s">
        <v>509</v>
      </c>
      <c r="D376">
        <f>HYPERLINK("http://www.reserveamerica.com/camping/robinson-creek-south/r/facilityDetails.do?contractCode=NRSO&amp;parkId=71943", "ROBINSON CREEK SOUTH")</f>
        <v>0</v>
      </c>
      <c r="E376">
        <v>38.1861111</v>
      </c>
      <c r="F376">
        <v>-119.3175</v>
      </c>
      <c r="G376" t="s">
        <v>882</v>
      </c>
      <c r="I376" t="s">
        <v>505</v>
      </c>
      <c r="J376">
        <f>HYPERLINK("http://maps.google.com/maps?z=10&amp;t=m&amp;q=loc:38.1861111+-119.3175", 246)</f>
        <v>0</v>
      </c>
      <c r="K376">
        <v>66</v>
      </c>
      <c r="L376">
        <v>0</v>
      </c>
      <c r="M376">
        <v>0</v>
      </c>
      <c r="N376">
        <v>0</v>
      </c>
      <c r="O376">
        <v>0</v>
      </c>
    </row>
    <row r="377" spans="1:15">
      <c r="A377" s="1" t="s">
        <v>389</v>
      </c>
      <c r="B377" t="s">
        <v>504</v>
      </c>
      <c r="C377" t="s">
        <v>509</v>
      </c>
      <c r="D377">
        <f>HYPERLINK("http://www.reserveamerica.com/camping/rock-creek-sierra-natl-fores/r/facilityDetails.do?contractCode=NRSO&amp;parkId=71598", "ROCK CREEK (SIERRA NATL FORES")</f>
        <v>0</v>
      </c>
      <c r="E377">
        <v>37.2911111</v>
      </c>
      <c r="F377">
        <v>-119.3594444</v>
      </c>
      <c r="G377" t="s">
        <v>883</v>
      </c>
      <c r="I377" t="s">
        <v>505</v>
      </c>
      <c r="J377">
        <f>HYPERLINK("http://maps.google.com/maps?z=10&amp;t=m&amp;q=loc:37.2911111+-119.3594444", 225)</f>
        <v>0</v>
      </c>
      <c r="K377">
        <v>90</v>
      </c>
      <c r="L377">
        <v>0</v>
      </c>
      <c r="M377">
        <v>0</v>
      </c>
      <c r="N377">
        <v>0</v>
      </c>
      <c r="O377">
        <v>0</v>
      </c>
    </row>
    <row r="378" spans="1:15">
      <c r="A378" s="1" t="s">
        <v>390</v>
      </c>
      <c r="B378" t="s">
        <v>504</v>
      </c>
      <c r="C378" t="s">
        <v>509</v>
      </c>
      <c r="D378">
        <f>HYPERLINK("http://www.reserveamerica.com/camping/rock-creek-lake/r/facilityDetails.do?contractCode=NRSO&amp;parkId=73836", "ROCK CREEK LAKE")</f>
        <v>0</v>
      </c>
      <c r="E378">
        <v>37.4538222</v>
      </c>
      <c r="F378">
        <v>-118.7390139</v>
      </c>
      <c r="G378" t="s">
        <v>884</v>
      </c>
      <c r="I378" t="s">
        <v>505</v>
      </c>
      <c r="J378">
        <f>HYPERLINK("http://maps.google.com/maps?z=10&amp;t=m&amp;q=loc:37.4538222+-118.7390139", 279)</f>
        <v>0</v>
      </c>
      <c r="K378">
        <v>86</v>
      </c>
      <c r="L378">
        <v>0</v>
      </c>
      <c r="M378">
        <v>0</v>
      </c>
      <c r="N378">
        <v>0</v>
      </c>
      <c r="O378">
        <v>0</v>
      </c>
    </row>
    <row r="379" spans="1:15">
      <c r="A379" s="1" t="s">
        <v>391</v>
      </c>
      <c r="B379" t="s">
        <v>504</v>
      </c>
      <c r="C379" t="s">
        <v>509</v>
      </c>
      <c r="E379">
        <v>37.4538222</v>
      </c>
      <c r="F379">
        <v>-118.7390139</v>
      </c>
      <c r="G379" t="s">
        <v>885</v>
      </c>
      <c r="I379" t="s">
        <v>505</v>
      </c>
      <c r="J379">
        <f>HYPERLINK("http://maps.google.com/maps?z=10&amp;t=m&amp;q=loc:37.4538222+-118.7390139", 279)</f>
        <v>0</v>
      </c>
      <c r="K379">
        <v>86</v>
      </c>
      <c r="L379">
        <v>0</v>
      </c>
      <c r="M379">
        <v>0</v>
      </c>
      <c r="N379">
        <v>0</v>
      </c>
      <c r="O379">
        <v>0</v>
      </c>
    </row>
    <row r="380" spans="1:15">
      <c r="A380" s="1" t="s">
        <v>392</v>
      </c>
      <c r="B380" t="s">
        <v>504</v>
      </c>
      <c r="C380" t="s">
        <v>509</v>
      </c>
      <c r="D380">
        <f>HYPERLINK("http://www.reserveamerica.com/camping/rocky-rest/r/facilityDetails.do?contractCode=NRSO&amp;parkId=75439", "ROCKY REST")</f>
        <v>0</v>
      </c>
      <c r="E380">
        <v>39.5138889</v>
      </c>
      <c r="F380">
        <v>-120.9744444</v>
      </c>
      <c r="G380" t="s">
        <v>886</v>
      </c>
      <c r="I380" t="s">
        <v>505</v>
      </c>
      <c r="J380">
        <f>HYPERLINK("http://maps.google.com/maps?z=10&amp;t=m&amp;q=loc:39.5138889+-120.9744444", 256)</f>
        <v>0</v>
      </c>
      <c r="K380">
        <v>18</v>
      </c>
      <c r="L380">
        <v>0</v>
      </c>
      <c r="M380">
        <v>0</v>
      </c>
      <c r="N380">
        <v>0</v>
      </c>
      <c r="O380">
        <v>0</v>
      </c>
    </row>
    <row r="381" spans="1:15">
      <c r="A381" s="1" t="s">
        <v>393</v>
      </c>
      <c r="B381" t="s">
        <v>504</v>
      </c>
      <c r="C381" t="s">
        <v>509</v>
      </c>
      <c r="D381">
        <f>HYPERLINK("http://www.reserveamerica.com/camping/running-deer-campground/r/facilityDetails.do?contractCode=NRSO&amp;parkId=73569", "RUNNING DEER CAMPGROUND")</f>
        <v>0</v>
      </c>
      <c r="E381">
        <v>39.7352778</v>
      </c>
      <c r="F381">
        <v>-120.9530556</v>
      </c>
      <c r="G381" t="s">
        <v>887</v>
      </c>
      <c r="H381" t="s">
        <v>998</v>
      </c>
      <c r="I381" t="s">
        <v>505</v>
      </c>
      <c r="J381">
        <f>HYPERLINK("http://maps.google.com/maps?z=10&amp;t=m&amp;q=loc:39.7352778+-120.9530556", 280)</f>
        <v>0</v>
      </c>
      <c r="K381">
        <v>16</v>
      </c>
      <c r="L381">
        <v>36</v>
      </c>
      <c r="M381">
        <v>0</v>
      </c>
      <c r="N381">
        <v>36</v>
      </c>
      <c r="O381">
        <v>36</v>
      </c>
    </row>
    <row r="382" spans="1:15">
      <c r="A382" s="1" t="s">
        <v>394</v>
      </c>
      <c r="B382" t="s">
        <v>505</v>
      </c>
      <c r="C382" t="s">
        <v>510</v>
      </c>
      <c r="E382">
        <v>39.3330556</v>
      </c>
      <c r="F382">
        <v>-123.7738889</v>
      </c>
      <c r="G382" t="s">
        <v>888</v>
      </c>
      <c r="I382" t="s">
        <v>505</v>
      </c>
      <c r="J382">
        <f>HYPERLINK("http://maps.google.com/maps?z=10&amp;t=m&amp;q=loc:39.3330556+-123.7738889", 275)</f>
        <v>0</v>
      </c>
      <c r="K382">
        <v>324</v>
      </c>
      <c r="L382">
        <v>0</v>
      </c>
      <c r="M382">
        <v>0</v>
      </c>
      <c r="N382">
        <v>0</v>
      </c>
      <c r="O382">
        <v>0</v>
      </c>
    </row>
    <row r="383" spans="1:15">
      <c r="A383" s="1" t="s">
        <v>395</v>
      </c>
      <c r="B383" t="s">
        <v>505</v>
      </c>
      <c r="C383" t="s">
        <v>510</v>
      </c>
      <c r="E383">
        <v>34.6777778</v>
      </c>
      <c r="F383">
        <v>-117.8041667</v>
      </c>
      <c r="G383" t="s">
        <v>889</v>
      </c>
      <c r="I383" t="s">
        <v>505</v>
      </c>
      <c r="J383">
        <f>HYPERLINK("http://maps.google.com/maps?z=10&amp;t=m&amp;q=loc:34.6777778+-117.8041667", 471)</f>
        <v>0</v>
      </c>
      <c r="K383">
        <v>127</v>
      </c>
      <c r="L383">
        <v>0</v>
      </c>
      <c r="M383">
        <v>0</v>
      </c>
      <c r="N383">
        <v>0</v>
      </c>
      <c r="O383">
        <v>0</v>
      </c>
    </row>
    <row r="384" spans="1:15">
      <c r="A384" s="1" t="s">
        <v>396</v>
      </c>
      <c r="B384" t="s">
        <v>504</v>
      </c>
      <c r="C384" t="s">
        <v>509</v>
      </c>
      <c r="D384">
        <f>HYPERLINK("http://www.reserveamerica.com/camping/sage-hill/r/facilityDetails.do?contractCode=NRSO&amp;parkId=70164", "SAGE HILL")</f>
        <v>0</v>
      </c>
      <c r="E384">
        <v>34.5391667</v>
      </c>
      <c r="F384">
        <v>-119.7911111</v>
      </c>
      <c r="G384" t="s">
        <v>890</v>
      </c>
      <c r="I384" t="s">
        <v>505</v>
      </c>
      <c r="J384">
        <f>HYPERLINK("http://maps.google.com/maps?z=10&amp;t=m&amp;q=loc:34.5391667+-119.7911111", 363)</f>
        <v>0</v>
      </c>
      <c r="K384">
        <v>147</v>
      </c>
      <c r="L384">
        <v>0</v>
      </c>
      <c r="M384">
        <v>0</v>
      </c>
      <c r="N384">
        <v>0</v>
      </c>
      <c r="O384">
        <v>0</v>
      </c>
    </row>
    <row r="385" spans="1:15">
      <c r="A385" s="1" t="s">
        <v>397</v>
      </c>
      <c r="B385" t="s">
        <v>504</v>
      </c>
      <c r="C385" t="s">
        <v>509</v>
      </c>
      <c r="D385">
        <f>HYPERLINK("http://www.reserveamerica.com/camping/salmon-creek/r/facilityDetails.do?contractCode=NRSO&amp;parkId=75430", "SALMON CREEK")</f>
        <v>0</v>
      </c>
      <c r="E385">
        <v>39.6236111</v>
      </c>
      <c r="F385">
        <v>-120.6122222</v>
      </c>
      <c r="G385" t="s">
        <v>891</v>
      </c>
      <c r="I385" t="s">
        <v>505</v>
      </c>
      <c r="J385">
        <f>HYPERLINK("http://maps.google.com/maps?z=10&amp;t=m&amp;q=loc:39.6236111+-120.6122222", 278)</f>
        <v>0</v>
      </c>
      <c r="K385">
        <v>23</v>
      </c>
      <c r="L385">
        <v>18</v>
      </c>
      <c r="M385">
        <v>0</v>
      </c>
      <c r="N385">
        <v>18</v>
      </c>
      <c r="O385">
        <v>18</v>
      </c>
    </row>
    <row r="386" spans="1:15">
      <c r="A386" s="1" t="s">
        <v>398</v>
      </c>
      <c r="B386" t="s">
        <v>505</v>
      </c>
      <c r="C386" t="s">
        <v>510</v>
      </c>
      <c r="D386">
        <f>HYPERLINK("http://www.reserveamerica.com/camping/salt-point-sp/r/facilityDetails.do?contractCode=CA&amp;parkId=120080", "SALT POINT SP")</f>
        <v>0</v>
      </c>
      <c r="E386">
        <v>38.5752778</v>
      </c>
      <c r="F386">
        <v>-123.3119444</v>
      </c>
      <c r="G386" t="s">
        <v>892</v>
      </c>
      <c r="I386" t="s">
        <v>505</v>
      </c>
      <c r="J386">
        <f>HYPERLINK("http://maps.google.com/maps?z=10&amp;t=m&amp;q=loc:38.5752778+-123.3119444", 185)</f>
        <v>0</v>
      </c>
      <c r="K386">
        <v>318</v>
      </c>
      <c r="L386">
        <v>2</v>
      </c>
      <c r="M386">
        <v>2</v>
      </c>
      <c r="N386">
        <v>0</v>
      </c>
      <c r="O386">
        <v>0</v>
      </c>
    </row>
    <row r="387" spans="1:15">
      <c r="A387" s="1" t="s">
        <v>399</v>
      </c>
      <c r="B387" t="s">
        <v>505</v>
      </c>
      <c r="C387" t="s">
        <v>510</v>
      </c>
      <c r="D387">
        <f>HYPERLINK("http://www.reserveamerica.com/camping/salton-sea-sra/r/facilityDetails.do?contractCode=CA&amp;parkId=120079", "SALTON SEA SRA")</f>
        <v>0</v>
      </c>
      <c r="E387">
        <v>33.4177778</v>
      </c>
      <c r="F387">
        <v>-115.8308333</v>
      </c>
      <c r="G387" t="s">
        <v>893</v>
      </c>
      <c r="I387" t="s">
        <v>505</v>
      </c>
      <c r="J387">
        <f>HYPERLINK("http://maps.google.com/maps?z=10&amp;t=m&amp;q=loc:33.4177778+-115.8308333", 701)</f>
        <v>0</v>
      </c>
      <c r="K387">
        <v>126</v>
      </c>
      <c r="L387">
        <v>0</v>
      </c>
      <c r="M387">
        <v>0</v>
      </c>
      <c r="N387">
        <v>0</v>
      </c>
      <c r="O387">
        <v>0</v>
      </c>
    </row>
    <row r="388" spans="1:15">
      <c r="A388" s="1" t="s">
        <v>400</v>
      </c>
      <c r="B388" t="s">
        <v>505</v>
      </c>
      <c r="C388" t="s">
        <v>510</v>
      </c>
      <c r="D388">
        <f>HYPERLINK("http://www.reserveamerica.com/camping/samuel-p-taylor-sp/r/facilityDetails.do?contractCode=CA&amp;parkId=120081", "SAMUEL P. TAYLOR SP")</f>
        <v>0</v>
      </c>
      <c r="E388">
        <v>38.0258333</v>
      </c>
      <c r="F388">
        <v>-122.7266667</v>
      </c>
      <c r="G388" t="s">
        <v>894</v>
      </c>
      <c r="H388" t="s">
        <v>997</v>
      </c>
      <c r="I388" t="s">
        <v>505</v>
      </c>
      <c r="J388">
        <f>HYPERLINK("http://maps.google.com/maps?z=10&amp;t=m&amp;q=loc:38.0258333+-122.7266667", 105)</f>
        <v>0</v>
      </c>
      <c r="K388">
        <v>317</v>
      </c>
      <c r="L388">
        <v>0</v>
      </c>
      <c r="M388">
        <v>0</v>
      </c>
      <c r="N388">
        <v>0</v>
      </c>
      <c r="O388">
        <v>0</v>
      </c>
    </row>
    <row r="389" spans="1:15">
      <c r="A389" s="1" t="s">
        <v>401</v>
      </c>
      <c r="B389" t="s">
        <v>505</v>
      </c>
      <c r="C389" t="s">
        <v>510</v>
      </c>
      <c r="D389">
        <f>HYPERLINK("http://www.reserveamerica.com/camping/san-clemente-sb/r/facilityDetails.do?contractCode=CA&amp;parkId=120082", "SAN CLEMENTE SB")</f>
        <v>0</v>
      </c>
      <c r="E389">
        <v>33.4030556</v>
      </c>
      <c r="F389">
        <v>-117.6038889</v>
      </c>
      <c r="G389" t="s">
        <v>895</v>
      </c>
      <c r="I389" t="s">
        <v>505</v>
      </c>
      <c r="J389">
        <f>HYPERLINK("http://maps.google.com/maps?z=10&amp;t=m&amp;q=loc:33.4030556+-117.6038889", 584)</f>
        <v>0</v>
      </c>
      <c r="K389">
        <v>136</v>
      </c>
      <c r="L389">
        <v>0</v>
      </c>
      <c r="M389">
        <v>0</v>
      </c>
      <c r="N389">
        <v>0</v>
      </c>
      <c r="O389">
        <v>0</v>
      </c>
    </row>
    <row r="390" spans="1:15">
      <c r="A390" s="1" t="s">
        <v>402</v>
      </c>
      <c r="B390" t="s">
        <v>505</v>
      </c>
      <c r="C390" t="s">
        <v>510</v>
      </c>
      <c r="D390">
        <f>HYPERLINK("http://www.reserveamerica.com/camping/san-elijo-sb/r/facilityDetails.do?contractCode=CA&amp;parkId=120083", "SAN ELIJO SB")</f>
        <v>0</v>
      </c>
      <c r="E390">
        <v>33.0247222</v>
      </c>
      <c r="F390">
        <v>-117.2855556</v>
      </c>
      <c r="G390" t="s">
        <v>896</v>
      </c>
      <c r="I390" t="s">
        <v>505</v>
      </c>
      <c r="J390">
        <f>HYPERLINK("http://maps.google.com/maps?z=10&amp;t=m&amp;q=loc:33.0247222+-117.2855556", 636)</f>
        <v>0</v>
      </c>
      <c r="K390">
        <v>137</v>
      </c>
      <c r="L390">
        <v>0</v>
      </c>
      <c r="M390">
        <v>0</v>
      </c>
      <c r="N390">
        <v>0</v>
      </c>
      <c r="O390">
        <v>0</v>
      </c>
    </row>
    <row r="391" spans="1:15">
      <c r="A391" s="1" t="s">
        <v>403</v>
      </c>
      <c r="B391" t="s">
        <v>504</v>
      </c>
      <c r="C391" t="s">
        <v>509</v>
      </c>
      <c r="D391">
        <f>HYPERLINK("http://www.reserveamerica.com/camping/san-gorgonio/r/facilityDetails.do?contractCode=NRSO&amp;parkId=70182", "SAN GORGONIO")</f>
        <v>0</v>
      </c>
      <c r="E391">
        <v>34.1744444</v>
      </c>
      <c r="F391">
        <v>-116.8663889</v>
      </c>
      <c r="G391" t="s">
        <v>897</v>
      </c>
      <c r="I391" t="s">
        <v>505</v>
      </c>
      <c r="J391">
        <f>HYPERLINK("http://maps.google.com/maps?z=10&amp;t=m&amp;q=loc:34.1744444+-116.8663889", 573)</f>
        <v>0</v>
      </c>
      <c r="K391">
        <v>126</v>
      </c>
      <c r="L391">
        <v>47</v>
      </c>
      <c r="M391">
        <v>15</v>
      </c>
      <c r="N391">
        <v>32</v>
      </c>
      <c r="O391">
        <v>32</v>
      </c>
    </row>
    <row r="392" spans="1:15">
      <c r="A392" s="1" t="s">
        <v>404</v>
      </c>
      <c r="B392" t="s">
        <v>505</v>
      </c>
      <c r="C392" t="s">
        <v>510</v>
      </c>
      <c r="D392">
        <f>HYPERLINK("http://www.reserveamerica.com/camping/san-luis-reservoir-sra/r/facilityDetails.do?contractCode=CA&amp;parkId=120084", "SAN LUIS RESERVOIR SRA")</f>
        <v>0</v>
      </c>
      <c r="E392">
        <v>37.0522222</v>
      </c>
      <c r="F392">
        <v>-121.1130556</v>
      </c>
      <c r="G392" t="s">
        <v>898</v>
      </c>
      <c r="I392" t="s">
        <v>505</v>
      </c>
      <c r="J392">
        <f>HYPERLINK("http://maps.google.com/maps?z=10&amp;t=m&amp;q=loc:37.0522222+-121.1130556", 76)</f>
        <v>0</v>
      </c>
      <c r="K392">
        <v>113</v>
      </c>
      <c r="L392">
        <v>136</v>
      </c>
      <c r="M392">
        <v>13</v>
      </c>
      <c r="N392">
        <v>123</v>
      </c>
      <c r="O392">
        <v>123</v>
      </c>
    </row>
    <row r="393" spans="1:15">
      <c r="A393" s="1" t="s">
        <v>405</v>
      </c>
      <c r="B393" t="s">
        <v>504</v>
      </c>
      <c r="C393" t="s">
        <v>509</v>
      </c>
      <c r="D393">
        <f>HYPERLINK("http://www.reserveamerica.com/camping/san-miguel-island/r/facilityDetails.do?contractCode=NRSO&amp;parkId=70983", "SAN MIGUEL ISLAND")</f>
        <v>0</v>
      </c>
      <c r="E393">
        <v>34.0406028</v>
      </c>
      <c r="F393">
        <v>-120.3490889</v>
      </c>
      <c r="G393" t="s">
        <v>899</v>
      </c>
      <c r="H393" t="s">
        <v>996</v>
      </c>
      <c r="I393" t="s">
        <v>505</v>
      </c>
      <c r="J393">
        <f>HYPERLINK("http://maps.google.com/maps?z=10&amp;t=m&amp;q=loc:34.0406028+-120.3490889", 391)</f>
        <v>0</v>
      </c>
      <c r="K393">
        <v>158</v>
      </c>
      <c r="L393">
        <v>9</v>
      </c>
      <c r="M393">
        <v>0</v>
      </c>
      <c r="N393">
        <v>9</v>
      </c>
      <c r="O393">
        <v>9</v>
      </c>
    </row>
    <row r="394" spans="1:15">
      <c r="A394" s="1" t="s">
        <v>406</v>
      </c>
      <c r="B394" t="s">
        <v>505</v>
      </c>
      <c r="C394" t="s">
        <v>510</v>
      </c>
      <c r="D394">
        <f>HYPERLINK("http://www.reserveamerica.com/camping/san-onofre-sb/r/facilityDetails.do?contractCode=CA&amp;parkId=120085", "SAN ONOFRE SB")</f>
        <v>0</v>
      </c>
      <c r="E394">
        <v>33.3727778</v>
      </c>
      <c r="F394">
        <v>-117.5647222</v>
      </c>
      <c r="G394" t="s">
        <v>900</v>
      </c>
      <c r="I394" t="s">
        <v>505</v>
      </c>
      <c r="J394">
        <f>HYPERLINK("http://maps.google.com/maps?z=10&amp;t=m&amp;q=loc:33.3727778+-117.5647222", 589)</f>
        <v>0</v>
      </c>
      <c r="K394">
        <v>136</v>
      </c>
      <c r="L394">
        <v>1</v>
      </c>
      <c r="M394">
        <v>1</v>
      </c>
      <c r="N394">
        <v>0</v>
      </c>
      <c r="O394">
        <v>0</v>
      </c>
    </row>
    <row r="395" spans="1:15">
      <c r="A395" s="1" t="s">
        <v>407</v>
      </c>
      <c r="B395" t="s">
        <v>505</v>
      </c>
      <c r="C395" t="s">
        <v>510</v>
      </c>
      <c r="D395">
        <f>HYPERLINK("http://www.reserveamerica.com/camping/san-simeon-sp/r/facilityDetails.do?contractCode=CA&amp;parkId=120086", "SAN SIMEON SP")</f>
        <v>0</v>
      </c>
      <c r="E395">
        <v>35.5836111</v>
      </c>
      <c r="F395">
        <v>-121.1205556</v>
      </c>
      <c r="G395" t="s">
        <v>901</v>
      </c>
      <c r="I395" t="s">
        <v>505</v>
      </c>
      <c r="J395">
        <f>HYPERLINK("http://maps.google.com/maps?z=10&amp;t=m&amp;q=loc:35.5836111+-121.1205556", 206)</f>
        <v>0</v>
      </c>
      <c r="K395">
        <v>159</v>
      </c>
      <c r="L395">
        <v>165</v>
      </c>
      <c r="M395">
        <v>2</v>
      </c>
      <c r="N395">
        <v>163</v>
      </c>
      <c r="O395">
        <v>163</v>
      </c>
    </row>
    <row r="396" spans="1:15">
      <c r="A396" s="1" t="s">
        <v>408</v>
      </c>
      <c r="B396" t="s">
        <v>504</v>
      </c>
      <c r="C396" t="s">
        <v>509</v>
      </c>
      <c r="D396">
        <f>HYPERLINK("http://www.reserveamerica.com/camping/sandy-flat/r/facilityDetails.do?contractCode=NRSO&amp;parkId=72076", "SANDY FLAT")</f>
        <v>0</v>
      </c>
      <c r="E396">
        <v>35.5744444</v>
      </c>
      <c r="F396">
        <v>-118.5255556</v>
      </c>
      <c r="G396" t="s">
        <v>902</v>
      </c>
      <c r="I396" t="s">
        <v>505</v>
      </c>
      <c r="J396">
        <f>HYPERLINK("http://maps.google.com/maps?z=10&amp;t=m&amp;q=loc:35.5744444+-118.5255556", 359)</f>
        <v>0</v>
      </c>
      <c r="K396">
        <v>121</v>
      </c>
      <c r="L396">
        <v>33</v>
      </c>
      <c r="M396">
        <v>0</v>
      </c>
      <c r="N396">
        <v>33</v>
      </c>
      <c r="O396">
        <v>33</v>
      </c>
    </row>
    <row r="397" spans="1:15">
      <c r="A397" s="1" t="s">
        <v>409</v>
      </c>
      <c r="B397" t="s">
        <v>504</v>
      </c>
      <c r="C397" t="s">
        <v>509</v>
      </c>
      <c r="D397">
        <f>HYPERLINK("http://www.reserveamerica.com/camping/santa-barbara-island/r/facilityDetails.do?contractCode=NRSO&amp;parkId=70982", "SANTA BARBARA ISLAND")</f>
        <v>0</v>
      </c>
      <c r="E397">
        <v>33.47985</v>
      </c>
      <c r="F397">
        <v>-119.0298917</v>
      </c>
      <c r="G397" t="s">
        <v>903</v>
      </c>
      <c r="H397" t="s">
        <v>996</v>
      </c>
      <c r="I397" t="s">
        <v>505</v>
      </c>
      <c r="J397">
        <f>HYPERLINK("http://maps.google.com/maps?z=10&amp;t=m&amp;q=loc:33.47985+-119.0298917", 500)</f>
        <v>0</v>
      </c>
      <c r="K397">
        <v>147</v>
      </c>
      <c r="L397">
        <v>0</v>
      </c>
      <c r="M397">
        <v>0</v>
      </c>
      <c r="N397">
        <v>0</v>
      </c>
      <c r="O397">
        <v>0</v>
      </c>
    </row>
    <row r="398" spans="1:15">
      <c r="A398" s="1" t="s">
        <v>410</v>
      </c>
      <c r="B398" t="s">
        <v>504</v>
      </c>
      <c r="C398" t="s">
        <v>509</v>
      </c>
      <c r="D398">
        <f>HYPERLINK("http://www.reserveamerica.com/camping/santa-cruz-del-norte-backcountry/r/facilityDetails.do?contractCode=NRSO&amp;parkId=70981", "SANTA CRUZ DEL NORTE BACKCOUNTRY")</f>
        <v>0</v>
      </c>
      <c r="E398">
        <v>34.0108333</v>
      </c>
      <c r="F398">
        <v>-119.6602778</v>
      </c>
      <c r="G398" t="s">
        <v>904</v>
      </c>
      <c r="H398" t="s">
        <v>996</v>
      </c>
      <c r="I398" t="s">
        <v>505</v>
      </c>
      <c r="J398">
        <f>HYPERLINK("http://maps.google.com/maps?z=10&amp;t=m&amp;q=loc:34.0108333+-119.6602778", 420)</f>
        <v>0</v>
      </c>
      <c r="K398">
        <v>150</v>
      </c>
      <c r="L398">
        <v>0</v>
      </c>
      <c r="M398">
        <v>0</v>
      </c>
      <c r="N398">
        <v>0</v>
      </c>
      <c r="O398">
        <v>0</v>
      </c>
    </row>
    <row r="399" spans="1:15">
      <c r="A399" s="1" t="s">
        <v>411</v>
      </c>
      <c r="B399" t="s">
        <v>504</v>
      </c>
      <c r="C399" t="s">
        <v>509</v>
      </c>
      <c r="D399">
        <f>HYPERLINK("http://www.reserveamerica.com/camping/santa-cruz-scorpion/r/facilityDetails.do?contractCode=NRSO&amp;parkId=70980", "SANTA CRUZ SCORPION")</f>
        <v>0</v>
      </c>
      <c r="E399">
        <v>34.0482444</v>
      </c>
      <c r="F399">
        <v>-119.5615972</v>
      </c>
      <c r="G399" t="s">
        <v>905</v>
      </c>
      <c r="H399" t="s">
        <v>996</v>
      </c>
      <c r="I399" t="s">
        <v>505</v>
      </c>
      <c r="J399">
        <f>HYPERLINK("http://maps.google.com/maps?z=10&amp;t=m&amp;q=loc:34.0482444+-119.5615972", 421)</f>
        <v>0</v>
      </c>
      <c r="K399">
        <v>149</v>
      </c>
      <c r="L399">
        <v>0</v>
      </c>
      <c r="M399">
        <v>0</v>
      </c>
      <c r="N399">
        <v>0</v>
      </c>
      <c r="O399">
        <v>0</v>
      </c>
    </row>
    <row r="400" spans="1:15">
      <c r="A400" s="1" t="s">
        <v>412</v>
      </c>
      <c r="B400" t="s">
        <v>504</v>
      </c>
      <c r="C400" t="s">
        <v>509</v>
      </c>
      <c r="D400">
        <f>HYPERLINK("http://www.reserveamerica.com/camping/santa-rosa-island/r/facilityDetails.do?contractCode=NRSO&amp;parkId=70979", "SANTA ROSA ISLAND")</f>
        <v>0</v>
      </c>
      <c r="E400">
        <v>33.99105</v>
      </c>
      <c r="F400">
        <v>-120.0481472</v>
      </c>
      <c r="G400" t="s">
        <v>906</v>
      </c>
      <c r="H400" t="s">
        <v>996</v>
      </c>
      <c r="I400" t="s">
        <v>505</v>
      </c>
      <c r="J400">
        <f>HYPERLINK("http://maps.google.com/maps?z=10&amp;t=m&amp;q=loc:33.99105+-120.0481472", 406)</f>
        <v>0</v>
      </c>
      <c r="K400">
        <v>155</v>
      </c>
      <c r="L400">
        <v>0</v>
      </c>
      <c r="M400">
        <v>0</v>
      </c>
      <c r="N400">
        <v>0</v>
      </c>
      <c r="O400">
        <v>0</v>
      </c>
    </row>
    <row r="401" spans="1:15">
      <c r="A401" s="1" t="s">
        <v>413</v>
      </c>
      <c r="B401" t="s">
        <v>504</v>
      </c>
      <c r="C401" t="s">
        <v>509</v>
      </c>
      <c r="D401">
        <f>HYPERLINK("http://www.reserveamerica.com/camping/sarah-totten-campground/r/facilityDetails.do?contractCode=NRSO&amp;parkId=75265", "SARAH TOTTEN CAMPGROUND")</f>
        <v>0</v>
      </c>
      <c r="E401">
        <v>41.7841667</v>
      </c>
      <c r="F401">
        <v>-123.0430556</v>
      </c>
      <c r="G401" t="s">
        <v>907</v>
      </c>
      <c r="I401" t="s">
        <v>505</v>
      </c>
      <c r="J401">
        <f>HYPERLINK("http://maps.google.com/maps?z=10&amp;t=m&amp;q=loc:41.7841667+-123.0430556", 504)</f>
        <v>0</v>
      </c>
      <c r="K401">
        <v>349</v>
      </c>
      <c r="L401">
        <v>2</v>
      </c>
      <c r="M401">
        <v>0</v>
      </c>
      <c r="N401">
        <v>2</v>
      </c>
      <c r="O401">
        <v>2</v>
      </c>
    </row>
    <row r="402" spans="1:15">
      <c r="A402" s="1" t="s">
        <v>414</v>
      </c>
      <c r="B402" t="s">
        <v>504</v>
      </c>
      <c r="C402" t="s">
        <v>509</v>
      </c>
      <c r="D402">
        <f>HYPERLINK("http://www.reserveamerica.com/camping/sardine-lake/r/facilityDetails.do?contractCode=NRSO&amp;parkId=75429", "SARDINE LAKE")</f>
        <v>0</v>
      </c>
      <c r="E402">
        <v>39.6188889</v>
      </c>
      <c r="F402">
        <v>-120.6175</v>
      </c>
      <c r="G402" t="s">
        <v>908</v>
      </c>
      <c r="I402" t="s">
        <v>505</v>
      </c>
      <c r="J402">
        <f>HYPERLINK("http://maps.google.com/maps?z=10&amp;t=m&amp;q=loc:39.6188889+-120.6175", 278)</f>
        <v>0</v>
      </c>
      <c r="K402">
        <v>23</v>
      </c>
      <c r="L402">
        <v>2</v>
      </c>
      <c r="M402">
        <v>0</v>
      </c>
      <c r="N402">
        <v>2</v>
      </c>
      <c r="O402">
        <v>2</v>
      </c>
    </row>
    <row r="403" spans="1:15">
      <c r="A403" s="1" t="s">
        <v>415</v>
      </c>
      <c r="B403" t="s">
        <v>504</v>
      </c>
      <c r="C403" t="s">
        <v>509</v>
      </c>
      <c r="D403">
        <f>HYPERLINK("http://www.reserveamerica.com/camping/serrano/r/facilityDetails.do?contractCode=NRSO&amp;parkId=70533", "SERRANO")</f>
        <v>0</v>
      </c>
      <c r="E403">
        <v>34.2613889</v>
      </c>
      <c r="F403">
        <v>-116.9194444</v>
      </c>
      <c r="G403" t="s">
        <v>909</v>
      </c>
      <c r="I403" t="s">
        <v>505</v>
      </c>
      <c r="J403">
        <f>HYPERLINK("http://maps.google.com/maps?z=10&amp;t=m&amp;q=loc:34.2613889+-116.9194444", 563)</f>
        <v>0</v>
      </c>
      <c r="K403">
        <v>125</v>
      </c>
      <c r="L403">
        <v>0</v>
      </c>
      <c r="M403">
        <v>0</v>
      </c>
      <c r="N403">
        <v>0</v>
      </c>
      <c r="O403">
        <v>0</v>
      </c>
    </row>
    <row r="404" spans="1:15">
      <c r="A404" s="1" t="s">
        <v>416</v>
      </c>
      <c r="B404" t="s">
        <v>504</v>
      </c>
      <c r="C404" t="s">
        <v>509</v>
      </c>
      <c r="D404">
        <f>HYPERLINK("http://www.reserveamerica.com/camping/shady-cove-group-campground/r/facilityDetails.do?contractCode=NRSO&amp;parkId=73900", "SHADY COVE GROUP CAMPGROUND")</f>
        <v>0</v>
      </c>
      <c r="E404">
        <v>34.2083139</v>
      </c>
      <c r="F404">
        <v>-117.0468333</v>
      </c>
      <c r="G404" t="s">
        <v>910</v>
      </c>
      <c r="I404" t="s">
        <v>505</v>
      </c>
      <c r="J404">
        <f>HYPERLINK("http://maps.google.com/maps?z=10&amp;t=m&amp;q=loc:34.2083139+-117.0468333", 558)</f>
        <v>0</v>
      </c>
      <c r="K404">
        <v>126</v>
      </c>
      <c r="L404">
        <v>0</v>
      </c>
      <c r="M404">
        <v>0</v>
      </c>
      <c r="N404">
        <v>0</v>
      </c>
      <c r="O404">
        <v>0</v>
      </c>
    </row>
    <row r="405" spans="1:15">
      <c r="A405" s="1" t="s">
        <v>417</v>
      </c>
      <c r="B405" t="s">
        <v>504</v>
      </c>
      <c r="C405" t="s">
        <v>509</v>
      </c>
      <c r="E405">
        <v>33.9991667</v>
      </c>
      <c r="F405">
        <v>-116.1180556</v>
      </c>
      <c r="G405" t="s">
        <v>911</v>
      </c>
      <c r="I405" t="s">
        <v>505</v>
      </c>
      <c r="J405">
        <f>HYPERLINK("http://maps.google.com/maps?z=10&amp;t=m&amp;q=loc:33.9991667+-116.1180556", 640)</f>
        <v>0</v>
      </c>
      <c r="K405">
        <v>123</v>
      </c>
      <c r="L405">
        <v>0</v>
      </c>
      <c r="M405">
        <v>0</v>
      </c>
      <c r="N405">
        <v>0</v>
      </c>
      <c r="O405">
        <v>0</v>
      </c>
    </row>
    <row r="406" spans="1:15">
      <c r="A406" s="1" t="s">
        <v>418</v>
      </c>
      <c r="B406" t="s">
        <v>504</v>
      </c>
      <c r="C406" t="s">
        <v>509</v>
      </c>
      <c r="D406">
        <f>HYPERLINK("http://www.reserveamerica.com/camping/sherwin-creek/r/facilityDetails.do?contractCode=NRSO&amp;parkId=70567", "SHERWIN CREEK")</f>
        <v>0</v>
      </c>
      <c r="E406">
        <v>37.63</v>
      </c>
      <c r="F406">
        <v>-118.935</v>
      </c>
      <c r="G406" t="s">
        <v>912</v>
      </c>
      <c r="I406" t="s">
        <v>505</v>
      </c>
      <c r="J406">
        <f>HYPERLINK("http://maps.google.com/maps?z=10&amp;t=m&amp;q=loc:37.63+-118.935", 264)</f>
        <v>0</v>
      </c>
      <c r="K406">
        <v>81</v>
      </c>
      <c r="L406">
        <v>0</v>
      </c>
      <c r="M406">
        <v>0</v>
      </c>
      <c r="N406">
        <v>0</v>
      </c>
      <c r="O406">
        <v>0</v>
      </c>
    </row>
    <row r="407" spans="1:15">
      <c r="A407" s="1" t="s">
        <v>419</v>
      </c>
      <c r="B407" t="s">
        <v>504</v>
      </c>
      <c r="C407" t="s">
        <v>509</v>
      </c>
      <c r="D407">
        <f>HYPERLINK("http://www.reserveamerica.com/camping/shirttail-creek/r/facilityDetails.do?contractCode=NRSO&amp;parkId=71675", "SHIRTTAIL CREEK")</f>
        <v>0</v>
      </c>
      <c r="E407">
        <v>39.1444444</v>
      </c>
      <c r="F407">
        <v>-120.7847222</v>
      </c>
      <c r="G407" t="s">
        <v>913</v>
      </c>
      <c r="I407" t="s">
        <v>505</v>
      </c>
      <c r="J407">
        <f>HYPERLINK("http://maps.google.com/maps?z=10&amp;t=m&amp;q=loc:39.1444444+-120.7847222", 224)</f>
        <v>0</v>
      </c>
      <c r="K407">
        <v>25</v>
      </c>
      <c r="L407">
        <v>18</v>
      </c>
      <c r="M407">
        <v>3</v>
      </c>
      <c r="N407">
        <v>15</v>
      </c>
      <c r="O407">
        <v>15</v>
      </c>
    </row>
    <row r="408" spans="1:15">
      <c r="A408" s="1" t="s">
        <v>420</v>
      </c>
      <c r="B408" t="s">
        <v>506</v>
      </c>
      <c r="C408" t="s">
        <v>511</v>
      </c>
      <c r="D408">
        <f>HYPERLINK("http://www.reserveamerica.com/camping/sibley-volcanic-regional-preserve/r/facilityDetails.do?contractCode=EB&amp;parkId=110550", "Sibley Volcanic Regional Preserve")</f>
        <v>0</v>
      </c>
      <c r="E408">
        <v>37.8477778</v>
      </c>
      <c r="F408">
        <v>-122.1983333</v>
      </c>
      <c r="G408" t="s">
        <v>914</v>
      </c>
      <c r="I408" t="s">
        <v>505</v>
      </c>
      <c r="J408">
        <f>HYPERLINK("http://maps.google.com/maps?z=10&amp;t=m&amp;q=loc:37.8477778+-122.1983333", 63)</f>
        <v>0</v>
      </c>
      <c r="K408">
        <v>336</v>
      </c>
      <c r="L408">
        <v>0</v>
      </c>
      <c r="M408">
        <v>0</v>
      </c>
      <c r="N408">
        <v>0</v>
      </c>
      <c r="O408">
        <v>0</v>
      </c>
    </row>
    <row r="409" spans="1:15">
      <c r="A409" s="1" t="s">
        <v>421</v>
      </c>
      <c r="B409" t="s">
        <v>504</v>
      </c>
      <c r="C409" t="s">
        <v>509</v>
      </c>
      <c r="D409">
        <f>HYPERLINK("http://www.reserveamerica.com/camping/sierra/r/facilityDetails.do?contractCode=NRSO&amp;parkId=75435", "SIERRA")</f>
        <v>0</v>
      </c>
      <c r="E409">
        <v>39.6308333</v>
      </c>
      <c r="F409">
        <v>-120.5586111</v>
      </c>
      <c r="G409" t="s">
        <v>915</v>
      </c>
      <c r="I409" t="s">
        <v>505</v>
      </c>
      <c r="J409">
        <f>HYPERLINK("http://maps.google.com/maps?z=10&amp;t=m&amp;q=loc:39.6308333+-120.5586111", 281)</f>
        <v>0</v>
      </c>
      <c r="K409">
        <v>24</v>
      </c>
      <c r="L409">
        <v>14</v>
      </c>
      <c r="M409">
        <v>0</v>
      </c>
      <c r="N409">
        <v>14</v>
      </c>
      <c r="O409">
        <v>14</v>
      </c>
    </row>
    <row r="410" spans="1:15">
      <c r="A410" s="1" t="s">
        <v>422</v>
      </c>
      <c r="B410" t="s">
        <v>504</v>
      </c>
      <c r="C410" t="s">
        <v>509</v>
      </c>
      <c r="D410">
        <f>HYPERLINK("http://www.reserveamerica.com/camping/silver-creek/r/facilityDetails.do?contractCode=NRSO&amp;parkId=70460", "Silver Creek")</f>
        <v>0</v>
      </c>
      <c r="E410">
        <v>38.5889722</v>
      </c>
      <c r="F410">
        <v>-119.7871667</v>
      </c>
      <c r="G410" t="s">
        <v>916</v>
      </c>
      <c r="I410" t="s">
        <v>505</v>
      </c>
      <c r="J410">
        <f>HYPERLINK("http://maps.google.com/maps?z=10&amp;t=m&amp;q=loc:38.5889722+-119.7871667", 232)</f>
        <v>0</v>
      </c>
      <c r="K410">
        <v>52</v>
      </c>
      <c r="L410">
        <v>0</v>
      </c>
      <c r="M410">
        <v>0</v>
      </c>
      <c r="N410">
        <v>0</v>
      </c>
      <c r="O410">
        <v>0</v>
      </c>
    </row>
    <row r="411" spans="1:15">
      <c r="A411" s="1" t="s">
        <v>423</v>
      </c>
      <c r="B411" t="s">
        <v>504</v>
      </c>
      <c r="C411" t="s">
        <v>509</v>
      </c>
      <c r="D411">
        <f>HYPERLINK("http://www.reserveamerica.com/camping/silver-creek-group-campground/r/facilityDetails.do?contractCode=NRSO&amp;parkId=74160", "SILVER CREEK GROUP CAMPGROUND")</f>
        <v>0</v>
      </c>
      <c r="E411">
        <v>38.8269444</v>
      </c>
      <c r="F411">
        <v>-120.39</v>
      </c>
      <c r="G411" t="s">
        <v>917</v>
      </c>
      <c r="I411" t="s">
        <v>505</v>
      </c>
      <c r="J411">
        <f>HYPERLINK("http://maps.google.com/maps?z=10&amp;t=m&amp;q=loc:38.8269444+-120.39", 212)</f>
        <v>0</v>
      </c>
      <c r="K411">
        <v>38</v>
      </c>
      <c r="L411">
        <v>0</v>
      </c>
      <c r="M411">
        <v>0</v>
      </c>
      <c r="N411">
        <v>0</v>
      </c>
      <c r="O411">
        <v>0</v>
      </c>
    </row>
    <row r="412" spans="1:15">
      <c r="A412" s="1" t="s">
        <v>424</v>
      </c>
      <c r="B412" t="s">
        <v>504</v>
      </c>
      <c r="C412" t="s">
        <v>509</v>
      </c>
      <c r="D412">
        <f>HYPERLINK("http://www.reserveamerica.com/camping/silver-creektruckee/r/facilityDetails.do?contractCode=NRSO&amp;parkId=71672", "SILVER CREEK-TRUCKEE")</f>
        <v>0</v>
      </c>
      <c r="E412">
        <v>39.2230556</v>
      </c>
      <c r="F412">
        <v>-120.2008333</v>
      </c>
      <c r="G412" t="s">
        <v>918</v>
      </c>
      <c r="I412" t="s">
        <v>505</v>
      </c>
      <c r="J412">
        <f>HYPERLINK("http://maps.google.com/maps?z=10&amp;t=m&amp;q=loc:39.2230556+-120.2008333", 257)</f>
        <v>0</v>
      </c>
      <c r="K412">
        <v>34</v>
      </c>
      <c r="L412">
        <v>18</v>
      </c>
      <c r="M412">
        <v>0</v>
      </c>
      <c r="N412">
        <v>18</v>
      </c>
      <c r="O412">
        <v>18</v>
      </c>
    </row>
    <row r="413" spans="1:15">
      <c r="A413" s="1" t="s">
        <v>425</v>
      </c>
      <c r="B413" t="s">
        <v>504</v>
      </c>
      <c r="C413" t="s">
        <v>509</v>
      </c>
      <c r="D413">
        <f>HYPERLINK("http://www.reserveamerica.com/camping/silver-lake-campground-june-lake-ca/r/facilityDetails.do?contractCode=NRSO&amp;parkId=75194", "SILVER LAKE CAMPGROUND JUNE LAKE (CA")</f>
        <v>0</v>
      </c>
      <c r="E413">
        <v>37.7830556</v>
      </c>
      <c r="F413">
        <v>-119.1263889</v>
      </c>
      <c r="G413" t="s">
        <v>919</v>
      </c>
      <c r="I413" t="s">
        <v>505</v>
      </c>
      <c r="J413">
        <f>HYPERLINK("http://maps.google.com/maps?z=10&amp;t=m&amp;q=loc:37.7830556+-119.1263889", 250)</f>
        <v>0</v>
      </c>
      <c r="K413">
        <v>77</v>
      </c>
      <c r="L413">
        <v>2</v>
      </c>
      <c r="M413">
        <v>0</v>
      </c>
      <c r="N413">
        <v>2</v>
      </c>
      <c r="O413">
        <v>2</v>
      </c>
    </row>
    <row r="414" spans="1:15">
      <c r="A414" s="1" t="s">
        <v>426</v>
      </c>
      <c r="B414" t="s">
        <v>504</v>
      </c>
      <c r="C414" t="s">
        <v>509</v>
      </c>
      <c r="D414">
        <f>HYPERLINK("http://www.reserveamerica.com/camping/silver-lake-east-eldorado/r/facilityDetails.do?contractCode=NRSO&amp;parkId=70555", "SILVER LAKE EAST- ELDORADO")</f>
        <v>0</v>
      </c>
      <c r="E414">
        <v>38.675</v>
      </c>
      <c r="F414">
        <v>-119.8875</v>
      </c>
      <c r="G414" t="s">
        <v>920</v>
      </c>
      <c r="I414" t="s">
        <v>505</v>
      </c>
      <c r="J414">
        <f>HYPERLINK("http://maps.google.com/maps?z=10&amp;t=m&amp;q=loc:38.675+-119.8875", 231)</f>
        <v>0</v>
      </c>
      <c r="K414">
        <v>49</v>
      </c>
      <c r="L414">
        <v>32</v>
      </c>
      <c r="M414">
        <v>0</v>
      </c>
      <c r="N414">
        <v>32</v>
      </c>
      <c r="O414">
        <v>33</v>
      </c>
    </row>
    <row r="415" spans="1:15">
      <c r="A415" s="1" t="s">
        <v>427</v>
      </c>
      <c r="B415" t="s">
        <v>504</v>
      </c>
      <c r="C415" t="s">
        <v>509</v>
      </c>
      <c r="D415">
        <f>HYPERLINK("http://www.reserveamerica.com/camping/silvertip-group/r/facilityDetails.do?contractCode=NRSO&amp;parkId=71673", "SILVERTIP GROUP")</f>
        <v>0</v>
      </c>
      <c r="E415">
        <v>39.4866667</v>
      </c>
      <c r="F415">
        <v>-120.5475</v>
      </c>
      <c r="G415" t="s">
        <v>921</v>
      </c>
      <c r="I415" t="s">
        <v>505</v>
      </c>
      <c r="J415">
        <f>HYPERLINK("http://maps.google.com/maps?z=10&amp;t=m&amp;q=loc:39.4866667+-120.5475", 267)</f>
        <v>0</v>
      </c>
      <c r="K415">
        <v>25</v>
      </c>
      <c r="L415">
        <v>0</v>
      </c>
      <c r="M415">
        <v>0</v>
      </c>
      <c r="N415">
        <v>0</v>
      </c>
      <c r="O415">
        <v>0</v>
      </c>
    </row>
    <row r="416" spans="1:15">
      <c r="A416" s="1" t="s">
        <v>428</v>
      </c>
      <c r="B416" t="s">
        <v>505</v>
      </c>
      <c r="C416" t="s">
        <v>510</v>
      </c>
      <c r="D416">
        <f>HYPERLINK("http://www.reserveamerica.com/camping/silverwood-lake-sra/r/facilityDetails.do?contractCode=CA&amp;parkId=120088", "SILVERWOOD LAKE SRA")</f>
        <v>0</v>
      </c>
      <c r="E416">
        <v>34.2911111</v>
      </c>
      <c r="F416">
        <v>-117.3275</v>
      </c>
      <c r="G416" t="s">
        <v>922</v>
      </c>
      <c r="I416" t="s">
        <v>505</v>
      </c>
      <c r="J416">
        <f>HYPERLINK("http://maps.google.com/maps?z=10&amp;t=m&amp;q=loc:34.2911111+-117.3275", 532)</f>
        <v>0</v>
      </c>
      <c r="K416">
        <v>127</v>
      </c>
      <c r="L416">
        <v>62</v>
      </c>
      <c r="M416">
        <v>8</v>
      </c>
      <c r="N416">
        <v>54</v>
      </c>
      <c r="O416">
        <v>54</v>
      </c>
    </row>
    <row r="417" spans="1:15">
      <c r="A417" s="1" t="s">
        <v>429</v>
      </c>
      <c r="B417" t="s">
        <v>504</v>
      </c>
      <c r="C417" t="s">
        <v>509</v>
      </c>
      <c r="D417">
        <f>HYPERLINK("http://www.reserveamerica.com/camping/skyline/r/facilityDetails.do?contractCode=NRSO&amp;parkId=70327", "SKYLINE")</f>
        <v>0</v>
      </c>
      <c r="E417">
        <v>34.1555556</v>
      </c>
      <c r="F417">
        <v>-116.7830556</v>
      </c>
      <c r="G417" t="s">
        <v>923</v>
      </c>
      <c r="I417" t="s">
        <v>505</v>
      </c>
      <c r="J417">
        <f>HYPERLINK("http://maps.google.com/maps?z=10&amp;t=m&amp;q=loc:34.1555556+-116.7830556", 581)</f>
        <v>0</v>
      </c>
      <c r="K417">
        <v>125</v>
      </c>
      <c r="L417">
        <v>0</v>
      </c>
      <c r="M417">
        <v>0</v>
      </c>
      <c r="N417">
        <v>0</v>
      </c>
      <c r="O417">
        <v>0</v>
      </c>
    </row>
    <row r="418" spans="1:15">
      <c r="A418" s="1" t="s">
        <v>430</v>
      </c>
      <c r="B418" t="s">
        <v>505</v>
      </c>
      <c r="C418" t="s">
        <v>510</v>
      </c>
      <c r="D418">
        <f>HYPERLINK("http://www.reserveamerica.com/camping/sonoma-coast-sb/r/facilityDetails.do?contractCode=CA&amp;parkId=120089", "SONOMA COAST SB")</f>
        <v>0</v>
      </c>
      <c r="E418">
        <v>38.3866667</v>
      </c>
      <c r="F418">
        <v>-123.0833333</v>
      </c>
      <c r="G418" t="s">
        <v>924</v>
      </c>
      <c r="I418" t="s">
        <v>505</v>
      </c>
      <c r="J418">
        <f>HYPERLINK("http://maps.google.com/maps?z=10&amp;t=m&amp;q=loc:38.3866667+-123.0833333", 156)</f>
        <v>0</v>
      </c>
      <c r="K418">
        <v>319</v>
      </c>
      <c r="L418">
        <v>0</v>
      </c>
      <c r="M418">
        <v>0</v>
      </c>
      <c r="N418">
        <v>0</v>
      </c>
      <c r="O418">
        <v>0</v>
      </c>
    </row>
    <row r="419" spans="1:15">
      <c r="A419" s="1" t="s">
        <v>431</v>
      </c>
      <c r="B419" t="s">
        <v>504</v>
      </c>
      <c r="C419" t="s">
        <v>509</v>
      </c>
      <c r="D419">
        <f>HYPERLINK("http://www.reserveamerica.com/camping/soquel-campground/r/facilityDetails.do?contractCode=NRSO&amp;parkId=71669", "SOQUEL CAMPGROUND")</f>
        <v>0</v>
      </c>
      <c r="E419">
        <v>37.405</v>
      </c>
      <c r="F419">
        <v>-119.5605556</v>
      </c>
      <c r="G419" t="s">
        <v>925</v>
      </c>
      <c r="I419" t="s">
        <v>505</v>
      </c>
      <c r="J419">
        <f>HYPERLINK("http://maps.google.com/maps?z=10&amp;t=m&amp;q=loc:37.405+-119.5605556", 207)</f>
        <v>0</v>
      </c>
      <c r="K419">
        <v>86</v>
      </c>
      <c r="L419">
        <v>9</v>
      </c>
      <c r="M419">
        <v>0</v>
      </c>
      <c r="N419">
        <v>9</v>
      </c>
      <c r="O419">
        <v>9</v>
      </c>
    </row>
    <row r="420" spans="1:15">
      <c r="A420" s="1" t="s">
        <v>432</v>
      </c>
      <c r="B420" t="s">
        <v>505</v>
      </c>
      <c r="C420" t="s">
        <v>510</v>
      </c>
      <c r="D420">
        <f>HYPERLINK("http://www.reserveamerica.com/camping/south-carlsbad-sb/r/facilityDetails.do?contractCode=CA&amp;parkId=120090", "SOUTH CARLSBAD SB")</f>
        <v>0</v>
      </c>
      <c r="E420">
        <v>33.1038889</v>
      </c>
      <c r="F420">
        <v>-117.3186111</v>
      </c>
      <c r="G420" t="s">
        <v>926</v>
      </c>
      <c r="I420" t="s">
        <v>505</v>
      </c>
      <c r="J420">
        <f>HYPERLINK("http://maps.google.com/maps?z=10&amp;t=m&amp;q=loc:33.1038889+-117.3186111", 627)</f>
        <v>0</v>
      </c>
      <c r="K420">
        <v>137</v>
      </c>
      <c r="L420">
        <v>0</v>
      </c>
      <c r="M420">
        <v>0</v>
      </c>
      <c r="N420">
        <v>0</v>
      </c>
      <c r="O420">
        <v>0</v>
      </c>
    </row>
    <row r="421" spans="1:15">
      <c r="A421" s="1" t="s">
        <v>433</v>
      </c>
      <c r="B421" t="s">
        <v>504</v>
      </c>
      <c r="C421" t="s">
        <v>509</v>
      </c>
      <c r="D421">
        <f>HYPERLINK("http://www.reserveamerica.com/camping/south-fork-group-ca/r/facilityDetails.do?contractCode=NRSO&amp;parkId=73802", "SOUTH FORK GROUP (CA)")</f>
        <v>0</v>
      </c>
      <c r="E421">
        <v>38.76</v>
      </c>
      <c r="F421">
        <v>-120.5205556</v>
      </c>
      <c r="G421" t="s">
        <v>927</v>
      </c>
      <c r="I421" t="s">
        <v>505</v>
      </c>
      <c r="J421">
        <f>HYPERLINK("http://maps.google.com/maps?z=10&amp;t=m&amp;q=loc:38.76+-120.5205556", 200)</f>
        <v>0</v>
      </c>
      <c r="K421">
        <v>36</v>
      </c>
      <c r="L421">
        <v>0</v>
      </c>
      <c r="M421">
        <v>0</v>
      </c>
      <c r="N421">
        <v>0</v>
      </c>
      <c r="O421">
        <v>0</v>
      </c>
    </row>
    <row r="422" spans="1:15">
      <c r="A422" s="1" t="s">
        <v>434</v>
      </c>
      <c r="B422" t="s">
        <v>504</v>
      </c>
      <c r="C422" t="s">
        <v>509</v>
      </c>
      <c r="D422">
        <f>HYPERLINK("http://www.reserveamerica.com/camping/south-shore-campground/r/facilityDetails.do?contractCode=NRSO&amp;parkId=74125", "SOUTH SHORE CAMPGROUND")</f>
        <v>0</v>
      </c>
      <c r="E422">
        <v>38.5330556</v>
      </c>
      <c r="F422">
        <v>-120.2347222</v>
      </c>
      <c r="G422" t="s">
        <v>928</v>
      </c>
      <c r="I422" t="s">
        <v>505</v>
      </c>
      <c r="J422">
        <f>HYPERLINK("http://maps.google.com/maps?z=10&amp;t=m&amp;q=loc:38.5330556+-120.2347222", 198)</f>
        <v>0</v>
      </c>
      <c r="K422">
        <v>47</v>
      </c>
      <c r="L422">
        <v>9</v>
      </c>
      <c r="M422">
        <v>0</v>
      </c>
      <c r="N422">
        <v>9</v>
      </c>
      <c r="O422">
        <v>9</v>
      </c>
    </row>
    <row r="423" spans="1:15">
      <c r="A423" s="1" t="s">
        <v>435</v>
      </c>
      <c r="B423" t="s">
        <v>504</v>
      </c>
      <c r="C423" t="s">
        <v>509</v>
      </c>
      <c r="D423">
        <f>HYPERLINK("http://www.reserveamerica.com/camping/spanish-creek-campground/r/facilityDetails.do?contractCode=NRSO&amp;parkId=75247", "SPANISH CREEK CAMPGROUND")</f>
        <v>0</v>
      </c>
      <c r="E423">
        <v>40.0269444</v>
      </c>
      <c r="F423">
        <v>-120.9644444</v>
      </c>
      <c r="G423" t="s">
        <v>929</v>
      </c>
      <c r="H423" t="s">
        <v>997</v>
      </c>
      <c r="I423" t="s">
        <v>505</v>
      </c>
      <c r="J423">
        <f>HYPERLINK("http://maps.google.com/maps?z=10&amp;t=m&amp;q=loc:40.0269444+-120.9644444", 310)</f>
        <v>0</v>
      </c>
      <c r="K423">
        <v>14</v>
      </c>
      <c r="L423">
        <v>0</v>
      </c>
      <c r="M423">
        <v>0</v>
      </c>
      <c r="N423">
        <v>0</v>
      </c>
      <c r="O423">
        <v>0</v>
      </c>
    </row>
    <row r="424" spans="1:15">
      <c r="A424" s="1" t="s">
        <v>436</v>
      </c>
      <c r="B424" t="s">
        <v>504</v>
      </c>
      <c r="C424" t="s">
        <v>509</v>
      </c>
      <c r="D424">
        <f>HYPERLINK("http://www.reserveamerica.com/camping/spring-cove/r/facilityDetails.do?contractCode=NRSO&amp;parkId=71578", "SPRING COVE")</f>
        <v>0</v>
      </c>
      <c r="E424">
        <v>37.3005556</v>
      </c>
      <c r="F424">
        <v>-119.5413889</v>
      </c>
      <c r="G424" t="s">
        <v>930</v>
      </c>
      <c r="I424" t="s">
        <v>505</v>
      </c>
      <c r="J424">
        <f>HYPERLINK("http://maps.google.com/maps?z=10&amp;t=m&amp;q=loc:37.3005556+-119.5413889", 209)</f>
        <v>0</v>
      </c>
      <c r="K424">
        <v>90</v>
      </c>
      <c r="L424">
        <v>0</v>
      </c>
      <c r="M424">
        <v>0</v>
      </c>
      <c r="N424">
        <v>0</v>
      </c>
      <c r="O424">
        <v>0</v>
      </c>
    </row>
    <row r="425" spans="1:15">
      <c r="A425" s="1" t="s">
        <v>437</v>
      </c>
      <c r="B425" t="s">
        <v>504</v>
      </c>
      <c r="C425" t="s">
        <v>509</v>
      </c>
      <c r="D425">
        <f>HYPERLINK("http://www.reserveamerica.com/camping/spring-creek/r/facilityDetails.do?contractCode=NRSO&amp;parkId=71612", "SPRING CREEK")</f>
        <v>0</v>
      </c>
      <c r="E425">
        <v>39.8958333</v>
      </c>
      <c r="F425">
        <v>-120.1763889</v>
      </c>
      <c r="G425" t="s">
        <v>931</v>
      </c>
      <c r="I425" t="s">
        <v>505</v>
      </c>
      <c r="J425">
        <f>HYPERLINK("http://maps.google.com/maps?z=10&amp;t=m&amp;q=loc:39.8958333+-120.1763889", 322)</f>
        <v>0</v>
      </c>
      <c r="K425">
        <v>27</v>
      </c>
      <c r="L425">
        <v>0</v>
      </c>
      <c r="M425">
        <v>0</v>
      </c>
      <c r="N425">
        <v>0</v>
      </c>
      <c r="O425">
        <v>0</v>
      </c>
    </row>
    <row r="426" spans="1:15">
      <c r="A426" s="1" t="s">
        <v>438</v>
      </c>
      <c r="B426" t="s">
        <v>505</v>
      </c>
      <c r="C426" t="s">
        <v>510</v>
      </c>
      <c r="D426">
        <f>HYPERLINK("http://www.reserveamerica.com/camping/standishhickey-sra/r/facilityDetails.do?contractCode=CA&amp;parkId=120091", "STANDISH-HICKEY SRA")</f>
        <v>0</v>
      </c>
      <c r="E426">
        <v>39.8794444</v>
      </c>
      <c r="F426">
        <v>-123.7372222</v>
      </c>
      <c r="G426" t="s">
        <v>508</v>
      </c>
      <c r="I426" t="s">
        <v>505</v>
      </c>
      <c r="J426">
        <f>HYPERLINK("http://maps.google.com/maps?z=10&amp;t=m&amp;q=loc:39.8794444+-123.7372222", 325)</f>
        <v>0</v>
      </c>
      <c r="K426">
        <v>331</v>
      </c>
      <c r="L426">
        <v>43</v>
      </c>
      <c r="M426">
        <v>4</v>
      </c>
      <c r="N426">
        <v>39</v>
      </c>
      <c r="O426">
        <v>40</v>
      </c>
    </row>
    <row r="427" spans="1:15">
      <c r="A427" s="1" t="s">
        <v>439</v>
      </c>
      <c r="B427" t="s">
        <v>504</v>
      </c>
      <c r="C427" t="s">
        <v>509</v>
      </c>
      <c r="D427">
        <f>HYPERLINK("http://www.reserveamerica.com/camping/stoney-group-shastatrinity/r/facilityDetails.do?contractCode=NRSO&amp;parkId=70753", "STONEY GROUP SHASTA-TRINITY")</f>
        <v>0</v>
      </c>
      <c r="E427">
        <v>40.8513889</v>
      </c>
      <c r="F427">
        <v>-122.8502778</v>
      </c>
      <c r="G427" t="s">
        <v>932</v>
      </c>
      <c r="I427" t="s">
        <v>505</v>
      </c>
      <c r="J427">
        <f>HYPERLINK("http://maps.google.com/maps?z=10&amp;t=m&amp;q=loc:40.8513889+-122.8502778", 399)</f>
        <v>0</v>
      </c>
      <c r="K427">
        <v>348</v>
      </c>
      <c r="L427">
        <v>0</v>
      </c>
      <c r="M427">
        <v>0</v>
      </c>
      <c r="N427">
        <v>0</v>
      </c>
      <c r="O427">
        <v>0</v>
      </c>
    </row>
    <row r="428" spans="1:15">
      <c r="A428" s="1" t="s">
        <v>440</v>
      </c>
      <c r="B428" t="s">
        <v>504</v>
      </c>
      <c r="C428" t="s">
        <v>509</v>
      </c>
      <c r="D428">
        <f>HYPERLINK("http://www.reserveamerica.com/camping/stony-creek-sequoia/r/facilityDetails.do?contractCode=NRSO&amp;parkId=71554", "STONY CREEK SEQUOIA")</f>
        <v>0</v>
      </c>
      <c r="E428">
        <v>36.6647222</v>
      </c>
      <c r="F428">
        <v>-118.8316667</v>
      </c>
      <c r="G428" t="s">
        <v>933</v>
      </c>
      <c r="I428" t="s">
        <v>505</v>
      </c>
      <c r="J428">
        <f>HYPERLINK("http://maps.google.com/maps?z=10&amp;t=m&amp;q=loc:36.6647222+-118.8316667", 282)</f>
        <v>0</v>
      </c>
      <c r="K428">
        <v>104</v>
      </c>
      <c r="L428">
        <v>5</v>
      </c>
      <c r="M428">
        <v>0</v>
      </c>
      <c r="N428">
        <v>5</v>
      </c>
      <c r="O428">
        <v>6</v>
      </c>
    </row>
    <row r="429" spans="1:15">
      <c r="A429" s="1" t="s">
        <v>441</v>
      </c>
      <c r="B429" t="s">
        <v>504</v>
      </c>
      <c r="C429" t="s">
        <v>509</v>
      </c>
      <c r="D429">
        <f>HYPERLINK("http://www.reserveamerica.com/camping/stumpy-meadows/r/facilityDetails.do?contractCode=NRSO&amp;parkId=70336", "STUMPY MEADOWS")</f>
        <v>0</v>
      </c>
      <c r="E429">
        <v>38.9041667</v>
      </c>
      <c r="F429">
        <v>-120.5916667</v>
      </c>
      <c r="G429" t="s">
        <v>934</v>
      </c>
      <c r="I429" t="s">
        <v>505</v>
      </c>
      <c r="J429">
        <f>HYPERLINK("http://maps.google.com/maps?z=10&amp;t=m&amp;q=loc:38.9041667+-120.5916667", 209)</f>
        <v>0</v>
      </c>
      <c r="K429">
        <v>32</v>
      </c>
      <c r="L429">
        <v>0</v>
      </c>
      <c r="M429">
        <v>0</v>
      </c>
      <c r="N429">
        <v>0</v>
      </c>
      <c r="O429">
        <v>0</v>
      </c>
    </row>
    <row r="430" spans="1:15">
      <c r="A430" s="1" t="s">
        <v>442</v>
      </c>
      <c r="B430" t="s">
        <v>505</v>
      </c>
      <c r="C430" t="s">
        <v>510</v>
      </c>
      <c r="D430">
        <f>HYPERLINK("http://www.reserveamerica.com/camping/sugar-pine-point-sp/r/facilityDetails.do?contractCode=CA&amp;parkId=120093", "SUGAR PINE POINT SP")</f>
        <v>0</v>
      </c>
      <c r="E430">
        <v>39.0575</v>
      </c>
      <c r="F430">
        <v>-120.1213889</v>
      </c>
      <c r="G430" t="s">
        <v>935</v>
      </c>
      <c r="I430" t="s">
        <v>505</v>
      </c>
      <c r="J430">
        <f>HYPERLINK("http://maps.google.com/maps?z=10&amp;t=m&amp;q=loc:39.0575+-120.1213889", 247)</f>
        <v>0</v>
      </c>
      <c r="K430">
        <v>38</v>
      </c>
      <c r="L430">
        <v>0</v>
      </c>
      <c r="M430">
        <v>0</v>
      </c>
      <c r="N430">
        <v>0</v>
      </c>
      <c r="O430">
        <v>0</v>
      </c>
    </row>
    <row r="431" spans="1:15">
      <c r="A431" s="1" t="s">
        <v>443</v>
      </c>
      <c r="B431" t="s">
        <v>505</v>
      </c>
      <c r="C431" t="s">
        <v>510</v>
      </c>
      <c r="D431">
        <f>HYPERLINK("http://www.reserveamerica.com/camping/sugarloaf-ridge-sp/r/facilityDetails.do?contractCode=CA&amp;parkId=120092", "SUGARLOAF RIDGE SP")</f>
        <v>0</v>
      </c>
      <c r="E431">
        <v>38.445</v>
      </c>
      <c r="F431">
        <v>-122.5011111</v>
      </c>
      <c r="G431" t="s">
        <v>936</v>
      </c>
      <c r="I431" t="s">
        <v>505</v>
      </c>
      <c r="J431">
        <f>HYPERLINK("http://maps.google.com/maps?z=10&amp;t=m&amp;q=loc:38.445+-122.5011111", 134)</f>
        <v>0</v>
      </c>
      <c r="K431">
        <v>337</v>
      </c>
      <c r="L431">
        <v>1</v>
      </c>
      <c r="M431">
        <v>1</v>
      </c>
      <c r="N431">
        <v>0</v>
      </c>
      <c r="O431">
        <v>0</v>
      </c>
    </row>
    <row r="432" spans="1:15">
      <c r="A432" s="1" t="s">
        <v>444</v>
      </c>
      <c r="B432" t="s">
        <v>504</v>
      </c>
      <c r="C432" t="s">
        <v>509</v>
      </c>
      <c r="D432">
        <f>HYPERLINK("http://www.reserveamerica.com/camping/summerdale-campground/r/facilityDetails.do?contractCode=NRSO&amp;parkId=73745", "SUMMERDALE CAMPGROUND")</f>
        <v>0</v>
      </c>
      <c r="E432">
        <v>37.4706472</v>
      </c>
      <c r="F432">
        <v>-119.6427333</v>
      </c>
      <c r="G432" t="s">
        <v>937</v>
      </c>
      <c r="H432" t="s">
        <v>997</v>
      </c>
      <c r="I432" t="s">
        <v>505</v>
      </c>
      <c r="J432">
        <f>HYPERLINK("http://maps.google.com/maps?z=10&amp;t=m&amp;q=loc:37.4706472+-119.6427333", 200)</f>
        <v>0</v>
      </c>
      <c r="K432">
        <v>84</v>
      </c>
      <c r="L432">
        <v>8</v>
      </c>
      <c r="M432">
        <v>0</v>
      </c>
      <c r="N432">
        <v>8</v>
      </c>
      <c r="O432">
        <v>8</v>
      </c>
    </row>
    <row r="433" spans="1:15">
      <c r="A433" s="1" t="s">
        <v>445</v>
      </c>
      <c r="B433" t="s">
        <v>504</v>
      </c>
      <c r="C433" t="s">
        <v>509</v>
      </c>
      <c r="D433">
        <f>HYPERLINK("http://www.reserveamerica.com/camping/summit-lake-north/r/facilityDetails.do?contractCode=NRSO&amp;parkId=74047", "SUMMIT LAKE NORTH")</f>
        <v>0</v>
      </c>
      <c r="E433">
        <v>40.4944444</v>
      </c>
      <c r="F433">
        <v>-121.425</v>
      </c>
      <c r="G433" t="s">
        <v>938</v>
      </c>
      <c r="I433" t="s">
        <v>505</v>
      </c>
      <c r="J433">
        <f>HYPERLINK("http://maps.google.com/maps?z=10&amp;t=m&amp;q=loc:40.4944444+-121.425", 354)</f>
        <v>0</v>
      </c>
      <c r="K433">
        <v>6</v>
      </c>
      <c r="L433">
        <v>0</v>
      </c>
      <c r="M433">
        <v>0</v>
      </c>
      <c r="N433">
        <v>0</v>
      </c>
      <c r="O433">
        <v>0</v>
      </c>
    </row>
    <row r="434" spans="1:15">
      <c r="A434" s="1" t="s">
        <v>446</v>
      </c>
      <c r="B434" t="s">
        <v>504</v>
      </c>
      <c r="C434" t="s">
        <v>509</v>
      </c>
      <c r="D434">
        <f>HYPERLINK("http://www.reserveamerica.com/camping/summit-lake-south/r/facilityDetails.do?contractCode=NRSO&amp;parkId=74046", "SUMMIT LAKE SOUTH")</f>
        <v>0</v>
      </c>
      <c r="E434">
        <v>40.4902778</v>
      </c>
      <c r="F434">
        <v>-121.4236111</v>
      </c>
      <c r="G434" t="s">
        <v>939</v>
      </c>
      <c r="I434" t="s">
        <v>505</v>
      </c>
      <c r="J434">
        <f>HYPERLINK("http://maps.google.com/maps?z=10&amp;t=m&amp;q=loc:40.4902778+-121.4236111", 353)</f>
        <v>0</v>
      </c>
      <c r="K434">
        <v>6</v>
      </c>
      <c r="L434">
        <v>0</v>
      </c>
      <c r="M434">
        <v>0</v>
      </c>
      <c r="N434">
        <v>0</v>
      </c>
      <c r="O434">
        <v>0</v>
      </c>
    </row>
    <row r="435" spans="1:15">
      <c r="A435" s="1" t="s">
        <v>447</v>
      </c>
      <c r="B435" t="s">
        <v>506</v>
      </c>
      <c r="C435" t="s">
        <v>511</v>
      </c>
      <c r="D435">
        <f>HYPERLINK("http://www.reserveamerica.com/camping/sunol/r/facilityDetails.do?contractCode=EB&amp;parkId=110028", "Sunol")</f>
        <v>0</v>
      </c>
      <c r="E435">
        <v>37.5152778</v>
      </c>
      <c r="F435">
        <v>-121.8327778</v>
      </c>
      <c r="G435" t="s">
        <v>940</v>
      </c>
      <c r="I435" t="s">
        <v>505</v>
      </c>
      <c r="J435">
        <f>HYPERLINK("http://maps.google.com/maps?z=10&amp;t=m&amp;q=loc:37.5152778+-121.8327778", 21)</f>
        <v>0</v>
      </c>
      <c r="K435">
        <v>17</v>
      </c>
      <c r="L435">
        <v>0</v>
      </c>
      <c r="M435">
        <v>0</v>
      </c>
      <c r="N435">
        <v>0</v>
      </c>
      <c r="O435">
        <v>0</v>
      </c>
    </row>
    <row r="436" spans="1:15">
      <c r="A436" s="1" t="s">
        <v>448</v>
      </c>
      <c r="B436" t="s">
        <v>504</v>
      </c>
      <c r="C436" t="s">
        <v>509</v>
      </c>
      <c r="D436">
        <f>HYPERLINK("http://www.reserveamerica.com/camping/sunset-campground-ca/r/facilityDetails.do?contractCode=NRSO&amp;parkId=110283", "SUNSET CAMPGROUND (CA)")</f>
        <v>0</v>
      </c>
      <c r="E436">
        <v>36.7377778</v>
      </c>
      <c r="F436">
        <v>-118.9647222</v>
      </c>
      <c r="G436" t="s">
        <v>941</v>
      </c>
      <c r="I436" t="s">
        <v>505</v>
      </c>
      <c r="J436">
        <f>HYPERLINK("http://maps.google.com/maps?z=10&amp;t=m&amp;q=loc:36.7377778+-118.9647222", 269)</f>
        <v>0</v>
      </c>
      <c r="K436">
        <v>103</v>
      </c>
      <c r="L436">
        <v>0</v>
      </c>
      <c r="M436">
        <v>0</v>
      </c>
      <c r="N436">
        <v>0</v>
      </c>
      <c r="O436">
        <v>0</v>
      </c>
    </row>
    <row r="437" spans="1:15">
      <c r="A437" s="1" t="s">
        <v>449</v>
      </c>
      <c r="B437" t="s">
        <v>505</v>
      </c>
      <c r="C437" t="s">
        <v>510</v>
      </c>
      <c r="D437">
        <f>HYPERLINK("http://www.reserveamerica.com/camping/sunset-sb/r/facilityDetails.do?contractCode=CA&amp;parkId=120094", "SUNSET SB")</f>
        <v>0</v>
      </c>
      <c r="E437">
        <v>36.8816667</v>
      </c>
      <c r="F437">
        <v>-121.8272222</v>
      </c>
      <c r="G437" t="s">
        <v>942</v>
      </c>
      <c r="I437" t="s">
        <v>505</v>
      </c>
      <c r="J437">
        <f>HYPERLINK("http://maps.google.com/maps?z=10&amp;t=m&amp;q=loc:36.8816667+-121.8272222", 50)</f>
        <v>0</v>
      </c>
      <c r="K437">
        <v>171</v>
      </c>
      <c r="L437">
        <v>0</v>
      </c>
      <c r="M437">
        <v>0</v>
      </c>
      <c r="N437">
        <v>0</v>
      </c>
      <c r="O437">
        <v>0</v>
      </c>
    </row>
    <row r="438" spans="1:15">
      <c r="A438" s="1" t="s">
        <v>450</v>
      </c>
      <c r="B438" t="s">
        <v>504</v>
      </c>
      <c r="C438" t="s">
        <v>509</v>
      </c>
      <c r="D438">
        <f>HYPERLINK("http://www.reserveamerica.com/camping/sunsetunion-valley/r/facilityDetails.do?contractCode=NRSO&amp;parkId=70310", "SUNSET-UNION VALLEY")</f>
        <v>0</v>
      </c>
      <c r="E438">
        <v>38.8658333</v>
      </c>
      <c r="F438">
        <v>-120.405</v>
      </c>
      <c r="G438" t="s">
        <v>943</v>
      </c>
      <c r="I438" t="s">
        <v>505</v>
      </c>
      <c r="J438">
        <f>HYPERLINK("http://maps.google.com/maps?z=10&amp;t=m&amp;q=loc:38.8658333+-120.405", 215)</f>
        <v>0</v>
      </c>
      <c r="K438">
        <v>37</v>
      </c>
      <c r="L438">
        <v>0</v>
      </c>
      <c r="M438">
        <v>0</v>
      </c>
      <c r="N438">
        <v>0</v>
      </c>
      <c r="O438">
        <v>0</v>
      </c>
    </row>
    <row r="439" spans="1:15">
      <c r="A439" s="1" t="s">
        <v>451</v>
      </c>
      <c r="B439" t="s">
        <v>504</v>
      </c>
      <c r="C439" t="s">
        <v>509</v>
      </c>
      <c r="D439">
        <f>HYPERLINK("http://www.reserveamerica.com/camping/sweetwater/r/facilityDetails.do?contractCode=NRSO&amp;parkId=71665", "SWEETWATER")</f>
        <v>0</v>
      </c>
      <c r="E439">
        <v>37.365</v>
      </c>
      <c r="F439">
        <v>-119.3522222</v>
      </c>
      <c r="G439" t="s">
        <v>944</v>
      </c>
      <c r="I439" t="s">
        <v>505</v>
      </c>
      <c r="J439">
        <f>HYPERLINK("http://maps.google.com/maps?z=10&amp;t=m&amp;q=loc:37.365+-119.3522222", 225)</f>
        <v>0</v>
      </c>
      <c r="K439">
        <v>88</v>
      </c>
      <c r="L439">
        <v>9</v>
      </c>
      <c r="M439">
        <v>0</v>
      </c>
      <c r="N439">
        <v>9</v>
      </c>
      <c r="O439">
        <v>9</v>
      </c>
    </row>
    <row r="440" spans="1:15">
      <c r="A440" s="1" t="s">
        <v>452</v>
      </c>
      <c r="B440" t="s">
        <v>504</v>
      </c>
      <c r="C440" t="s">
        <v>509</v>
      </c>
      <c r="D440">
        <f>HYPERLINK("http://www.reserveamerica.com/camping/sycamore-grove-campground/r/facilityDetails.do?contractCode=NRSO&amp;parkId=75545", "SYCAMORE GROVE CAMPGROUND")</f>
        <v>0</v>
      </c>
      <c r="E440">
        <v>40.1560528</v>
      </c>
      <c r="F440">
        <v>-122.2040694</v>
      </c>
      <c r="G440" t="s">
        <v>945</v>
      </c>
      <c r="I440" t="s">
        <v>505</v>
      </c>
      <c r="J440">
        <f>HYPERLINK("http://maps.google.com/maps?z=10&amp;t=m&amp;q=loc:40.1560528+-122.2040694", 315)</f>
        <v>0</v>
      </c>
      <c r="K440">
        <v>355</v>
      </c>
      <c r="L440">
        <v>27</v>
      </c>
      <c r="M440">
        <v>0</v>
      </c>
      <c r="N440">
        <v>27</v>
      </c>
      <c r="O440">
        <v>27</v>
      </c>
    </row>
    <row r="441" spans="1:15">
      <c r="A441" s="1" t="s">
        <v>453</v>
      </c>
      <c r="B441" t="s">
        <v>504</v>
      </c>
      <c r="C441" t="s">
        <v>509</v>
      </c>
      <c r="D441">
        <f>HYPERLINK("http://www.reserveamerica.com/camping/table-mountain-angeles/r/facilityDetails.do?contractCode=NRSO&amp;parkId=73585", "TABLE MOUNTAIN (ANGELES)")</f>
        <v>0</v>
      </c>
      <c r="E441">
        <v>34.3863889</v>
      </c>
      <c r="F441">
        <v>-117.6894444</v>
      </c>
      <c r="G441" t="s">
        <v>946</v>
      </c>
      <c r="I441" t="s">
        <v>505</v>
      </c>
      <c r="J441">
        <f>HYPERLINK("http://maps.google.com/maps?z=10&amp;t=m&amp;q=loc:34.3863889+-117.6894444", 500)</f>
        <v>0</v>
      </c>
      <c r="K441">
        <v>129</v>
      </c>
      <c r="L441">
        <v>29</v>
      </c>
      <c r="M441">
        <v>0</v>
      </c>
      <c r="N441">
        <v>29</v>
      </c>
      <c r="O441">
        <v>29</v>
      </c>
    </row>
    <row r="442" spans="1:15">
      <c r="A442" s="1" t="s">
        <v>454</v>
      </c>
      <c r="B442" t="s">
        <v>504</v>
      </c>
      <c r="C442" t="s">
        <v>509</v>
      </c>
      <c r="D442">
        <f>HYPERLINK("http://www.reserveamerica.com/camping/table-mountain-inyo/r/facilityDetails.do?contractCode=NRSO&amp;parkId=70522", "TABLE MOUNTAIN (INYO)")</f>
        <v>0</v>
      </c>
      <c r="E442">
        <v>37.2080556</v>
      </c>
      <c r="F442">
        <v>-118.5683333</v>
      </c>
      <c r="G442" t="s">
        <v>947</v>
      </c>
      <c r="I442" t="s">
        <v>505</v>
      </c>
      <c r="J442">
        <f>HYPERLINK("http://maps.google.com/maps?z=10&amp;t=m&amp;q=loc:37.2080556+-118.5683333", 295)</f>
        <v>0</v>
      </c>
      <c r="K442">
        <v>91</v>
      </c>
      <c r="L442">
        <v>0</v>
      </c>
      <c r="M442">
        <v>0</v>
      </c>
      <c r="N442">
        <v>0</v>
      </c>
      <c r="O442">
        <v>0</v>
      </c>
    </row>
    <row r="443" spans="1:15">
      <c r="A443" s="1" t="s">
        <v>455</v>
      </c>
      <c r="B443" t="s">
        <v>505</v>
      </c>
      <c r="C443" t="s">
        <v>510</v>
      </c>
      <c r="D443">
        <f>HYPERLINK("http://www.reserveamerica.com/camping/tahoe-sra/r/facilityDetails.do?contractCode=CA&amp;parkId=120095", "TAHOE SRA")</f>
        <v>0</v>
      </c>
      <c r="E443">
        <v>39.1752778</v>
      </c>
      <c r="F443">
        <v>-120.1338889</v>
      </c>
      <c r="G443" t="s">
        <v>948</v>
      </c>
      <c r="I443" t="s">
        <v>505</v>
      </c>
      <c r="J443">
        <f>HYPERLINK("http://maps.google.com/maps?z=10&amp;t=m&amp;q=loc:39.1752778+-120.1338889", 257)</f>
        <v>0</v>
      </c>
      <c r="K443">
        <v>36</v>
      </c>
      <c r="L443">
        <v>0</v>
      </c>
      <c r="M443">
        <v>0</v>
      </c>
      <c r="N443">
        <v>0</v>
      </c>
      <c r="O443">
        <v>0</v>
      </c>
    </row>
    <row r="444" spans="1:15">
      <c r="A444" s="1" t="s">
        <v>456</v>
      </c>
      <c r="B444" t="s">
        <v>504</v>
      </c>
      <c r="C444" t="s">
        <v>509</v>
      </c>
      <c r="D444">
        <f>HYPERLINK("http://www.reserveamerica.com/camping/tanglewood-group-camp/r/facilityDetails.do?contractCode=NRSO&amp;parkId=70180", "TANGLEWOOD GROUP CAMP")</f>
        <v>0</v>
      </c>
      <c r="E444">
        <v>34.2922222</v>
      </c>
      <c r="F444">
        <v>-116.8644444</v>
      </c>
      <c r="G444" t="s">
        <v>949</v>
      </c>
      <c r="I444" t="s">
        <v>505</v>
      </c>
      <c r="J444">
        <f>HYPERLINK("http://maps.google.com/maps?z=10&amp;t=m&amp;q=loc:34.2922222+-116.8644444", 565)</f>
        <v>0</v>
      </c>
      <c r="K444">
        <v>125</v>
      </c>
      <c r="L444">
        <v>0</v>
      </c>
      <c r="M444">
        <v>0</v>
      </c>
      <c r="N444">
        <v>0</v>
      </c>
      <c r="O444">
        <v>0</v>
      </c>
    </row>
    <row r="445" spans="1:15">
      <c r="A445" s="1" t="s">
        <v>457</v>
      </c>
      <c r="B445" t="s">
        <v>504</v>
      </c>
      <c r="C445" t="s">
        <v>509</v>
      </c>
      <c r="D445">
        <f>HYPERLINK("http://www.reserveamerica.com/camping/tannery/r/facilityDetails.do?contractCode=NRSO&amp;parkId=70516", "TANNERY")</f>
        <v>0</v>
      </c>
      <c r="E445">
        <v>40.8366667</v>
      </c>
      <c r="F445">
        <v>-122.8480556</v>
      </c>
      <c r="G445" t="s">
        <v>950</v>
      </c>
      <c r="I445" t="s">
        <v>505</v>
      </c>
      <c r="J445">
        <f>HYPERLINK("http://maps.google.com/maps?z=10&amp;t=m&amp;q=loc:40.8366667+-122.8480556", 398)</f>
        <v>0</v>
      </c>
      <c r="K445">
        <v>348</v>
      </c>
      <c r="L445">
        <v>0</v>
      </c>
      <c r="M445">
        <v>0</v>
      </c>
      <c r="N445">
        <v>0</v>
      </c>
      <c r="O445">
        <v>0</v>
      </c>
    </row>
    <row r="446" spans="1:15">
      <c r="A446" s="1" t="s">
        <v>458</v>
      </c>
      <c r="B446" t="s">
        <v>504</v>
      </c>
      <c r="C446" t="s">
        <v>509</v>
      </c>
      <c r="D446">
        <f>HYPERLINK("http://www.reserveamerica.com/camping/ten-mile-campground-ca/r/facilityDetails.do?contractCode=NRSO&amp;parkId=125740", "TEN MILE CAMPGROUND (CA)")</f>
        <v>0</v>
      </c>
      <c r="E446">
        <v>36.7941667</v>
      </c>
      <c r="F446">
        <v>-118.9077778</v>
      </c>
      <c r="G446" t="s">
        <v>951</v>
      </c>
      <c r="H446" t="s">
        <v>1001</v>
      </c>
      <c r="I446" t="s">
        <v>505</v>
      </c>
      <c r="J446">
        <f>HYPERLINK("http://maps.google.com/maps?z=10&amp;t=m&amp;q=loc:36.7941667+-118.9077778", 272)</f>
        <v>0</v>
      </c>
      <c r="K446">
        <v>101</v>
      </c>
      <c r="L446">
        <v>1</v>
      </c>
      <c r="M446">
        <v>0</v>
      </c>
      <c r="N446">
        <v>1</v>
      </c>
      <c r="O446">
        <v>1</v>
      </c>
    </row>
    <row r="447" spans="1:15">
      <c r="A447" s="1" t="s">
        <v>459</v>
      </c>
      <c r="B447" t="s">
        <v>504</v>
      </c>
      <c r="C447" t="s">
        <v>509</v>
      </c>
      <c r="D447">
        <f>HYPERLINK("http://www.reserveamerica.com/camping/tent-peg-group/r/facilityDetails.do?contractCode=NRSO&amp;parkId=73960", "TENT PEG GROUP")</f>
        <v>0</v>
      </c>
      <c r="E447">
        <v>34.2652778</v>
      </c>
      <c r="F447">
        <v>-117.0833333</v>
      </c>
      <c r="G447" t="s">
        <v>952</v>
      </c>
      <c r="I447" t="s">
        <v>505</v>
      </c>
      <c r="J447">
        <f>HYPERLINK("http://maps.google.com/maps?z=10&amp;t=m&amp;q=loc:34.2652778+-117.0833333", 551)</f>
        <v>0</v>
      </c>
      <c r="K447">
        <v>126</v>
      </c>
      <c r="L447">
        <v>0</v>
      </c>
      <c r="M447">
        <v>0</v>
      </c>
      <c r="N447">
        <v>0</v>
      </c>
      <c r="O447">
        <v>0</v>
      </c>
    </row>
    <row r="448" spans="1:15">
      <c r="A448" s="1" t="s">
        <v>460</v>
      </c>
      <c r="B448" t="s">
        <v>504</v>
      </c>
      <c r="C448" t="s">
        <v>509</v>
      </c>
      <c r="D448">
        <f>HYPERLINK("http://www.reserveamerica.com/camping/texas-flats/r/facilityDetails.do?contractCode=NRSO&amp;parkId=71667", "TEXAS FLATS")</f>
        <v>0</v>
      </c>
      <c r="E448">
        <v>37.3927778</v>
      </c>
      <c r="F448">
        <v>-119.5816667</v>
      </c>
      <c r="G448" t="s">
        <v>953</v>
      </c>
      <c r="I448" t="s">
        <v>505</v>
      </c>
      <c r="J448">
        <f>HYPERLINK("http://maps.google.com/maps?z=10&amp;t=m&amp;q=loc:37.3927778+-119.5816667", 205)</f>
        <v>0</v>
      </c>
      <c r="K448">
        <v>87</v>
      </c>
      <c r="L448">
        <v>3</v>
      </c>
      <c r="M448">
        <v>0</v>
      </c>
      <c r="N448">
        <v>3</v>
      </c>
      <c r="O448">
        <v>3</v>
      </c>
    </row>
    <row r="449" spans="1:15">
      <c r="A449" s="1" t="s">
        <v>461</v>
      </c>
      <c r="B449" t="s">
        <v>504</v>
      </c>
      <c r="C449" t="s">
        <v>509</v>
      </c>
      <c r="D449">
        <f>HYPERLINK("http://www.reserveamerica.com/camping/tillie-creek/r/facilityDetails.do?contractCode=NRSO&amp;parkId=71570", "TILLIE CREEK")</f>
        <v>0</v>
      </c>
      <c r="E449">
        <v>35.7013889</v>
      </c>
      <c r="F449">
        <v>-118.4544444</v>
      </c>
      <c r="G449" t="s">
        <v>954</v>
      </c>
      <c r="I449" t="s">
        <v>505</v>
      </c>
      <c r="J449">
        <f>HYPERLINK("http://maps.google.com/maps?z=10&amp;t=m&amp;q=loc:35.7013889+-118.4544444", 357)</f>
        <v>0</v>
      </c>
      <c r="K449">
        <v>119</v>
      </c>
      <c r="L449">
        <v>0</v>
      </c>
      <c r="M449">
        <v>0</v>
      </c>
      <c r="N449">
        <v>0</v>
      </c>
      <c r="O449">
        <v>0</v>
      </c>
    </row>
    <row r="450" spans="1:15">
      <c r="A450" s="1" t="s">
        <v>462</v>
      </c>
      <c r="B450" t="s">
        <v>504</v>
      </c>
      <c r="C450" t="s">
        <v>509</v>
      </c>
      <c r="D450">
        <f>HYPERLINK("http://www.reserveamerica.com/camping/trailhead-group/r/facilityDetails.do?contractCode=NRSO&amp;parkId=70832", "TRAILHEAD GROUP")</f>
        <v>0</v>
      </c>
      <c r="E450">
        <v>37.9642</v>
      </c>
      <c r="F450">
        <v>-119.2724</v>
      </c>
      <c r="G450" t="s">
        <v>955</v>
      </c>
      <c r="I450" t="s">
        <v>505</v>
      </c>
      <c r="J450">
        <f>HYPERLINK("http://maps.google.com/maps?z=10&amp;t=m&amp;q=loc:37.9642+-119.2724", 242)</f>
        <v>0</v>
      </c>
      <c r="K450">
        <v>72</v>
      </c>
      <c r="L450">
        <v>0</v>
      </c>
      <c r="M450">
        <v>0</v>
      </c>
      <c r="N450">
        <v>0</v>
      </c>
      <c r="O450">
        <v>0</v>
      </c>
    </row>
    <row r="451" spans="1:15">
      <c r="A451" s="1" t="s">
        <v>463</v>
      </c>
      <c r="B451" t="s">
        <v>504</v>
      </c>
      <c r="C451" t="s">
        <v>509</v>
      </c>
      <c r="D451">
        <f>HYPERLINK("http://www.reserveamerica.com/camping/tree-of-heaven-campground/r/facilityDetails.do?contractCode=NRSO&amp;parkId=75332", "TREE OF HEAVEN CAMPGROUND")</f>
        <v>0</v>
      </c>
      <c r="E451">
        <v>41.7841667</v>
      </c>
      <c r="F451">
        <v>-123.0430556</v>
      </c>
      <c r="G451" t="s">
        <v>956</v>
      </c>
      <c r="I451" t="s">
        <v>505</v>
      </c>
      <c r="J451">
        <f>HYPERLINK("http://maps.google.com/maps?z=10&amp;t=m&amp;q=loc:41.7841667+-123.0430556", 504)</f>
        <v>0</v>
      </c>
      <c r="K451">
        <v>349</v>
      </c>
      <c r="L451">
        <v>14</v>
      </c>
      <c r="M451">
        <v>1</v>
      </c>
      <c r="N451">
        <v>13</v>
      </c>
      <c r="O451">
        <v>13</v>
      </c>
    </row>
    <row r="452" spans="1:15">
      <c r="A452" s="1" t="s">
        <v>464</v>
      </c>
      <c r="B452" t="s">
        <v>504</v>
      </c>
      <c r="C452" t="s">
        <v>509</v>
      </c>
      <c r="D452">
        <f>HYPERLINK("http://www.reserveamerica.com/camping/trimmer-campground/r/facilityDetails.do?contractCode=NRSO&amp;parkId=72331", "TRIMMER CAMPGROUND")</f>
        <v>0</v>
      </c>
      <c r="E452">
        <v>36.9044444</v>
      </c>
      <c r="F452">
        <v>-119.2936111</v>
      </c>
      <c r="G452" t="s">
        <v>957</v>
      </c>
      <c r="I452" t="s">
        <v>505</v>
      </c>
      <c r="J452">
        <f>HYPERLINK("http://maps.google.com/maps?z=10&amp;t=m&amp;q=loc:36.9044444+-119.2936111", 236)</f>
        <v>0</v>
      </c>
      <c r="K452">
        <v>100</v>
      </c>
      <c r="L452">
        <v>8</v>
      </c>
      <c r="M452">
        <v>0</v>
      </c>
      <c r="N452">
        <v>8</v>
      </c>
      <c r="O452">
        <v>8</v>
      </c>
    </row>
    <row r="453" spans="1:15">
      <c r="A453" s="1" t="s">
        <v>465</v>
      </c>
      <c r="B453" t="s">
        <v>504</v>
      </c>
      <c r="C453" t="s">
        <v>509</v>
      </c>
      <c r="D453">
        <f>HYPERLINK("http://www.reserveamerica.com/camping/trumbull-lake/r/facilityDetails.do?contractCode=NRSO&amp;parkId=70349", "TRUMBULL LAKE")</f>
        <v>0</v>
      </c>
      <c r="E453">
        <v>38.0505556</v>
      </c>
      <c r="F453">
        <v>-119.2572222</v>
      </c>
      <c r="G453" t="s">
        <v>958</v>
      </c>
      <c r="I453" t="s">
        <v>505</v>
      </c>
      <c r="J453">
        <f>HYPERLINK("http://maps.google.com/maps?z=10&amp;t=m&amp;q=loc:38.0505556+-119.2572222", 246)</f>
        <v>0</v>
      </c>
      <c r="K453">
        <v>70</v>
      </c>
      <c r="L453">
        <v>0</v>
      </c>
      <c r="M453">
        <v>0</v>
      </c>
      <c r="N453">
        <v>0</v>
      </c>
      <c r="O453">
        <v>0</v>
      </c>
    </row>
    <row r="454" spans="1:15">
      <c r="A454" s="1" t="s">
        <v>466</v>
      </c>
      <c r="B454" t="s">
        <v>504</v>
      </c>
      <c r="C454" t="s">
        <v>509</v>
      </c>
      <c r="D454">
        <f>HYPERLINK("http://www.reserveamerica.com/camping/tuff-campground/r/facilityDetails.do?contractCode=NRSO&amp;parkId=70523", "TUFF CAMPGROUND")</f>
        <v>0</v>
      </c>
      <c r="E454">
        <v>37.5625</v>
      </c>
      <c r="F454">
        <v>-118.6641667</v>
      </c>
      <c r="G454" t="s">
        <v>959</v>
      </c>
      <c r="I454" t="s">
        <v>505</v>
      </c>
      <c r="J454">
        <f>HYPERLINK("http://maps.google.com/maps?z=10&amp;t=m&amp;q=loc:37.5625+-118.6641667", 287)</f>
        <v>0</v>
      </c>
      <c r="K454">
        <v>83</v>
      </c>
      <c r="L454">
        <v>20</v>
      </c>
      <c r="M454">
        <v>0</v>
      </c>
      <c r="N454">
        <v>20</v>
      </c>
      <c r="O454">
        <v>20</v>
      </c>
    </row>
    <row r="455" spans="1:15">
      <c r="A455" s="1" t="s">
        <v>467</v>
      </c>
      <c r="B455" t="s">
        <v>504</v>
      </c>
      <c r="C455" t="s">
        <v>509</v>
      </c>
      <c r="D455">
        <f>HYPERLINK("http://www.reserveamerica.com/camping/tule/r/facilityDetails.do?contractCode=NRSO&amp;parkId=73451", "TULE")</f>
        <v>0</v>
      </c>
      <c r="E455">
        <v>36.0802778</v>
      </c>
      <c r="F455">
        <v>-118.9022222</v>
      </c>
      <c r="G455" t="s">
        <v>960</v>
      </c>
      <c r="I455" t="s">
        <v>505</v>
      </c>
      <c r="J455">
        <f>HYPERLINK("http://maps.google.com/maps?z=10&amp;t=m&amp;q=loc:36.0802778+-118.9022222", 301)</f>
        <v>0</v>
      </c>
      <c r="K455">
        <v>116</v>
      </c>
      <c r="L455">
        <v>51</v>
      </c>
      <c r="M455">
        <v>2</v>
      </c>
      <c r="N455">
        <v>49</v>
      </c>
      <c r="O455">
        <v>49</v>
      </c>
    </row>
    <row r="456" spans="1:15">
      <c r="A456" s="1" t="s">
        <v>468</v>
      </c>
      <c r="B456" t="s">
        <v>504</v>
      </c>
      <c r="C456" t="s">
        <v>509</v>
      </c>
      <c r="D456">
        <f>HYPERLINK("http://www.reserveamerica.com/camping/tunnel-mills-ii/r/facilityDetails.do?contractCode=NRSO&amp;parkId=70556", "TUNNEL MILLS II")</f>
        <v>0</v>
      </c>
      <c r="E456">
        <v>39.2527778</v>
      </c>
      <c r="F456">
        <v>-120.6516667</v>
      </c>
      <c r="G456" t="s">
        <v>961</v>
      </c>
      <c r="I456" t="s">
        <v>505</v>
      </c>
      <c r="J456">
        <f>HYPERLINK("http://maps.google.com/maps?z=10&amp;t=m&amp;q=loc:39.2527778+-120.6516667", 240)</f>
        <v>0</v>
      </c>
      <c r="K456">
        <v>26</v>
      </c>
      <c r="L456">
        <v>0</v>
      </c>
      <c r="M456">
        <v>0</v>
      </c>
      <c r="N456">
        <v>0</v>
      </c>
      <c r="O456">
        <v>0</v>
      </c>
    </row>
    <row r="457" spans="1:15">
      <c r="A457" s="1" t="s">
        <v>469</v>
      </c>
      <c r="B457" t="s">
        <v>504</v>
      </c>
      <c r="C457" t="s">
        <v>509</v>
      </c>
      <c r="D457">
        <f>HYPERLINK("http://www.reserveamerica.com/camping/tuolumne-meadows/r/facilityDetails.do?contractCode=NRSO&amp;parkId=70926", "TUOLUMNE MEADOWS")</f>
        <v>0</v>
      </c>
      <c r="E457">
        <v>37.8711111</v>
      </c>
      <c r="F457">
        <v>-119.36</v>
      </c>
      <c r="G457" t="s">
        <v>962</v>
      </c>
      <c r="I457" t="s">
        <v>505</v>
      </c>
      <c r="J457">
        <f>HYPERLINK("http://maps.google.com/maps?z=10&amp;t=m&amp;q=loc:37.8711111+-119.36", 232)</f>
        <v>0</v>
      </c>
      <c r="K457">
        <v>74</v>
      </c>
      <c r="L457">
        <v>0</v>
      </c>
      <c r="M457">
        <v>0</v>
      </c>
      <c r="N457">
        <v>0</v>
      </c>
      <c r="O457">
        <v>0</v>
      </c>
    </row>
    <row r="458" spans="1:15">
      <c r="A458" s="1" t="s">
        <v>470</v>
      </c>
      <c r="B458" t="s">
        <v>505</v>
      </c>
      <c r="C458" t="s">
        <v>510</v>
      </c>
      <c r="D458">
        <f>HYPERLINK("http://www.reserveamerica.com/camping/turlock-lake-sra/r/facilityDetails.do?contractCode=CA&amp;parkId=120096", "TURLOCK LAKE SRA")</f>
        <v>0</v>
      </c>
      <c r="E458">
        <v>37.6272222</v>
      </c>
      <c r="F458">
        <v>-120.5813889</v>
      </c>
      <c r="G458" t="s">
        <v>963</v>
      </c>
      <c r="H458" t="s">
        <v>997</v>
      </c>
      <c r="I458" t="s">
        <v>505</v>
      </c>
      <c r="J458">
        <f>HYPERLINK("http://maps.google.com/maps?z=10&amp;t=m&amp;q=loc:37.6272222+-120.5813889", 121)</f>
        <v>0</v>
      </c>
      <c r="K458">
        <v>73</v>
      </c>
      <c r="L458">
        <v>0</v>
      </c>
      <c r="M458">
        <v>0</v>
      </c>
      <c r="N458">
        <v>0</v>
      </c>
      <c r="O458">
        <v>0</v>
      </c>
    </row>
    <row r="459" spans="1:15">
      <c r="A459" s="1" t="s">
        <v>471</v>
      </c>
      <c r="B459" t="s">
        <v>504</v>
      </c>
      <c r="C459" t="s">
        <v>509</v>
      </c>
      <c r="D459">
        <f>HYPERLINK("http://www.reserveamerica.com/camping/tuttletown-recreation-area/r/facilityDetails.do?contractCode=NRSO&amp;parkId=74079", "TUTTLETOWN RECREATION AREA")</f>
        <v>0</v>
      </c>
      <c r="E459">
        <v>37.9838889</v>
      </c>
      <c r="F459">
        <v>-120.5080556</v>
      </c>
      <c r="G459" t="s">
        <v>964</v>
      </c>
      <c r="I459" t="s">
        <v>505</v>
      </c>
      <c r="J459">
        <f>HYPERLINK("http://maps.google.com/maps?z=10&amp;t=m&amp;q=loc:37.9838889+-120.5080556", 142)</f>
        <v>0</v>
      </c>
      <c r="K459">
        <v>58</v>
      </c>
      <c r="L459">
        <v>7</v>
      </c>
      <c r="M459">
        <v>4</v>
      </c>
      <c r="N459">
        <v>3</v>
      </c>
      <c r="O459">
        <v>3</v>
      </c>
    </row>
    <row r="460" spans="1:15">
      <c r="A460" s="1" t="s">
        <v>472</v>
      </c>
      <c r="B460" t="s">
        <v>504</v>
      </c>
      <c r="C460" t="s">
        <v>509</v>
      </c>
      <c r="D460">
        <f>HYPERLINK("http://www.reserveamerica.com/camping/twin-lakes-campground/r/facilityDetails.do?contractCode=NRSO&amp;parkId=75193", "TWIN LAKES CAMPGROUND")</f>
        <v>0</v>
      </c>
      <c r="E460">
        <v>37.6158333</v>
      </c>
      <c r="F460">
        <v>-119.0069444</v>
      </c>
      <c r="G460" t="s">
        <v>965</v>
      </c>
      <c r="I460" t="s">
        <v>505</v>
      </c>
      <c r="J460">
        <f>HYPERLINK("http://maps.google.com/maps?z=10&amp;t=m&amp;q=loc:37.6158333+-119.0069444", 257)</f>
        <v>0</v>
      </c>
      <c r="K460">
        <v>81</v>
      </c>
      <c r="L460">
        <v>7</v>
      </c>
      <c r="M460">
        <v>0</v>
      </c>
      <c r="N460">
        <v>7</v>
      </c>
      <c r="O460">
        <v>7</v>
      </c>
    </row>
    <row r="461" spans="1:15">
      <c r="A461" s="1" t="s">
        <v>473</v>
      </c>
      <c r="B461" t="s">
        <v>507</v>
      </c>
      <c r="C461" t="s">
        <v>511</v>
      </c>
      <c r="D461">
        <f>HYPERLINK("http://www.reserveamerica.com/camping/two-harbors-campground/r/facilityDetails.do?contractCode=CTLN&amp;parkId=940011", "TWO HARBORS CAMPGROUND")</f>
        <v>0</v>
      </c>
      <c r="E461">
        <v>33.4427778</v>
      </c>
      <c r="F461">
        <v>-118.4866667</v>
      </c>
      <c r="G461" t="s">
        <v>966</v>
      </c>
      <c r="I461" t="s">
        <v>505</v>
      </c>
      <c r="J461">
        <f>HYPERLINK("http://maps.google.com/maps?z=10&amp;t=m&amp;q=loc:33.4427778+-118.4866667", 531)</f>
        <v>0</v>
      </c>
      <c r="K461">
        <v>143</v>
      </c>
      <c r="L461">
        <v>0</v>
      </c>
      <c r="M461">
        <v>0</v>
      </c>
      <c r="N461">
        <v>0</v>
      </c>
      <c r="O461">
        <v>0</v>
      </c>
    </row>
    <row r="462" spans="1:15">
      <c r="A462" s="1" t="s">
        <v>474</v>
      </c>
      <c r="B462" t="s">
        <v>504</v>
      </c>
      <c r="C462" t="s">
        <v>509</v>
      </c>
      <c r="D462">
        <f>HYPERLINK("http://www.reserveamerica.com/camping/union-flat/r/facilityDetails.do?contractCode=NRSO&amp;parkId=75424", "UNION FLAT")</f>
        <v>0</v>
      </c>
      <c r="E462">
        <v>39.5675</v>
      </c>
      <c r="F462">
        <v>-120.7447222</v>
      </c>
      <c r="G462" t="s">
        <v>967</v>
      </c>
      <c r="I462" t="s">
        <v>505</v>
      </c>
      <c r="J462">
        <f>HYPERLINK("http://maps.google.com/maps?z=10&amp;t=m&amp;q=loc:39.5675+-120.7447222", 268)</f>
        <v>0</v>
      </c>
      <c r="K462">
        <v>21</v>
      </c>
      <c r="L462">
        <v>4</v>
      </c>
      <c r="M462">
        <v>0</v>
      </c>
      <c r="N462">
        <v>4</v>
      </c>
      <c r="O462">
        <v>4</v>
      </c>
    </row>
    <row r="463" spans="1:15">
      <c r="A463" s="1" t="s">
        <v>475</v>
      </c>
      <c r="B463" t="s">
        <v>504</v>
      </c>
      <c r="C463" t="s">
        <v>509</v>
      </c>
      <c r="D463">
        <f>HYPERLINK("http://www.reserveamerica.com/camping/upper-billy-creek-cg/r/facilityDetails.do?contractCode=NRSO&amp;parkId=71588", "UPPER BILLY CREEK CG")</f>
        <v>0</v>
      </c>
      <c r="E463">
        <v>37.2380556</v>
      </c>
      <c r="F463">
        <v>-119.2277778</v>
      </c>
      <c r="G463" t="s">
        <v>968</v>
      </c>
      <c r="I463" t="s">
        <v>505</v>
      </c>
      <c r="J463">
        <f>HYPERLINK("http://maps.google.com/maps?z=10&amp;t=m&amp;q=loc:37.2380556+-119.2277778", 237)</f>
        <v>0</v>
      </c>
      <c r="K463">
        <v>91</v>
      </c>
      <c r="L463">
        <v>0</v>
      </c>
      <c r="M463">
        <v>0</v>
      </c>
      <c r="N463">
        <v>0</v>
      </c>
      <c r="O463">
        <v>0</v>
      </c>
    </row>
    <row r="464" spans="1:15">
      <c r="A464" s="1" t="s">
        <v>476</v>
      </c>
      <c r="B464" t="s">
        <v>504</v>
      </c>
      <c r="C464" t="s">
        <v>509</v>
      </c>
      <c r="D464">
        <f>HYPERLINK("http://www.reserveamerica.com/camping/upper-little-truckee/r/facilityDetails.do?contractCode=NRSO&amp;parkId=71718", "UPPER LITTLE TRUCKEE")</f>
        <v>0</v>
      </c>
      <c r="E464">
        <v>39.4908333</v>
      </c>
      <c r="F464">
        <v>-120.2438889</v>
      </c>
      <c r="G464" t="s">
        <v>969</v>
      </c>
      <c r="I464" t="s">
        <v>505</v>
      </c>
      <c r="J464">
        <f>HYPERLINK("http://maps.google.com/maps?z=10&amp;t=m&amp;q=loc:39.4908333+-120.2438889", 280)</f>
        <v>0</v>
      </c>
      <c r="K464">
        <v>30</v>
      </c>
      <c r="L464">
        <v>17</v>
      </c>
      <c r="M464">
        <v>0</v>
      </c>
      <c r="N464">
        <v>17</v>
      </c>
      <c r="O464">
        <v>17</v>
      </c>
    </row>
    <row r="465" spans="1:15">
      <c r="A465" s="1" t="s">
        <v>477</v>
      </c>
      <c r="B465" t="s">
        <v>504</v>
      </c>
      <c r="C465" t="s">
        <v>509</v>
      </c>
      <c r="D465">
        <f>HYPERLINK("http://www.reserveamerica.com/camping/upper-oso-campground/r/facilityDetails.do?contractCode=NRSO&amp;parkId=70165", "UPPER OSO CAMPGROUND")</f>
        <v>0</v>
      </c>
      <c r="E465">
        <v>34.5558333</v>
      </c>
      <c r="F465">
        <v>-119.7538889</v>
      </c>
      <c r="G465" t="s">
        <v>970</v>
      </c>
      <c r="I465" t="s">
        <v>505</v>
      </c>
      <c r="J465">
        <f>HYPERLINK("http://maps.google.com/maps?z=10&amp;t=m&amp;q=loc:34.5558333+-119.7538889", 363)</f>
        <v>0</v>
      </c>
      <c r="K465">
        <v>147</v>
      </c>
      <c r="L465">
        <v>3</v>
      </c>
      <c r="M465">
        <v>0</v>
      </c>
      <c r="N465">
        <v>3</v>
      </c>
      <c r="O465">
        <v>3</v>
      </c>
    </row>
    <row r="466" spans="1:15">
      <c r="A466" s="1" t="s">
        <v>478</v>
      </c>
      <c r="B466" t="s">
        <v>504</v>
      </c>
      <c r="C466" t="s">
        <v>509</v>
      </c>
      <c r="D466">
        <f>HYPERLINK("http://www.reserveamerica.com/camping/upper-pines/r/facilityDetails.do?contractCode=NRSO&amp;parkId=70925", "UPPER PINES")</f>
        <v>0</v>
      </c>
      <c r="E466">
        <v>37.7361111</v>
      </c>
      <c r="F466">
        <v>-119.5625</v>
      </c>
      <c r="G466" t="s">
        <v>971</v>
      </c>
      <c r="I466" t="s">
        <v>505</v>
      </c>
      <c r="J466">
        <f>HYPERLINK("http://maps.google.com/maps?z=10&amp;t=m&amp;q=loc:37.7361111+-119.5625", 211)</f>
        <v>0</v>
      </c>
      <c r="K466">
        <v>76</v>
      </c>
      <c r="L466">
        <v>0</v>
      </c>
      <c r="M466">
        <v>0</v>
      </c>
      <c r="N466">
        <v>0</v>
      </c>
      <c r="O466">
        <v>0</v>
      </c>
    </row>
    <row r="467" spans="1:15">
      <c r="A467" s="1" t="s">
        <v>479</v>
      </c>
      <c r="B467" t="s">
        <v>504</v>
      </c>
      <c r="C467" t="s">
        <v>509</v>
      </c>
      <c r="D467">
        <f>HYPERLINK("http://www.reserveamerica.com/camping/upper-sage-flat/r/facilityDetails.do?contractCode=NRSO&amp;parkId=70524", "UPPER SAGE FLAT")</f>
        <v>0</v>
      </c>
      <c r="E467">
        <v>37.1258333</v>
      </c>
      <c r="F467">
        <v>-118.4338889</v>
      </c>
      <c r="G467" t="s">
        <v>972</v>
      </c>
      <c r="I467" t="s">
        <v>505</v>
      </c>
      <c r="J467">
        <f>HYPERLINK("http://maps.google.com/maps?z=10&amp;t=m&amp;q=loc:37.1258333+-118.4338889", 308)</f>
        <v>0</v>
      </c>
      <c r="K467">
        <v>93</v>
      </c>
      <c r="L467">
        <v>0</v>
      </c>
      <c r="M467">
        <v>0</v>
      </c>
      <c r="N467">
        <v>0</v>
      </c>
      <c r="O467">
        <v>0</v>
      </c>
    </row>
    <row r="468" spans="1:15">
      <c r="A468" s="1" t="s">
        <v>480</v>
      </c>
      <c r="B468" t="s">
        <v>504</v>
      </c>
      <c r="C468" t="s">
        <v>509</v>
      </c>
      <c r="D468">
        <f>HYPERLINK("http://www.reserveamerica.com/camping/upper-stony-creek-campground/r/facilityDetails.do?contractCode=NRSO&amp;parkId=94468", "UPPER STONY CREEK CAMPGROUND")</f>
        <v>0</v>
      </c>
      <c r="E468">
        <v>36.6647222</v>
      </c>
      <c r="F468">
        <v>-118.8316667</v>
      </c>
      <c r="G468" t="s">
        <v>973</v>
      </c>
      <c r="I468" t="s">
        <v>505</v>
      </c>
      <c r="J468">
        <f>HYPERLINK("http://maps.google.com/maps?z=10&amp;t=m&amp;q=loc:36.6647222+-118.8316667", 282)</f>
        <v>0</v>
      </c>
      <c r="K468">
        <v>104</v>
      </c>
      <c r="L468">
        <v>6</v>
      </c>
      <c r="M468">
        <v>0</v>
      </c>
      <c r="N468">
        <v>6</v>
      </c>
      <c r="O468">
        <v>6</v>
      </c>
    </row>
    <row r="469" spans="1:15">
      <c r="A469" s="1" t="s">
        <v>481</v>
      </c>
      <c r="B469" t="s">
        <v>505</v>
      </c>
      <c r="C469" t="s">
        <v>510</v>
      </c>
      <c r="D469">
        <f>HYPERLINK("http://www.reserveamerica.com/camping/vandamme-sp/r/facilityDetails.do?contractCode=CA&amp;parkId=120097", "VANDAMME SP")</f>
        <v>0</v>
      </c>
      <c r="E469">
        <v>39.2763889</v>
      </c>
      <c r="F469">
        <v>-123.7733333</v>
      </c>
      <c r="G469" t="s">
        <v>974</v>
      </c>
      <c r="I469" t="s">
        <v>505</v>
      </c>
      <c r="J469">
        <f>HYPERLINK("http://maps.google.com/maps?z=10&amp;t=m&amp;q=loc:39.2763889+-123.7733333", 270)</f>
        <v>0</v>
      </c>
      <c r="K469">
        <v>323</v>
      </c>
      <c r="L469">
        <v>0</v>
      </c>
      <c r="M469">
        <v>0</v>
      </c>
      <c r="N469">
        <v>0</v>
      </c>
      <c r="O469">
        <v>0</v>
      </c>
    </row>
    <row r="470" spans="1:15">
      <c r="A470" s="1" t="s">
        <v>482</v>
      </c>
      <c r="B470" t="s">
        <v>504</v>
      </c>
      <c r="C470" t="s">
        <v>509</v>
      </c>
      <c r="D470">
        <f>HYPERLINK("http://www.reserveamerica.com/camping/vermillion/r/facilityDetails.do?contractCode=NRSO&amp;parkId=71584", "VERMILLION")</f>
        <v>0</v>
      </c>
      <c r="E470">
        <v>37.3791667</v>
      </c>
      <c r="F470">
        <v>-119.0097222</v>
      </c>
      <c r="G470" t="s">
        <v>975</v>
      </c>
      <c r="H470" t="s">
        <v>998</v>
      </c>
      <c r="I470" t="s">
        <v>505</v>
      </c>
      <c r="J470">
        <f>HYPERLINK("http://maps.google.com/maps?z=10&amp;t=m&amp;q=loc:37.3791667+-119.0097222", 255)</f>
        <v>0</v>
      </c>
      <c r="K470">
        <v>87</v>
      </c>
      <c r="L470">
        <v>29</v>
      </c>
      <c r="M470">
        <v>0</v>
      </c>
      <c r="N470">
        <v>29</v>
      </c>
      <c r="O470">
        <v>29</v>
      </c>
    </row>
    <row r="471" spans="1:15">
      <c r="A471" s="1" t="s">
        <v>483</v>
      </c>
      <c r="B471" t="s">
        <v>504</v>
      </c>
      <c r="C471" t="s">
        <v>509</v>
      </c>
      <c r="D471">
        <f>HYPERLINK("http://www.reserveamerica.com/camping/wawona/r/facilityDetails.do?contractCode=NRSO&amp;parkId=70924", "WAWONA")</f>
        <v>0</v>
      </c>
      <c r="E471">
        <v>37.5730556</v>
      </c>
      <c r="F471">
        <v>-119.665</v>
      </c>
      <c r="G471" t="s">
        <v>976</v>
      </c>
      <c r="I471" t="s">
        <v>505</v>
      </c>
      <c r="J471">
        <f>HYPERLINK("http://maps.google.com/maps?z=10&amp;t=m&amp;q=loc:37.5730556+-119.665", 199)</f>
        <v>0</v>
      </c>
      <c r="K471">
        <v>81</v>
      </c>
      <c r="L471">
        <v>0</v>
      </c>
      <c r="M471">
        <v>0</v>
      </c>
      <c r="N471">
        <v>0</v>
      </c>
      <c r="O471">
        <v>0</v>
      </c>
    </row>
    <row r="472" spans="1:15">
      <c r="A472" s="1" t="s">
        <v>484</v>
      </c>
      <c r="B472" t="s">
        <v>504</v>
      </c>
      <c r="C472" t="s">
        <v>509</v>
      </c>
      <c r="D472">
        <f>HYPERLINK("http://www.reserveamerica.com/camping/wench-creek/r/facilityDetails.do?contractCode=NRSO&amp;parkId=70355", "WENCH CREEK")</f>
        <v>0</v>
      </c>
      <c r="E472">
        <v>38.8902778</v>
      </c>
      <c r="F472">
        <v>-120.3772222</v>
      </c>
      <c r="G472" t="s">
        <v>977</v>
      </c>
      <c r="I472" t="s">
        <v>505</v>
      </c>
      <c r="J472">
        <f>HYPERLINK("http://maps.google.com/maps?z=10&amp;t=m&amp;q=loc:38.8902778+-120.3772222", 219)</f>
        <v>0</v>
      </c>
      <c r="K472">
        <v>37</v>
      </c>
      <c r="L472">
        <v>0</v>
      </c>
      <c r="M472">
        <v>0</v>
      </c>
      <c r="N472">
        <v>0</v>
      </c>
      <c r="O472">
        <v>0</v>
      </c>
    </row>
    <row r="473" spans="1:15">
      <c r="A473" s="1" t="s">
        <v>485</v>
      </c>
      <c r="B473" t="s">
        <v>504</v>
      </c>
      <c r="C473" t="s">
        <v>509</v>
      </c>
      <c r="E473">
        <v>40.5486111</v>
      </c>
      <c r="F473">
        <v>-120.7813889</v>
      </c>
      <c r="G473" t="s">
        <v>978</v>
      </c>
      <c r="I473" t="s">
        <v>505</v>
      </c>
      <c r="J473">
        <f>HYPERLINK("http://maps.google.com/maps?z=10&amp;t=m&amp;q=loc:40.5486111+-120.7813889", 370)</f>
        <v>0</v>
      </c>
      <c r="K473">
        <v>14</v>
      </c>
      <c r="L473">
        <v>0</v>
      </c>
      <c r="M473">
        <v>0</v>
      </c>
      <c r="N473">
        <v>0</v>
      </c>
      <c r="O473">
        <v>0</v>
      </c>
    </row>
    <row r="474" spans="1:15">
      <c r="A474" s="1" t="s">
        <v>486</v>
      </c>
      <c r="B474" t="s">
        <v>504</v>
      </c>
      <c r="C474" t="s">
        <v>509</v>
      </c>
      <c r="D474">
        <f>HYPERLINK("http://www.reserveamerica.com/camping/wheeler-gorge/r/facilityDetails.do?contractCode=NRSO&amp;parkId=70392", "WHEELER GORGE")</f>
        <v>0</v>
      </c>
      <c r="E474">
        <v>34.5119444</v>
      </c>
      <c r="F474">
        <v>-119.2736111</v>
      </c>
      <c r="G474" t="s">
        <v>979</v>
      </c>
      <c r="I474" t="s">
        <v>505</v>
      </c>
      <c r="J474">
        <f>HYPERLINK("http://maps.google.com/maps?z=10&amp;t=m&amp;q=loc:34.5119444+-119.2736111", 392)</f>
        <v>0</v>
      </c>
      <c r="K474">
        <v>142</v>
      </c>
      <c r="L474">
        <v>23</v>
      </c>
      <c r="M474">
        <v>3</v>
      </c>
      <c r="N474">
        <v>20</v>
      </c>
      <c r="O474">
        <v>20</v>
      </c>
    </row>
    <row r="475" spans="1:15">
      <c r="A475" s="1" t="s">
        <v>487</v>
      </c>
      <c r="B475" t="s">
        <v>504</v>
      </c>
      <c r="C475" t="s">
        <v>509</v>
      </c>
      <c r="D475">
        <f>HYPERLINK("http://www.reserveamerica.com/camping/white-cloud/r/facilityDetails.do?contractCode=NRSO&amp;parkId=70647", "WHITE CLOUD")</f>
        <v>0</v>
      </c>
      <c r="E475">
        <v>39.3205556</v>
      </c>
      <c r="F475">
        <v>-120.8452778</v>
      </c>
      <c r="G475" t="s">
        <v>980</v>
      </c>
      <c r="I475" t="s">
        <v>505</v>
      </c>
      <c r="J475">
        <f>HYPERLINK("http://maps.google.com/maps?z=10&amp;t=m&amp;q=loc:39.3205556+-120.8452778", 239)</f>
        <v>0</v>
      </c>
      <c r="K475">
        <v>22</v>
      </c>
      <c r="L475">
        <v>25</v>
      </c>
      <c r="M475">
        <v>0</v>
      </c>
      <c r="N475">
        <v>25</v>
      </c>
      <c r="O475">
        <v>25</v>
      </c>
    </row>
    <row r="476" spans="1:15">
      <c r="A476" s="1" t="s">
        <v>488</v>
      </c>
      <c r="B476" t="s">
        <v>504</v>
      </c>
      <c r="C476" t="s">
        <v>509</v>
      </c>
      <c r="D476">
        <f>HYPERLINK("http://www.reserveamerica.com/camping/white-river/r/facilityDetails.do?contractCode=NRSO&amp;parkId=71539", "WHITE RIVER")</f>
        <v>0</v>
      </c>
      <c r="E476">
        <v>35.8458333</v>
      </c>
      <c r="F476">
        <v>-118.6347222</v>
      </c>
      <c r="G476" t="s">
        <v>981</v>
      </c>
      <c r="I476" t="s">
        <v>505</v>
      </c>
      <c r="J476">
        <f>HYPERLINK("http://maps.google.com/maps?z=10&amp;t=m&amp;q=loc:35.8458333+-118.6347222", 335)</f>
        <v>0</v>
      </c>
      <c r="K476">
        <v>118</v>
      </c>
      <c r="L476">
        <v>5</v>
      </c>
      <c r="M476">
        <v>0</v>
      </c>
      <c r="N476">
        <v>5</v>
      </c>
      <c r="O476">
        <v>5</v>
      </c>
    </row>
    <row r="477" spans="1:15">
      <c r="A477" s="1" t="s">
        <v>489</v>
      </c>
      <c r="B477" t="s">
        <v>504</v>
      </c>
      <c r="C477" t="s">
        <v>509</v>
      </c>
      <c r="D477">
        <f>HYPERLINK("http://www.reserveamerica.com/camping/whitehorse-campground/r/facilityDetails.do?contractCode=NRSO&amp;parkId=109333", "WHITEHORSE CAMPGROUND")</f>
        <v>0</v>
      </c>
      <c r="E477">
        <v>39.8880556</v>
      </c>
      <c r="F477">
        <v>-121.1411111</v>
      </c>
      <c r="G477" t="s">
        <v>982</v>
      </c>
      <c r="I477" t="s">
        <v>505</v>
      </c>
      <c r="J477">
        <f>HYPERLINK("http://maps.google.com/maps?z=10&amp;t=m&amp;q=loc:39.8880556+-121.1411111", 292)</f>
        <v>0</v>
      </c>
      <c r="K477">
        <v>12</v>
      </c>
      <c r="L477">
        <v>0</v>
      </c>
      <c r="M477">
        <v>0</v>
      </c>
      <c r="N477">
        <v>0</v>
      </c>
      <c r="O477">
        <v>0</v>
      </c>
    </row>
    <row r="478" spans="1:15">
      <c r="A478" s="1" t="s">
        <v>490</v>
      </c>
      <c r="B478" t="s">
        <v>504</v>
      </c>
      <c r="C478" t="s">
        <v>509</v>
      </c>
      <c r="D478">
        <f>HYPERLINK("http://www.reserveamerica.com/camping/whitney-portal/r/facilityDetails.do?contractCode=NRSO&amp;parkId=70357", "WHITNEY PORTAL")</f>
        <v>0</v>
      </c>
      <c r="E478">
        <v>36.5898611</v>
      </c>
      <c r="F478">
        <v>-118.2297778</v>
      </c>
      <c r="G478" t="s">
        <v>983</v>
      </c>
      <c r="I478" t="s">
        <v>505</v>
      </c>
      <c r="J478">
        <f>HYPERLINK("http://maps.google.com/maps?z=10&amp;t=m&amp;q=loc:36.5898611+-118.2297778", 336)</f>
        <v>0</v>
      </c>
      <c r="K478">
        <v>102</v>
      </c>
      <c r="L478">
        <v>0</v>
      </c>
      <c r="M478">
        <v>0</v>
      </c>
      <c r="N478">
        <v>0</v>
      </c>
      <c r="O478">
        <v>0</v>
      </c>
    </row>
    <row r="479" spans="1:15">
      <c r="A479" s="1" t="s">
        <v>491</v>
      </c>
      <c r="B479" t="s">
        <v>504</v>
      </c>
      <c r="C479" t="s">
        <v>509</v>
      </c>
      <c r="D479">
        <f>HYPERLINK("http://www.reserveamerica.com/camping/wild-horse-equestrian-family/r/facilityDetails.do?contractCode=NRSO&amp;parkId=73497", "WILD HORSE EQUESTRIAN FAMILY")</f>
        <v>0</v>
      </c>
      <c r="E479">
        <v>34.2019444</v>
      </c>
      <c r="F479">
        <v>-116.7672222</v>
      </c>
      <c r="G479" t="s">
        <v>984</v>
      </c>
      <c r="I479" t="s">
        <v>505</v>
      </c>
      <c r="J479">
        <f>HYPERLINK("http://maps.google.com/maps?z=10&amp;t=m&amp;q=loc:34.2019444+-116.7672222", 578)</f>
        <v>0</v>
      </c>
      <c r="K479">
        <v>125</v>
      </c>
      <c r="L479">
        <v>5</v>
      </c>
      <c r="M479">
        <v>0</v>
      </c>
      <c r="N479">
        <v>5</v>
      </c>
      <c r="O479">
        <v>5</v>
      </c>
    </row>
    <row r="480" spans="1:15">
      <c r="A480" s="1" t="s">
        <v>492</v>
      </c>
      <c r="B480" t="s">
        <v>504</v>
      </c>
      <c r="C480" t="s">
        <v>509</v>
      </c>
      <c r="D480">
        <f>HYPERLINK("http://www.reserveamerica.com/camping/wild-plum/r/facilityDetails.do?contractCode=NRSO&amp;parkId=75434", "WILD PLUM")</f>
        <v>0</v>
      </c>
      <c r="E480">
        <v>39.5663889</v>
      </c>
      <c r="F480">
        <v>-120.5991667</v>
      </c>
      <c r="G480" t="s">
        <v>985</v>
      </c>
      <c r="I480" t="s">
        <v>505</v>
      </c>
      <c r="J480">
        <f>HYPERLINK("http://maps.google.com/maps?z=10&amp;t=m&amp;q=loc:39.5663889+-120.5991667", 273)</f>
        <v>0</v>
      </c>
      <c r="K480">
        <v>24</v>
      </c>
      <c r="L480">
        <v>37</v>
      </c>
      <c r="M480">
        <v>0</v>
      </c>
      <c r="N480">
        <v>37</v>
      </c>
      <c r="O480">
        <v>37</v>
      </c>
    </row>
    <row r="481" spans="1:15">
      <c r="A481" s="1" t="s">
        <v>493</v>
      </c>
      <c r="B481" t="s">
        <v>504</v>
      </c>
      <c r="C481" t="s">
        <v>509</v>
      </c>
      <c r="D481">
        <f>HYPERLINK("http://www.reserveamerica.com/camping/wishon/r/facilityDetails.do?contractCode=NRSO&amp;parkId=71585", "WISHON")</f>
        <v>0</v>
      </c>
      <c r="E481">
        <v>36.1875</v>
      </c>
      <c r="F481">
        <v>-118.6625</v>
      </c>
      <c r="G481" t="s">
        <v>986</v>
      </c>
      <c r="I481" t="s">
        <v>505</v>
      </c>
      <c r="J481">
        <f>HYPERLINK("http://maps.google.com/maps?z=10&amp;t=m&amp;q=loc:36.1875+-118.6625", 315)</f>
        <v>0</v>
      </c>
      <c r="K481">
        <v>112</v>
      </c>
      <c r="L481">
        <v>25</v>
      </c>
      <c r="M481">
        <v>0</v>
      </c>
      <c r="N481">
        <v>25</v>
      </c>
      <c r="O481">
        <v>25</v>
      </c>
    </row>
    <row r="482" spans="1:15">
      <c r="A482" s="1" t="s">
        <v>494</v>
      </c>
      <c r="B482" t="s">
        <v>504</v>
      </c>
      <c r="C482" t="s">
        <v>509</v>
      </c>
      <c r="D482">
        <f>HYPERLINK("http://www.reserveamerica.com/camping/wishon-bass-lake/r/facilityDetails.do?contractCode=NRSO&amp;parkId=71721", "WISHON BASS LAKE")</f>
        <v>0</v>
      </c>
      <c r="E482">
        <v>37.2972222</v>
      </c>
      <c r="F482">
        <v>-119.5338889</v>
      </c>
      <c r="G482" t="s">
        <v>987</v>
      </c>
      <c r="I482" t="s">
        <v>505</v>
      </c>
      <c r="J482">
        <f>HYPERLINK("http://maps.google.com/maps?z=10&amp;t=m&amp;q=loc:37.2972222+-119.5338889", 209)</f>
        <v>0</v>
      </c>
      <c r="K482">
        <v>90</v>
      </c>
      <c r="L482">
        <v>36</v>
      </c>
      <c r="M482">
        <v>2</v>
      </c>
      <c r="N482">
        <v>34</v>
      </c>
      <c r="O482">
        <v>34</v>
      </c>
    </row>
    <row r="483" spans="1:15">
      <c r="A483" s="1" t="s">
        <v>495</v>
      </c>
      <c r="B483" t="s">
        <v>504</v>
      </c>
      <c r="C483" t="s">
        <v>509</v>
      </c>
      <c r="D483">
        <f>HYPERLINK("http://www.reserveamerica.com/camping/wolf-creek-california/r/facilityDetails.do?contractCode=NRSO&amp;parkId=70757", "WOLF CREEK CALIFORNIA")</f>
        <v>0</v>
      </c>
      <c r="E483">
        <v>38.8830556</v>
      </c>
      <c r="F483">
        <v>-120.4</v>
      </c>
      <c r="G483" t="s">
        <v>988</v>
      </c>
      <c r="I483" t="s">
        <v>505</v>
      </c>
      <c r="J483">
        <f>HYPERLINK("http://maps.google.com/maps?z=10&amp;t=m&amp;q=loc:38.8830556+-120.4", 217)</f>
        <v>0</v>
      </c>
      <c r="K483">
        <v>36</v>
      </c>
      <c r="L483">
        <v>0</v>
      </c>
      <c r="M483">
        <v>0</v>
      </c>
      <c r="N483">
        <v>0</v>
      </c>
      <c r="O483">
        <v>0</v>
      </c>
    </row>
    <row r="484" spans="1:15">
      <c r="A484" s="1" t="s">
        <v>496</v>
      </c>
      <c r="B484" t="s">
        <v>504</v>
      </c>
      <c r="C484" t="s">
        <v>509</v>
      </c>
      <c r="D484">
        <f>HYPERLINK("http://www.reserveamerica.com/camping/woodcamp-campground/r/facilityDetails.do?contractCode=NRSO&amp;parkId=71520", "WOODCAMP CAMPGROUND")</f>
        <v>0</v>
      </c>
      <c r="E484">
        <v>39.4855556</v>
      </c>
      <c r="F484">
        <v>-120.5477778</v>
      </c>
      <c r="G484" t="s">
        <v>989</v>
      </c>
      <c r="I484" t="s">
        <v>505</v>
      </c>
      <c r="J484">
        <f>HYPERLINK("http://maps.google.com/maps?z=10&amp;t=m&amp;q=loc:39.4855556+-120.5477778", 267)</f>
        <v>0</v>
      </c>
      <c r="K484">
        <v>25</v>
      </c>
      <c r="L484">
        <v>16</v>
      </c>
      <c r="M484">
        <v>0</v>
      </c>
      <c r="N484">
        <v>16</v>
      </c>
      <c r="O484">
        <v>16</v>
      </c>
    </row>
    <row r="485" spans="1:15">
      <c r="A485" s="1" t="s">
        <v>497</v>
      </c>
      <c r="B485" t="s">
        <v>504</v>
      </c>
      <c r="C485" t="s">
        <v>509</v>
      </c>
      <c r="D485">
        <f>HYPERLINK("http://www.reserveamerica.com/camping/wooded-hill-group/r/facilityDetails.do?contractCode=NRSO&amp;parkId=70150", "WOODED HILL GROUP")</f>
        <v>0</v>
      </c>
      <c r="E485">
        <v>32.8502778</v>
      </c>
      <c r="F485">
        <v>-116.42</v>
      </c>
      <c r="G485" t="s">
        <v>990</v>
      </c>
      <c r="I485" t="s">
        <v>505</v>
      </c>
      <c r="J485">
        <f>HYPERLINK("http://maps.google.com/maps?z=10&amp;t=m&amp;q=loc:32.8502778+-116.42", 704)</f>
        <v>0</v>
      </c>
      <c r="K485">
        <v>133</v>
      </c>
      <c r="L485">
        <v>0</v>
      </c>
      <c r="M485">
        <v>0</v>
      </c>
      <c r="N485">
        <v>0</v>
      </c>
      <c r="O485">
        <v>0</v>
      </c>
    </row>
    <row r="486" spans="1:15">
      <c r="A486" s="1" t="s">
        <v>498</v>
      </c>
      <c r="B486" t="s">
        <v>505</v>
      </c>
      <c r="C486" t="s">
        <v>510</v>
      </c>
      <c r="D486">
        <f>HYPERLINK("http://www.reserveamerica.com/camping/woodson-bridge-sra/r/facilityDetails.do?contractCode=CA&amp;parkId=120098", "WOODSON BRIDGE SRA")</f>
        <v>0</v>
      </c>
      <c r="E486">
        <v>39.9175</v>
      </c>
      <c r="F486">
        <v>-122.0902778</v>
      </c>
      <c r="G486" t="s">
        <v>991</v>
      </c>
      <c r="I486" t="s">
        <v>505</v>
      </c>
      <c r="J486">
        <f>HYPERLINK("http://maps.google.com/maps?z=10&amp;t=m&amp;q=loc:39.9175+-122.0902778", 288)</f>
        <v>0</v>
      </c>
      <c r="K486">
        <v>356</v>
      </c>
      <c r="L486">
        <v>34</v>
      </c>
      <c r="M486">
        <v>0</v>
      </c>
      <c r="N486">
        <v>34</v>
      </c>
      <c r="O486">
        <v>34</v>
      </c>
    </row>
    <row r="487" spans="1:15">
      <c r="A487" s="1" t="s">
        <v>499</v>
      </c>
      <c r="B487" t="s">
        <v>508</v>
      </c>
      <c r="C487" t="s">
        <v>511</v>
      </c>
      <c r="D487">
        <f>HYPERLINK("http://www.reserveamerica.com/camping/woodward-reservoir-regional-park/r/facilityDetails.do?contractCode=STAN&amp;parkId=1040012", "WOODWARD RESERVOIR REGIONAL PARK")</f>
        <v>0</v>
      </c>
      <c r="E487">
        <v>37.8469444</v>
      </c>
      <c r="F487">
        <v>-120.8770056</v>
      </c>
      <c r="G487" t="s">
        <v>991</v>
      </c>
      <c r="H487" t="s">
        <v>1002</v>
      </c>
      <c r="I487" t="s">
        <v>505</v>
      </c>
      <c r="J487">
        <f>HYPERLINK("http://maps.google.com/maps?z=10&amp;t=m&amp;q=loc:37.8469444+-120.8770056", 107)</f>
        <v>0</v>
      </c>
      <c r="K487">
        <v>57</v>
      </c>
      <c r="L487">
        <v>44</v>
      </c>
      <c r="M487">
        <v>2</v>
      </c>
      <c r="N487">
        <v>42</v>
      </c>
      <c r="O487">
        <v>43</v>
      </c>
    </row>
    <row r="488" spans="1:15">
      <c r="A488" s="1" t="s">
        <v>500</v>
      </c>
      <c r="B488" t="s">
        <v>504</v>
      </c>
      <c r="C488" t="s">
        <v>509</v>
      </c>
      <c r="D488">
        <f>HYPERLINK("http://www.reserveamerica.com/camping/wrights-lake/r/facilityDetails.do?contractCode=NRSO&amp;parkId=70152", "WRIGHTS LAKE")</f>
        <v>0</v>
      </c>
      <c r="E488">
        <v>38.8494444</v>
      </c>
      <c r="F488">
        <v>-120.2311111</v>
      </c>
      <c r="G488" t="s">
        <v>992</v>
      </c>
      <c r="I488" t="s">
        <v>505</v>
      </c>
      <c r="J488">
        <f>HYPERLINK("http://maps.google.com/maps?z=10&amp;t=m&amp;q=loc:38.8494444+-120.2311111", 223)</f>
        <v>0</v>
      </c>
      <c r="K488">
        <v>40</v>
      </c>
      <c r="L488">
        <v>0</v>
      </c>
      <c r="M488">
        <v>0</v>
      </c>
      <c r="N488">
        <v>0</v>
      </c>
      <c r="O488">
        <v>0</v>
      </c>
    </row>
    <row r="489" spans="1:15">
      <c r="A489" s="1" t="s">
        <v>501</v>
      </c>
      <c r="B489" t="s">
        <v>504</v>
      </c>
      <c r="C489" t="s">
        <v>509</v>
      </c>
      <c r="D489">
        <f>HYPERLINK("http://www.reserveamerica.com/camping/wyandotte-a-campground/r/facilityDetails.do?contractCode=NRSO&amp;parkId=72430", "WYANDOTTE A CAMPGROUND")</f>
        <v>0</v>
      </c>
      <c r="E489">
        <v>39.745</v>
      </c>
      <c r="F489">
        <v>-120.9875</v>
      </c>
      <c r="G489" t="s">
        <v>993</v>
      </c>
      <c r="H489" t="s">
        <v>998</v>
      </c>
      <c r="I489" t="s">
        <v>505</v>
      </c>
      <c r="J489">
        <f>HYPERLINK("http://maps.google.com/maps?z=10&amp;t=m&amp;q=loc:39.745+-120.9875", 280)</f>
        <v>0</v>
      </c>
      <c r="K489">
        <v>16</v>
      </c>
      <c r="L489">
        <v>12</v>
      </c>
      <c r="M489">
        <v>0</v>
      </c>
      <c r="N489">
        <v>12</v>
      </c>
      <c r="O489">
        <v>12</v>
      </c>
    </row>
    <row r="490" spans="1:15">
      <c r="A490" s="1" t="s">
        <v>502</v>
      </c>
      <c r="B490" t="s">
        <v>504</v>
      </c>
      <c r="C490" t="s">
        <v>509</v>
      </c>
      <c r="D490">
        <f>HYPERLINK("http://www.reserveamerica.com/camping/yellowjacket/r/facilityDetails.do?contractCode=NRSO&amp;parkId=70359", "YELLOWJACKET")</f>
        <v>0</v>
      </c>
      <c r="E490">
        <v>38.8916667</v>
      </c>
      <c r="F490">
        <v>-120.3916667</v>
      </c>
      <c r="G490" t="s">
        <v>994</v>
      </c>
      <c r="I490" t="s">
        <v>505</v>
      </c>
      <c r="J490">
        <f>HYPERLINK("http://maps.google.com/maps?z=10&amp;t=m&amp;q=loc:38.8916667+-120.3916667", 218)</f>
        <v>0</v>
      </c>
      <c r="K490">
        <v>36</v>
      </c>
      <c r="L490">
        <v>0</v>
      </c>
      <c r="M490">
        <v>0</v>
      </c>
      <c r="N490">
        <v>0</v>
      </c>
      <c r="O490">
        <v>0</v>
      </c>
    </row>
    <row r="491" spans="1:15">
      <c r="A491" s="1" t="s">
        <v>503</v>
      </c>
      <c r="B491" t="s">
        <v>504</v>
      </c>
      <c r="C491" t="s">
        <v>509</v>
      </c>
      <c r="E491">
        <v>39.6175</v>
      </c>
      <c r="F491">
        <v>-120.4994444</v>
      </c>
      <c r="G491" t="s">
        <v>995</v>
      </c>
      <c r="I491" t="s">
        <v>505</v>
      </c>
      <c r="J491">
        <f>HYPERLINK("http://maps.google.com/maps?z=10&amp;t=m&amp;q=loc:39.6175+-120.4994444", 282)</f>
        <v>0</v>
      </c>
      <c r="K491">
        <v>25</v>
      </c>
      <c r="L491">
        <v>0</v>
      </c>
      <c r="M491">
        <v>0</v>
      </c>
      <c r="N491">
        <v>0</v>
      </c>
      <c r="O49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91"/>
  <sheetViews>
    <sheetView workbookViewId="0"/>
  </sheetViews>
  <sheetFormatPr defaultRowHeight="15"/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14</v>
      </c>
      <c r="B2" t="s">
        <v>504</v>
      </c>
      <c r="C2" t="s">
        <v>509</v>
      </c>
      <c r="D2">
        <f>HYPERLINK("http://www.reserveamerica.com/camping/ackerman-campground/r/facilityDetails.do?contractCode=NRSO&amp;parkId=72377", "ACKERMAN CAMPGROUND")</f>
        <v>0</v>
      </c>
      <c r="E2">
        <v>40.7855556</v>
      </c>
      <c r="F2">
        <v>-122.7716667</v>
      </c>
      <c r="G2" t="s">
        <v>512</v>
      </c>
      <c r="I2" t="s">
        <v>505</v>
      </c>
      <c r="J2">
        <f>HYPERLINK("http://maps.google.com/maps?z=10&amp;t=m&amp;q=loc:40.7855556+-122.7716667", 391)</f>
        <v>0</v>
      </c>
      <c r="K2">
        <v>349</v>
      </c>
      <c r="L2">
        <v>16</v>
      </c>
      <c r="M2">
        <v>0</v>
      </c>
      <c r="N2">
        <v>16</v>
      </c>
      <c r="O2">
        <v>16</v>
      </c>
    </row>
    <row r="3" spans="1:15">
      <c r="A3" s="1" t="s">
        <v>15</v>
      </c>
      <c r="B3" t="s">
        <v>504</v>
      </c>
      <c r="C3" t="s">
        <v>509</v>
      </c>
      <c r="D3">
        <f>HYPERLINK("http://www.reserveamerica.com/camping/acorn-campground/r/facilityDetails.do?contractCode=NRSO&amp;parkId=73494", "ACORN CAMPGROUND")</f>
        <v>0</v>
      </c>
      <c r="E3">
        <v>38.1762611</v>
      </c>
      <c r="F3">
        <v>-120.7997222</v>
      </c>
      <c r="G3" t="s">
        <v>513</v>
      </c>
      <c r="I3" t="s">
        <v>505</v>
      </c>
      <c r="J3">
        <f>HYPERLINK("http://maps.google.com/maps?z=10&amp;t=m&amp;q=loc:38.1762611+-120.7997222", 135)</f>
        <v>0</v>
      </c>
      <c r="K3">
        <v>45</v>
      </c>
      <c r="L3">
        <v>120</v>
      </c>
      <c r="M3">
        <v>3</v>
      </c>
      <c r="N3">
        <v>117</v>
      </c>
      <c r="O3">
        <v>117</v>
      </c>
    </row>
    <row r="4" spans="1:15">
      <c r="A4" s="1" t="s">
        <v>16</v>
      </c>
      <c r="B4" t="s">
        <v>504</v>
      </c>
      <c r="C4" t="s">
        <v>509</v>
      </c>
      <c r="D4">
        <f>HYPERLINK("http://www.reserveamerica.com/camping/agnew-meadows-group-camp/r/facilityDetails.do?contractCode=NRSO&amp;parkId=70158", "AGNEW MEADOWS GROUP CAMP")</f>
        <v>0</v>
      </c>
      <c r="E4">
        <v>37.6822222</v>
      </c>
      <c r="F4">
        <v>-119.0894444</v>
      </c>
      <c r="G4" t="s">
        <v>514</v>
      </c>
      <c r="I4" t="s">
        <v>505</v>
      </c>
      <c r="J4">
        <f>HYPERLINK("http://maps.google.com/maps?z=10&amp;t=m&amp;q=loc:37.6822222+-119.0894444", 251)</f>
        <v>0</v>
      </c>
      <c r="K4">
        <v>80</v>
      </c>
      <c r="L4">
        <v>0</v>
      </c>
      <c r="M4">
        <v>0</v>
      </c>
      <c r="N4">
        <v>0</v>
      </c>
      <c r="O4">
        <v>0</v>
      </c>
    </row>
    <row r="5" spans="1:15">
      <c r="A5" s="1" t="s">
        <v>17</v>
      </c>
      <c r="B5" t="s">
        <v>504</v>
      </c>
      <c r="C5" t="s">
        <v>509</v>
      </c>
      <c r="D5">
        <f>HYPERLINK("http://www.reserveamerica.com/camping/almanor/r/facilityDetails.do?contractCode=NRSO&amp;parkId=70528", "ALMANOR")</f>
        <v>0</v>
      </c>
      <c r="E5">
        <v>40.2169444</v>
      </c>
      <c r="F5">
        <v>-121.1677778</v>
      </c>
      <c r="G5" t="s">
        <v>515</v>
      </c>
      <c r="I5" t="s">
        <v>505</v>
      </c>
      <c r="J5">
        <f>HYPERLINK("http://maps.google.com/maps?z=10&amp;t=m&amp;q=loc:40.2169444+-121.1677778", 327)</f>
        <v>0</v>
      </c>
      <c r="K5">
        <v>11</v>
      </c>
      <c r="L5">
        <v>0</v>
      </c>
      <c r="M5">
        <v>0</v>
      </c>
      <c r="N5">
        <v>0</v>
      </c>
      <c r="O5">
        <v>0</v>
      </c>
    </row>
    <row r="6" spans="1:15">
      <c r="A6" s="1" t="s">
        <v>18</v>
      </c>
      <c r="B6" t="s">
        <v>504</v>
      </c>
      <c r="C6" t="s">
        <v>509</v>
      </c>
      <c r="D6">
        <f>HYPERLINK("http://www.reserveamerica.com/camping/alpine-view-campground/r/facilityDetails.do?contractCode=NRSO&amp;parkId=72376", "ALPINE VIEW CAMPGROUND")</f>
        <v>0</v>
      </c>
      <c r="E6">
        <v>40.8870639</v>
      </c>
      <c r="F6">
        <v>-122.7658139</v>
      </c>
      <c r="G6" t="s">
        <v>516</v>
      </c>
      <c r="I6" t="s">
        <v>505</v>
      </c>
      <c r="J6">
        <f>HYPERLINK("http://maps.google.com/maps?z=10&amp;t=m&amp;q=loc:40.8870639+-122.7658139", 402)</f>
        <v>0</v>
      </c>
      <c r="K6">
        <v>349</v>
      </c>
      <c r="L6">
        <v>21</v>
      </c>
      <c r="M6">
        <v>21</v>
      </c>
      <c r="N6">
        <v>0</v>
      </c>
      <c r="O6">
        <v>0</v>
      </c>
    </row>
    <row r="7" spans="1:15">
      <c r="A7" s="1" t="s">
        <v>19</v>
      </c>
      <c r="B7" t="s">
        <v>504</v>
      </c>
      <c r="C7" t="s">
        <v>509</v>
      </c>
      <c r="D7">
        <f>HYPERLINK("http://www.reserveamerica.com/camping/anacapa-island/r/facilityDetails.do?contractCode=NRSO&amp;parkId=70984", "ANACAPA ISLAND")</f>
        <v>0</v>
      </c>
      <c r="E7">
        <v>34.0141917</v>
      </c>
      <c r="F7">
        <v>-119.3677889</v>
      </c>
      <c r="G7" t="s">
        <v>517</v>
      </c>
      <c r="H7" t="s">
        <v>996</v>
      </c>
      <c r="I7" t="s">
        <v>505</v>
      </c>
      <c r="J7">
        <f>HYPERLINK("http://maps.google.com/maps?z=10&amp;t=m&amp;q=loc:34.0141917+-119.3677889", 433)</f>
        <v>0</v>
      </c>
      <c r="K7">
        <v>147</v>
      </c>
      <c r="L7">
        <v>4</v>
      </c>
      <c r="M7">
        <v>0</v>
      </c>
      <c r="N7">
        <v>4</v>
      </c>
      <c r="O7">
        <v>0</v>
      </c>
    </row>
    <row r="8" spans="1:15">
      <c r="A8" s="1" t="s">
        <v>20</v>
      </c>
      <c r="B8" t="s">
        <v>505</v>
      </c>
      <c r="C8" t="s">
        <v>510</v>
      </c>
      <c r="D8">
        <f>HYPERLINK("http://www.reserveamerica.com/camping/angel-island-sp/r/facilityDetails.do?contractCode=CA&amp;parkId=120003", "ANGEL ISLAND SP")</f>
        <v>0</v>
      </c>
      <c r="E8">
        <v>37.8641667</v>
      </c>
      <c r="F8">
        <v>-122.4308333</v>
      </c>
      <c r="G8" t="s">
        <v>518</v>
      </c>
      <c r="I8" t="s">
        <v>505</v>
      </c>
      <c r="J8">
        <f>HYPERLINK("http://maps.google.com/maps?z=10&amp;t=m&amp;q=loc:37.8641667+-122.4308333", 75)</f>
        <v>0</v>
      </c>
      <c r="K8">
        <v>322</v>
      </c>
      <c r="L8">
        <v>0</v>
      </c>
      <c r="M8">
        <v>0</v>
      </c>
      <c r="N8">
        <v>0</v>
      </c>
      <c r="O8">
        <v>0</v>
      </c>
    </row>
    <row r="9" spans="1:15">
      <c r="A9" s="1" t="s">
        <v>21</v>
      </c>
      <c r="B9" t="s">
        <v>506</v>
      </c>
      <c r="C9" t="s">
        <v>511</v>
      </c>
      <c r="D9">
        <f>HYPERLINK("http://www.reserveamerica.com/camping/anthony-chabot/r/facilityDetails.do?contractCode=EB&amp;parkId=110004", "Anthony Chabot")</f>
        <v>0</v>
      </c>
      <c r="E9">
        <v>37.7352778</v>
      </c>
      <c r="F9">
        <v>-122.0961111</v>
      </c>
      <c r="G9" t="s">
        <v>519</v>
      </c>
      <c r="I9" t="s">
        <v>505</v>
      </c>
      <c r="J9">
        <f>HYPERLINK("http://maps.google.com/maps?z=10&amp;t=m&amp;q=loc:37.7352778+-122.0961111", 48)</f>
        <v>0</v>
      </c>
      <c r="K9">
        <v>339</v>
      </c>
      <c r="L9">
        <v>0</v>
      </c>
      <c r="M9">
        <v>0</v>
      </c>
      <c r="N9">
        <v>0</v>
      </c>
      <c r="O9">
        <v>0</v>
      </c>
    </row>
    <row r="10" spans="1:15">
      <c r="A10" s="1" t="s">
        <v>22</v>
      </c>
      <c r="B10" t="s">
        <v>504</v>
      </c>
      <c r="C10" t="s">
        <v>509</v>
      </c>
      <c r="D10">
        <f>HYPERLINK("http://www.reserveamerica.com/camping/antlers/r/facilityDetails.do?contractCode=NRSO&amp;parkId=71514", "ANTLERS")</f>
        <v>0</v>
      </c>
      <c r="E10">
        <v>40.8875</v>
      </c>
      <c r="F10">
        <v>-122.3775</v>
      </c>
      <c r="G10" t="s">
        <v>520</v>
      </c>
      <c r="I10" t="s">
        <v>505</v>
      </c>
      <c r="J10">
        <f>HYPERLINK("http://maps.google.com/maps?z=10&amp;t=m&amp;q=loc:40.8875+-122.3775", 397)</f>
        <v>0</v>
      </c>
      <c r="K10">
        <v>354</v>
      </c>
      <c r="L10">
        <v>45</v>
      </c>
      <c r="M10">
        <v>0</v>
      </c>
      <c r="N10">
        <v>45</v>
      </c>
      <c r="O10">
        <v>45</v>
      </c>
    </row>
    <row r="11" spans="1:15">
      <c r="A11" s="1" t="s">
        <v>23</v>
      </c>
      <c r="B11" t="s">
        <v>505</v>
      </c>
      <c r="C11" t="s">
        <v>510</v>
      </c>
      <c r="D11">
        <f>HYPERLINK("http://www.reserveamerica.com/camping/anzaborrego-desert-sp/r/facilityDetails.do?contractCode=CA&amp;parkId=120006", "ANZA-BORREGO DESERT SP")</f>
        <v>0</v>
      </c>
      <c r="E11">
        <v>33.2686111</v>
      </c>
      <c r="F11">
        <v>-116.4052778</v>
      </c>
      <c r="G11" t="s">
        <v>521</v>
      </c>
      <c r="I11" t="s">
        <v>505</v>
      </c>
      <c r="J11">
        <f>HYPERLINK("http://maps.google.com/maps?z=10&amp;t=m&amp;q=loc:33.2686111+-116.4052778", 672)</f>
        <v>0</v>
      </c>
      <c r="K11">
        <v>130</v>
      </c>
      <c r="L11">
        <v>0</v>
      </c>
      <c r="M11">
        <v>0</v>
      </c>
      <c r="N11">
        <v>0</v>
      </c>
      <c r="O11">
        <v>0</v>
      </c>
    </row>
    <row r="12" spans="1:15">
      <c r="A12" s="1" t="s">
        <v>24</v>
      </c>
      <c r="B12" t="s">
        <v>504</v>
      </c>
      <c r="C12" t="s">
        <v>509</v>
      </c>
      <c r="D12">
        <f>HYPERLINK("http://www.reserveamerica.com/camping/arroyo-seco/r/facilityDetails.do?contractCode=NRSO&amp;parkId=70160", "ARROYO SECO")</f>
        <v>0</v>
      </c>
      <c r="E12">
        <v>36.2397222</v>
      </c>
      <c r="F12">
        <v>-121.4786111</v>
      </c>
      <c r="G12" t="s">
        <v>522</v>
      </c>
      <c r="I12" t="s">
        <v>505</v>
      </c>
      <c r="J12">
        <f>HYPERLINK("http://maps.google.com/maps?z=10&amp;t=m&amp;q=loc:36.2397222+-121.4786111", 126)</f>
        <v>0</v>
      </c>
      <c r="K12">
        <v>162</v>
      </c>
      <c r="L12">
        <v>3</v>
      </c>
      <c r="M12">
        <v>3</v>
      </c>
      <c r="N12">
        <v>0</v>
      </c>
      <c r="O12">
        <v>0</v>
      </c>
    </row>
    <row r="13" spans="1:15">
      <c r="A13" s="1" t="s">
        <v>25</v>
      </c>
      <c r="B13" t="s">
        <v>504</v>
      </c>
      <c r="C13" t="s">
        <v>509</v>
      </c>
      <c r="D13">
        <f>HYPERLINK("http://www.reserveamerica.com/camping/aspen-group-inyo/r/facilityDetails.do?contractCode=NRSO&amp;parkId=71938", "ASPEN GROUP (INYO)")</f>
        <v>0</v>
      </c>
      <c r="E13">
        <v>37.5236111</v>
      </c>
      <c r="F13">
        <v>-118.7119444</v>
      </c>
      <c r="G13" t="s">
        <v>523</v>
      </c>
      <c r="I13" t="s">
        <v>505</v>
      </c>
      <c r="J13">
        <f>HYPERLINK("http://maps.google.com/maps?z=10&amp;t=m&amp;q=loc:37.5236111+-118.7119444", 282)</f>
        <v>0</v>
      </c>
      <c r="K13">
        <v>84</v>
      </c>
      <c r="L13">
        <v>0</v>
      </c>
      <c r="M13">
        <v>0</v>
      </c>
      <c r="N13">
        <v>0</v>
      </c>
      <c r="O13">
        <v>0</v>
      </c>
    </row>
    <row r="14" spans="1:15">
      <c r="A14" s="1" t="s">
        <v>26</v>
      </c>
      <c r="B14" t="s">
        <v>504</v>
      </c>
      <c r="C14" t="s">
        <v>509</v>
      </c>
      <c r="D14">
        <f>HYPERLINK("http://www.reserveamerica.com/camping/aspen-group-tahoe/r/facilityDetails.do?contractCode=NRSO&amp;parkId=71674", "ASPEN GROUP (TAHOE)")</f>
        <v>0</v>
      </c>
      <c r="E14">
        <v>39.5072222</v>
      </c>
      <c r="F14">
        <v>-120.54</v>
      </c>
      <c r="G14" t="s">
        <v>524</v>
      </c>
      <c r="I14" t="s">
        <v>505</v>
      </c>
      <c r="J14">
        <f>HYPERLINK("http://maps.google.com/maps?z=10&amp;t=m&amp;q=loc:39.5072222+-120.54", 269)</f>
        <v>0</v>
      </c>
      <c r="K14">
        <v>25</v>
      </c>
      <c r="L14">
        <v>0</v>
      </c>
      <c r="M14">
        <v>0</v>
      </c>
      <c r="N14">
        <v>0</v>
      </c>
      <c r="O14">
        <v>0</v>
      </c>
    </row>
    <row r="15" spans="1:15">
      <c r="A15" s="1" t="s">
        <v>27</v>
      </c>
      <c r="B15" t="s">
        <v>504</v>
      </c>
      <c r="C15" t="s">
        <v>509</v>
      </c>
      <c r="D15">
        <f>HYPERLINK("http://www.reserveamerica.com/camping/aspen-hollow-group/r/facilityDetails.do?contractCode=NRSO&amp;parkId=71546", "ASPEN HOLLOW GROUP")</f>
        <v>0</v>
      </c>
      <c r="E15">
        <v>36.7811111</v>
      </c>
      <c r="F15">
        <v>-118.9027778</v>
      </c>
      <c r="G15" t="s">
        <v>525</v>
      </c>
      <c r="I15" t="s">
        <v>505</v>
      </c>
      <c r="J15">
        <f>HYPERLINK("http://maps.google.com/maps?z=10&amp;t=m&amp;q=loc:36.7811111+-118.9027778", 273)</f>
        <v>0</v>
      </c>
      <c r="K15">
        <v>101</v>
      </c>
      <c r="L15">
        <v>0</v>
      </c>
      <c r="M15">
        <v>0</v>
      </c>
      <c r="N15">
        <v>0</v>
      </c>
      <c r="O15">
        <v>0</v>
      </c>
    </row>
    <row r="16" spans="1:15">
      <c r="A16" s="1" t="s">
        <v>28</v>
      </c>
      <c r="B16" t="s">
        <v>504</v>
      </c>
      <c r="C16" t="s">
        <v>509</v>
      </c>
      <c r="D16">
        <f>HYPERLINK("http://www.reserveamerica.com/camping/badger-flats-group/r/facilityDetails.do?contractCode=NRSO&amp;parkId=71586", "BADGER FLATS GROUP")</f>
        <v>0</v>
      </c>
      <c r="E16">
        <v>37.2694444</v>
      </c>
      <c r="F16">
        <v>-119.115</v>
      </c>
      <c r="G16" t="s">
        <v>526</v>
      </c>
      <c r="I16" t="s">
        <v>505</v>
      </c>
      <c r="J16">
        <f>HYPERLINK("http://maps.google.com/maps?z=10&amp;t=m&amp;q=loc:37.2694444+-119.115", 246)</f>
        <v>0</v>
      </c>
      <c r="K16">
        <v>90</v>
      </c>
      <c r="L16">
        <v>0</v>
      </c>
      <c r="M16">
        <v>0</v>
      </c>
      <c r="N16">
        <v>0</v>
      </c>
      <c r="O16">
        <v>0</v>
      </c>
    </row>
    <row r="17" spans="1:15">
      <c r="A17" s="1" t="s">
        <v>29</v>
      </c>
      <c r="B17" t="s">
        <v>504</v>
      </c>
      <c r="C17" t="s">
        <v>509</v>
      </c>
      <c r="D17">
        <f>HYPERLINK("http://www.reserveamerica.com/camping/bailey-cove/r/facilityDetails.do?contractCode=NRSO&amp;parkId=71521", "BAILEY COVE")</f>
        <v>0</v>
      </c>
      <c r="E17">
        <v>40.8016667</v>
      </c>
      <c r="F17">
        <v>-122.2819444</v>
      </c>
      <c r="G17" t="s">
        <v>527</v>
      </c>
      <c r="I17" t="s">
        <v>505</v>
      </c>
      <c r="J17">
        <f>HYPERLINK("http://maps.google.com/maps?z=10&amp;t=m&amp;q=loc:40.8016667+-122.2819444", 387)</f>
        <v>0</v>
      </c>
      <c r="K17">
        <v>355</v>
      </c>
      <c r="L17">
        <v>6</v>
      </c>
      <c r="M17">
        <v>0</v>
      </c>
      <c r="N17">
        <v>6</v>
      </c>
      <c r="O17">
        <v>6</v>
      </c>
    </row>
    <row r="18" spans="1:15">
      <c r="A18" s="1" t="s">
        <v>30</v>
      </c>
      <c r="B18" t="s">
        <v>504</v>
      </c>
      <c r="C18" t="s">
        <v>509</v>
      </c>
      <c r="D18">
        <f>HYPERLINK("http://www.reserveamerica.com/camping/bandido-group-campground/r/facilityDetails.do?contractCode=NRSO&amp;parkId=75445", "BANDIDO GROUP CAMPGROUND")</f>
        <v>0</v>
      </c>
      <c r="E18">
        <v>34.3452778</v>
      </c>
      <c r="F18">
        <v>-118.0047222</v>
      </c>
      <c r="G18" t="s">
        <v>528</v>
      </c>
      <c r="I18" t="s">
        <v>505</v>
      </c>
      <c r="J18">
        <f>HYPERLINK("http://maps.google.com/maps?z=10&amp;t=m&amp;q=loc:34.3452778+-118.0047222", 482)</f>
        <v>0</v>
      </c>
      <c r="K18">
        <v>132</v>
      </c>
      <c r="L18">
        <v>1</v>
      </c>
      <c r="M18">
        <v>0</v>
      </c>
      <c r="N18">
        <v>1</v>
      </c>
      <c r="O18">
        <v>1</v>
      </c>
    </row>
    <row r="19" spans="1:15">
      <c r="A19" s="1" t="s">
        <v>31</v>
      </c>
      <c r="B19" t="s">
        <v>504</v>
      </c>
      <c r="C19" t="s">
        <v>509</v>
      </c>
      <c r="D19">
        <f>HYPERLINK("http://www.reserveamerica.com/camping/barton-flats/r/facilityDetails.do?contractCode=NRSO&amp;parkId=70181", "BARTON FLATS")</f>
        <v>0</v>
      </c>
      <c r="E19">
        <v>34.1722222</v>
      </c>
      <c r="F19">
        <v>-116.8744444</v>
      </c>
      <c r="G19" t="s">
        <v>529</v>
      </c>
      <c r="I19" t="s">
        <v>505</v>
      </c>
      <c r="J19">
        <f>HYPERLINK("http://maps.google.com/maps?z=10&amp;t=m&amp;q=loc:34.1722222+-116.8744444", 573)</f>
        <v>0</v>
      </c>
      <c r="K19">
        <v>126</v>
      </c>
      <c r="L19">
        <v>7</v>
      </c>
      <c r="M19">
        <v>0</v>
      </c>
      <c r="N19">
        <v>7</v>
      </c>
      <c r="O19">
        <v>7</v>
      </c>
    </row>
    <row r="20" spans="1:15">
      <c r="A20" s="1" t="s">
        <v>32</v>
      </c>
      <c r="B20" t="s">
        <v>504</v>
      </c>
      <c r="C20" t="s">
        <v>509</v>
      </c>
      <c r="D20">
        <f>HYPERLINK("http://www.reserveamerica.com/camping/bear-river-group-campground/r/facilityDetails.do?contractCode=NRSO&amp;parkId=75010", "BEAR RIVER GROUP CAMPGROUND")</f>
        <v>0</v>
      </c>
      <c r="E20">
        <v>38.5338889</v>
      </c>
      <c r="F20">
        <v>-120.2188889</v>
      </c>
      <c r="G20" t="s">
        <v>530</v>
      </c>
      <c r="I20" t="s">
        <v>505</v>
      </c>
      <c r="J20">
        <f>HYPERLINK("http://maps.google.com/maps?z=10&amp;t=m&amp;q=loc:38.5338889+-120.2188889", 199)</f>
        <v>0</v>
      </c>
      <c r="K20">
        <v>47</v>
      </c>
      <c r="L20">
        <v>3</v>
      </c>
      <c r="M20">
        <v>0</v>
      </c>
      <c r="N20">
        <v>3</v>
      </c>
      <c r="O20">
        <v>3</v>
      </c>
    </row>
    <row r="21" spans="1:15">
      <c r="A21" s="1" t="s">
        <v>33</v>
      </c>
      <c r="B21" t="s">
        <v>504</v>
      </c>
      <c r="C21" t="s">
        <v>509</v>
      </c>
      <c r="D21">
        <f>HYPERLINK("http://www.reserveamerica.com/camping/belknap/r/facilityDetails.do?contractCode=NRSO&amp;parkId=71587", "BELKNAP")</f>
        <v>0</v>
      </c>
      <c r="E21">
        <v>36.1416667</v>
      </c>
      <c r="F21">
        <v>-118.5997222</v>
      </c>
      <c r="G21" t="s">
        <v>531</v>
      </c>
      <c r="I21" t="s">
        <v>505</v>
      </c>
      <c r="J21">
        <f>HYPERLINK("http://maps.google.com/maps?z=10&amp;t=m&amp;q=loc:36.1416667+-118.5997222", 322)</f>
        <v>0</v>
      </c>
      <c r="K21">
        <v>113</v>
      </c>
      <c r="L21">
        <v>1</v>
      </c>
      <c r="M21">
        <v>0</v>
      </c>
      <c r="N21">
        <v>1</v>
      </c>
      <c r="O21">
        <v>1</v>
      </c>
    </row>
    <row r="22" spans="1:15">
      <c r="A22" s="1" t="s">
        <v>34</v>
      </c>
      <c r="B22" t="s">
        <v>504</v>
      </c>
      <c r="C22" t="s">
        <v>509</v>
      </c>
      <c r="D22">
        <f>HYPERLINK("http://www.reserveamerica.com/camping/berger/r/facilityDetails.do?contractCode=NRSO&amp;parkId=75426", "BERGER")</f>
        <v>0</v>
      </c>
      <c r="E22">
        <v>39.6277778</v>
      </c>
      <c r="F22">
        <v>-120.6447222</v>
      </c>
      <c r="G22" t="s">
        <v>532</v>
      </c>
      <c r="I22" t="s">
        <v>505</v>
      </c>
      <c r="J22">
        <f>HYPERLINK("http://maps.google.com/maps?z=10&amp;t=m&amp;q=loc:39.6277778+-120.6447222", 278)</f>
        <v>0</v>
      </c>
      <c r="K22">
        <v>22</v>
      </c>
      <c r="L22">
        <v>4</v>
      </c>
      <c r="M22">
        <v>0</v>
      </c>
      <c r="N22">
        <v>4</v>
      </c>
      <c r="O22">
        <v>4</v>
      </c>
    </row>
    <row r="23" spans="1:15">
      <c r="A23" s="1" t="s">
        <v>35</v>
      </c>
      <c r="B23" t="s">
        <v>505</v>
      </c>
      <c r="C23" t="s">
        <v>510</v>
      </c>
      <c r="D23">
        <f>HYPERLINK("http://www.reserveamerica.com/camping/big-basin-redwoods-sp/r/facilityDetails.do?contractCode=CA&amp;parkId=120009", "BIG BASIN REDWOODS SP")</f>
        <v>0</v>
      </c>
      <c r="E23">
        <v>37.1852778</v>
      </c>
      <c r="F23">
        <v>-122.2286111</v>
      </c>
      <c r="G23" t="s">
        <v>533</v>
      </c>
      <c r="I23" t="s">
        <v>505</v>
      </c>
      <c r="J23">
        <f>HYPERLINK("http://maps.google.com/maps?z=10&amp;t=m&amp;q=loc:37.1852778+-122.2286111", 32)</f>
        <v>0</v>
      </c>
      <c r="K23">
        <v>241</v>
      </c>
      <c r="L23">
        <v>0</v>
      </c>
      <c r="M23">
        <v>0</v>
      </c>
      <c r="N23">
        <v>0</v>
      </c>
      <c r="O23">
        <v>0</v>
      </c>
    </row>
    <row r="24" spans="1:15">
      <c r="A24" s="1" t="s">
        <v>36</v>
      </c>
      <c r="B24" t="s">
        <v>504</v>
      </c>
      <c r="C24" t="s">
        <v>509</v>
      </c>
      <c r="D24">
        <f>HYPERLINK("http://www.reserveamerica.com/camping/big-bend-group-yuba-river/r/facilityDetails.do?contractCode=NRSO&amp;parkId=75483", "BIG BEND GROUP (YUBA RIVER)")</f>
        <v>0</v>
      </c>
      <c r="E24">
        <v>39.3063889</v>
      </c>
      <c r="F24">
        <v>-120.5194444</v>
      </c>
      <c r="G24" t="s">
        <v>534</v>
      </c>
      <c r="I24" t="s">
        <v>505</v>
      </c>
      <c r="J24">
        <f>HYPERLINK("http://maps.google.com/maps?z=10&amp;t=m&amp;q=loc:39.3063889+-120.5194444", 250)</f>
        <v>0</v>
      </c>
      <c r="K24">
        <v>28</v>
      </c>
      <c r="L24">
        <v>0</v>
      </c>
      <c r="M24">
        <v>0</v>
      </c>
      <c r="N24">
        <v>0</v>
      </c>
      <c r="O24">
        <v>0</v>
      </c>
    </row>
    <row r="25" spans="1:15">
      <c r="A25" s="1" t="s">
        <v>37</v>
      </c>
      <c r="B25" t="s">
        <v>504</v>
      </c>
      <c r="C25" t="s">
        <v>509</v>
      </c>
      <c r="D25">
        <f>HYPERLINK("http://www.reserveamerica.com/camping/big-cove/r/facilityDetails.do?contractCode=NRSO&amp;parkId=71607", "BIG COVE")</f>
        <v>0</v>
      </c>
      <c r="E25">
        <v>39.9019444</v>
      </c>
      <c r="F25">
        <v>-120.1725</v>
      </c>
      <c r="G25" t="s">
        <v>535</v>
      </c>
      <c r="I25" t="s">
        <v>505</v>
      </c>
      <c r="J25">
        <f>HYPERLINK("http://maps.google.com/maps?z=10&amp;t=m&amp;q=loc:39.9019444+-120.1725", 323)</f>
        <v>0</v>
      </c>
      <c r="K25">
        <v>27</v>
      </c>
      <c r="L25">
        <v>0</v>
      </c>
      <c r="M25">
        <v>0</v>
      </c>
      <c r="N25">
        <v>0</v>
      </c>
      <c r="O25">
        <v>0</v>
      </c>
    </row>
    <row r="26" spans="1:15">
      <c r="A26" s="1" t="s">
        <v>38</v>
      </c>
      <c r="B26" t="s">
        <v>504</v>
      </c>
      <c r="C26" t="s">
        <v>509</v>
      </c>
      <c r="D26">
        <f>HYPERLINK("http://www.reserveamerica.com/camping/big-meadow-stanislaus-natl-fs/r/facilityDetails.do?contractCode=NRSO&amp;parkId=70551", "BIG MEADOW STANISLAUS NATL FS")</f>
        <v>0</v>
      </c>
      <c r="E26">
        <v>38.4163889</v>
      </c>
      <c r="F26">
        <v>-120.105</v>
      </c>
      <c r="G26" t="s">
        <v>536</v>
      </c>
      <c r="I26" t="s">
        <v>505</v>
      </c>
      <c r="J26">
        <f>HYPERLINK("http://maps.google.com/maps?z=10&amp;t=m&amp;q=loc:38.4163889+-120.105", 198)</f>
        <v>0</v>
      </c>
      <c r="K26">
        <v>52</v>
      </c>
      <c r="L26">
        <v>0</v>
      </c>
      <c r="M26">
        <v>0</v>
      </c>
      <c r="N26">
        <v>0</v>
      </c>
      <c r="O26">
        <v>0</v>
      </c>
    </row>
    <row r="27" spans="1:15">
      <c r="A27" s="1" t="s">
        <v>39</v>
      </c>
      <c r="B27" t="s">
        <v>504</v>
      </c>
      <c r="C27" t="s">
        <v>509</v>
      </c>
      <c r="D27">
        <f>HYPERLINK("http://www.reserveamerica.com/camping/big-pine-canyon/r/facilityDetails.do?contractCode=NRSO&amp;parkId=70518", "BIG PINE CANYON")</f>
        <v>0</v>
      </c>
      <c r="E27">
        <v>37.1283333</v>
      </c>
      <c r="F27">
        <v>-118.4222222</v>
      </c>
      <c r="G27" t="s">
        <v>537</v>
      </c>
      <c r="I27" t="s">
        <v>505</v>
      </c>
      <c r="J27">
        <f>HYPERLINK("http://maps.google.com/maps?z=10&amp;t=m&amp;q=loc:37.1283333+-118.4222222", 309)</f>
        <v>0</v>
      </c>
      <c r="K27">
        <v>93</v>
      </c>
      <c r="L27">
        <v>0</v>
      </c>
      <c r="M27">
        <v>0</v>
      </c>
      <c r="N27">
        <v>0</v>
      </c>
      <c r="O27">
        <v>0</v>
      </c>
    </row>
    <row r="28" spans="1:15">
      <c r="A28" s="1" t="s">
        <v>40</v>
      </c>
      <c r="B28" t="s">
        <v>504</v>
      </c>
      <c r="C28" t="s">
        <v>509</v>
      </c>
      <c r="D28">
        <f>HYPERLINK("http://www.reserveamerica.com/camping/big-pine-creek-campground/r/facilityDetails.do?contractCode=NRSO&amp;parkId=70617", "BIG PINE CREEK CAMPGROUND")</f>
        <v>0</v>
      </c>
      <c r="E28">
        <v>37.1258333</v>
      </c>
      <c r="F28">
        <v>-118.4325</v>
      </c>
      <c r="G28" t="s">
        <v>538</v>
      </c>
      <c r="I28" t="s">
        <v>505</v>
      </c>
      <c r="J28">
        <f>HYPERLINK("http://maps.google.com/maps?z=10&amp;t=m&amp;q=loc:37.1258333+-118.4325", 308)</f>
        <v>0</v>
      </c>
      <c r="K28">
        <v>93</v>
      </c>
      <c r="L28">
        <v>0</v>
      </c>
      <c r="M28">
        <v>0</v>
      </c>
      <c r="N28">
        <v>0</v>
      </c>
      <c r="O28">
        <v>0</v>
      </c>
    </row>
    <row r="29" spans="1:15">
      <c r="A29" s="1" t="s">
        <v>41</v>
      </c>
      <c r="B29" t="s">
        <v>504</v>
      </c>
      <c r="C29" t="s">
        <v>509</v>
      </c>
      <c r="D29">
        <f>HYPERLINK("http://www.reserveamerica.com/camping/big-silver-group/r/facilityDetails.do?contractCode=NRSO&amp;parkId=73627", "BIG SILVER GROUP")</f>
        <v>0</v>
      </c>
      <c r="E29">
        <v>38.8791667</v>
      </c>
      <c r="F29">
        <v>-120.3625</v>
      </c>
      <c r="G29" t="s">
        <v>539</v>
      </c>
      <c r="I29" t="s">
        <v>505</v>
      </c>
      <c r="J29">
        <f>HYPERLINK("http://maps.google.com/maps?z=10&amp;t=m&amp;q=loc:38.8791667+-120.3625", 218)</f>
        <v>0</v>
      </c>
      <c r="K29">
        <v>37</v>
      </c>
      <c r="L29">
        <v>0</v>
      </c>
      <c r="M29">
        <v>0</v>
      </c>
      <c r="N29">
        <v>0</v>
      </c>
      <c r="O29">
        <v>0</v>
      </c>
    </row>
    <row r="30" spans="1:15">
      <c r="A30" s="1" t="s">
        <v>42</v>
      </c>
      <c r="B30" t="s">
        <v>504</v>
      </c>
      <c r="C30" t="s">
        <v>509</v>
      </c>
      <c r="D30">
        <f>HYPERLINK("http://www.reserveamerica.com/camping/bishop-park-group/r/facilityDetails.do?contractCode=NRSO&amp;parkId=70519", "BISHOP PARK GROUP")</f>
        <v>0</v>
      </c>
      <c r="E30">
        <v>37.2438889</v>
      </c>
      <c r="F30">
        <v>-118.5933333</v>
      </c>
      <c r="G30" t="s">
        <v>540</v>
      </c>
      <c r="I30" t="s">
        <v>505</v>
      </c>
      <c r="J30">
        <f>HYPERLINK("http://maps.google.com/maps?z=10&amp;t=m&amp;q=loc:37.2438889+-118.5933333", 293)</f>
        <v>0</v>
      </c>
      <c r="K30">
        <v>90</v>
      </c>
      <c r="L30">
        <v>0</v>
      </c>
      <c r="M30">
        <v>0</v>
      </c>
      <c r="N30">
        <v>0</v>
      </c>
      <c r="O30">
        <v>0</v>
      </c>
    </row>
    <row r="31" spans="1:15">
      <c r="A31" s="1" t="s">
        <v>43</v>
      </c>
      <c r="B31" t="s">
        <v>506</v>
      </c>
      <c r="C31" t="s">
        <v>511</v>
      </c>
      <c r="D31">
        <f>HYPERLINK("http://www.reserveamerica.com/camping/black-diamond-mines-regional-preserve/r/facilityDetails.do?contractCode=EB&amp;parkId=110452", "Black Diamond Mines Regional Preserve")</f>
        <v>0</v>
      </c>
      <c r="E31">
        <v>37.9583333</v>
      </c>
      <c r="F31">
        <v>-37121.8630556</v>
      </c>
      <c r="G31" t="s">
        <v>541</v>
      </c>
      <c r="I31" t="s">
        <v>505</v>
      </c>
      <c r="J31">
        <f>HYPERLINK("http://maps.google.com/maps?z=10&amp;t=m&amp;q=loc:37.9583333+-37121.8630556", 6803)</f>
        <v>0</v>
      </c>
      <c r="K31">
        <v>62</v>
      </c>
      <c r="L31">
        <v>0</v>
      </c>
      <c r="M31">
        <v>0</v>
      </c>
      <c r="N31">
        <v>0</v>
      </c>
      <c r="O31">
        <v>0</v>
      </c>
    </row>
    <row r="32" spans="1:15">
      <c r="A32" s="1" t="s">
        <v>44</v>
      </c>
      <c r="B32" t="s">
        <v>507</v>
      </c>
      <c r="C32" t="s">
        <v>511</v>
      </c>
      <c r="D32">
        <f>HYPERLINK("http://www.reserveamerica.com/camping/black-jack-campground/r/facilityDetails.do?contractCode=CTLN&amp;parkId=940023", "BLACK JACK CAMPGROUND")</f>
        <v>0</v>
      </c>
      <c r="E32">
        <v>33.3858333</v>
      </c>
      <c r="F32">
        <v>-118.4061111</v>
      </c>
      <c r="G32" t="s">
        <v>542</v>
      </c>
      <c r="I32" t="s">
        <v>505</v>
      </c>
      <c r="J32">
        <f>HYPERLINK("http://maps.google.com/maps?z=10&amp;t=m&amp;q=loc:33.3858333+-118.4061111", 540)</f>
        <v>0</v>
      </c>
      <c r="K32">
        <v>143</v>
      </c>
      <c r="L32">
        <v>8</v>
      </c>
      <c r="M32">
        <v>0</v>
      </c>
      <c r="N32">
        <v>8</v>
      </c>
      <c r="O32">
        <v>8</v>
      </c>
    </row>
    <row r="33" spans="1:15">
      <c r="A33" s="1" t="s">
        <v>45</v>
      </c>
      <c r="B33" t="s">
        <v>504</v>
      </c>
      <c r="C33" t="s">
        <v>509</v>
      </c>
      <c r="D33">
        <f>HYPERLINK("http://www.reserveamerica.com/camping/black-mountain-san-bernardino/r/facilityDetails.do?contractCode=NRSO&amp;parkId=70236", "BLACK MOUNTAIN (SAN BERNARDINO)")</f>
        <v>0</v>
      </c>
      <c r="E33">
        <v>33.8341667</v>
      </c>
      <c r="F33">
        <v>-116.7388889</v>
      </c>
      <c r="G33" t="s">
        <v>543</v>
      </c>
      <c r="I33" t="s">
        <v>505</v>
      </c>
      <c r="J33">
        <f>HYPERLINK("http://maps.google.com/maps?z=10&amp;t=m&amp;q=loc:33.8341667+-116.7388889", 607)</f>
        <v>0</v>
      </c>
      <c r="K33">
        <v>128</v>
      </c>
      <c r="L33">
        <v>0</v>
      </c>
      <c r="M33">
        <v>0</v>
      </c>
      <c r="N33">
        <v>0</v>
      </c>
      <c r="O33">
        <v>0</v>
      </c>
    </row>
    <row r="34" spans="1:15">
      <c r="A34" s="1" t="s">
        <v>46</v>
      </c>
      <c r="B34" t="s">
        <v>504</v>
      </c>
      <c r="C34" t="s">
        <v>509</v>
      </c>
      <c r="D34">
        <f>HYPERLINK("http://www.reserveamerica.com/camping/black-mountain-lookout/r/facilityDetails.do?contractCode=NRSO&amp;parkId=72306", "BLACK MOUNTAIN LOOKOUT")</f>
        <v>0</v>
      </c>
      <c r="E34">
        <v>40.1152778</v>
      </c>
      <c r="F34">
        <v>-120.3211111</v>
      </c>
      <c r="G34" t="s">
        <v>544</v>
      </c>
      <c r="I34" t="s">
        <v>505</v>
      </c>
      <c r="J34">
        <f>HYPERLINK("http://maps.google.com/maps?z=10&amp;t=m&amp;q=loc:40.1152778+-120.3211111", 338)</f>
        <v>0</v>
      </c>
      <c r="K34">
        <v>23</v>
      </c>
      <c r="L34">
        <v>0</v>
      </c>
      <c r="M34">
        <v>0</v>
      </c>
      <c r="N34">
        <v>0</v>
      </c>
      <c r="O34">
        <v>0</v>
      </c>
    </row>
    <row r="35" spans="1:15">
      <c r="A35" s="1" t="s">
        <v>47</v>
      </c>
      <c r="B35" t="s">
        <v>504</v>
      </c>
      <c r="C35" t="s">
        <v>509</v>
      </c>
      <c r="D35">
        <f>HYPERLINK("http://www.reserveamerica.com/camping/black-oak/r/facilityDetails.do?contractCode=NRSO&amp;parkId=70237", "BLACK OAK")</f>
        <v>0</v>
      </c>
      <c r="E35">
        <v>38.9041667</v>
      </c>
      <c r="F35">
        <v>-120.5875</v>
      </c>
      <c r="G35" t="s">
        <v>545</v>
      </c>
      <c r="I35" t="s">
        <v>505</v>
      </c>
      <c r="J35">
        <f>HYPERLINK("http://maps.google.com/maps?z=10&amp;t=m&amp;q=loc:38.9041667+-120.5875", 209)</f>
        <v>0</v>
      </c>
      <c r="K35">
        <v>32</v>
      </c>
      <c r="L35">
        <v>2</v>
      </c>
      <c r="M35">
        <v>0</v>
      </c>
      <c r="N35">
        <v>2</v>
      </c>
      <c r="O35">
        <v>2</v>
      </c>
    </row>
    <row r="36" spans="1:15">
      <c r="A36" s="1" t="s">
        <v>48</v>
      </c>
      <c r="B36" t="s">
        <v>504</v>
      </c>
      <c r="C36" t="s">
        <v>509</v>
      </c>
      <c r="D36">
        <f>HYPERLINK("http://www.reserveamerica.com/camping/black-rock-campground/r/facilityDetails.do?contractCode=NRSO&amp;parkId=70953", "BLACK ROCK CAMPGROUND")</f>
        <v>0</v>
      </c>
      <c r="E36">
        <v>34.0716667</v>
      </c>
      <c r="F36">
        <v>-116.3891667</v>
      </c>
      <c r="G36" t="s">
        <v>546</v>
      </c>
      <c r="I36" t="s">
        <v>505</v>
      </c>
      <c r="J36">
        <f>HYPERLINK("http://maps.google.com/maps?z=10&amp;t=m&amp;q=loc:34.0716667+-116.3891667", 615)</f>
        <v>0</v>
      </c>
      <c r="K36">
        <v>124</v>
      </c>
      <c r="L36">
        <v>0</v>
      </c>
      <c r="M36">
        <v>0</v>
      </c>
      <c r="N36">
        <v>0</v>
      </c>
      <c r="O36">
        <v>0</v>
      </c>
    </row>
    <row r="37" spans="1:15">
      <c r="A37" s="1" t="s">
        <v>49</v>
      </c>
      <c r="B37" t="s">
        <v>504</v>
      </c>
      <c r="C37" t="s">
        <v>509</v>
      </c>
      <c r="D37">
        <f>HYPERLINK("http://www.reserveamerica.com/camping/bluff-mesa-group-camp/r/facilityDetails.do?contractCode=NRSO&amp;parkId=70169", "BLUFF MESA GROUP CAMP")</f>
        <v>0</v>
      </c>
      <c r="E37">
        <v>34.2233333</v>
      </c>
      <c r="F37">
        <v>-116.975</v>
      </c>
      <c r="G37" t="s">
        <v>547</v>
      </c>
      <c r="I37" t="s">
        <v>505</v>
      </c>
      <c r="J37">
        <f>HYPERLINK("http://maps.google.com/maps?z=10&amp;t=m&amp;q=loc:34.2233333+-116.975", 562)</f>
        <v>0</v>
      </c>
      <c r="K37">
        <v>126</v>
      </c>
      <c r="L37">
        <v>0</v>
      </c>
      <c r="M37">
        <v>0</v>
      </c>
      <c r="N37">
        <v>0</v>
      </c>
      <c r="O37">
        <v>0</v>
      </c>
    </row>
    <row r="38" spans="1:15">
      <c r="A38" s="1" t="s">
        <v>50</v>
      </c>
      <c r="B38" t="s">
        <v>504</v>
      </c>
      <c r="C38" t="s">
        <v>509</v>
      </c>
      <c r="D38">
        <f>HYPERLINK("http://www.reserveamerica.com/camping/boatin-sites-lake-sonoma/r/facilityDetails.do?contractCode=NRSO&amp;parkId=73091", "BOAT-IN SITES (LAKE SONOMA)")</f>
        <v>0</v>
      </c>
      <c r="E38">
        <v>38.7083333</v>
      </c>
      <c r="F38">
        <v>-123</v>
      </c>
      <c r="G38" t="s">
        <v>548</v>
      </c>
      <c r="I38" t="s">
        <v>505</v>
      </c>
      <c r="J38">
        <f>HYPERLINK("http://maps.google.com/maps?z=10&amp;t=m&amp;q=loc:38.7083333+-123.0", 180)</f>
        <v>0</v>
      </c>
      <c r="K38">
        <v>328</v>
      </c>
      <c r="L38">
        <v>71</v>
      </c>
      <c r="M38">
        <v>0</v>
      </c>
      <c r="N38">
        <v>71</v>
      </c>
      <c r="O38">
        <v>71</v>
      </c>
    </row>
    <row r="39" spans="1:15">
      <c r="A39" s="1" t="s">
        <v>51</v>
      </c>
      <c r="B39" t="s">
        <v>504</v>
      </c>
      <c r="C39" t="s">
        <v>509</v>
      </c>
      <c r="D39">
        <f>HYPERLINK("http://www.reserveamerica.com/camping/boca-campground/r/facilityDetails.do?contractCode=NRSO&amp;parkId=74128", "BOCA CAMPGROUND")</f>
        <v>0</v>
      </c>
      <c r="E39">
        <v>39.3941667</v>
      </c>
      <c r="F39">
        <v>-120.1055556</v>
      </c>
      <c r="G39" t="s">
        <v>549</v>
      </c>
      <c r="I39" t="s">
        <v>505</v>
      </c>
      <c r="J39">
        <f>HYPERLINK("http://maps.google.com/maps?z=10&amp;t=m&amp;q=loc:39.3941667+-120.1055556", 278)</f>
        <v>0</v>
      </c>
      <c r="K39">
        <v>33</v>
      </c>
      <c r="L39">
        <v>19</v>
      </c>
      <c r="M39">
        <v>0</v>
      </c>
      <c r="N39">
        <v>19</v>
      </c>
      <c r="O39">
        <v>19</v>
      </c>
    </row>
    <row r="40" spans="1:15">
      <c r="A40" s="1" t="s">
        <v>52</v>
      </c>
      <c r="B40" t="s">
        <v>504</v>
      </c>
      <c r="C40" t="s">
        <v>509</v>
      </c>
      <c r="D40">
        <f>HYPERLINK("http://www.reserveamerica.com/camping/boca-rest-campground/r/facilityDetails.do?contractCode=NRSO&amp;parkId=74129", "BOCA REST CAMPGROUND")</f>
        <v>0</v>
      </c>
      <c r="E40">
        <v>39.4191667</v>
      </c>
      <c r="F40">
        <v>-120.0863889</v>
      </c>
      <c r="G40" t="s">
        <v>550</v>
      </c>
      <c r="I40" t="s">
        <v>505</v>
      </c>
      <c r="J40">
        <f>HYPERLINK("http://maps.google.com/maps?z=10&amp;t=m&amp;q=loc:39.4191667+-120.0863889", 281)</f>
        <v>0</v>
      </c>
      <c r="K40">
        <v>33</v>
      </c>
      <c r="L40">
        <v>33</v>
      </c>
      <c r="M40">
        <v>0</v>
      </c>
      <c r="N40">
        <v>33</v>
      </c>
      <c r="O40">
        <v>33</v>
      </c>
    </row>
    <row r="41" spans="1:15">
      <c r="A41" s="1" t="s">
        <v>53</v>
      </c>
      <c r="B41" t="s">
        <v>504</v>
      </c>
      <c r="C41" t="s">
        <v>509</v>
      </c>
      <c r="D41">
        <f>HYPERLINK("http://www.reserveamerica.com/camping/boca-spring/r/facilityDetails.do?contractCode=NRSO&amp;parkId=74130", "BOCA SPRING")</f>
        <v>0</v>
      </c>
      <c r="E41">
        <v>39.4225</v>
      </c>
      <c r="F41">
        <v>-120.0786111</v>
      </c>
      <c r="G41" t="s">
        <v>551</v>
      </c>
      <c r="I41" t="s">
        <v>505</v>
      </c>
      <c r="J41">
        <f>HYPERLINK("http://maps.google.com/maps?z=10&amp;t=m&amp;q=loc:39.4225+-120.0786111", 282)</f>
        <v>0</v>
      </c>
      <c r="K41">
        <v>33</v>
      </c>
      <c r="L41">
        <v>13</v>
      </c>
      <c r="M41">
        <v>0</v>
      </c>
      <c r="N41">
        <v>13</v>
      </c>
      <c r="O41">
        <v>13</v>
      </c>
    </row>
    <row r="42" spans="1:15">
      <c r="A42" s="1" t="s">
        <v>54</v>
      </c>
      <c r="B42" t="s">
        <v>505</v>
      </c>
      <c r="C42" t="s">
        <v>510</v>
      </c>
      <c r="D42">
        <f>HYPERLINK("http://www.reserveamerica.com/camping/bothenapa-valley-sp/r/facilityDetails.do?contractCode=CA&amp;parkId=120011", "BOTHE-NAPA VALLEY SP")</f>
        <v>0</v>
      </c>
      <c r="E42">
        <v>38.5458333</v>
      </c>
      <c r="F42">
        <v>-122.5344444</v>
      </c>
      <c r="G42" t="s">
        <v>552</v>
      </c>
      <c r="I42" t="s">
        <v>505</v>
      </c>
      <c r="J42">
        <f>HYPERLINK("http://maps.google.com/maps?z=10&amp;t=m&amp;q=loc:38.5458333+-122.5344444", 146)</f>
        <v>0</v>
      </c>
      <c r="K42">
        <v>338</v>
      </c>
      <c r="L42">
        <v>0</v>
      </c>
      <c r="M42">
        <v>0</v>
      </c>
      <c r="N42">
        <v>0</v>
      </c>
      <c r="O42">
        <v>0</v>
      </c>
    </row>
    <row r="43" spans="1:15">
      <c r="A43" s="1" t="s">
        <v>55</v>
      </c>
      <c r="B43" t="s">
        <v>504</v>
      </c>
      <c r="C43" t="s">
        <v>509</v>
      </c>
      <c r="D43">
        <f>HYPERLINK("http://www.reserveamerica.com/camping/boulder-basin/r/facilityDetails.do?contractCode=NRSO&amp;parkId=70240", "BOULDER BASIN")</f>
        <v>0</v>
      </c>
      <c r="E43">
        <v>33.8263889</v>
      </c>
      <c r="F43">
        <v>-116.7538889</v>
      </c>
      <c r="G43" t="s">
        <v>553</v>
      </c>
      <c r="I43" t="s">
        <v>505</v>
      </c>
      <c r="J43">
        <f>HYPERLINK("http://maps.google.com/maps?z=10&amp;t=m&amp;q=loc:33.8263889+-116.7538889", 606)</f>
        <v>0</v>
      </c>
      <c r="K43">
        <v>128</v>
      </c>
      <c r="L43">
        <v>10</v>
      </c>
      <c r="M43">
        <v>0</v>
      </c>
      <c r="N43">
        <v>10</v>
      </c>
      <c r="O43">
        <v>10</v>
      </c>
    </row>
    <row r="44" spans="1:15">
      <c r="A44" s="1" t="s">
        <v>56</v>
      </c>
      <c r="B44" t="s">
        <v>504</v>
      </c>
      <c r="C44" t="s">
        <v>509</v>
      </c>
      <c r="D44">
        <f>HYPERLINK("http://www.reserveamerica.com/camping/boulder-creek-ca/r/facilityDetails.do?contractCode=NRSO&amp;parkId=71725", "BOULDER CREEK (CA)")</f>
        <v>0</v>
      </c>
      <c r="E44">
        <v>40.1833333</v>
      </c>
      <c r="F44">
        <v>-120.6119444</v>
      </c>
      <c r="G44" t="s">
        <v>554</v>
      </c>
      <c r="I44" t="s">
        <v>505</v>
      </c>
      <c r="J44">
        <f>HYPERLINK("http://maps.google.com/maps?z=10&amp;t=m&amp;q=loc:40.1833333+-120.6119444", 336)</f>
        <v>0</v>
      </c>
      <c r="K44">
        <v>19</v>
      </c>
      <c r="L44">
        <v>0</v>
      </c>
      <c r="M44">
        <v>0</v>
      </c>
      <c r="N44">
        <v>0</v>
      </c>
      <c r="O44">
        <v>0</v>
      </c>
    </row>
    <row r="45" spans="1:15">
      <c r="A45" s="1" t="s">
        <v>57</v>
      </c>
      <c r="B45" t="s">
        <v>504</v>
      </c>
      <c r="C45" t="s">
        <v>509</v>
      </c>
      <c r="D45">
        <f>HYPERLINK("http://www.reserveamerica.com/camping/boulder-group-camp/r/facilityDetails.do?contractCode=NRSO&amp;parkId=70170", "BOULDER GROUP CAMP")</f>
        <v>0</v>
      </c>
      <c r="E45">
        <v>34.2233333</v>
      </c>
      <c r="F45">
        <v>-116.975</v>
      </c>
      <c r="G45" t="s">
        <v>555</v>
      </c>
      <c r="I45" t="s">
        <v>505</v>
      </c>
      <c r="J45">
        <f>HYPERLINK("http://maps.google.com/maps?z=10&amp;t=m&amp;q=loc:34.2233333+-116.975", 562)</f>
        <v>0</v>
      </c>
      <c r="K45">
        <v>126</v>
      </c>
      <c r="L45">
        <v>0</v>
      </c>
      <c r="M45">
        <v>0</v>
      </c>
      <c r="N45">
        <v>0</v>
      </c>
      <c r="O45">
        <v>0</v>
      </c>
    </row>
    <row r="46" spans="1:15">
      <c r="A46" s="1" t="s">
        <v>58</v>
      </c>
      <c r="B46" t="s">
        <v>504</v>
      </c>
      <c r="C46" t="s">
        <v>509</v>
      </c>
      <c r="D46">
        <f>HYPERLINK("http://www.reserveamerica.com/camping/boulder-gulch/r/facilityDetails.do?contractCode=NRSO&amp;parkId=71569", "BOULDER GULCH")</f>
        <v>0</v>
      </c>
      <c r="E46">
        <v>35.6725</v>
      </c>
      <c r="F46">
        <v>-118.4691667</v>
      </c>
      <c r="G46" t="s">
        <v>556</v>
      </c>
      <c r="I46" t="s">
        <v>505</v>
      </c>
      <c r="J46">
        <f>HYPERLINK("http://maps.google.com/maps?z=10&amp;t=m&amp;q=loc:35.6725+-118.4691667", 357)</f>
        <v>0</v>
      </c>
      <c r="K46">
        <v>119</v>
      </c>
      <c r="L46">
        <v>58</v>
      </c>
      <c r="M46">
        <v>0</v>
      </c>
      <c r="N46">
        <v>58</v>
      </c>
      <c r="O46">
        <v>58</v>
      </c>
    </row>
    <row r="47" spans="1:15">
      <c r="A47" s="1" t="s">
        <v>59</v>
      </c>
      <c r="B47" t="s">
        <v>504</v>
      </c>
      <c r="C47" t="s">
        <v>509</v>
      </c>
      <c r="D47">
        <f>HYPERLINK("http://www.reserveamerica.com/camping/boulder-oaks-eqst/r/facilityDetails.do?contractCode=NRSO&amp;parkId=70146", "BOULDER OAKS EQST")</f>
        <v>0</v>
      </c>
      <c r="E47">
        <v>32.7302778</v>
      </c>
      <c r="F47">
        <v>-116.4825</v>
      </c>
      <c r="G47" t="s">
        <v>557</v>
      </c>
      <c r="I47" t="s">
        <v>505</v>
      </c>
      <c r="J47">
        <f>HYPERLINK("http://maps.google.com/maps?z=10&amp;t=m&amp;q=loc:32.7302778+-116.4825", 710)</f>
        <v>0</v>
      </c>
      <c r="K47">
        <v>134</v>
      </c>
      <c r="L47">
        <v>0</v>
      </c>
      <c r="M47">
        <v>0</v>
      </c>
      <c r="N47">
        <v>0</v>
      </c>
      <c r="O47">
        <v>0</v>
      </c>
    </row>
    <row r="48" spans="1:15">
      <c r="A48" s="1" t="s">
        <v>60</v>
      </c>
      <c r="B48" t="s">
        <v>504</v>
      </c>
      <c r="C48" t="s">
        <v>509</v>
      </c>
      <c r="D48">
        <f>HYPERLINK("http://www.reserveamerica.com/camping/boyington-mill/r/facilityDetails.do?contractCode=NRSO&amp;parkId=74127", "BOYINGTON MILL")</f>
        <v>0</v>
      </c>
      <c r="E48">
        <v>39.4375</v>
      </c>
      <c r="F48">
        <v>-120.0908333</v>
      </c>
      <c r="G48" t="s">
        <v>558</v>
      </c>
      <c r="I48" t="s">
        <v>505</v>
      </c>
      <c r="J48">
        <f>HYPERLINK("http://maps.google.com/maps?z=10&amp;t=m&amp;q=loc:39.4375+-120.0908333", 282)</f>
        <v>0</v>
      </c>
      <c r="K48">
        <v>33</v>
      </c>
      <c r="L48">
        <v>9</v>
      </c>
      <c r="M48">
        <v>0</v>
      </c>
      <c r="N48">
        <v>9</v>
      </c>
      <c r="O48">
        <v>9</v>
      </c>
    </row>
    <row r="49" spans="1:15">
      <c r="A49" s="1" t="s">
        <v>61</v>
      </c>
      <c r="B49" t="s">
        <v>505</v>
      </c>
      <c r="C49" t="s">
        <v>510</v>
      </c>
      <c r="D49">
        <f>HYPERLINK("http://www.reserveamerica.com/camping/brannan-island-sra/r/facilityDetails.do?contractCode=CA&amp;parkId=120012", "BRANNAN ISLAND SRA")</f>
        <v>0</v>
      </c>
      <c r="E49">
        <v>38.1104833</v>
      </c>
      <c r="F49">
        <v>-121.6970167</v>
      </c>
      <c r="G49" t="s">
        <v>559</v>
      </c>
      <c r="I49" t="s">
        <v>505</v>
      </c>
      <c r="J49">
        <f>HYPERLINK("http://maps.google.com/maps?z=10&amp;t=m&amp;q=loc:38.1104833+-121.6970167", 88)</f>
        <v>0</v>
      </c>
      <c r="K49">
        <v>11</v>
      </c>
      <c r="L49">
        <v>98</v>
      </c>
      <c r="M49">
        <v>10</v>
      </c>
      <c r="N49">
        <v>88</v>
      </c>
      <c r="O49">
        <v>88</v>
      </c>
    </row>
    <row r="50" spans="1:15">
      <c r="A50" s="1" t="s">
        <v>62</v>
      </c>
      <c r="B50" t="s">
        <v>504</v>
      </c>
      <c r="C50" t="s">
        <v>509</v>
      </c>
      <c r="D50">
        <f>HYPERLINK("http://www.reserveamerica.com/camping/buckeye-flat-campground/r/facilityDetails.do?contractCode=NRSO&amp;parkId=72462", "BUCKEYE FLAT CAMPGROUND")</f>
        <v>0</v>
      </c>
      <c r="E50">
        <v>36.5210556</v>
      </c>
      <c r="F50">
        <v>-118.7625972</v>
      </c>
      <c r="G50" t="s">
        <v>560</v>
      </c>
      <c r="H50" t="s">
        <v>997</v>
      </c>
      <c r="I50" t="s">
        <v>505</v>
      </c>
      <c r="J50">
        <f>HYPERLINK("http://maps.google.com/maps?z=10&amp;t=m&amp;q=loc:36.5210556+-118.7625972", 293)</f>
        <v>0</v>
      </c>
      <c r="K50">
        <v>106</v>
      </c>
      <c r="L50">
        <v>0</v>
      </c>
      <c r="M50">
        <v>0</v>
      </c>
      <c r="N50">
        <v>0</v>
      </c>
      <c r="O50">
        <v>0</v>
      </c>
    </row>
    <row r="51" spans="1:15">
      <c r="A51" s="1" t="s">
        <v>63</v>
      </c>
      <c r="B51" t="s">
        <v>504</v>
      </c>
      <c r="C51" t="s">
        <v>509</v>
      </c>
      <c r="D51">
        <f>HYPERLINK("http://www.reserveamerica.com/camping/buckhorn/r/facilityDetails.do?contractCode=NRSO&amp;parkId=73102", "BUCKHORN")</f>
        <v>0</v>
      </c>
      <c r="E51">
        <v>39.8120972</v>
      </c>
      <c r="F51">
        <v>-122.3668389</v>
      </c>
      <c r="G51" t="s">
        <v>561</v>
      </c>
      <c r="I51" t="s">
        <v>505</v>
      </c>
      <c r="J51">
        <f>HYPERLINK("http://maps.google.com/maps?z=10&amp;t=m&amp;q=loc:39.8120972+-122.3668389", 278)</f>
        <v>0</v>
      </c>
      <c r="K51">
        <v>351</v>
      </c>
      <c r="L51">
        <v>34</v>
      </c>
      <c r="M51">
        <v>0</v>
      </c>
      <c r="N51">
        <v>34</v>
      </c>
      <c r="O51">
        <v>34</v>
      </c>
    </row>
    <row r="52" spans="1:15">
      <c r="A52" s="1" t="s">
        <v>64</v>
      </c>
      <c r="B52" t="s">
        <v>504</v>
      </c>
      <c r="C52" t="s">
        <v>509</v>
      </c>
      <c r="D52">
        <f>HYPERLINK("http://www.reserveamerica.com/camping/burnt-rancheria/r/facilityDetails.do?contractCode=NRSO&amp;parkId=70575", "BURNT RANCHERIA")</f>
        <v>0</v>
      </c>
      <c r="E52">
        <v>32.8613889</v>
      </c>
      <c r="F52">
        <v>-116.4161111</v>
      </c>
      <c r="G52" t="s">
        <v>562</v>
      </c>
      <c r="I52" t="s">
        <v>505</v>
      </c>
      <c r="J52">
        <f>HYPERLINK("http://maps.google.com/maps?z=10&amp;t=m&amp;q=loc:32.8613889+-116.4161111", 703)</f>
        <v>0</v>
      </c>
      <c r="K52">
        <v>133</v>
      </c>
      <c r="L52">
        <v>33</v>
      </c>
      <c r="M52">
        <v>1</v>
      </c>
      <c r="N52">
        <v>32</v>
      </c>
      <c r="O52">
        <v>32</v>
      </c>
    </row>
    <row r="53" spans="1:15">
      <c r="A53" s="1" t="s">
        <v>65</v>
      </c>
      <c r="B53" t="s">
        <v>504</v>
      </c>
      <c r="C53" t="s">
        <v>509</v>
      </c>
      <c r="D53">
        <f>HYPERLINK("http://www.reserveamerica.com/camping/bushay-recreation-area/r/facilityDetails.do?contractCode=NRSO&amp;parkId=73100", "BUSHAY RECREATION AREA")</f>
        <v>0</v>
      </c>
      <c r="E53">
        <v>39.2350056</v>
      </c>
      <c r="F53">
        <v>-123.1659333</v>
      </c>
      <c r="G53" t="s">
        <v>563</v>
      </c>
      <c r="H53" t="s">
        <v>998</v>
      </c>
      <c r="I53" t="s">
        <v>505</v>
      </c>
      <c r="J53">
        <f>HYPERLINK("http://maps.google.com/maps?z=10&amp;t=m&amp;q=loc:39.2350056+-123.1659333", 238)</f>
        <v>0</v>
      </c>
      <c r="K53">
        <v>332</v>
      </c>
      <c r="L53">
        <v>100</v>
      </c>
      <c r="M53">
        <v>4</v>
      </c>
      <c r="N53">
        <v>96</v>
      </c>
      <c r="O53">
        <v>96</v>
      </c>
    </row>
    <row r="54" spans="1:15">
      <c r="A54" s="1" t="s">
        <v>66</v>
      </c>
      <c r="B54" t="s">
        <v>504</v>
      </c>
      <c r="C54" t="s">
        <v>509</v>
      </c>
      <c r="D54">
        <f>HYPERLINK("http://www.reserveamerica.com/camping/bushytail/r/facilityDetails.do?contractCode=NRSO&amp;parkId=70754", "BUSHYTAIL")</f>
        <v>0</v>
      </c>
      <c r="E54">
        <v>40.855</v>
      </c>
      <c r="F54">
        <v>-122.8188889</v>
      </c>
      <c r="G54" t="s">
        <v>564</v>
      </c>
      <c r="I54" t="s">
        <v>505</v>
      </c>
      <c r="J54">
        <f>HYPERLINK("http://maps.google.com/maps?z=10&amp;t=m&amp;q=loc:40.855+-122.8188889", 399)</f>
        <v>0</v>
      </c>
      <c r="K54">
        <v>348</v>
      </c>
      <c r="L54">
        <v>10</v>
      </c>
      <c r="M54">
        <v>0</v>
      </c>
      <c r="N54">
        <v>10</v>
      </c>
      <c r="O54">
        <v>10</v>
      </c>
    </row>
    <row r="55" spans="1:15">
      <c r="A55" s="1" t="s">
        <v>67</v>
      </c>
      <c r="B55" t="s">
        <v>505</v>
      </c>
      <c r="C55" t="s">
        <v>510</v>
      </c>
      <c r="D55">
        <f>HYPERLINK("http://www.reserveamerica.com/camping/butano-sp/r/facilityDetails.do?contractCode=CA&amp;parkId=120013", "BUTANO SP")</f>
        <v>0</v>
      </c>
      <c r="E55">
        <v>37.2227778</v>
      </c>
      <c r="F55">
        <v>-122.3022222</v>
      </c>
      <c r="G55" t="s">
        <v>565</v>
      </c>
      <c r="I55" t="s">
        <v>505</v>
      </c>
      <c r="J55">
        <f>HYPERLINK("http://maps.google.com/maps?z=10&amp;t=m&amp;q=loc:37.2227778+-122.3022222", 36)</f>
        <v>0</v>
      </c>
      <c r="K55">
        <v>251</v>
      </c>
      <c r="L55">
        <v>0</v>
      </c>
      <c r="M55">
        <v>0</v>
      </c>
      <c r="N55">
        <v>0</v>
      </c>
      <c r="O55">
        <v>0</v>
      </c>
    </row>
    <row r="56" spans="1:15">
      <c r="A56" s="1" t="s">
        <v>68</v>
      </c>
      <c r="B56" t="s">
        <v>504</v>
      </c>
      <c r="C56" t="s">
        <v>509</v>
      </c>
      <c r="D56">
        <f>HYPERLINK("http://www.reserveamerica.com/camping/butte-lake/r/facilityDetails.do?contractCode=NRSO&amp;parkId=74186", "BUTTE LAKE")</f>
        <v>0</v>
      </c>
      <c r="E56">
        <v>40.565</v>
      </c>
      <c r="F56">
        <v>-121.3052778</v>
      </c>
      <c r="G56" t="s">
        <v>566</v>
      </c>
      <c r="I56" t="s">
        <v>505</v>
      </c>
      <c r="J56">
        <f>HYPERLINK("http://maps.google.com/maps?z=10&amp;t=m&amp;q=loc:40.565+-121.3052778", 363)</f>
        <v>0</v>
      </c>
      <c r="K56">
        <v>8</v>
      </c>
      <c r="L56">
        <v>37</v>
      </c>
      <c r="M56">
        <v>0</v>
      </c>
      <c r="N56">
        <v>37</v>
      </c>
      <c r="O56">
        <v>37</v>
      </c>
    </row>
    <row r="57" spans="1:15">
      <c r="A57" s="1" t="s">
        <v>69</v>
      </c>
      <c r="B57" t="s">
        <v>504</v>
      </c>
      <c r="C57" t="s">
        <v>509</v>
      </c>
      <c r="E57">
        <v>40.565</v>
      </c>
      <c r="F57">
        <v>-121.3052778</v>
      </c>
      <c r="G57" t="s">
        <v>567</v>
      </c>
      <c r="I57" t="s">
        <v>505</v>
      </c>
      <c r="J57">
        <f>HYPERLINK("http://maps.google.com/maps?z=10&amp;t=m&amp;q=loc:40.565+-121.3052778", 363)</f>
        <v>0</v>
      </c>
      <c r="K57">
        <v>8</v>
      </c>
      <c r="L57">
        <v>0</v>
      </c>
      <c r="M57">
        <v>0</v>
      </c>
      <c r="N57">
        <v>0</v>
      </c>
      <c r="O57">
        <v>0</v>
      </c>
    </row>
    <row r="58" spans="1:15">
      <c r="A58" s="1" t="s">
        <v>70</v>
      </c>
      <c r="B58" t="s">
        <v>504</v>
      </c>
      <c r="C58" t="s">
        <v>509</v>
      </c>
      <c r="D58">
        <f>HYPERLINK("http://www.reserveamerica.com/camping/buttercup-group-camp/r/facilityDetails.do?contractCode=NRSO&amp;parkId=70171", "BUTTERCUP GROUP CAMP")</f>
        <v>0</v>
      </c>
      <c r="E58">
        <v>34.2352778</v>
      </c>
      <c r="F58">
        <v>-116.8802778</v>
      </c>
      <c r="G58" t="s">
        <v>568</v>
      </c>
      <c r="I58" t="s">
        <v>505</v>
      </c>
      <c r="J58">
        <f>HYPERLINK("http://maps.google.com/maps?z=10&amp;t=m&amp;q=loc:34.2352778+-116.8802778", 568)</f>
        <v>0</v>
      </c>
      <c r="K58">
        <v>125</v>
      </c>
      <c r="L58">
        <v>0</v>
      </c>
      <c r="M58">
        <v>0</v>
      </c>
      <c r="N58">
        <v>0</v>
      </c>
      <c r="O58">
        <v>0</v>
      </c>
    </row>
    <row r="59" spans="1:15">
      <c r="A59" s="1" t="s">
        <v>71</v>
      </c>
      <c r="B59" t="s">
        <v>504</v>
      </c>
      <c r="C59" t="s">
        <v>509</v>
      </c>
      <c r="D59">
        <f>HYPERLINK("http://www.reserveamerica.com/camping/calida/r/facilityDetails.do?contractCode=NRSO&amp;parkId=75428", "CAL-IDA")</f>
        <v>0</v>
      </c>
      <c r="E59">
        <v>39.52</v>
      </c>
      <c r="F59">
        <v>-120.9966667</v>
      </c>
      <c r="G59" t="s">
        <v>569</v>
      </c>
      <c r="I59" t="s">
        <v>505</v>
      </c>
      <c r="J59">
        <f>HYPERLINK("http://maps.google.com/maps?z=10&amp;t=m&amp;q=loc:39.52+-120.9966667", 256)</f>
        <v>0</v>
      </c>
      <c r="K59">
        <v>17</v>
      </c>
      <c r="L59">
        <v>11</v>
      </c>
      <c r="M59">
        <v>0</v>
      </c>
      <c r="N59">
        <v>11</v>
      </c>
      <c r="O59">
        <v>11</v>
      </c>
    </row>
    <row r="60" spans="1:15">
      <c r="A60" s="1" t="s">
        <v>72</v>
      </c>
      <c r="B60" t="s">
        <v>505</v>
      </c>
      <c r="C60" t="s">
        <v>510</v>
      </c>
      <c r="D60">
        <f>HYPERLINK("http://www.reserveamerica.com/camping/calaveras-big-trees-sp/r/facilityDetails.do?contractCode=CA&amp;parkId=120014", "CALAVERAS BIG TREES SP")</f>
        <v>0</v>
      </c>
      <c r="E60">
        <v>38.2719444</v>
      </c>
      <c r="F60">
        <v>-120.2866667</v>
      </c>
      <c r="G60" t="s">
        <v>570</v>
      </c>
      <c r="I60" t="s">
        <v>505</v>
      </c>
      <c r="J60">
        <f>HYPERLINK("http://maps.google.com/maps?z=10&amp;t=m&amp;q=loc:38.2719444+-120.2866667", 176)</f>
        <v>0</v>
      </c>
      <c r="K60">
        <v>53</v>
      </c>
      <c r="L60">
        <v>5</v>
      </c>
      <c r="M60">
        <v>5</v>
      </c>
      <c r="N60">
        <v>0</v>
      </c>
      <c r="O60">
        <v>0</v>
      </c>
    </row>
    <row r="61" spans="1:15">
      <c r="A61" s="1" t="s">
        <v>73</v>
      </c>
      <c r="B61" t="s">
        <v>504</v>
      </c>
      <c r="C61" t="s">
        <v>509</v>
      </c>
      <c r="D61">
        <f>HYPERLINK("http://www.reserveamerica.com/camping/camp-4-group-campground/r/facilityDetails.do?contractCode=NRSO&amp;parkId=72184", "CAMP 4 GROUP CAMPGROUND")</f>
        <v>0</v>
      </c>
      <c r="E61">
        <v>41.2338889</v>
      </c>
      <c r="F61">
        <v>-121.9838889</v>
      </c>
      <c r="G61" t="s">
        <v>571</v>
      </c>
      <c r="H61" t="s">
        <v>997</v>
      </c>
      <c r="I61" t="s">
        <v>505</v>
      </c>
      <c r="J61">
        <f>HYPERLINK("http://maps.google.com/maps?z=10&amp;t=m&amp;q=loc:41.2338889+-121.9838889", 434)</f>
        <v>0</v>
      </c>
      <c r="K61">
        <v>359</v>
      </c>
      <c r="L61">
        <v>0</v>
      </c>
      <c r="M61">
        <v>0</v>
      </c>
      <c r="N61">
        <v>0</v>
      </c>
      <c r="O61">
        <v>0</v>
      </c>
    </row>
    <row r="62" spans="1:15">
      <c r="A62" s="1" t="s">
        <v>74</v>
      </c>
      <c r="B62" t="s">
        <v>504</v>
      </c>
      <c r="C62" t="s">
        <v>509</v>
      </c>
      <c r="D62">
        <f>HYPERLINK("http://www.reserveamerica.com/camping/camp-9/r/facilityDetails.do?contractCode=NRSO&amp;parkId=73975", "CAMP 9")</f>
        <v>0</v>
      </c>
      <c r="E62">
        <v>35.6983333</v>
      </c>
      <c r="F62">
        <v>-118.4291667</v>
      </c>
      <c r="G62" t="s">
        <v>572</v>
      </c>
      <c r="I62" t="s">
        <v>505</v>
      </c>
      <c r="J62">
        <f>HYPERLINK("http://maps.google.com/maps?z=10&amp;t=m&amp;q=loc:35.6983333+-118.4291667", 359)</f>
        <v>0</v>
      </c>
      <c r="K62">
        <v>119</v>
      </c>
      <c r="L62">
        <v>11</v>
      </c>
      <c r="M62">
        <v>0</v>
      </c>
      <c r="N62">
        <v>11</v>
      </c>
      <c r="O62">
        <v>11</v>
      </c>
    </row>
    <row r="63" spans="1:15">
      <c r="A63" s="1" t="s">
        <v>75</v>
      </c>
      <c r="B63" t="s">
        <v>504</v>
      </c>
      <c r="C63" t="s">
        <v>509</v>
      </c>
      <c r="D63">
        <f>HYPERLINK("http://www.reserveamerica.com/camping/camp-three-campground/r/facilityDetails.do?contractCode=NRSO&amp;parkId=71677", "CAMP THREE CAMPGROUND")</f>
        <v>0</v>
      </c>
      <c r="E63">
        <v>35.8066667</v>
      </c>
      <c r="F63">
        <v>-118.4527778</v>
      </c>
      <c r="G63" t="s">
        <v>573</v>
      </c>
      <c r="I63" t="s">
        <v>505</v>
      </c>
      <c r="J63">
        <f>HYPERLINK("http://maps.google.com/maps?z=10&amp;t=m&amp;q=loc:35.8066667+-118.4527778", 351)</f>
        <v>0</v>
      </c>
      <c r="K63">
        <v>117</v>
      </c>
      <c r="L63">
        <v>28</v>
      </c>
      <c r="M63">
        <v>0</v>
      </c>
      <c r="N63">
        <v>28</v>
      </c>
      <c r="O63">
        <v>28</v>
      </c>
    </row>
    <row r="64" spans="1:15">
      <c r="A64" s="1" t="s">
        <v>76</v>
      </c>
      <c r="B64" t="s">
        <v>504</v>
      </c>
      <c r="C64" t="s">
        <v>509</v>
      </c>
      <c r="E64">
        <v>36.7872222</v>
      </c>
      <c r="F64">
        <v>-118.6652778</v>
      </c>
      <c r="G64" t="s">
        <v>574</v>
      </c>
      <c r="I64" t="s">
        <v>505</v>
      </c>
      <c r="J64">
        <f>HYPERLINK("http://maps.google.com/maps?z=10&amp;t=m&amp;q=loc:36.7872222+-118.6652778", 293)</f>
        <v>0</v>
      </c>
      <c r="K64">
        <v>100</v>
      </c>
      <c r="L64">
        <v>0</v>
      </c>
      <c r="M64">
        <v>0</v>
      </c>
      <c r="N64">
        <v>0</v>
      </c>
      <c r="O64">
        <v>0</v>
      </c>
    </row>
    <row r="65" spans="1:15">
      <c r="A65" s="1" t="s">
        <v>77</v>
      </c>
      <c r="B65" t="s">
        <v>504</v>
      </c>
      <c r="C65" t="s">
        <v>509</v>
      </c>
      <c r="D65">
        <f>HYPERLINK("http://www.reserveamerica.com/camping/capps-crossing/r/facilityDetails.do?contractCode=NRSO&amp;parkId=73937", "CAPPS CROSSING")</f>
        <v>0</v>
      </c>
      <c r="E65">
        <v>38.6511111</v>
      </c>
      <c r="F65">
        <v>-120.4061111</v>
      </c>
      <c r="G65" t="s">
        <v>575</v>
      </c>
      <c r="I65" t="s">
        <v>505</v>
      </c>
      <c r="J65">
        <f>HYPERLINK("http://maps.google.com/maps?z=10&amp;t=m&amp;q=loc:38.6511111+-120.4061111", 197)</f>
        <v>0</v>
      </c>
      <c r="K65">
        <v>41</v>
      </c>
      <c r="L65">
        <v>0</v>
      </c>
      <c r="M65">
        <v>0</v>
      </c>
      <c r="N65">
        <v>0</v>
      </c>
      <c r="O65">
        <v>0</v>
      </c>
    </row>
    <row r="66" spans="1:15">
      <c r="A66" s="1" t="s">
        <v>78</v>
      </c>
      <c r="B66" t="s">
        <v>504</v>
      </c>
      <c r="C66" t="s">
        <v>509</v>
      </c>
      <c r="D66">
        <f>HYPERLINK("http://www.reserveamerica.com/camping/carlton/r/facilityDetails.do?contractCode=NRSO&amp;parkId=75437", "CARLTON")</f>
        <v>0</v>
      </c>
      <c r="E66">
        <v>39.5191667</v>
      </c>
      <c r="F66">
        <v>-120.9997222</v>
      </c>
      <c r="G66" t="s">
        <v>576</v>
      </c>
      <c r="I66" t="s">
        <v>505</v>
      </c>
      <c r="J66">
        <f>HYPERLINK("http://maps.google.com/maps?z=10&amp;t=m&amp;q=loc:39.5191667+-120.9997222", 255)</f>
        <v>0</v>
      </c>
      <c r="K66">
        <v>17</v>
      </c>
      <c r="L66">
        <v>5</v>
      </c>
      <c r="M66">
        <v>0</v>
      </c>
      <c r="N66">
        <v>5</v>
      </c>
      <c r="O66">
        <v>5</v>
      </c>
    </row>
    <row r="67" spans="1:15">
      <c r="A67" s="1" t="s">
        <v>79</v>
      </c>
      <c r="B67" t="s">
        <v>505</v>
      </c>
      <c r="C67" t="s">
        <v>510</v>
      </c>
      <c r="D67">
        <f>HYPERLINK("http://www.reserveamerica.com/camping/carpinteria-sb/r/facilityDetails.do?contractCode=CA&amp;parkId=120015", "CARPINTERIA SB")</f>
        <v>0</v>
      </c>
      <c r="E67">
        <v>34.3919444</v>
      </c>
      <c r="F67">
        <v>-119.5202778</v>
      </c>
      <c r="G67" t="s">
        <v>577</v>
      </c>
      <c r="I67" t="s">
        <v>505</v>
      </c>
      <c r="J67">
        <f>HYPERLINK("http://maps.google.com/maps?z=10&amp;t=m&amp;q=loc:34.3919444+-119.5202778", 390)</f>
        <v>0</v>
      </c>
      <c r="K67">
        <v>145</v>
      </c>
      <c r="L67">
        <v>0</v>
      </c>
      <c r="M67">
        <v>0</v>
      </c>
      <c r="N67">
        <v>0</v>
      </c>
      <c r="O67">
        <v>0</v>
      </c>
    </row>
    <row r="68" spans="1:15">
      <c r="A68" s="1" t="s">
        <v>80</v>
      </c>
      <c r="B68" t="s">
        <v>505</v>
      </c>
      <c r="C68" t="s">
        <v>510</v>
      </c>
      <c r="D68">
        <f>HYPERLINK("http://www.reserveamerica.com/camping/castle-crags-sp/r/facilityDetails.do?contractCode=CA&amp;parkId=120016", "CASTLE CRAGS SP")</f>
        <v>0</v>
      </c>
      <c r="E68">
        <v>41.1711111</v>
      </c>
      <c r="F68">
        <v>-122.3505556</v>
      </c>
      <c r="G68" t="s">
        <v>578</v>
      </c>
      <c r="I68" t="s">
        <v>505</v>
      </c>
      <c r="J68">
        <f>HYPERLINK("http://maps.google.com/maps?z=10&amp;t=m&amp;q=loc:41.1711111+-122.3505556", 428)</f>
        <v>0</v>
      </c>
      <c r="K68">
        <v>355</v>
      </c>
      <c r="L68">
        <v>60</v>
      </c>
      <c r="M68">
        <v>1</v>
      </c>
      <c r="N68">
        <v>59</v>
      </c>
      <c r="O68">
        <v>59</v>
      </c>
    </row>
    <row r="69" spans="1:15">
      <c r="A69" s="1" t="s">
        <v>81</v>
      </c>
      <c r="B69" t="s">
        <v>505</v>
      </c>
      <c r="C69" t="s">
        <v>510</v>
      </c>
      <c r="D69">
        <f>HYPERLINK("http://www.reserveamerica.com/camping/caswell-memorial-sp/r/facilityDetails.do?contractCode=CA&amp;parkId=120017", "CASWELL MEMORIAL SP")</f>
        <v>0</v>
      </c>
      <c r="E69">
        <v>37.6933333</v>
      </c>
      <c r="F69">
        <v>-121.1866667</v>
      </c>
      <c r="G69" t="s">
        <v>579</v>
      </c>
      <c r="I69" t="s">
        <v>505</v>
      </c>
      <c r="J69">
        <f>HYPERLINK("http://maps.google.com/maps?z=10&amp;t=m&amp;q=loc:37.6933333+-121.1866667", 75)</f>
        <v>0</v>
      </c>
      <c r="K69">
        <v>57</v>
      </c>
      <c r="L69">
        <v>60</v>
      </c>
      <c r="M69">
        <v>4</v>
      </c>
      <c r="N69">
        <v>56</v>
      </c>
      <c r="O69">
        <v>56</v>
      </c>
    </row>
    <row r="70" spans="1:15">
      <c r="A70" s="1" t="s">
        <v>82</v>
      </c>
      <c r="B70" t="s">
        <v>504</v>
      </c>
      <c r="C70" t="s">
        <v>509</v>
      </c>
      <c r="D70">
        <f>HYPERLINK("http://www.reserveamerica.com/camping/catavee/r/facilityDetails.do?contractCode=NRSO&amp;parkId=71589", "CATAVEE")</f>
        <v>0</v>
      </c>
      <c r="E70">
        <v>37.2525</v>
      </c>
      <c r="F70">
        <v>-119.1769444</v>
      </c>
      <c r="G70" t="s">
        <v>580</v>
      </c>
      <c r="I70" t="s">
        <v>505</v>
      </c>
      <c r="J70">
        <f>HYPERLINK("http://maps.google.com/maps?z=10&amp;t=m&amp;q=loc:37.2525+-119.1769444", 241)</f>
        <v>0</v>
      </c>
      <c r="K70">
        <v>91</v>
      </c>
      <c r="L70">
        <v>0</v>
      </c>
      <c r="M70">
        <v>0</v>
      </c>
      <c r="N70">
        <v>0</v>
      </c>
      <c r="O70">
        <v>0</v>
      </c>
    </row>
    <row r="71" spans="1:15">
      <c r="A71" s="1" t="s">
        <v>83</v>
      </c>
      <c r="B71" t="s">
        <v>504</v>
      </c>
      <c r="C71" t="s">
        <v>509</v>
      </c>
      <c r="D71">
        <f>HYPERLINK("http://www.reserveamerica.com/camping/cedar-bluff/r/facilityDetails.do?contractCode=NRSO&amp;parkId=71722", "CEDAR BLUFF")</f>
        <v>0</v>
      </c>
      <c r="E71">
        <v>37.3077778</v>
      </c>
      <c r="F71">
        <v>-119.5441667</v>
      </c>
      <c r="G71" t="s">
        <v>581</v>
      </c>
      <c r="I71" t="s">
        <v>505</v>
      </c>
      <c r="J71">
        <f>HYPERLINK("http://maps.google.com/maps?z=10&amp;t=m&amp;q=loc:37.3077778+-119.5441667", 208)</f>
        <v>0</v>
      </c>
      <c r="K71">
        <v>89</v>
      </c>
      <c r="L71">
        <v>18</v>
      </c>
      <c r="M71">
        <v>0</v>
      </c>
      <c r="N71">
        <v>18</v>
      </c>
      <c r="O71">
        <v>18</v>
      </c>
    </row>
    <row r="72" spans="1:15">
      <c r="A72" s="1" t="s">
        <v>84</v>
      </c>
      <c r="B72" t="s">
        <v>504</v>
      </c>
      <c r="C72" t="s">
        <v>509</v>
      </c>
      <c r="D72">
        <f>HYPERLINK("http://www.reserveamerica.com/camping/cerro-alto-campground/r/facilityDetails.do?contractCode=NRSO&amp;parkId=71995", "CERRO ALTO CAMPGROUND")</f>
        <v>0</v>
      </c>
      <c r="E72">
        <v>35.4275</v>
      </c>
      <c r="F72">
        <v>-120.7383333</v>
      </c>
      <c r="G72" t="s">
        <v>582</v>
      </c>
      <c r="I72" t="s">
        <v>505</v>
      </c>
      <c r="J72">
        <f>HYPERLINK("http://maps.google.com/maps?z=10&amp;t=m&amp;q=loc:35.4275+-120.7383333", 235)</f>
        <v>0</v>
      </c>
      <c r="K72">
        <v>153</v>
      </c>
      <c r="L72">
        <v>6</v>
      </c>
      <c r="M72">
        <v>0</v>
      </c>
      <c r="N72">
        <v>6</v>
      </c>
      <c r="O72">
        <v>6</v>
      </c>
    </row>
    <row r="73" spans="1:15">
      <c r="A73" s="1" t="s">
        <v>85</v>
      </c>
      <c r="B73" t="s">
        <v>504</v>
      </c>
      <c r="C73" t="s">
        <v>509</v>
      </c>
      <c r="D73">
        <f>HYPERLINK("http://www.reserveamerica.com/camping/chapman/r/facilityDetails.do?contractCode=NRSO&amp;parkId=75436", "CHAPMAN")</f>
        <v>0</v>
      </c>
      <c r="E73">
        <v>39.6294444</v>
      </c>
      <c r="F73">
        <v>-120.5447222</v>
      </c>
      <c r="G73" t="s">
        <v>583</v>
      </c>
      <c r="I73" t="s">
        <v>505</v>
      </c>
      <c r="J73">
        <f>HYPERLINK("http://maps.google.com/maps?z=10&amp;t=m&amp;q=loc:39.6294444+-120.5447222", 281)</f>
        <v>0</v>
      </c>
      <c r="K73">
        <v>24</v>
      </c>
      <c r="L73">
        <v>17</v>
      </c>
      <c r="M73">
        <v>0</v>
      </c>
      <c r="N73">
        <v>17</v>
      </c>
      <c r="O73">
        <v>17</v>
      </c>
    </row>
    <row r="74" spans="1:15">
      <c r="A74" s="1" t="s">
        <v>86</v>
      </c>
      <c r="B74" t="s">
        <v>504</v>
      </c>
      <c r="C74" t="s">
        <v>509</v>
      </c>
      <c r="D74">
        <f>HYPERLINK("http://www.reserveamerica.com/camping/chekaka-recreation-area-lake-mendocino/r/facilityDetails.do?contractCode=NRSO&amp;parkId=73541", "CHEKAKA RECREATION AREA LAKE MENDOCINO")</f>
        <v>0</v>
      </c>
      <c r="E74">
        <v>39.2030556</v>
      </c>
      <c r="F74">
        <v>-123.1863889</v>
      </c>
      <c r="G74" t="s">
        <v>584</v>
      </c>
      <c r="I74" t="s">
        <v>505</v>
      </c>
      <c r="J74">
        <f>HYPERLINK("http://maps.google.com/maps?z=10&amp;t=m&amp;q=loc:39.2030556+-123.1863889", 236)</f>
        <v>0</v>
      </c>
      <c r="K74">
        <v>332</v>
      </c>
      <c r="L74">
        <v>0</v>
      </c>
      <c r="M74">
        <v>0</v>
      </c>
      <c r="N74">
        <v>0</v>
      </c>
      <c r="O74">
        <v>0</v>
      </c>
    </row>
    <row r="75" spans="1:15">
      <c r="A75" s="1" t="s">
        <v>87</v>
      </c>
      <c r="B75" t="s">
        <v>504</v>
      </c>
      <c r="C75" t="s">
        <v>509</v>
      </c>
      <c r="D75">
        <f>HYPERLINK("http://www.reserveamerica.com/camping/cherry-valley/r/facilityDetails.do?contractCode=NRSO&amp;parkId=110533", "CHERRY VALLEY")</f>
        <v>0</v>
      </c>
      <c r="E75">
        <v>37.9855556</v>
      </c>
      <c r="F75">
        <v>-119.9169444</v>
      </c>
      <c r="G75" t="s">
        <v>585</v>
      </c>
      <c r="I75" t="s">
        <v>505</v>
      </c>
      <c r="J75">
        <f>HYPERLINK("http://maps.google.com/maps?z=10&amp;t=m&amp;q=loc:37.9855556+-119.9169444", 189)</f>
        <v>0</v>
      </c>
      <c r="K75">
        <v>66</v>
      </c>
      <c r="L75">
        <v>27</v>
      </c>
      <c r="M75">
        <v>0</v>
      </c>
      <c r="N75">
        <v>27</v>
      </c>
      <c r="O75">
        <v>27</v>
      </c>
    </row>
    <row r="76" spans="1:15">
      <c r="A76" s="1" t="s">
        <v>88</v>
      </c>
      <c r="B76" t="s">
        <v>504</v>
      </c>
      <c r="C76" t="s">
        <v>509</v>
      </c>
      <c r="D76">
        <f>HYPERLINK("http://www.reserveamerica.com/camping/chilcoot/r/facilityDetails.do?contractCode=NRSO&amp;parkId=71609", "CHILCOOT")</f>
        <v>0</v>
      </c>
      <c r="E76">
        <v>39.8655556</v>
      </c>
      <c r="F76">
        <v>-120.1661111</v>
      </c>
      <c r="G76" t="s">
        <v>586</v>
      </c>
      <c r="I76" t="s">
        <v>505</v>
      </c>
      <c r="J76">
        <f>HYPERLINK("http://maps.google.com/maps?z=10&amp;t=m&amp;q=loc:39.8655556+-120.1661111", 319)</f>
        <v>0</v>
      </c>
      <c r="K76">
        <v>27</v>
      </c>
      <c r="L76">
        <v>0</v>
      </c>
      <c r="M76">
        <v>0</v>
      </c>
      <c r="N76">
        <v>0</v>
      </c>
      <c r="O76">
        <v>0</v>
      </c>
    </row>
    <row r="77" spans="1:15">
      <c r="A77" s="1" t="s">
        <v>89</v>
      </c>
      <c r="B77" t="s">
        <v>504</v>
      </c>
      <c r="C77" t="s">
        <v>509</v>
      </c>
      <c r="D77">
        <f>HYPERLINK("http://www.reserveamerica.com/camping/chilkoot/r/facilityDetails.do?contractCode=NRSO&amp;parkId=71670", "CHILKOOT")</f>
        <v>0</v>
      </c>
      <c r="E77">
        <v>37.3627778</v>
      </c>
      <c r="F77">
        <v>-119.5386111</v>
      </c>
      <c r="G77" t="s">
        <v>587</v>
      </c>
      <c r="I77" t="s">
        <v>505</v>
      </c>
      <c r="J77">
        <f>HYPERLINK("http://maps.google.com/maps?z=10&amp;t=m&amp;q=loc:37.3627778+-119.5386111", 209)</f>
        <v>0</v>
      </c>
      <c r="K77">
        <v>88</v>
      </c>
      <c r="L77">
        <v>11</v>
      </c>
      <c r="M77">
        <v>0</v>
      </c>
      <c r="N77">
        <v>11</v>
      </c>
      <c r="O77">
        <v>11</v>
      </c>
    </row>
    <row r="78" spans="1:15">
      <c r="A78" s="1" t="s">
        <v>90</v>
      </c>
      <c r="B78" t="s">
        <v>505</v>
      </c>
      <c r="C78" t="s">
        <v>510</v>
      </c>
      <c r="D78">
        <f>HYPERLINK("http://www.reserveamerica.com/camping/china-camp-sp/r/facilityDetails.do?contractCode=CA&amp;parkId=120018", "CHINA CAMP SP")</f>
        <v>0</v>
      </c>
      <c r="E78">
        <v>38.0008333</v>
      </c>
      <c r="F78">
        <v>-122.4605556</v>
      </c>
      <c r="G78" t="s">
        <v>588</v>
      </c>
      <c r="H78" t="s">
        <v>999</v>
      </c>
      <c r="I78" t="s">
        <v>505</v>
      </c>
      <c r="J78">
        <f>HYPERLINK("http://maps.google.com/maps?z=10&amp;t=m&amp;q=loc:38.0008333+-122.4605556", 89)</f>
        <v>0</v>
      </c>
      <c r="K78">
        <v>327</v>
      </c>
      <c r="L78">
        <v>1</v>
      </c>
      <c r="M78">
        <v>1</v>
      </c>
      <c r="N78">
        <v>0</v>
      </c>
      <c r="O78">
        <v>0</v>
      </c>
    </row>
    <row r="79" spans="1:15">
      <c r="A79" s="1" t="s">
        <v>91</v>
      </c>
      <c r="B79" t="s">
        <v>505</v>
      </c>
      <c r="C79" t="s">
        <v>510</v>
      </c>
      <c r="D79">
        <f>HYPERLINK("http://www.reserveamerica.com/camping/chino-hills-sp/r/facilityDetails.do?contractCode=CA&amp;parkId=124900", "CHINO HILLS SP")</f>
        <v>0</v>
      </c>
      <c r="G79" t="s">
        <v>589</v>
      </c>
      <c r="I79" t="s">
        <v>505</v>
      </c>
      <c r="J79">
        <f>HYPERLINK("http://maps.google.com/maps?z=10&amp;t=m&amp;q=loc:nan+nan", 0)</f>
        <v>0</v>
      </c>
      <c r="K79">
        <v>0</v>
      </c>
      <c r="L79">
        <v>19</v>
      </c>
      <c r="M79">
        <v>2</v>
      </c>
      <c r="N79">
        <v>17</v>
      </c>
      <c r="O79">
        <v>17</v>
      </c>
    </row>
    <row r="80" spans="1:15">
      <c r="A80" s="1" t="s">
        <v>92</v>
      </c>
      <c r="B80" t="s">
        <v>504</v>
      </c>
      <c r="C80" t="s">
        <v>509</v>
      </c>
      <c r="D80">
        <f>HYPERLINK("http://www.reserveamerica.com/camping/christie-campground/r/facilityDetails.do?contractCode=NRSO&amp;parkId=71705", "CHRISTIE CAMPGROUND")</f>
        <v>0</v>
      </c>
      <c r="E80">
        <v>40.5663889</v>
      </c>
      <c r="F80">
        <v>-120.8387833</v>
      </c>
      <c r="G80" t="s">
        <v>590</v>
      </c>
      <c r="I80" t="s">
        <v>505</v>
      </c>
      <c r="J80">
        <f>HYPERLINK("http://maps.google.com/maps?z=10&amp;t=m&amp;q=loc:40.5663889+-120.8387833", 371)</f>
        <v>0</v>
      </c>
      <c r="K80">
        <v>14</v>
      </c>
      <c r="L80">
        <v>0</v>
      </c>
      <c r="M80">
        <v>0</v>
      </c>
      <c r="N80">
        <v>0</v>
      </c>
      <c r="O80">
        <v>0</v>
      </c>
    </row>
    <row r="81" spans="1:15">
      <c r="A81" s="1" t="s">
        <v>93</v>
      </c>
      <c r="B81" t="s">
        <v>505</v>
      </c>
      <c r="C81" t="s">
        <v>510</v>
      </c>
      <c r="D81">
        <f>HYPERLINK("http://www.reserveamerica.com/camping/clear-lake-sp/r/facilityDetails.do?contractCode=CA&amp;parkId=120019", "CLEAR LAKE SP")</f>
        <v>0</v>
      </c>
      <c r="E81">
        <v>39.0066667</v>
      </c>
      <c r="F81">
        <v>-122.8141667</v>
      </c>
      <c r="G81" t="s">
        <v>591</v>
      </c>
      <c r="I81" t="s">
        <v>505</v>
      </c>
      <c r="J81">
        <f>HYPERLINK("http://maps.google.com/maps?z=10&amp;t=m&amp;q=loc:39.0066667+-122.8141667", 202)</f>
        <v>0</v>
      </c>
      <c r="K81">
        <v>337</v>
      </c>
      <c r="L81">
        <v>119</v>
      </c>
      <c r="M81">
        <v>7</v>
      </c>
      <c r="N81">
        <v>112</v>
      </c>
      <c r="O81">
        <v>112</v>
      </c>
    </row>
    <row r="82" spans="1:15">
      <c r="A82" s="1" t="s">
        <v>94</v>
      </c>
      <c r="B82" t="s">
        <v>504</v>
      </c>
      <c r="C82" t="s">
        <v>509</v>
      </c>
      <c r="D82">
        <f>HYPERLINK("http://www.reserveamerica.com/camping/codorniz-recreation-area-campground/r/facilityDetails.do?contractCode=NRSO&amp;parkId=73062", "Codorniz Recreation Area Campground")</f>
        <v>0</v>
      </c>
      <c r="E82">
        <v>37.2158333</v>
      </c>
      <c r="F82">
        <v>-119.9686111</v>
      </c>
      <c r="G82" t="s">
        <v>592</v>
      </c>
      <c r="I82" t="s">
        <v>505</v>
      </c>
      <c r="J82">
        <f>HYPERLINK("http://maps.google.com/maps?z=10&amp;t=m&amp;q=loc:37.2158333+-119.9686111", 171)</f>
        <v>0</v>
      </c>
      <c r="K82">
        <v>93</v>
      </c>
      <c r="L82">
        <v>80</v>
      </c>
      <c r="M82">
        <v>2</v>
      </c>
      <c r="N82">
        <v>78</v>
      </c>
      <c r="O82">
        <v>78</v>
      </c>
    </row>
    <row r="83" spans="1:15">
      <c r="A83" s="1" t="s">
        <v>95</v>
      </c>
      <c r="B83" t="s">
        <v>505</v>
      </c>
      <c r="C83" t="s">
        <v>510</v>
      </c>
      <c r="D83">
        <f>HYPERLINK("http://www.reserveamerica.com/camping/col-allensworth-shp/r/facilityDetails.do?contractCode=CA&amp;parkId=120020", "COL. ALLENSWORTH SHP")</f>
        <v>0</v>
      </c>
      <c r="E83">
        <v>35.8636111</v>
      </c>
      <c r="F83">
        <v>-119.3869444</v>
      </c>
      <c r="G83" t="s">
        <v>593</v>
      </c>
      <c r="I83" t="s">
        <v>505</v>
      </c>
      <c r="J83">
        <f>HYPERLINK("http://maps.google.com/maps?z=10&amp;t=m&amp;q=loc:35.8636111+-119.3869444", 277)</f>
        <v>0</v>
      </c>
      <c r="K83">
        <v>125</v>
      </c>
      <c r="L83">
        <v>115</v>
      </c>
      <c r="M83">
        <v>2</v>
      </c>
      <c r="N83">
        <v>113</v>
      </c>
      <c r="O83">
        <v>113</v>
      </c>
    </row>
    <row r="84" spans="1:15">
      <c r="A84" s="1" t="s">
        <v>96</v>
      </c>
      <c r="B84" t="s">
        <v>504</v>
      </c>
      <c r="C84" t="s">
        <v>509</v>
      </c>
      <c r="D84">
        <f>HYPERLINK("http://www.reserveamerica.com/camping/cold-creek/r/facilityDetails.do?contractCode=NRSO&amp;parkId=71655", "COLD CREEK")</f>
        <v>0</v>
      </c>
      <c r="E84">
        <v>39.5427778</v>
      </c>
      <c r="F84">
        <v>-120.3147222</v>
      </c>
      <c r="G84" t="s">
        <v>594</v>
      </c>
      <c r="I84" t="s">
        <v>505</v>
      </c>
      <c r="J84">
        <f>HYPERLINK("http://maps.google.com/maps?z=10&amp;t=m&amp;q=loc:39.5427778+-120.3147222", 282)</f>
        <v>0</v>
      </c>
      <c r="K84">
        <v>28</v>
      </c>
      <c r="L84">
        <v>6</v>
      </c>
      <c r="M84">
        <v>0</v>
      </c>
      <c r="N84">
        <v>6</v>
      </c>
      <c r="O84">
        <v>6</v>
      </c>
    </row>
    <row r="85" spans="1:15">
      <c r="A85" s="1" t="s">
        <v>97</v>
      </c>
      <c r="B85" t="s">
        <v>504</v>
      </c>
      <c r="C85" t="s">
        <v>509</v>
      </c>
      <c r="D85">
        <f>HYPERLINK("http://www.reserveamerica.com/camping/coldwater-campground/r/facilityDetails.do?contractCode=NRSO&amp;parkId=75150", "COLDWATER CAMPGROUND")</f>
        <v>0</v>
      </c>
      <c r="E85">
        <v>37.5991667</v>
      </c>
      <c r="F85">
        <v>-118.9969444</v>
      </c>
      <c r="G85" t="s">
        <v>595</v>
      </c>
      <c r="I85" t="s">
        <v>505</v>
      </c>
      <c r="J85">
        <f>HYPERLINK("http://maps.google.com/maps?z=10&amp;t=m&amp;q=loc:37.5991667+-118.9969444", 258)</f>
        <v>0</v>
      </c>
      <c r="K85">
        <v>82</v>
      </c>
      <c r="L85">
        <v>13</v>
      </c>
      <c r="M85">
        <v>0</v>
      </c>
      <c r="N85">
        <v>13</v>
      </c>
      <c r="O85">
        <v>13</v>
      </c>
    </row>
    <row r="86" spans="1:15">
      <c r="A86" s="1" t="s">
        <v>98</v>
      </c>
      <c r="B86" t="s">
        <v>504</v>
      </c>
      <c r="C86" t="s">
        <v>509</v>
      </c>
      <c r="D86">
        <f>HYPERLINK("http://www.reserveamerica.com/camping/college/r/facilityDetails.do?contractCode=NRSO&amp;parkId=71590", "COLLEGE")</f>
        <v>0</v>
      </c>
      <c r="E86">
        <v>37.2519444</v>
      </c>
      <c r="F86">
        <v>-119.1688889</v>
      </c>
      <c r="G86" t="s">
        <v>596</v>
      </c>
      <c r="H86" t="s">
        <v>998</v>
      </c>
      <c r="I86" t="s">
        <v>505</v>
      </c>
      <c r="J86">
        <f>HYPERLINK("http://maps.google.com/maps?z=10&amp;t=m&amp;q=loc:37.2519444+-119.1688889", 242)</f>
        <v>0</v>
      </c>
      <c r="K86">
        <v>91</v>
      </c>
      <c r="L86">
        <v>9</v>
      </c>
      <c r="M86">
        <v>2</v>
      </c>
      <c r="N86">
        <v>7</v>
      </c>
      <c r="O86">
        <v>7</v>
      </c>
    </row>
    <row r="87" spans="1:15">
      <c r="A87" s="1" t="s">
        <v>99</v>
      </c>
      <c r="B87" t="s">
        <v>505</v>
      </c>
      <c r="C87" t="s">
        <v>510</v>
      </c>
      <c r="D87">
        <f>HYPERLINK("http://www.reserveamerica.com/camping/colusasacramento-river-sra/r/facilityDetails.do?contractCode=CA&amp;parkId=120021", "COLUSA-SACRAMENTO RIVER SRA")</f>
        <v>0</v>
      </c>
      <c r="E87">
        <v>39.2211111</v>
      </c>
      <c r="F87">
        <v>-122.0130556</v>
      </c>
      <c r="G87" t="s">
        <v>597</v>
      </c>
      <c r="I87" t="s">
        <v>505</v>
      </c>
      <c r="J87">
        <f>HYPERLINK("http://maps.google.com/maps?z=10&amp;t=m&amp;q=loc:39.2211111+-122.0130556", 210)</f>
        <v>0</v>
      </c>
      <c r="K87">
        <v>357</v>
      </c>
      <c r="L87">
        <v>6</v>
      </c>
      <c r="M87">
        <v>0</v>
      </c>
      <c r="N87">
        <v>6</v>
      </c>
      <c r="O87">
        <v>6</v>
      </c>
    </row>
    <row r="88" spans="1:15">
      <c r="A88" s="1" t="s">
        <v>100</v>
      </c>
      <c r="B88" t="s">
        <v>504</v>
      </c>
      <c r="C88" t="s">
        <v>509</v>
      </c>
      <c r="D88">
        <f>HYPERLINK("http://www.reserveamerica.com/camping/convict-lake-campground/r/facilityDetails.do?contractCode=NRSO&amp;parkId=75172", "CONVICT LAKE CAMPGROUND")</f>
        <v>0</v>
      </c>
      <c r="E88">
        <v>37.5988889</v>
      </c>
      <c r="F88">
        <v>-118.8508333</v>
      </c>
      <c r="G88" t="s">
        <v>598</v>
      </c>
      <c r="H88" t="s">
        <v>998</v>
      </c>
      <c r="I88" t="s">
        <v>505</v>
      </c>
      <c r="J88">
        <f>HYPERLINK("http://maps.google.com/maps?z=10&amp;t=m&amp;q=loc:37.5988889+-118.8508333", 271)</f>
        <v>0</v>
      </c>
      <c r="K88">
        <v>82</v>
      </c>
      <c r="L88">
        <v>2</v>
      </c>
      <c r="M88">
        <v>0</v>
      </c>
      <c r="N88">
        <v>2</v>
      </c>
      <c r="O88">
        <v>2</v>
      </c>
    </row>
    <row r="89" spans="1:15">
      <c r="A89" s="1" t="s">
        <v>101</v>
      </c>
      <c r="B89" t="s">
        <v>504</v>
      </c>
      <c r="C89" t="s">
        <v>509</v>
      </c>
      <c r="D89">
        <f>HYPERLINK("http://www.reserveamerica.com/camping/coon-creek-group-campground/r/facilityDetails.do?contractCode=NRSO&amp;parkId=70250", "COON CREEK GROUP CAMPGROUND")</f>
        <v>0</v>
      </c>
      <c r="E89">
        <v>34.1488889</v>
      </c>
      <c r="F89">
        <v>-116.7094444</v>
      </c>
      <c r="G89" t="s">
        <v>599</v>
      </c>
      <c r="I89" t="s">
        <v>505</v>
      </c>
      <c r="J89">
        <f>HYPERLINK("http://maps.google.com/maps?z=10&amp;t=m&amp;q=loc:34.1488889+-116.7094444", 586)</f>
        <v>0</v>
      </c>
      <c r="K89">
        <v>125</v>
      </c>
      <c r="L89">
        <v>1</v>
      </c>
      <c r="M89">
        <v>0</v>
      </c>
      <c r="N89">
        <v>1</v>
      </c>
      <c r="O89">
        <v>1</v>
      </c>
    </row>
    <row r="90" spans="1:15">
      <c r="A90" s="1" t="s">
        <v>102</v>
      </c>
      <c r="B90" t="s">
        <v>504</v>
      </c>
      <c r="C90" t="s">
        <v>509</v>
      </c>
      <c r="D90">
        <f>HYPERLINK("http://www.reserveamerica.com/camping/cottonwood-ca/r/facilityDetails.do?contractCode=NRSO&amp;parkId=71611", "COTTONWOOD (CA)")</f>
        <v>0</v>
      </c>
      <c r="E90">
        <v>39.8847222</v>
      </c>
      <c r="F90">
        <v>-120.2366667</v>
      </c>
      <c r="G90" t="s">
        <v>600</v>
      </c>
      <c r="I90" t="s">
        <v>505</v>
      </c>
      <c r="J90">
        <f>HYPERLINK("http://maps.google.com/maps?z=10&amp;t=m&amp;q=loc:39.8847222+-120.2366667", 318)</f>
        <v>0</v>
      </c>
      <c r="K90">
        <v>26</v>
      </c>
      <c r="L90">
        <v>0</v>
      </c>
      <c r="M90">
        <v>0</v>
      </c>
      <c r="N90">
        <v>0</v>
      </c>
      <c r="O90">
        <v>0</v>
      </c>
    </row>
    <row r="91" spans="1:15">
      <c r="A91" s="1" t="s">
        <v>103</v>
      </c>
      <c r="B91" t="s">
        <v>504</v>
      </c>
      <c r="C91" t="s">
        <v>509</v>
      </c>
      <c r="D91">
        <f>HYPERLINK("http://www.reserveamerica.com/camping/cottonwood-creek/r/facilityDetails.do?contractCode=NRSO&amp;parkId=71657", "COTTONWOOD CREEK")</f>
        <v>0</v>
      </c>
      <c r="E91">
        <v>39.5494444</v>
      </c>
      <c r="F91">
        <v>-120.3163889</v>
      </c>
      <c r="G91" t="s">
        <v>601</v>
      </c>
      <c r="I91" t="s">
        <v>505</v>
      </c>
      <c r="J91">
        <f>HYPERLINK("http://maps.google.com/maps?z=10&amp;t=m&amp;q=loc:39.5494444+-120.3163889", 283)</f>
        <v>0</v>
      </c>
      <c r="K91">
        <v>28</v>
      </c>
      <c r="L91">
        <v>40</v>
      </c>
      <c r="M91">
        <v>0</v>
      </c>
      <c r="N91">
        <v>40</v>
      </c>
      <c r="O91">
        <v>40</v>
      </c>
    </row>
    <row r="92" spans="1:15">
      <c r="A92" s="1" t="s">
        <v>104</v>
      </c>
      <c r="B92" t="s">
        <v>504</v>
      </c>
      <c r="C92" t="s">
        <v>509</v>
      </c>
      <c r="E92">
        <v>33.75</v>
      </c>
      <c r="F92">
        <v>-115.825</v>
      </c>
      <c r="G92" t="s">
        <v>602</v>
      </c>
      <c r="I92" t="s">
        <v>505</v>
      </c>
      <c r="J92">
        <f>HYPERLINK("http://maps.google.com/maps?z=10&amp;t=m&amp;q=loc:33.75+-115.825", 678)</f>
        <v>0</v>
      </c>
      <c r="K92">
        <v>124</v>
      </c>
      <c r="L92">
        <v>0</v>
      </c>
      <c r="M92">
        <v>0</v>
      </c>
      <c r="N92">
        <v>0</v>
      </c>
      <c r="O92">
        <v>0</v>
      </c>
    </row>
    <row r="93" spans="1:15">
      <c r="A93" s="1" t="s">
        <v>105</v>
      </c>
      <c r="B93" t="s">
        <v>504</v>
      </c>
      <c r="C93" t="s">
        <v>509</v>
      </c>
      <c r="D93">
        <f>HYPERLINK("http://www.reserveamerica.com/camping/coulter-group-campground/r/facilityDetails.do?contractCode=NRSO&amp;parkId=75444", "COULTER GROUP CAMPGROUND")</f>
        <v>0</v>
      </c>
      <c r="E93">
        <v>34.3227778</v>
      </c>
      <c r="F93">
        <v>-118.0177778</v>
      </c>
      <c r="G93" t="s">
        <v>603</v>
      </c>
      <c r="I93" t="s">
        <v>505</v>
      </c>
      <c r="J93">
        <f>HYPERLINK("http://maps.google.com/maps?z=10&amp;t=m&amp;q=loc:34.3227778+-118.0177778", 483)</f>
        <v>0</v>
      </c>
      <c r="K93">
        <v>132</v>
      </c>
      <c r="L93">
        <v>0</v>
      </c>
      <c r="M93">
        <v>0</v>
      </c>
      <c r="N93">
        <v>0</v>
      </c>
      <c r="O93">
        <v>0</v>
      </c>
    </row>
    <row r="94" spans="1:15">
      <c r="A94" s="1" t="s">
        <v>106</v>
      </c>
      <c r="B94" t="s">
        <v>504</v>
      </c>
      <c r="C94" t="s">
        <v>509</v>
      </c>
      <c r="D94">
        <f>HYPERLINK("http://www.reserveamerica.com/camping/council/r/facilityDetails.do?contractCode=NRSO&amp;parkId=70251", "COUNCIL")</f>
        <v>0</v>
      </c>
      <c r="E94">
        <v>34.1713889</v>
      </c>
      <c r="F94">
        <v>-116.8816667</v>
      </c>
      <c r="G94" t="s">
        <v>604</v>
      </c>
      <c r="I94" t="s">
        <v>505</v>
      </c>
      <c r="J94">
        <f>HYPERLINK("http://maps.google.com/maps?z=10&amp;t=m&amp;q=loc:34.1713889+-116.8816667", 572)</f>
        <v>0</v>
      </c>
      <c r="K94">
        <v>126</v>
      </c>
      <c r="L94">
        <v>0</v>
      </c>
      <c r="M94">
        <v>0</v>
      </c>
      <c r="N94">
        <v>0</v>
      </c>
      <c r="O94">
        <v>0</v>
      </c>
    </row>
    <row r="95" spans="1:15">
      <c r="A95" s="1" t="s">
        <v>107</v>
      </c>
      <c r="B95" t="s">
        <v>504</v>
      </c>
      <c r="C95" t="s">
        <v>509</v>
      </c>
      <c r="D95">
        <f>HYPERLINK("http://www.reserveamerica.com/camping/cove-group/r/facilityDetails.do?contractCode=NRSO&amp;parkId=71552", "COVE GROUP")</f>
        <v>0</v>
      </c>
      <c r="E95">
        <v>36.665</v>
      </c>
      <c r="F95">
        <v>-118.8380556</v>
      </c>
      <c r="G95" t="s">
        <v>605</v>
      </c>
      <c r="I95" t="s">
        <v>505</v>
      </c>
      <c r="J95">
        <f>HYPERLINK("http://maps.google.com/maps?z=10&amp;t=m&amp;q=loc:36.665+-118.8380556", 282)</f>
        <v>0</v>
      </c>
      <c r="K95">
        <v>104</v>
      </c>
      <c r="L95">
        <v>0</v>
      </c>
      <c r="M95">
        <v>0</v>
      </c>
      <c r="N95">
        <v>0</v>
      </c>
      <c r="O95">
        <v>0</v>
      </c>
    </row>
    <row r="96" spans="1:15">
      <c r="A96" s="1" t="s">
        <v>108</v>
      </c>
      <c r="B96" t="s">
        <v>504</v>
      </c>
      <c r="C96" t="s">
        <v>509</v>
      </c>
      <c r="D96">
        <f>HYPERLINK("http://www.reserveamerica.com/camping/coy-flat/r/facilityDetails.do?contractCode=NRSO&amp;parkId=71689", "COY FLAT")</f>
        <v>0</v>
      </c>
      <c r="E96">
        <v>36.1291667</v>
      </c>
      <c r="F96">
        <v>-118.6180556</v>
      </c>
      <c r="G96" t="s">
        <v>606</v>
      </c>
      <c r="I96" t="s">
        <v>505</v>
      </c>
      <c r="J96">
        <f>HYPERLINK("http://maps.google.com/maps?z=10&amp;t=m&amp;q=loc:36.1291667+-118.6180556", 321)</f>
        <v>0</v>
      </c>
      <c r="K96">
        <v>113</v>
      </c>
      <c r="L96">
        <v>18</v>
      </c>
      <c r="M96">
        <v>0</v>
      </c>
      <c r="N96">
        <v>18</v>
      </c>
      <c r="O96">
        <v>18</v>
      </c>
    </row>
    <row r="97" spans="1:15">
      <c r="A97" s="1" t="s">
        <v>109</v>
      </c>
      <c r="B97" t="s">
        <v>504</v>
      </c>
      <c r="C97" t="s">
        <v>509</v>
      </c>
      <c r="D97">
        <f>HYPERLINK("http://www.reserveamerica.com/camping/coyote-group/r/facilityDetails.do?contractCode=NRSO&amp;parkId=70252", "COYOTE GROUP")</f>
        <v>0</v>
      </c>
      <c r="E97">
        <v>39.1355556</v>
      </c>
      <c r="F97">
        <v>-120.4105556</v>
      </c>
      <c r="G97" t="s">
        <v>607</v>
      </c>
      <c r="I97" t="s">
        <v>505</v>
      </c>
      <c r="J97">
        <f>HYPERLINK("http://maps.google.com/maps?z=10&amp;t=m&amp;q=loc:39.1355556+-120.4105556", 239)</f>
        <v>0</v>
      </c>
      <c r="K97">
        <v>32</v>
      </c>
      <c r="L97">
        <v>4</v>
      </c>
      <c r="M97">
        <v>1</v>
      </c>
      <c r="N97">
        <v>3</v>
      </c>
      <c r="O97">
        <v>3</v>
      </c>
    </row>
    <row r="98" spans="1:15">
      <c r="A98" s="1" t="s">
        <v>110</v>
      </c>
      <c r="B98" t="s">
        <v>504</v>
      </c>
      <c r="C98" t="s">
        <v>509</v>
      </c>
      <c r="E98">
        <v>37.9844444</v>
      </c>
      <c r="F98">
        <v>-120.8447222</v>
      </c>
      <c r="G98" t="s">
        <v>608</v>
      </c>
      <c r="H98" t="s">
        <v>998</v>
      </c>
      <c r="I98" t="s">
        <v>505</v>
      </c>
      <c r="J98">
        <f>HYPERLINK("http://maps.google.com/maps?z=10&amp;t=m&amp;q=loc:37.9844444+-120.8447222", 118)</f>
        <v>0</v>
      </c>
      <c r="K98">
        <v>51</v>
      </c>
      <c r="L98">
        <v>0</v>
      </c>
      <c r="M98">
        <v>0</v>
      </c>
      <c r="N98">
        <v>0</v>
      </c>
      <c r="O98">
        <v>0</v>
      </c>
    </row>
    <row r="99" spans="1:15">
      <c r="A99" s="1" t="s">
        <v>111</v>
      </c>
      <c r="B99" t="s">
        <v>504</v>
      </c>
      <c r="C99" t="s">
        <v>509</v>
      </c>
      <c r="D99">
        <f>HYPERLINK("http://www.reserveamerica.com/camping/crab-flats/r/facilityDetails.do?contractCode=NRSO&amp;parkId=70790", "CRAB FLATS")</f>
        <v>0</v>
      </c>
      <c r="E99">
        <v>34.2616667</v>
      </c>
      <c r="F99">
        <v>-117.0833333</v>
      </c>
      <c r="G99" t="s">
        <v>609</v>
      </c>
      <c r="I99" t="s">
        <v>505</v>
      </c>
      <c r="J99">
        <f>HYPERLINK("http://maps.google.com/maps?z=10&amp;t=m&amp;q=loc:34.2616667+-117.0833333", 552)</f>
        <v>0</v>
      </c>
      <c r="K99">
        <v>126</v>
      </c>
      <c r="L99">
        <v>23</v>
      </c>
      <c r="M99">
        <v>0</v>
      </c>
      <c r="N99">
        <v>23</v>
      </c>
      <c r="O99">
        <v>23</v>
      </c>
    </row>
    <row r="100" spans="1:15">
      <c r="A100" s="1" t="s">
        <v>112</v>
      </c>
      <c r="B100" t="s">
        <v>504</v>
      </c>
      <c r="C100" t="s">
        <v>509</v>
      </c>
      <c r="D100">
        <f>HYPERLINK("http://www.reserveamerica.com/camping/crags-campground/r/facilityDetails.do?contractCode=NRSO&amp;parkId=70758", "CRAGS CAMPGROUND")</f>
        <v>0</v>
      </c>
      <c r="E100">
        <v>38.1736111</v>
      </c>
      <c r="F100">
        <v>-119.3041667</v>
      </c>
      <c r="G100" t="s">
        <v>610</v>
      </c>
      <c r="I100" t="s">
        <v>505</v>
      </c>
      <c r="J100">
        <f>HYPERLINK("http://maps.google.com/maps?z=10&amp;t=m&amp;q=loc:38.1736111+-119.3041667", 247)</f>
        <v>0</v>
      </c>
      <c r="K100">
        <v>66</v>
      </c>
      <c r="L100">
        <v>0</v>
      </c>
      <c r="M100">
        <v>0</v>
      </c>
      <c r="N100">
        <v>0</v>
      </c>
      <c r="O100">
        <v>0</v>
      </c>
    </row>
    <row r="101" spans="1:15">
      <c r="A101" s="1" t="s">
        <v>113</v>
      </c>
      <c r="B101" t="s">
        <v>504</v>
      </c>
      <c r="C101" t="s">
        <v>509</v>
      </c>
      <c r="D101">
        <f>HYPERLINK("http://www.reserveamerica.com/camping/crane-flat/r/facilityDetails.do?contractCode=NRSO&amp;parkId=70930", "CRANE FLAT")</f>
        <v>0</v>
      </c>
      <c r="E101">
        <v>37.7638889</v>
      </c>
      <c r="F101">
        <v>-119.8444444</v>
      </c>
      <c r="G101" t="s">
        <v>611</v>
      </c>
      <c r="I101" t="s">
        <v>505</v>
      </c>
      <c r="J101">
        <f>HYPERLINK("http://maps.google.com/maps?z=10&amp;t=m&amp;q=loc:37.7638889+-119.8444444", 187)</f>
        <v>0</v>
      </c>
      <c r="K101">
        <v>74</v>
      </c>
      <c r="L101">
        <v>0</v>
      </c>
      <c r="M101">
        <v>0</v>
      </c>
      <c r="N101">
        <v>0</v>
      </c>
      <c r="O101">
        <v>0</v>
      </c>
    </row>
    <row r="102" spans="1:15">
      <c r="A102" s="1" t="s">
        <v>114</v>
      </c>
      <c r="B102" t="s">
        <v>504</v>
      </c>
      <c r="C102" t="s">
        <v>509</v>
      </c>
      <c r="D102">
        <f>HYPERLINK("http://www.reserveamerica.com/camping/crane-valley/r/facilityDetails.do?contractCode=NRSO&amp;parkId=71719", "CRANE VALLEY")</f>
        <v>0</v>
      </c>
      <c r="E102">
        <v>37.3330556</v>
      </c>
      <c r="F102">
        <v>-119.5852778</v>
      </c>
      <c r="G102" t="s">
        <v>612</v>
      </c>
      <c r="I102" t="s">
        <v>505</v>
      </c>
      <c r="J102">
        <f>HYPERLINK("http://maps.google.com/maps?z=10&amp;t=m&amp;q=loc:37.3330556+-119.5852778", 205)</f>
        <v>0</v>
      </c>
      <c r="K102">
        <v>89</v>
      </c>
      <c r="L102">
        <v>0</v>
      </c>
      <c r="M102">
        <v>0</v>
      </c>
      <c r="N102">
        <v>0</v>
      </c>
      <c r="O102">
        <v>0</v>
      </c>
    </row>
    <row r="103" spans="1:15">
      <c r="A103" s="1" t="s">
        <v>115</v>
      </c>
      <c r="B103" t="s">
        <v>504</v>
      </c>
      <c r="C103" t="s">
        <v>509</v>
      </c>
      <c r="D103">
        <f>HYPERLINK("http://www.reserveamerica.com/camping/crestline-group/r/facilityDetails.do?contractCode=NRSO&amp;parkId=70147", "CRESTLINE GROUP")</f>
        <v>0</v>
      </c>
      <c r="E103">
        <v>33.3127778</v>
      </c>
      <c r="F103">
        <v>-116.8647222</v>
      </c>
      <c r="G103" t="s">
        <v>613</v>
      </c>
      <c r="I103" t="s">
        <v>505</v>
      </c>
      <c r="J103">
        <f>HYPERLINK("http://maps.google.com/maps?z=10&amp;t=m&amp;q=loc:33.3127778+-116.8647222", 638)</f>
        <v>0</v>
      </c>
      <c r="K103">
        <v>132</v>
      </c>
      <c r="L103">
        <v>0</v>
      </c>
      <c r="M103">
        <v>0</v>
      </c>
      <c r="N103">
        <v>0</v>
      </c>
      <c r="O103">
        <v>0</v>
      </c>
    </row>
    <row r="104" spans="1:15">
      <c r="A104" s="1" t="s">
        <v>116</v>
      </c>
      <c r="B104" t="s">
        <v>505</v>
      </c>
      <c r="C104" t="s">
        <v>510</v>
      </c>
      <c r="D104">
        <f>HYPERLINK("http://www.reserveamerica.com/camping/crystal-cove-sp-moro-campground/r/facilityDetails.do?contractCode=CA&amp;parkId=123400", "CRYSTAL COVE SP MORO CAMPGROUND")</f>
        <v>0</v>
      </c>
      <c r="E104">
        <v>33.5631417</v>
      </c>
      <c r="F104">
        <v>-117.8220556</v>
      </c>
      <c r="G104" t="s">
        <v>614</v>
      </c>
      <c r="I104" t="s">
        <v>505</v>
      </c>
      <c r="J104">
        <f>HYPERLINK("http://maps.google.com/maps?z=10&amp;t=m&amp;q=loc:33.5631417+-117.8220556", 558)</f>
        <v>0</v>
      </c>
      <c r="K104">
        <v>137</v>
      </c>
      <c r="L104">
        <v>0</v>
      </c>
      <c r="M104">
        <v>0</v>
      </c>
      <c r="N104">
        <v>0</v>
      </c>
      <c r="O104">
        <v>0</v>
      </c>
    </row>
    <row r="105" spans="1:15">
      <c r="A105" s="1" t="s">
        <v>117</v>
      </c>
      <c r="B105" t="s">
        <v>505</v>
      </c>
      <c r="C105" t="s">
        <v>510</v>
      </c>
      <c r="D105">
        <f>HYPERLINK("http://www.reserveamerica.com/camping/crystal-cove-sp-primitive-tent-camping/r/facilityDetails.do?contractCode=CA&amp;parkId=120022", "CRYSTAL COVE SP PRIMITIVE TENT CAMPING")</f>
        <v>0</v>
      </c>
      <c r="E105">
        <v>33.5705556</v>
      </c>
      <c r="F105">
        <v>-117.81</v>
      </c>
      <c r="G105" t="s">
        <v>615</v>
      </c>
      <c r="I105" t="s">
        <v>505</v>
      </c>
      <c r="J105">
        <f>HYPERLINK("http://maps.google.com/maps?z=10&amp;t=m&amp;q=loc:33.5705556+-117.81", 558)</f>
        <v>0</v>
      </c>
      <c r="K105">
        <v>137</v>
      </c>
      <c r="L105">
        <v>32</v>
      </c>
      <c r="M105">
        <v>0</v>
      </c>
      <c r="N105">
        <v>32</v>
      </c>
      <c r="O105">
        <v>32</v>
      </c>
    </row>
    <row r="106" spans="1:15">
      <c r="A106" s="1" t="s">
        <v>118</v>
      </c>
      <c r="B106" t="s">
        <v>504</v>
      </c>
      <c r="C106" t="s">
        <v>509</v>
      </c>
      <c r="D106">
        <f>HYPERLINK("http://www.reserveamerica.com/camping/crystal-lake/r/facilityDetails.do?contractCode=NRSO&amp;parkId=70677", "CRYSTAL LAKE")</f>
        <v>0</v>
      </c>
      <c r="E106">
        <v>34.3255556</v>
      </c>
      <c r="F106">
        <v>-117.8372222</v>
      </c>
      <c r="G106" t="s">
        <v>615</v>
      </c>
      <c r="I106" t="s">
        <v>505</v>
      </c>
      <c r="J106">
        <f>HYPERLINK("http://maps.google.com/maps?z=10&amp;t=m&amp;q=loc:34.3255556+-117.8372222", 495)</f>
        <v>0</v>
      </c>
      <c r="K106">
        <v>131</v>
      </c>
      <c r="L106">
        <v>0</v>
      </c>
      <c r="M106">
        <v>0</v>
      </c>
      <c r="N106">
        <v>0</v>
      </c>
      <c r="O106">
        <v>0</v>
      </c>
    </row>
    <row r="107" spans="1:15">
      <c r="A107" s="1" t="s">
        <v>119</v>
      </c>
      <c r="B107" t="s">
        <v>504</v>
      </c>
      <c r="C107" t="s">
        <v>509</v>
      </c>
      <c r="D107">
        <f>HYPERLINK("http://www.reserveamerica.com/camping/curly-jack-campground/r/facilityDetails.do?contractCode=NRSO&amp;parkId=75266", "CURLY JACK CAMPGROUND")</f>
        <v>0</v>
      </c>
      <c r="E107">
        <v>41.7936111</v>
      </c>
      <c r="F107">
        <v>-123.3827778</v>
      </c>
      <c r="G107" t="s">
        <v>616</v>
      </c>
      <c r="I107" t="s">
        <v>505</v>
      </c>
      <c r="J107">
        <f>HYPERLINK("http://maps.google.com/maps?z=10&amp;t=m&amp;q=loc:41.7936111+-123.3827778", 512)</f>
        <v>0</v>
      </c>
      <c r="K107">
        <v>346</v>
      </c>
      <c r="L107">
        <v>4</v>
      </c>
      <c r="M107">
        <v>0</v>
      </c>
      <c r="N107">
        <v>4</v>
      </c>
      <c r="O107">
        <v>4</v>
      </c>
    </row>
    <row r="108" spans="1:15">
      <c r="A108" s="1" t="s">
        <v>120</v>
      </c>
      <c r="B108" t="s">
        <v>505</v>
      </c>
      <c r="C108" t="s">
        <v>510</v>
      </c>
      <c r="D108">
        <f>HYPERLINK("http://www.reserveamerica.com/camping/cuyamaca-rancho-sp/r/facilityDetails.do?contractCode=CA&amp;parkId=120023", "CUYAMACA RANCHO SP")</f>
        <v>0</v>
      </c>
      <c r="E108">
        <v>32.9358333</v>
      </c>
      <c r="F108">
        <v>-116.5616667</v>
      </c>
      <c r="G108" t="s">
        <v>617</v>
      </c>
      <c r="I108" t="s">
        <v>505</v>
      </c>
      <c r="J108">
        <f>HYPERLINK("http://maps.google.com/maps?z=10&amp;t=m&amp;q=loc:32.9358333+-116.5616667", 688)</f>
        <v>0</v>
      </c>
      <c r="K108">
        <v>133</v>
      </c>
      <c r="L108">
        <v>95</v>
      </c>
      <c r="M108">
        <v>5</v>
      </c>
      <c r="N108">
        <v>90</v>
      </c>
      <c r="O108">
        <v>90</v>
      </c>
    </row>
    <row r="109" spans="1:15">
      <c r="A109" s="1" t="s">
        <v>121</v>
      </c>
      <c r="B109" t="s">
        <v>505</v>
      </c>
      <c r="C109" t="s">
        <v>510</v>
      </c>
      <c r="D109">
        <f>HYPERLINK("http://www.reserveamerica.com/camping/dl-bliss-sp/r/facilityDetails.do?contractCode=CA&amp;parkId=120099", "D.L. BLISS SP")</f>
        <v>0</v>
      </c>
      <c r="E109">
        <v>38.9822222</v>
      </c>
      <c r="F109">
        <v>-120.095</v>
      </c>
      <c r="G109" t="s">
        <v>618</v>
      </c>
      <c r="I109" t="s">
        <v>505</v>
      </c>
      <c r="J109">
        <f>HYPERLINK("http://maps.google.com/maps?z=10&amp;t=m&amp;q=loc:38.9822222+-120.095", 242)</f>
        <v>0</v>
      </c>
      <c r="K109">
        <v>40</v>
      </c>
      <c r="L109">
        <v>0</v>
      </c>
      <c r="M109">
        <v>0</v>
      </c>
      <c r="N109">
        <v>0</v>
      </c>
      <c r="O109">
        <v>0</v>
      </c>
    </row>
    <row r="110" spans="1:15">
      <c r="A110" s="1" t="s">
        <v>122</v>
      </c>
      <c r="B110" t="s">
        <v>504</v>
      </c>
      <c r="C110" t="s">
        <v>509</v>
      </c>
      <c r="D110">
        <f>HYPERLINK("http://www.reserveamerica.com/camping/deer-creek/r/facilityDetails.do?contractCode=NRSO&amp;parkId=71591", "DEER CREEK")</f>
        <v>0</v>
      </c>
      <c r="E110">
        <v>37.2519444</v>
      </c>
      <c r="F110">
        <v>-119.1769444</v>
      </c>
      <c r="G110" t="s">
        <v>619</v>
      </c>
      <c r="H110" t="s">
        <v>998</v>
      </c>
      <c r="I110" t="s">
        <v>505</v>
      </c>
      <c r="J110">
        <f>HYPERLINK("http://maps.google.com/maps?z=10&amp;t=m&amp;q=loc:37.2519444+-119.1769444", 241)</f>
        <v>0</v>
      </c>
      <c r="K110">
        <v>91</v>
      </c>
      <c r="L110">
        <v>11</v>
      </c>
      <c r="M110">
        <v>0</v>
      </c>
      <c r="N110">
        <v>11</v>
      </c>
      <c r="O110">
        <v>11</v>
      </c>
    </row>
    <row r="111" spans="1:15">
      <c r="A111" s="1" t="s">
        <v>123</v>
      </c>
      <c r="B111" t="s">
        <v>504</v>
      </c>
      <c r="C111" t="s">
        <v>509</v>
      </c>
      <c r="D111">
        <f>HYPERLINK("http://www.reserveamerica.com/camping/deer-group-camp/r/facilityDetails.do?contractCode=NRSO&amp;parkId=70172", "DEER GROUP CAMP")</f>
        <v>0</v>
      </c>
      <c r="E111">
        <v>34.225</v>
      </c>
      <c r="F111">
        <v>-116.9141667</v>
      </c>
      <c r="G111" t="s">
        <v>620</v>
      </c>
      <c r="I111" t="s">
        <v>505</v>
      </c>
      <c r="J111">
        <f>HYPERLINK("http://maps.google.com/maps?z=10&amp;t=m&amp;q=loc:34.225+-116.9141667", 566)</f>
        <v>0</v>
      </c>
      <c r="K111">
        <v>125</v>
      </c>
      <c r="L111">
        <v>1</v>
      </c>
      <c r="M111">
        <v>0</v>
      </c>
      <c r="N111">
        <v>1</v>
      </c>
      <c r="O111">
        <v>1</v>
      </c>
    </row>
    <row r="112" spans="1:15">
      <c r="A112" s="1" t="s">
        <v>124</v>
      </c>
      <c r="B112" t="s">
        <v>504</v>
      </c>
      <c r="C112" t="s">
        <v>509</v>
      </c>
      <c r="D112">
        <f>HYPERLINK("http://www.reserveamerica.com/camping/dekkas-rock/r/facilityDetails.do?contractCode=NRSO&amp;parkId=71515", "DEKKAS ROCK")</f>
        <v>0</v>
      </c>
      <c r="E112">
        <v>40.8747222</v>
      </c>
      <c r="F112">
        <v>-122.2375</v>
      </c>
      <c r="G112" t="s">
        <v>621</v>
      </c>
      <c r="I112" t="s">
        <v>505</v>
      </c>
      <c r="J112">
        <f>HYPERLINK("http://maps.google.com/maps?z=10&amp;t=m&amp;q=loc:40.8747222+-122.2375", 395)</f>
        <v>0</v>
      </c>
      <c r="K112">
        <v>355</v>
      </c>
      <c r="L112">
        <v>0</v>
      </c>
      <c r="M112">
        <v>0</v>
      </c>
      <c r="N112">
        <v>0</v>
      </c>
      <c r="O112">
        <v>0</v>
      </c>
    </row>
    <row r="113" spans="1:15">
      <c r="A113" s="1" t="s">
        <v>125</v>
      </c>
      <c r="B113" t="s">
        <v>505</v>
      </c>
      <c r="C113" t="s">
        <v>510</v>
      </c>
      <c r="D113">
        <f>HYPERLINK("http://www.reserveamerica.com/camping/del-norte-coast-redwood-sp-mill-creek-campground/r/facilityDetails.do?contractCode=CA&amp;parkId=120024", "Del Norte Coast Redwood SP Mill Creek Campground")</f>
        <v>0</v>
      </c>
      <c r="E113">
        <v>41.6708333</v>
      </c>
      <c r="F113">
        <v>-124.1172222</v>
      </c>
      <c r="G113" t="s">
        <v>622</v>
      </c>
      <c r="I113" t="s">
        <v>505</v>
      </c>
      <c r="J113">
        <f>HYPERLINK("http://maps.google.com/maps?z=10&amp;t=m&amp;q=loc:41.6708333+-124.1172222", 518)</f>
        <v>0</v>
      </c>
      <c r="K113">
        <v>339</v>
      </c>
      <c r="L113">
        <v>73</v>
      </c>
      <c r="M113">
        <v>4</v>
      </c>
      <c r="N113">
        <v>69</v>
      </c>
      <c r="O113">
        <v>69</v>
      </c>
    </row>
    <row r="114" spans="1:15">
      <c r="A114" s="1" t="s">
        <v>126</v>
      </c>
      <c r="B114" t="s">
        <v>506</v>
      </c>
      <c r="C114" t="s">
        <v>511</v>
      </c>
      <c r="D114">
        <f>HYPERLINK("http://www.reserveamerica.com/camping/del-valle/r/facilityDetails.do?contractCode=EB&amp;parkId=110003", "Del Valle")</f>
        <v>0</v>
      </c>
      <c r="E114">
        <v>37.5691667</v>
      </c>
      <c r="F114">
        <v>-121.6872222</v>
      </c>
      <c r="G114" t="s">
        <v>623</v>
      </c>
      <c r="I114" t="s">
        <v>505</v>
      </c>
      <c r="J114">
        <f>HYPERLINK("http://maps.google.com/maps?z=10&amp;t=m&amp;q=loc:37.5691667+-121.6872222", 33)</f>
        <v>0</v>
      </c>
      <c r="K114">
        <v>35</v>
      </c>
      <c r="L114">
        <v>0</v>
      </c>
      <c r="M114">
        <v>0</v>
      </c>
      <c r="N114">
        <v>0</v>
      </c>
      <c r="O114">
        <v>1</v>
      </c>
    </row>
    <row r="115" spans="1:15">
      <c r="A115" s="1" t="s">
        <v>127</v>
      </c>
      <c r="B115" t="s">
        <v>504</v>
      </c>
      <c r="C115" t="s">
        <v>509</v>
      </c>
      <c r="D115">
        <f>HYPERLINK("http://www.reserveamerica.com/camping/diablo/r/facilityDetails.do?contractCode=NRSO&amp;parkId=75427", "DIABLO")</f>
        <v>0</v>
      </c>
      <c r="E115">
        <v>39.6330556</v>
      </c>
      <c r="F115">
        <v>-120.6377778</v>
      </c>
      <c r="G115" t="s">
        <v>624</v>
      </c>
      <c r="I115" t="s">
        <v>505</v>
      </c>
      <c r="J115">
        <f>HYPERLINK("http://maps.google.com/maps?z=10&amp;t=m&amp;q=loc:39.6330556+-120.6377778", 278)</f>
        <v>0</v>
      </c>
      <c r="K115">
        <v>22</v>
      </c>
      <c r="L115">
        <v>13</v>
      </c>
      <c r="M115">
        <v>0</v>
      </c>
      <c r="N115">
        <v>13</v>
      </c>
      <c r="O115">
        <v>13</v>
      </c>
    </row>
    <row r="116" spans="1:15">
      <c r="A116" s="1" t="s">
        <v>128</v>
      </c>
      <c r="B116" t="s">
        <v>504</v>
      </c>
      <c r="C116" t="s">
        <v>509</v>
      </c>
      <c r="D116">
        <f>HYPERLINK("http://www.reserveamerica.com/camping/dillon-creek-campground/r/facilityDetails.do?contractCode=NRSO&amp;parkId=96770", "DILLON CREEK CAMPGROUND")</f>
        <v>0</v>
      </c>
      <c r="E116">
        <v>41.5733333</v>
      </c>
      <c r="F116">
        <v>-123.5430556</v>
      </c>
      <c r="G116" t="s">
        <v>625</v>
      </c>
      <c r="I116" t="s">
        <v>505</v>
      </c>
      <c r="J116">
        <f>HYPERLINK("http://maps.google.com/maps?z=10&amp;t=m&amp;q=loc:41.5733333+-123.5430556", 492)</f>
        <v>0</v>
      </c>
      <c r="K116">
        <v>343</v>
      </c>
      <c r="L116">
        <v>10</v>
      </c>
      <c r="M116">
        <v>0</v>
      </c>
      <c r="N116">
        <v>10</v>
      </c>
      <c r="O116">
        <v>10</v>
      </c>
    </row>
    <row r="117" spans="1:15">
      <c r="A117" s="1" t="s">
        <v>129</v>
      </c>
      <c r="B117" t="s">
        <v>504</v>
      </c>
      <c r="C117" t="s">
        <v>509</v>
      </c>
      <c r="D117">
        <f>HYPERLINK("http://www.reserveamerica.com/camping/dimond-o/r/facilityDetails.do?contractCode=NRSO&amp;parkId=73632", "DIMOND O")</f>
        <v>0</v>
      </c>
      <c r="E117">
        <v>37.825</v>
      </c>
      <c r="F117">
        <v>-119.8611111</v>
      </c>
      <c r="G117" t="s">
        <v>626</v>
      </c>
      <c r="H117" t="s">
        <v>997</v>
      </c>
      <c r="I117" t="s">
        <v>505</v>
      </c>
      <c r="J117">
        <f>HYPERLINK("http://maps.google.com/maps?z=10&amp;t=m&amp;q=loc:37.825+-119.8611111", 188)</f>
        <v>0</v>
      </c>
      <c r="K117">
        <v>72</v>
      </c>
      <c r="L117">
        <v>2</v>
      </c>
      <c r="M117">
        <v>2</v>
      </c>
      <c r="N117">
        <v>0</v>
      </c>
      <c r="O117">
        <v>0</v>
      </c>
    </row>
    <row r="118" spans="1:15">
      <c r="A118" s="1" t="s">
        <v>130</v>
      </c>
      <c r="B118" t="s">
        <v>504</v>
      </c>
      <c r="C118" t="s">
        <v>509</v>
      </c>
      <c r="D118">
        <f>HYPERLINK("http://www.reserveamerica.com/camping/dinkey-creek/r/facilityDetails.do?contractCode=NRSO&amp;parkId=70376", "DINKEY CREEK")</f>
        <v>0</v>
      </c>
      <c r="E118">
        <v>37.0730556</v>
      </c>
      <c r="F118">
        <v>-119.1538889</v>
      </c>
      <c r="G118" t="s">
        <v>627</v>
      </c>
      <c r="I118" t="s">
        <v>505</v>
      </c>
      <c r="J118">
        <f>HYPERLINK("http://maps.google.com/maps?z=10&amp;t=m&amp;q=loc:37.0730556+-119.1538889", 245)</f>
        <v>0</v>
      </c>
      <c r="K118">
        <v>95</v>
      </c>
      <c r="L118">
        <v>74</v>
      </c>
      <c r="M118">
        <v>22</v>
      </c>
      <c r="N118">
        <v>52</v>
      </c>
      <c r="O118">
        <v>53</v>
      </c>
    </row>
    <row r="119" spans="1:15">
      <c r="A119" s="1" t="s">
        <v>131</v>
      </c>
      <c r="B119" t="s">
        <v>504</v>
      </c>
      <c r="C119" t="s">
        <v>509</v>
      </c>
      <c r="D119">
        <f>HYPERLINK("http://www.reserveamerica.com/camping/dirt-flat/r/facilityDetails.do?contractCode=NRSO&amp;parkId=73747", "DIRT FLAT")</f>
        <v>0</v>
      </c>
      <c r="E119">
        <v>37.6633333</v>
      </c>
      <c r="F119">
        <v>-119.8444444</v>
      </c>
      <c r="G119" t="s">
        <v>628</v>
      </c>
      <c r="I119" t="s">
        <v>505</v>
      </c>
      <c r="J119">
        <f>HYPERLINK("http://maps.google.com/maps?z=10&amp;t=m&amp;q=loc:37.6633333+-119.8444444", 185)</f>
        <v>0</v>
      </c>
      <c r="K119">
        <v>77</v>
      </c>
      <c r="L119">
        <v>0</v>
      </c>
      <c r="M119">
        <v>0</v>
      </c>
      <c r="N119">
        <v>0</v>
      </c>
      <c r="O119">
        <v>0</v>
      </c>
    </row>
    <row r="120" spans="1:15">
      <c r="A120" s="1" t="s">
        <v>132</v>
      </c>
      <c r="B120" t="s">
        <v>504</v>
      </c>
      <c r="C120" t="s">
        <v>509</v>
      </c>
      <c r="D120">
        <f>HYPERLINK("http://www.reserveamerica.com/camping/dogwood/r/facilityDetails.do?contractCode=NRSO&amp;parkId=70258", "DOGWOOD")</f>
        <v>0</v>
      </c>
      <c r="E120">
        <v>34.2352778</v>
      </c>
      <c r="F120">
        <v>-117.2091667</v>
      </c>
      <c r="G120" t="s">
        <v>629</v>
      </c>
      <c r="I120" t="s">
        <v>505</v>
      </c>
      <c r="J120">
        <f>HYPERLINK("http://maps.google.com/maps?z=10&amp;t=m&amp;q=loc:34.2352778+-117.2091667", 545)</f>
        <v>0</v>
      </c>
      <c r="K120">
        <v>127</v>
      </c>
      <c r="L120">
        <v>2</v>
      </c>
      <c r="M120">
        <v>0</v>
      </c>
      <c r="N120">
        <v>2</v>
      </c>
      <c r="O120">
        <v>2</v>
      </c>
    </row>
    <row r="121" spans="1:15">
      <c r="A121" s="1" t="s">
        <v>133</v>
      </c>
      <c r="B121" t="s">
        <v>505</v>
      </c>
      <c r="C121" t="s">
        <v>510</v>
      </c>
      <c r="D121">
        <f>HYPERLINK("http://www.reserveamerica.com/camping/doheny-sb/r/facilityDetails.do?contractCode=CA&amp;parkId=120025", "DOHENY SB")</f>
        <v>0</v>
      </c>
      <c r="E121">
        <v>33.4622222</v>
      </c>
      <c r="F121">
        <v>-117.68</v>
      </c>
      <c r="G121" t="s">
        <v>630</v>
      </c>
      <c r="H121" t="s">
        <v>999</v>
      </c>
      <c r="I121" t="s">
        <v>505</v>
      </c>
      <c r="J121">
        <f>HYPERLINK("http://maps.google.com/maps?z=10&amp;t=m&amp;q=loc:33.4622222+-117.68", 575)</f>
        <v>0</v>
      </c>
      <c r="K121">
        <v>137</v>
      </c>
      <c r="L121">
        <v>0</v>
      </c>
      <c r="M121">
        <v>0</v>
      </c>
      <c r="N121">
        <v>0</v>
      </c>
      <c r="O121">
        <v>0</v>
      </c>
    </row>
    <row r="122" spans="1:15">
      <c r="A122" s="1" t="s">
        <v>134</v>
      </c>
      <c r="B122" t="s">
        <v>505</v>
      </c>
      <c r="C122" t="s">
        <v>510</v>
      </c>
      <c r="D122">
        <f>HYPERLINK("http://www.reserveamerica.com/camping/donner-memorial-sp/r/facilityDetails.do?contractCode=CA&amp;parkId=120029", "DONNER MEMORIAL SP")</f>
        <v>0</v>
      </c>
      <c r="E122">
        <v>39.32</v>
      </c>
      <c r="F122">
        <v>-120.2419444</v>
      </c>
      <c r="G122" t="s">
        <v>631</v>
      </c>
      <c r="I122" t="s">
        <v>505</v>
      </c>
      <c r="J122">
        <f>HYPERLINK("http://maps.google.com/maps?z=10&amp;t=m&amp;q=loc:39.32+-120.2419444", 264)</f>
        <v>0</v>
      </c>
      <c r="K122">
        <v>32</v>
      </c>
      <c r="L122">
        <v>0</v>
      </c>
      <c r="M122">
        <v>0</v>
      </c>
      <c r="N122">
        <v>0</v>
      </c>
      <c r="O122">
        <v>0</v>
      </c>
    </row>
    <row r="123" spans="1:15">
      <c r="A123" s="1" t="s">
        <v>135</v>
      </c>
      <c r="B123" t="s">
        <v>504</v>
      </c>
      <c r="C123" t="s">
        <v>509</v>
      </c>
      <c r="D123">
        <f>HYPERLINK("http://www.reserveamerica.com/camping/dorabelle-campground/r/facilityDetails.do?contractCode=NRSO&amp;parkId=71601", "DORABELLE CAMPGROUND")</f>
        <v>0</v>
      </c>
      <c r="E123">
        <v>37.1138889</v>
      </c>
      <c r="F123">
        <v>-119.3097222</v>
      </c>
      <c r="G123" t="s">
        <v>632</v>
      </c>
      <c r="I123" t="s">
        <v>505</v>
      </c>
      <c r="J123">
        <f>HYPERLINK("http://maps.google.com/maps?z=10&amp;t=m&amp;q=loc:37.1138889+-119.3097222", 230)</f>
        <v>0</v>
      </c>
      <c r="K123">
        <v>95</v>
      </c>
      <c r="L123">
        <v>52</v>
      </c>
      <c r="M123">
        <v>15</v>
      </c>
      <c r="N123">
        <v>37</v>
      </c>
      <c r="O123">
        <v>37</v>
      </c>
    </row>
    <row r="124" spans="1:15">
      <c r="A124" s="1" t="s">
        <v>136</v>
      </c>
      <c r="B124" t="s">
        <v>504</v>
      </c>
      <c r="C124" t="s">
        <v>509</v>
      </c>
      <c r="D124">
        <f>HYPERLINK("http://www.reserveamerica.com/camping/dorst-creek-campgroundsequoia-and-kings-canyon-national-park/r/facilityDetails.do?contractCode=NRSO&amp;parkId=70940", "Dorst Creek Campground-Sequoia and Kings Canyon National Park")</f>
        <v>0</v>
      </c>
      <c r="E124">
        <v>36.6361111</v>
      </c>
      <c r="F124">
        <v>-118.8097222</v>
      </c>
      <c r="G124" t="s">
        <v>633</v>
      </c>
      <c r="I124" t="s">
        <v>505</v>
      </c>
      <c r="J124">
        <f>HYPERLINK("http://maps.google.com/maps?z=10&amp;t=m&amp;q=loc:36.6361111+-118.8097222", 285)</f>
        <v>0</v>
      </c>
      <c r="K124">
        <v>104</v>
      </c>
      <c r="L124">
        <v>0</v>
      </c>
      <c r="M124">
        <v>0</v>
      </c>
      <c r="N124">
        <v>0</v>
      </c>
      <c r="O124">
        <v>0</v>
      </c>
    </row>
    <row r="125" spans="1:15">
      <c r="A125" s="1" t="s">
        <v>137</v>
      </c>
      <c r="B125" t="s">
        <v>504</v>
      </c>
      <c r="C125" t="s">
        <v>509</v>
      </c>
      <c r="D125">
        <f>HYPERLINK("http://www.reserveamerica.com/camping/dripping-springs-campground-ca/r/facilityDetails.do?contractCode=NRSO&amp;parkId=107633", "DRIPPING SPRINGS CAMPGROUND (CA)")</f>
        <v>0</v>
      </c>
      <c r="E125">
        <v>33.4638889</v>
      </c>
      <c r="F125">
        <v>-116.9708333</v>
      </c>
      <c r="G125" t="s">
        <v>634</v>
      </c>
      <c r="I125" t="s">
        <v>505</v>
      </c>
      <c r="J125">
        <f>HYPERLINK("http://maps.google.com/maps?z=10&amp;t=m&amp;q=loc:33.4638889+-116.9708333", 619)</f>
        <v>0</v>
      </c>
      <c r="K125">
        <v>132</v>
      </c>
      <c r="L125">
        <v>14</v>
      </c>
      <c r="M125">
        <v>0</v>
      </c>
      <c r="N125">
        <v>14</v>
      </c>
      <c r="O125">
        <v>14</v>
      </c>
    </row>
    <row r="126" spans="1:15">
      <c r="A126" s="1" t="s">
        <v>138</v>
      </c>
      <c r="B126" t="s">
        <v>504</v>
      </c>
      <c r="C126" t="s">
        <v>509</v>
      </c>
      <c r="E126">
        <v>40.6255556</v>
      </c>
      <c r="F126">
        <v>-122.5808333</v>
      </c>
      <c r="G126" t="s">
        <v>635</v>
      </c>
      <c r="H126" t="s">
        <v>998</v>
      </c>
      <c r="I126" t="s">
        <v>505</v>
      </c>
      <c r="J126">
        <f>HYPERLINK("http://maps.google.com/maps?z=10&amp;t=m&amp;q=loc:40.6255556+-122.5808333", 371)</f>
        <v>0</v>
      </c>
      <c r="K126">
        <v>351</v>
      </c>
      <c r="L126">
        <v>0</v>
      </c>
      <c r="M126">
        <v>0</v>
      </c>
      <c r="N126">
        <v>0</v>
      </c>
      <c r="O126">
        <v>0</v>
      </c>
    </row>
    <row r="127" spans="1:15">
      <c r="A127" s="1" t="s">
        <v>139</v>
      </c>
      <c r="B127" t="s">
        <v>504</v>
      </c>
      <c r="C127" t="s">
        <v>509</v>
      </c>
      <c r="D127">
        <f>HYPERLINK("http://www.reserveamerica.com/camping/dry-gulch/r/facilityDetails.do?contractCode=NRSO&amp;parkId=73750", "DRY GULCH")</f>
        <v>0</v>
      </c>
      <c r="E127">
        <v>37.6633333</v>
      </c>
      <c r="F127">
        <v>-119.8444444</v>
      </c>
      <c r="G127" t="s">
        <v>636</v>
      </c>
      <c r="I127" t="s">
        <v>505</v>
      </c>
      <c r="J127">
        <f>HYPERLINK("http://maps.google.com/maps?z=10&amp;t=m&amp;q=loc:37.6633333+-119.8444444", 185)</f>
        <v>0</v>
      </c>
      <c r="K127">
        <v>77</v>
      </c>
      <c r="L127">
        <v>0</v>
      </c>
      <c r="M127">
        <v>0</v>
      </c>
      <c r="N127">
        <v>0</v>
      </c>
      <c r="O127">
        <v>0</v>
      </c>
    </row>
    <row r="128" spans="1:15">
      <c r="A128" s="1" t="s">
        <v>140</v>
      </c>
      <c r="B128" t="s">
        <v>504</v>
      </c>
      <c r="C128" t="s">
        <v>509</v>
      </c>
      <c r="D128">
        <f>HYPERLINK("http://www.reserveamerica.com/camping/eagle-campground/r/facilityDetails.do?contractCode=NRSO&amp;parkId=70529", "EAGLE CAMPGROUND")</f>
        <v>0</v>
      </c>
      <c r="E128">
        <v>40.54785</v>
      </c>
      <c r="F128">
        <v>-120.7830556</v>
      </c>
      <c r="G128" t="s">
        <v>637</v>
      </c>
      <c r="I128" t="s">
        <v>505</v>
      </c>
      <c r="J128">
        <f>HYPERLINK("http://maps.google.com/maps?z=10&amp;t=m&amp;q=loc:40.54785+-120.7830556", 370)</f>
        <v>0</v>
      </c>
      <c r="K128">
        <v>14</v>
      </c>
      <c r="L128">
        <v>0</v>
      </c>
      <c r="M128">
        <v>0</v>
      </c>
      <c r="N128">
        <v>0</v>
      </c>
      <c r="O128">
        <v>0</v>
      </c>
    </row>
    <row r="129" spans="1:15">
      <c r="A129" s="1" t="s">
        <v>141</v>
      </c>
      <c r="B129" t="s">
        <v>504</v>
      </c>
      <c r="C129" t="s">
        <v>509</v>
      </c>
      <c r="D129">
        <f>HYPERLINK("http://www.reserveamerica.com/camping/east-fork-california/r/facilityDetails.do?contractCode=NRSO&amp;parkId=70804", "EAST FORK CALIFORNIA")</f>
        <v>0</v>
      </c>
      <c r="E129">
        <v>37.4836111</v>
      </c>
      <c r="F129">
        <v>-118.7175</v>
      </c>
      <c r="G129" t="s">
        <v>638</v>
      </c>
      <c r="I129" t="s">
        <v>505</v>
      </c>
      <c r="J129">
        <f>HYPERLINK("http://maps.google.com/maps?z=10&amp;t=m&amp;q=loc:37.4836111+-118.7175", 281)</f>
        <v>0</v>
      </c>
      <c r="K129">
        <v>85</v>
      </c>
      <c r="L129">
        <v>33</v>
      </c>
      <c r="M129">
        <v>0</v>
      </c>
      <c r="N129">
        <v>33</v>
      </c>
      <c r="O129">
        <v>33</v>
      </c>
    </row>
    <row r="130" spans="1:15">
      <c r="A130" s="1" t="s">
        <v>142</v>
      </c>
      <c r="B130" t="s">
        <v>504</v>
      </c>
      <c r="C130" t="s">
        <v>509</v>
      </c>
      <c r="D130">
        <f>HYPERLINK("http://www.reserveamerica.com/camping/east-meadow-campground/r/facilityDetails.do?contractCode=NRSO&amp;parkId=71529", "EAST MEADOW CAMPGROUND")</f>
        <v>0</v>
      </c>
      <c r="E130">
        <v>39.5008333</v>
      </c>
      <c r="F130">
        <v>-120.5325</v>
      </c>
      <c r="G130" t="s">
        <v>639</v>
      </c>
      <c r="I130" t="s">
        <v>505</v>
      </c>
      <c r="J130">
        <f>HYPERLINK("http://maps.google.com/maps?z=10&amp;t=m&amp;q=loc:39.5008333+-120.5325", 269)</f>
        <v>0</v>
      </c>
      <c r="K130">
        <v>25</v>
      </c>
      <c r="L130">
        <v>25</v>
      </c>
      <c r="M130">
        <v>0</v>
      </c>
      <c r="N130">
        <v>25</v>
      </c>
      <c r="O130">
        <v>25</v>
      </c>
    </row>
    <row r="131" spans="1:15">
      <c r="A131" s="1" t="s">
        <v>143</v>
      </c>
      <c r="B131" t="s">
        <v>505</v>
      </c>
      <c r="C131" t="s">
        <v>510</v>
      </c>
      <c r="D131">
        <f>HYPERLINK("http://www.reserveamerica.com/camping/el-capitan-sb/r/facilityDetails.do?contractCode=CA&amp;parkId=120030", "EL CAPITAN SB")</f>
        <v>0</v>
      </c>
      <c r="E131">
        <v>34.46</v>
      </c>
      <c r="F131">
        <v>-120.0202778</v>
      </c>
      <c r="G131" t="s">
        <v>640</v>
      </c>
      <c r="I131" t="s">
        <v>505</v>
      </c>
      <c r="J131">
        <f>HYPERLINK("http://maps.google.com/maps?z=10&amp;t=m&amp;q=loc:34.46+-120.0202778", 361)</f>
        <v>0</v>
      </c>
      <c r="K131">
        <v>151</v>
      </c>
      <c r="L131">
        <v>0</v>
      </c>
      <c r="M131">
        <v>0</v>
      </c>
      <c r="N131">
        <v>0</v>
      </c>
      <c r="O131">
        <v>0</v>
      </c>
    </row>
    <row r="132" spans="1:15">
      <c r="A132" s="1" t="s">
        <v>144</v>
      </c>
      <c r="B132" t="s">
        <v>504</v>
      </c>
      <c r="C132" t="s">
        <v>509</v>
      </c>
      <c r="D132">
        <f>HYPERLINK("http://www.reserveamerica.com/camping/el-prado-group/r/facilityDetails.do?contractCode=NRSO&amp;parkId=70148", "EL PRADO GROUP")</f>
        <v>0</v>
      </c>
      <c r="E132">
        <v>32.8869444</v>
      </c>
      <c r="F132">
        <v>-116.4555556</v>
      </c>
      <c r="G132" t="s">
        <v>641</v>
      </c>
      <c r="I132" t="s">
        <v>505</v>
      </c>
      <c r="J132">
        <f>HYPERLINK("http://maps.google.com/maps?z=10&amp;t=m&amp;q=loc:32.8869444+-116.4555556", 699)</f>
        <v>0</v>
      </c>
      <c r="K132">
        <v>133</v>
      </c>
      <c r="L132">
        <v>0</v>
      </c>
      <c r="M132">
        <v>0</v>
      </c>
      <c r="N132">
        <v>0</v>
      </c>
      <c r="O132">
        <v>0</v>
      </c>
    </row>
    <row r="133" spans="1:15">
      <c r="A133" s="1" t="s">
        <v>145</v>
      </c>
      <c r="B133" t="s">
        <v>504</v>
      </c>
      <c r="C133" t="s">
        <v>509</v>
      </c>
      <c r="D133">
        <f>HYPERLINK("http://www.reserveamerica.com/camping/ellery-creek/r/facilityDetails.do?contractCode=NRSO&amp;parkId=71522", "ELLERY CREEK")</f>
        <v>0</v>
      </c>
      <c r="E133">
        <v>40.9158333</v>
      </c>
      <c r="F133">
        <v>-122.2408333</v>
      </c>
      <c r="G133" t="s">
        <v>642</v>
      </c>
      <c r="I133" t="s">
        <v>505</v>
      </c>
      <c r="J133">
        <f>HYPERLINK("http://maps.google.com/maps?z=10&amp;t=m&amp;q=loc:40.9158333+-122.2408333", 399)</f>
        <v>0</v>
      </c>
      <c r="K133">
        <v>355</v>
      </c>
      <c r="L133">
        <v>12</v>
      </c>
      <c r="M133">
        <v>0</v>
      </c>
      <c r="N133">
        <v>12</v>
      </c>
      <c r="O133">
        <v>12</v>
      </c>
    </row>
    <row r="134" spans="1:15">
      <c r="A134" s="1" t="s">
        <v>146</v>
      </c>
      <c r="B134" t="s">
        <v>505</v>
      </c>
      <c r="C134" t="s">
        <v>510</v>
      </c>
      <c r="D134">
        <f>HYPERLINK("http://www.reserveamerica.com/camping/emerald-bay-sp/r/facilityDetails.do?contractCode=CA&amp;parkId=120031", "EMERALD BAY SP")</f>
        <v>0</v>
      </c>
      <c r="E134">
        <v>38.9544444</v>
      </c>
      <c r="F134">
        <v>-120.0930556</v>
      </c>
      <c r="G134" t="s">
        <v>643</v>
      </c>
      <c r="I134" t="s">
        <v>505</v>
      </c>
      <c r="J134">
        <f>HYPERLINK("http://maps.google.com/maps?z=10&amp;t=m&amp;q=loc:38.9544444+-120.0930556", 240)</f>
        <v>0</v>
      </c>
      <c r="K134">
        <v>40</v>
      </c>
      <c r="L134">
        <v>0</v>
      </c>
      <c r="M134">
        <v>0</v>
      </c>
      <c r="N134">
        <v>0</v>
      </c>
      <c r="O134">
        <v>0</v>
      </c>
    </row>
    <row r="135" spans="1:15">
      <c r="A135" s="1" t="s">
        <v>147</v>
      </c>
      <c r="B135" t="s">
        <v>504</v>
      </c>
      <c r="C135" t="s">
        <v>509</v>
      </c>
      <c r="D135">
        <f>HYPERLINK("http://www.reserveamerica.com/camping/emigrant-group/r/facilityDetails.do?contractCode=NRSO&amp;parkId=71645", "EMIGRANT GROUP")</f>
        <v>0</v>
      </c>
      <c r="E135">
        <v>39.4705556</v>
      </c>
      <c r="F135">
        <v>-120.1163889</v>
      </c>
      <c r="G135" t="s">
        <v>644</v>
      </c>
      <c r="I135" t="s">
        <v>505</v>
      </c>
      <c r="J135">
        <f>HYPERLINK("http://maps.google.com/maps?z=10&amp;t=m&amp;q=loc:39.4705556+-120.1163889", 284)</f>
        <v>0</v>
      </c>
      <c r="K135">
        <v>32</v>
      </c>
      <c r="L135">
        <v>0</v>
      </c>
      <c r="M135">
        <v>0</v>
      </c>
      <c r="N135">
        <v>0</v>
      </c>
      <c r="O135">
        <v>0</v>
      </c>
    </row>
    <row r="136" spans="1:15">
      <c r="A136" s="1" t="s">
        <v>148</v>
      </c>
      <c r="B136" t="s">
        <v>505</v>
      </c>
      <c r="C136" t="s">
        <v>510</v>
      </c>
      <c r="E136">
        <v>34.2852778</v>
      </c>
      <c r="F136">
        <v>-119.3247222</v>
      </c>
      <c r="G136" t="s">
        <v>645</v>
      </c>
      <c r="I136" t="s">
        <v>505</v>
      </c>
      <c r="J136">
        <f>HYPERLINK("http://maps.google.com/maps?z=10&amp;t=m&amp;q=loc:34.2852778+-119.3247222", 410)</f>
        <v>0</v>
      </c>
      <c r="K136">
        <v>144</v>
      </c>
      <c r="L136">
        <v>0</v>
      </c>
      <c r="M136">
        <v>0</v>
      </c>
      <c r="N136">
        <v>0</v>
      </c>
      <c r="O136">
        <v>0</v>
      </c>
    </row>
    <row r="137" spans="1:15">
      <c r="A137" s="1" t="s">
        <v>149</v>
      </c>
      <c r="B137" t="s">
        <v>504</v>
      </c>
      <c r="C137" t="s">
        <v>509</v>
      </c>
      <c r="D137">
        <f>HYPERLINK("http://www.reserveamerica.com/camping/eshom-campground/r/facilityDetails.do?contractCode=NRSO&amp;parkId=72398", "ESHOM CAMPGROUND")</f>
        <v>0</v>
      </c>
      <c r="E137">
        <v>36.6891</v>
      </c>
      <c r="F137">
        <v>-118.9504</v>
      </c>
      <c r="G137" t="s">
        <v>646</v>
      </c>
      <c r="I137" t="s">
        <v>505</v>
      </c>
      <c r="J137">
        <f>HYPERLINK("http://maps.google.com/maps?z=10&amp;t=m&amp;q=loc:36.6891+-118.9504", 271)</f>
        <v>0</v>
      </c>
      <c r="K137">
        <v>104</v>
      </c>
      <c r="L137">
        <v>14</v>
      </c>
      <c r="M137">
        <v>0</v>
      </c>
      <c r="N137">
        <v>14</v>
      </c>
      <c r="O137">
        <v>14</v>
      </c>
    </row>
    <row r="138" spans="1:15">
      <c r="A138" s="1" t="s">
        <v>150</v>
      </c>
      <c r="B138" t="s">
        <v>504</v>
      </c>
      <c r="C138" t="s">
        <v>509</v>
      </c>
      <c r="D138">
        <f>HYPERLINK("http://www.reserveamerica.com/camping/fairview-campground/r/facilityDetails.do?contractCode=NRSO&amp;parkId=71678", "FAIRVIEW CAMPGROUND")</f>
        <v>0</v>
      </c>
      <c r="E138">
        <v>35.9288889</v>
      </c>
      <c r="F138">
        <v>-118.4922222</v>
      </c>
      <c r="G138" t="s">
        <v>647</v>
      </c>
      <c r="H138" t="s">
        <v>997</v>
      </c>
      <c r="I138" t="s">
        <v>505</v>
      </c>
      <c r="J138">
        <f>HYPERLINK("http://maps.google.com/maps?z=10&amp;t=m&amp;q=loc:35.9288889+-118.4922222", 341)</f>
        <v>0</v>
      </c>
      <c r="K138">
        <v>116</v>
      </c>
      <c r="L138">
        <v>10</v>
      </c>
      <c r="M138">
        <v>0</v>
      </c>
      <c r="N138">
        <v>10</v>
      </c>
      <c r="O138">
        <v>11</v>
      </c>
    </row>
    <row r="139" spans="1:15">
      <c r="A139" s="1" t="s">
        <v>151</v>
      </c>
      <c r="B139" t="s">
        <v>504</v>
      </c>
      <c r="C139" t="s">
        <v>509</v>
      </c>
      <c r="D139">
        <f>HYPERLINK("http://www.reserveamerica.com/camping/falcon-group/r/facilityDetails.do?contractCode=NRSO&amp;parkId=70144", "FALCON GROUP")</f>
        <v>0</v>
      </c>
      <c r="E139">
        <v>33.6558333</v>
      </c>
      <c r="F139">
        <v>-117.4602778</v>
      </c>
      <c r="G139" t="s">
        <v>648</v>
      </c>
      <c r="I139" t="s">
        <v>505</v>
      </c>
      <c r="J139">
        <f>HYPERLINK("http://maps.google.com/maps?z=10&amp;t=m&amp;q=loc:33.6558333+-117.4602778", 572)</f>
        <v>0</v>
      </c>
      <c r="K139">
        <v>134</v>
      </c>
      <c r="L139">
        <v>0</v>
      </c>
      <c r="M139">
        <v>0</v>
      </c>
      <c r="N139">
        <v>0</v>
      </c>
      <c r="O139">
        <v>0</v>
      </c>
    </row>
    <row r="140" spans="1:15">
      <c r="A140" s="1" t="s">
        <v>152</v>
      </c>
      <c r="B140" t="s">
        <v>504</v>
      </c>
      <c r="C140" t="s">
        <v>509</v>
      </c>
      <c r="D140">
        <f>HYPERLINK("http://www.reserveamerica.com/camping/fallen-leaf-campground/r/facilityDetails.do?contractCode=NRSO&amp;parkId=71531", "FALLEN LEAF CAMPGROUND")</f>
        <v>0</v>
      </c>
      <c r="E140">
        <v>38.9263889</v>
      </c>
      <c r="F140">
        <v>-120.05</v>
      </c>
      <c r="G140" t="s">
        <v>649</v>
      </c>
      <c r="I140" t="s">
        <v>505</v>
      </c>
      <c r="J140">
        <f>HYPERLINK("http://maps.google.com/maps?z=10&amp;t=m&amp;q=loc:38.9263889+-120.05", 240)</f>
        <v>0</v>
      </c>
      <c r="K140">
        <v>41</v>
      </c>
      <c r="L140">
        <v>0</v>
      </c>
      <c r="M140">
        <v>0</v>
      </c>
      <c r="N140">
        <v>0</v>
      </c>
      <c r="O140">
        <v>0</v>
      </c>
    </row>
    <row r="141" spans="1:15">
      <c r="A141" s="1" t="s">
        <v>153</v>
      </c>
      <c r="B141" t="s">
        <v>504</v>
      </c>
      <c r="C141" t="s">
        <v>509</v>
      </c>
      <c r="D141">
        <f>HYPERLINK("http://www.reserveamerica.com/camping/fashoda/r/facilityDetails.do?contractCode=NRSO&amp;parkId=74162", "FASHODA")</f>
        <v>0</v>
      </c>
      <c r="E141">
        <v>38.8682</v>
      </c>
      <c r="F141">
        <v>-120.3974611</v>
      </c>
      <c r="G141" t="s">
        <v>650</v>
      </c>
      <c r="I141" t="s">
        <v>505</v>
      </c>
      <c r="J141">
        <f>HYPERLINK("http://maps.google.com/maps?z=10&amp;t=m&amp;q=loc:38.8682+-120.3974611", 216)</f>
        <v>0</v>
      </c>
      <c r="K141">
        <v>37</v>
      </c>
      <c r="L141">
        <v>0</v>
      </c>
      <c r="M141">
        <v>0</v>
      </c>
      <c r="N141">
        <v>0</v>
      </c>
      <c r="O141">
        <v>0</v>
      </c>
    </row>
    <row r="142" spans="1:15">
      <c r="A142" s="1" t="s">
        <v>154</v>
      </c>
      <c r="B142" t="s">
        <v>504</v>
      </c>
      <c r="C142" t="s">
        <v>509</v>
      </c>
      <c r="D142">
        <f>HYPERLINK("http://www.reserveamerica.com/camping/faucherie/r/facilityDetails.do?contractCode=NRSO&amp;parkId=70410", "FAUCHERIE")</f>
        <v>0</v>
      </c>
      <c r="E142">
        <v>39.4166667</v>
      </c>
      <c r="F142">
        <v>-120.5997222</v>
      </c>
      <c r="G142" t="s">
        <v>651</v>
      </c>
      <c r="I142" t="s">
        <v>505</v>
      </c>
      <c r="J142">
        <f>HYPERLINK("http://maps.google.com/maps?z=10&amp;t=m&amp;q=loc:39.4166667+-120.5997222", 258)</f>
        <v>0</v>
      </c>
      <c r="K142">
        <v>25</v>
      </c>
      <c r="L142">
        <v>0</v>
      </c>
      <c r="M142">
        <v>0</v>
      </c>
      <c r="N142">
        <v>0</v>
      </c>
      <c r="O142">
        <v>0</v>
      </c>
    </row>
    <row r="143" spans="1:15">
      <c r="A143" s="1" t="s">
        <v>155</v>
      </c>
      <c r="B143" t="s">
        <v>504</v>
      </c>
      <c r="C143" t="s">
        <v>509</v>
      </c>
      <c r="D143">
        <f>HYPERLINK("http://www.reserveamerica.com/camping/fawn/r/facilityDetails.do?contractCode=NRSO&amp;parkId=70752", "FAWN")</f>
        <v>0</v>
      </c>
      <c r="E143">
        <v>40.8444444</v>
      </c>
      <c r="F143">
        <v>-122.8433333</v>
      </c>
      <c r="G143" t="s">
        <v>652</v>
      </c>
      <c r="I143" t="s">
        <v>505</v>
      </c>
      <c r="J143">
        <f>HYPERLINK("http://maps.google.com/maps?z=10&amp;t=m&amp;q=loc:40.8444444+-122.8433333", 399)</f>
        <v>0</v>
      </c>
      <c r="K143">
        <v>348</v>
      </c>
      <c r="L143">
        <v>2</v>
      </c>
      <c r="M143">
        <v>0</v>
      </c>
      <c r="N143">
        <v>2</v>
      </c>
      <c r="O143">
        <v>2</v>
      </c>
    </row>
    <row r="144" spans="1:15">
      <c r="A144" s="1" t="s">
        <v>156</v>
      </c>
      <c r="B144" t="s">
        <v>504</v>
      </c>
      <c r="C144" t="s">
        <v>509</v>
      </c>
      <c r="D144">
        <f>HYPERLINK("http://www.reserveamerica.com/camping/fern-basin/r/facilityDetails.do?contractCode=NRSO&amp;parkId=70173", "FERN BASIN")</f>
        <v>0</v>
      </c>
      <c r="E144">
        <v>33.7886111</v>
      </c>
      <c r="F144">
        <v>-116.7377778</v>
      </c>
      <c r="G144" t="s">
        <v>653</v>
      </c>
      <c r="I144" t="s">
        <v>505</v>
      </c>
      <c r="J144">
        <f>HYPERLINK("http://maps.google.com/maps?z=10&amp;t=m&amp;q=loc:33.7886111+-116.7377778", 610)</f>
        <v>0</v>
      </c>
      <c r="K144">
        <v>128</v>
      </c>
      <c r="L144">
        <v>11</v>
      </c>
      <c r="M144">
        <v>0</v>
      </c>
      <c r="N144">
        <v>11</v>
      </c>
      <c r="O144">
        <v>11</v>
      </c>
    </row>
    <row r="145" spans="1:15">
      <c r="A145" s="1" t="s">
        <v>157</v>
      </c>
      <c r="B145" t="s">
        <v>504</v>
      </c>
      <c r="C145" t="s">
        <v>509</v>
      </c>
      <c r="D145">
        <f>HYPERLINK("http://www.reserveamerica.com/camping/fiddle-creek/r/facilityDetails.do?contractCode=NRSO&amp;parkId=75432", "FIDDLE CREEK")</f>
        <v>0</v>
      </c>
      <c r="E145">
        <v>39.5183333</v>
      </c>
      <c r="F145">
        <v>-120.9925</v>
      </c>
      <c r="G145" t="s">
        <v>654</v>
      </c>
      <c r="I145" t="s">
        <v>505</v>
      </c>
      <c r="J145">
        <f>HYPERLINK("http://maps.google.com/maps?z=10&amp;t=m&amp;q=loc:39.5183333+-120.9925", 256)</f>
        <v>0</v>
      </c>
      <c r="K145">
        <v>17</v>
      </c>
      <c r="L145">
        <v>7</v>
      </c>
      <c r="M145">
        <v>0</v>
      </c>
      <c r="N145">
        <v>7</v>
      </c>
      <c r="O145">
        <v>7</v>
      </c>
    </row>
    <row r="146" spans="1:15">
      <c r="A146" s="1" t="s">
        <v>158</v>
      </c>
      <c r="B146" t="s">
        <v>504</v>
      </c>
      <c r="C146" t="s">
        <v>509</v>
      </c>
      <c r="D146">
        <f>HYPERLINK("http://www.reserveamerica.com/camping/findley-campground/r/facilityDetails.do?contractCode=NRSO&amp;parkId=71518", "FINDLEY CAMPGROUND")</f>
        <v>0</v>
      </c>
      <c r="E146">
        <v>39.4847222</v>
      </c>
      <c r="F146">
        <v>-120.5530556</v>
      </c>
      <c r="G146" t="s">
        <v>655</v>
      </c>
      <c r="I146" t="s">
        <v>505</v>
      </c>
      <c r="J146">
        <f>HYPERLINK("http://maps.google.com/maps?z=10&amp;t=m&amp;q=loc:39.4847222+-120.5530556", 267)</f>
        <v>0</v>
      </c>
      <c r="K146">
        <v>25</v>
      </c>
      <c r="L146">
        <v>11</v>
      </c>
      <c r="M146">
        <v>0</v>
      </c>
      <c r="N146">
        <v>11</v>
      </c>
      <c r="O146">
        <v>11</v>
      </c>
    </row>
    <row r="147" spans="1:15">
      <c r="A147" s="1" t="s">
        <v>159</v>
      </c>
      <c r="B147" t="s">
        <v>504</v>
      </c>
      <c r="C147" t="s">
        <v>509</v>
      </c>
      <c r="D147">
        <f>HYPERLINK("http://www.reserveamerica.com/camping/fir-cove-campground/r/facilityDetails.do?contractCode=NRSO&amp;parkId=72124", "FIR COVE CAMPGROUND")</f>
        <v>0</v>
      </c>
      <c r="E147">
        <v>40.3441667</v>
      </c>
      <c r="F147">
        <v>-123.4030556</v>
      </c>
      <c r="G147" t="s">
        <v>656</v>
      </c>
      <c r="H147" t="s">
        <v>998</v>
      </c>
      <c r="I147" t="s">
        <v>505</v>
      </c>
      <c r="J147">
        <f>HYPERLINK("http://maps.google.com/maps?z=10&amp;t=m&amp;q=loc:40.3441667+-123.4030556", 359)</f>
        <v>0</v>
      </c>
      <c r="K147">
        <v>339</v>
      </c>
      <c r="L147">
        <v>8</v>
      </c>
      <c r="M147">
        <v>3</v>
      </c>
      <c r="N147">
        <v>5</v>
      </c>
      <c r="O147">
        <v>5</v>
      </c>
    </row>
    <row r="148" spans="1:15">
      <c r="A148" s="1" t="s">
        <v>160</v>
      </c>
      <c r="B148" t="s">
        <v>504</v>
      </c>
      <c r="C148" t="s">
        <v>509</v>
      </c>
      <c r="D148">
        <f>HYPERLINK("http://www.reserveamerica.com/camping/fir-group/r/facilityDetails.do?contractCode=NRSO&amp;parkId=71553", "FIR GROUP")</f>
        <v>0</v>
      </c>
      <c r="E148">
        <v>36.6641667</v>
      </c>
      <c r="F148">
        <v>-118.8416667</v>
      </c>
      <c r="G148" t="s">
        <v>657</v>
      </c>
      <c r="I148" t="s">
        <v>505</v>
      </c>
      <c r="J148">
        <f>HYPERLINK("http://maps.google.com/maps?z=10&amp;t=m&amp;q=loc:36.6641667+-118.8416667", 281)</f>
        <v>0</v>
      </c>
      <c r="K148">
        <v>104</v>
      </c>
      <c r="L148">
        <v>1</v>
      </c>
      <c r="M148">
        <v>0</v>
      </c>
      <c r="N148">
        <v>1</v>
      </c>
      <c r="O148">
        <v>1</v>
      </c>
    </row>
    <row r="149" spans="1:15">
      <c r="A149" s="1" t="s">
        <v>161</v>
      </c>
      <c r="B149" t="s">
        <v>504</v>
      </c>
      <c r="C149" t="s">
        <v>509</v>
      </c>
      <c r="D149">
        <f>HYPERLINK("http://www.reserveamerica.com/camping/fir-top-campground/r/facilityDetails.do?contractCode=NRSO&amp;parkId=71517", "FIR TOP CAMPGROUND")</f>
        <v>0</v>
      </c>
      <c r="E149">
        <v>39.4855556</v>
      </c>
      <c r="F149">
        <v>-120.5502778</v>
      </c>
      <c r="G149" t="s">
        <v>658</v>
      </c>
      <c r="I149" t="s">
        <v>505</v>
      </c>
      <c r="J149">
        <f>HYPERLINK("http://maps.google.com/maps?z=10&amp;t=m&amp;q=loc:39.4855556+-120.5502778", 267)</f>
        <v>0</v>
      </c>
      <c r="K149">
        <v>25</v>
      </c>
      <c r="L149">
        <v>10</v>
      </c>
      <c r="M149">
        <v>0</v>
      </c>
      <c r="N149">
        <v>10</v>
      </c>
      <c r="O149">
        <v>10</v>
      </c>
    </row>
    <row r="150" spans="1:15">
      <c r="A150" s="1" t="s">
        <v>162</v>
      </c>
      <c r="B150" t="s">
        <v>504</v>
      </c>
      <c r="C150" t="s">
        <v>509</v>
      </c>
      <c r="D150">
        <f>HYPERLINK("http://www.reserveamerica.com/camping/fish-creek-ca/r/facilityDetails.do?contractCode=NRSO&amp;parkId=71600", "FISH CREEK (CA)")</f>
        <v>0</v>
      </c>
      <c r="E150">
        <v>37.2602778</v>
      </c>
      <c r="F150">
        <v>-119.3527778</v>
      </c>
      <c r="G150" t="s">
        <v>659</v>
      </c>
      <c r="I150" t="s">
        <v>505</v>
      </c>
      <c r="J150">
        <f>HYPERLINK("http://maps.google.com/maps?z=10&amp;t=m&amp;q=loc:37.2602778+-119.3527778", 225)</f>
        <v>0</v>
      </c>
      <c r="K150">
        <v>91</v>
      </c>
      <c r="L150">
        <v>0</v>
      </c>
      <c r="M150">
        <v>0</v>
      </c>
      <c r="N150">
        <v>0</v>
      </c>
      <c r="O150">
        <v>0</v>
      </c>
    </row>
    <row r="151" spans="1:15">
      <c r="A151" s="1" t="s">
        <v>163</v>
      </c>
      <c r="B151" t="s">
        <v>504</v>
      </c>
      <c r="C151" t="s">
        <v>509</v>
      </c>
      <c r="D151">
        <f>HYPERLINK("http://www.reserveamerica.com/camping/fish-lake-campground/r/facilityDetails.do?contractCode=NRSO&amp;parkId=96769", "FISH LAKE CAMPGROUND")</f>
        <v>0</v>
      </c>
      <c r="E151">
        <v>41.2641667</v>
      </c>
      <c r="F151">
        <v>-123.6844444</v>
      </c>
      <c r="G151" t="s">
        <v>660</v>
      </c>
      <c r="H151" t="s">
        <v>998</v>
      </c>
      <c r="I151" t="s">
        <v>505</v>
      </c>
      <c r="J151">
        <f>HYPERLINK("http://maps.google.com/maps?z=10&amp;t=m&amp;q=loc:41.2641667+-123.6844444", 463)</f>
        <v>0</v>
      </c>
      <c r="K151">
        <v>341</v>
      </c>
      <c r="L151">
        <v>11</v>
      </c>
      <c r="M151">
        <v>2</v>
      </c>
      <c r="N151">
        <v>9</v>
      </c>
      <c r="O151">
        <v>9</v>
      </c>
    </row>
    <row r="152" spans="1:15">
      <c r="A152" s="1" t="s">
        <v>164</v>
      </c>
      <c r="B152" t="s">
        <v>504</v>
      </c>
      <c r="C152" t="s">
        <v>509</v>
      </c>
      <c r="D152">
        <f>HYPERLINK("http://www.reserveamerica.com/camping/fishermans-group/r/facilityDetails.do?contractCode=NRSO&amp;parkId=73950", "FISHERMANS GROUP")</f>
        <v>0</v>
      </c>
      <c r="E152">
        <v>34.2467083</v>
      </c>
      <c r="F152">
        <v>-117.1108222</v>
      </c>
      <c r="G152" t="s">
        <v>661</v>
      </c>
      <c r="I152" t="s">
        <v>505</v>
      </c>
      <c r="J152">
        <f>HYPERLINK("http://maps.google.com/maps?z=10&amp;t=m&amp;q=loc:34.2467083+-117.1108222", 551)</f>
        <v>0</v>
      </c>
      <c r="K152">
        <v>126</v>
      </c>
      <c r="L152">
        <v>2</v>
      </c>
      <c r="M152">
        <v>0</v>
      </c>
      <c r="N152">
        <v>2</v>
      </c>
      <c r="O152">
        <v>2</v>
      </c>
    </row>
    <row r="153" spans="1:15">
      <c r="A153" s="1" t="s">
        <v>165</v>
      </c>
      <c r="B153" t="s">
        <v>505</v>
      </c>
      <c r="C153" t="s">
        <v>510</v>
      </c>
      <c r="D153">
        <f>HYPERLINK("http://www.reserveamerica.com/camping/folsom-lake-sra/r/facilityDetails.do?contractCode=CA&amp;parkId=120034", "FOLSOM LAKE SRA")</f>
        <v>0</v>
      </c>
      <c r="E153">
        <v>38.7316667</v>
      </c>
      <c r="F153">
        <v>-121.1319444</v>
      </c>
      <c r="G153" t="s">
        <v>662</v>
      </c>
      <c r="I153" t="s">
        <v>505</v>
      </c>
      <c r="J153">
        <f>HYPERLINK("http://maps.google.com/maps?z=10&amp;t=m&amp;q=loc:38.7316667+-121.1319444", 170)</f>
        <v>0</v>
      </c>
      <c r="K153">
        <v>23</v>
      </c>
      <c r="L153">
        <v>40</v>
      </c>
      <c r="M153">
        <v>4</v>
      </c>
      <c r="N153">
        <v>36</v>
      </c>
      <c r="O153">
        <v>36</v>
      </c>
    </row>
    <row r="154" spans="1:15">
      <c r="A154" s="1" t="s">
        <v>166</v>
      </c>
      <c r="B154" t="s">
        <v>504</v>
      </c>
      <c r="C154" t="s">
        <v>509</v>
      </c>
      <c r="D154">
        <f>HYPERLINK("http://www.reserveamerica.com/camping/forbes-creek/r/facilityDetails.do?contractCode=NRSO&amp;parkId=70266", "FORBES CREEK")</f>
        <v>0</v>
      </c>
      <c r="E154">
        <v>39.1311111</v>
      </c>
      <c r="F154">
        <v>-120.7819444</v>
      </c>
      <c r="G154" t="s">
        <v>663</v>
      </c>
      <c r="I154" t="s">
        <v>505</v>
      </c>
      <c r="J154">
        <f>HYPERLINK("http://maps.google.com/maps?z=10&amp;t=m&amp;q=loc:39.1311111+-120.7819444", 223)</f>
        <v>0</v>
      </c>
      <c r="K154">
        <v>25</v>
      </c>
      <c r="L154">
        <v>0</v>
      </c>
      <c r="M154">
        <v>0</v>
      </c>
      <c r="N154">
        <v>0</v>
      </c>
      <c r="O154">
        <v>0</v>
      </c>
    </row>
    <row r="155" spans="1:15">
      <c r="A155" s="1" t="s">
        <v>167</v>
      </c>
      <c r="B155" t="s">
        <v>504</v>
      </c>
      <c r="C155" t="s">
        <v>509</v>
      </c>
      <c r="D155">
        <f>HYPERLINK("http://www.reserveamerica.com/camping/forks-campground/r/facilityDetails.do?contractCode=NRSO&amp;parkId=71666", "FORKS CAMPGROUND")</f>
        <v>0</v>
      </c>
      <c r="E155">
        <v>37.3130556</v>
      </c>
      <c r="F155">
        <v>-119.57</v>
      </c>
      <c r="G155" t="s">
        <v>664</v>
      </c>
      <c r="I155" t="s">
        <v>505</v>
      </c>
      <c r="J155">
        <f>HYPERLINK("http://maps.google.com/maps?z=10&amp;t=m&amp;q=loc:37.3130556+-119.57", 206)</f>
        <v>0</v>
      </c>
      <c r="K155">
        <v>89</v>
      </c>
      <c r="L155">
        <v>16</v>
      </c>
      <c r="M155">
        <v>2</v>
      </c>
      <c r="N155">
        <v>14</v>
      </c>
      <c r="O155">
        <v>14</v>
      </c>
    </row>
    <row r="156" spans="1:15">
      <c r="A156" s="1" t="s">
        <v>168</v>
      </c>
      <c r="B156" t="s">
        <v>505</v>
      </c>
      <c r="C156" t="s">
        <v>510</v>
      </c>
      <c r="E156">
        <v>34.8727778</v>
      </c>
      <c r="F156">
        <v>-118.8991667</v>
      </c>
      <c r="G156" t="s">
        <v>665</v>
      </c>
      <c r="I156" t="s">
        <v>505</v>
      </c>
      <c r="J156">
        <f>HYPERLINK("http://maps.google.com/maps?z=10&amp;t=m&amp;q=loc:34.8727778+-118.8991667", 383)</f>
        <v>0</v>
      </c>
      <c r="K156">
        <v>134</v>
      </c>
      <c r="L156">
        <v>0</v>
      </c>
      <c r="M156">
        <v>0</v>
      </c>
      <c r="N156">
        <v>0</v>
      </c>
      <c r="O156">
        <v>0</v>
      </c>
    </row>
    <row r="157" spans="1:15">
      <c r="A157" s="1" t="s">
        <v>169</v>
      </c>
      <c r="B157" t="s">
        <v>504</v>
      </c>
      <c r="C157" t="s">
        <v>509</v>
      </c>
      <c r="D157">
        <f>HYPERLINK("http://www.reserveamerica.com/camping/four-jeffrey/r/facilityDetails.do?contractCode=NRSO&amp;parkId=73703", "FOUR JEFFREY")</f>
        <v>0</v>
      </c>
      <c r="E157">
        <v>37.25</v>
      </c>
      <c r="F157">
        <v>-118.55</v>
      </c>
      <c r="G157" t="s">
        <v>666</v>
      </c>
      <c r="I157" t="s">
        <v>505</v>
      </c>
      <c r="J157">
        <f>HYPERLINK("http://maps.google.com/maps?z=10&amp;t=m&amp;q=loc:37.25+-118.55", 296)</f>
        <v>0</v>
      </c>
      <c r="K157">
        <v>90</v>
      </c>
      <c r="L157">
        <v>0</v>
      </c>
      <c r="M157">
        <v>0</v>
      </c>
      <c r="N157">
        <v>0</v>
      </c>
      <c r="O157">
        <v>0</v>
      </c>
    </row>
    <row r="158" spans="1:15">
      <c r="A158" s="1" t="s">
        <v>170</v>
      </c>
      <c r="B158" t="s">
        <v>508</v>
      </c>
      <c r="C158" t="s">
        <v>511</v>
      </c>
      <c r="D158">
        <f>HYPERLINK("http://www.reserveamerica.com/camping/frank-raines-regional-park/r/facilityDetails.do?contractCode=STAN&amp;parkId=1040013", "FRANK RAINES REGIONAL PARK")</f>
        <v>0</v>
      </c>
      <c r="E158">
        <v>37.4222222</v>
      </c>
      <c r="F158">
        <v>-121.3752778</v>
      </c>
      <c r="G158" t="s">
        <v>667</v>
      </c>
      <c r="I158" t="s">
        <v>505</v>
      </c>
      <c r="J158">
        <f>HYPERLINK("http://maps.google.com/maps?z=10&amp;t=m&amp;q=loc:37.4222222+-121.3752778", 48)</f>
        <v>0</v>
      </c>
      <c r="K158">
        <v>77</v>
      </c>
      <c r="L158">
        <v>29</v>
      </c>
      <c r="M158">
        <v>0</v>
      </c>
      <c r="N158">
        <v>29</v>
      </c>
      <c r="O158">
        <v>29</v>
      </c>
    </row>
    <row r="159" spans="1:15">
      <c r="A159" s="1" t="s">
        <v>171</v>
      </c>
      <c r="B159" t="s">
        <v>504</v>
      </c>
      <c r="C159" t="s">
        <v>509</v>
      </c>
      <c r="D159">
        <f>HYPERLINK("http://www.reserveamerica.com/camping/fremont-campground/r/facilityDetails.do?contractCode=NRSO&amp;parkId=74120", "FREMONT CAMPGROUND")</f>
        <v>0</v>
      </c>
      <c r="E159">
        <v>34.5430556</v>
      </c>
      <c r="F159">
        <v>-119.8202778</v>
      </c>
      <c r="G159" t="s">
        <v>668</v>
      </c>
      <c r="I159" t="s">
        <v>505</v>
      </c>
      <c r="J159">
        <f>HYPERLINK("http://maps.google.com/maps?z=10&amp;t=m&amp;q=loc:34.5430556+-119.8202778", 361)</f>
        <v>0</v>
      </c>
      <c r="K159">
        <v>148</v>
      </c>
      <c r="L159">
        <v>9</v>
      </c>
      <c r="M159">
        <v>0</v>
      </c>
      <c r="N159">
        <v>9</v>
      </c>
      <c r="O159">
        <v>9</v>
      </c>
    </row>
    <row r="160" spans="1:15">
      <c r="A160" s="1" t="s">
        <v>172</v>
      </c>
      <c r="B160" t="s">
        <v>505</v>
      </c>
      <c r="C160" t="s">
        <v>510</v>
      </c>
      <c r="D160">
        <f>HYPERLINK("http://www.reserveamerica.com/camping/fremont-peak-sp/r/facilityDetails.do?contractCode=CA&amp;parkId=120209", "FREMONT PEAK SP")</f>
        <v>0</v>
      </c>
      <c r="E160">
        <v>36.7608333</v>
      </c>
      <c r="F160">
        <v>-121.5013889</v>
      </c>
      <c r="G160" t="s">
        <v>669</v>
      </c>
      <c r="I160" t="s">
        <v>505</v>
      </c>
      <c r="J160">
        <f>HYPERLINK("http://maps.google.com/maps?z=10&amp;t=m&amp;q=loc:36.7608333+-121.5013889", 72)</f>
        <v>0</v>
      </c>
      <c r="K160">
        <v>150</v>
      </c>
      <c r="L160">
        <v>8</v>
      </c>
      <c r="M160">
        <v>3</v>
      </c>
      <c r="N160">
        <v>5</v>
      </c>
      <c r="O160">
        <v>5</v>
      </c>
    </row>
    <row r="161" spans="1:15">
      <c r="A161" s="1" t="s">
        <v>173</v>
      </c>
      <c r="B161" t="s">
        <v>504</v>
      </c>
      <c r="C161" t="s">
        <v>509</v>
      </c>
      <c r="D161">
        <f>HYPERLINK("http://www.reserveamerica.com/camping/french-camp/r/facilityDetails.do?contractCode=NRSO&amp;parkId=70803", "FRENCH CAMP")</f>
        <v>0</v>
      </c>
      <c r="E161">
        <v>37.5525</v>
      </c>
      <c r="F161">
        <v>-118.6791667</v>
      </c>
      <c r="G161" t="s">
        <v>670</v>
      </c>
      <c r="I161" t="s">
        <v>505</v>
      </c>
      <c r="J161">
        <f>HYPERLINK("http://maps.google.com/maps?z=10&amp;t=m&amp;q=loc:37.5525+-118.6791667", 285)</f>
        <v>0</v>
      </c>
      <c r="K161">
        <v>84</v>
      </c>
      <c r="L161">
        <v>37</v>
      </c>
      <c r="M161">
        <v>0</v>
      </c>
      <c r="N161">
        <v>37</v>
      </c>
      <c r="O161">
        <v>37</v>
      </c>
    </row>
    <row r="162" spans="1:15">
      <c r="A162" s="1" t="s">
        <v>174</v>
      </c>
      <c r="B162" t="s">
        <v>504</v>
      </c>
      <c r="C162" t="s">
        <v>509</v>
      </c>
      <c r="D162">
        <f>HYPERLINK("http://www.reserveamerica.com/camping/french-gulch/r/facilityDetails.do?contractCode=NRSO&amp;parkId=71559", "FRENCH GULCH")</f>
        <v>0</v>
      </c>
      <c r="E162">
        <v>35.6708333</v>
      </c>
      <c r="F162">
        <v>-118.4722222</v>
      </c>
      <c r="G162" t="s">
        <v>671</v>
      </c>
      <c r="I162" t="s">
        <v>505</v>
      </c>
      <c r="J162">
        <f>HYPERLINK("http://maps.google.com/maps?z=10&amp;t=m&amp;q=loc:35.6708333+-118.4722222", 357)</f>
        <v>0</v>
      </c>
      <c r="K162">
        <v>119</v>
      </c>
      <c r="L162">
        <v>1</v>
      </c>
      <c r="M162">
        <v>0</v>
      </c>
      <c r="N162">
        <v>1</v>
      </c>
      <c r="O162">
        <v>1</v>
      </c>
    </row>
    <row r="163" spans="1:15">
      <c r="A163" s="1" t="s">
        <v>175</v>
      </c>
      <c r="B163" t="s">
        <v>504</v>
      </c>
      <c r="C163" t="s">
        <v>509</v>
      </c>
      <c r="D163">
        <f>HYPERLINK("http://www.reserveamerica.com/camping/french-meadows/r/facilityDetails.do?contractCode=NRSO&amp;parkId=70268", "FRENCH MEADOWS")</f>
        <v>0</v>
      </c>
      <c r="E163">
        <v>39.1138889</v>
      </c>
      <c r="F163">
        <v>-120.4238889</v>
      </c>
      <c r="G163" t="s">
        <v>669</v>
      </c>
      <c r="I163" t="s">
        <v>505</v>
      </c>
      <c r="J163">
        <f>HYPERLINK("http://maps.google.com/maps?z=10&amp;t=m&amp;q=loc:39.1138889+-120.4238889", 236)</f>
        <v>0</v>
      </c>
      <c r="K163">
        <v>32</v>
      </c>
      <c r="L163">
        <v>44</v>
      </c>
      <c r="M163">
        <v>3</v>
      </c>
      <c r="N163">
        <v>41</v>
      </c>
      <c r="O163">
        <v>41</v>
      </c>
    </row>
    <row r="164" spans="1:15">
      <c r="A164" s="1" t="s">
        <v>176</v>
      </c>
      <c r="B164" t="s">
        <v>504</v>
      </c>
      <c r="C164" t="s">
        <v>509</v>
      </c>
      <c r="D164">
        <f>HYPERLINK("http://www.reserveamerica.com/camping/frenchman/r/facilityDetails.do?contractCode=NRSO&amp;parkId=70377", "FRENCHMAN")</f>
        <v>0</v>
      </c>
      <c r="E164">
        <v>39.8997222</v>
      </c>
      <c r="F164">
        <v>-120.1866667</v>
      </c>
      <c r="G164" t="s">
        <v>672</v>
      </c>
      <c r="I164" t="s">
        <v>505</v>
      </c>
      <c r="J164">
        <f>HYPERLINK("http://maps.google.com/maps?z=10&amp;t=m&amp;q=loc:39.8997222+-120.1866667", 322)</f>
        <v>0</v>
      </c>
      <c r="K164">
        <v>27</v>
      </c>
      <c r="L164">
        <v>0</v>
      </c>
      <c r="M164">
        <v>0</v>
      </c>
      <c r="N164">
        <v>0</v>
      </c>
      <c r="O164">
        <v>0</v>
      </c>
    </row>
    <row r="165" spans="1:15">
      <c r="A165" s="1" t="s">
        <v>177</v>
      </c>
      <c r="B165" t="s">
        <v>504</v>
      </c>
      <c r="C165" t="s">
        <v>509</v>
      </c>
      <c r="D165">
        <f>HYPERLINK("http://www.reserveamerica.com/camping/fry-creek-campground/r/facilityDetails.do?contractCode=NRSO&amp;parkId=72313", "FRY CREEK CAMPGROUND")</f>
        <v>0</v>
      </c>
      <c r="E165">
        <v>33.345</v>
      </c>
      <c r="F165">
        <v>-116.88</v>
      </c>
      <c r="G165" t="s">
        <v>673</v>
      </c>
      <c r="I165" t="s">
        <v>505</v>
      </c>
      <c r="J165">
        <f>HYPERLINK("http://maps.google.com/maps?z=10&amp;t=m&amp;q=loc:33.345+-116.88", 634)</f>
        <v>0</v>
      </c>
      <c r="K165">
        <v>132</v>
      </c>
      <c r="L165">
        <v>4</v>
      </c>
      <c r="M165">
        <v>0</v>
      </c>
      <c r="N165">
        <v>4</v>
      </c>
      <c r="O165">
        <v>5</v>
      </c>
    </row>
    <row r="166" spans="1:15">
      <c r="A166" s="1" t="s">
        <v>178</v>
      </c>
      <c r="B166" t="s">
        <v>504</v>
      </c>
      <c r="C166" t="s">
        <v>509</v>
      </c>
      <c r="D166">
        <f>HYPERLINK("http://www.reserveamerica.com/camping/furnace-creek/r/facilityDetails.do?contractCode=NRSO&amp;parkId=70978", "FURNACE CREEK")</f>
        <v>0</v>
      </c>
      <c r="E166">
        <v>36.4630556</v>
      </c>
      <c r="F166">
        <v>-116.8677778</v>
      </c>
      <c r="G166" t="s">
        <v>674</v>
      </c>
      <c r="I166" t="s">
        <v>505</v>
      </c>
      <c r="J166">
        <f>HYPERLINK("http://maps.google.com/maps?z=10&amp;t=m&amp;q=loc:36.4630556+-116.8677778", 457)</f>
        <v>0</v>
      </c>
      <c r="K166">
        <v>100</v>
      </c>
      <c r="L166">
        <v>0</v>
      </c>
      <c r="M166">
        <v>0</v>
      </c>
      <c r="N166">
        <v>0</v>
      </c>
      <c r="O166">
        <v>0</v>
      </c>
    </row>
    <row r="167" spans="1:15">
      <c r="A167" s="1" t="s">
        <v>179</v>
      </c>
      <c r="B167" t="s">
        <v>504</v>
      </c>
      <c r="C167" t="s">
        <v>509</v>
      </c>
      <c r="D167">
        <f>HYPERLINK("http://www.reserveamerica.com/camping/gates-group/r/facilityDetails.do?contractCode=NRSO&amp;parkId=70269", "GATES GROUP")</f>
        <v>0</v>
      </c>
      <c r="E167">
        <v>39.1413889</v>
      </c>
      <c r="F167">
        <v>-120.4091667</v>
      </c>
      <c r="G167" t="s">
        <v>675</v>
      </c>
      <c r="I167" t="s">
        <v>505</v>
      </c>
      <c r="J167">
        <f>HYPERLINK("http://maps.google.com/maps?z=10&amp;t=m&amp;q=loc:39.1413889+-120.4091667", 240)</f>
        <v>0</v>
      </c>
      <c r="K167">
        <v>32</v>
      </c>
      <c r="L167">
        <v>3</v>
      </c>
      <c r="M167">
        <v>0</v>
      </c>
      <c r="N167">
        <v>3</v>
      </c>
      <c r="O167">
        <v>3</v>
      </c>
    </row>
    <row r="168" spans="1:15">
      <c r="A168" s="1" t="s">
        <v>180</v>
      </c>
      <c r="B168" t="s">
        <v>505</v>
      </c>
      <c r="C168" t="s">
        <v>510</v>
      </c>
      <c r="E168">
        <v>37.3577778</v>
      </c>
      <c r="F168">
        <v>-120.9594444</v>
      </c>
      <c r="G168" t="s">
        <v>676</v>
      </c>
      <c r="I168" t="s">
        <v>505</v>
      </c>
      <c r="J168">
        <f>HYPERLINK("http://maps.google.com/maps?z=10&amp;t=m&amp;q=loc:37.3577778+-120.9594444", 83)</f>
        <v>0</v>
      </c>
      <c r="K168">
        <v>87</v>
      </c>
      <c r="L168">
        <v>0</v>
      </c>
      <c r="M168">
        <v>0</v>
      </c>
      <c r="N168">
        <v>0</v>
      </c>
      <c r="O168">
        <v>0</v>
      </c>
    </row>
    <row r="169" spans="1:15">
      <c r="A169" s="1" t="s">
        <v>181</v>
      </c>
      <c r="B169" t="s">
        <v>504</v>
      </c>
      <c r="C169" t="s">
        <v>509</v>
      </c>
      <c r="D169">
        <f>HYPERLINK("http://www.reserveamerica.com/camping/gerle-creek/r/facilityDetails.do?contractCode=NRSO&amp;parkId=70270", "GERLE CREEK")</f>
        <v>0</v>
      </c>
      <c r="E169">
        <v>38.975</v>
      </c>
      <c r="F169">
        <v>-120.3916667</v>
      </c>
      <c r="G169" t="s">
        <v>677</v>
      </c>
      <c r="H169" t="s">
        <v>997</v>
      </c>
      <c r="I169" t="s">
        <v>505</v>
      </c>
      <c r="J169">
        <f>HYPERLINK("http://maps.google.com/maps?z=10&amp;t=m&amp;q=loc:38.975+-120.3916667", 225)</f>
        <v>0</v>
      </c>
      <c r="K169">
        <v>35</v>
      </c>
      <c r="L169">
        <v>0</v>
      </c>
      <c r="M169">
        <v>0</v>
      </c>
      <c r="N169">
        <v>0</v>
      </c>
      <c r="O169">
        <v>0</v>
      </c>
    </row>
    <row r="170" spans="1:15">
      <c r="A170" s="1" t="s">
        <v>182</v>
      </c>
      <c r="B170" t="s">
        <v>504</v>
      </c>
      <c r="C170" t="s">
        <v>509</v>
      </c>
      <c r="D170">
        <f>HYPERLINK("http://www.reserveamerica.com/camping/giant-gap/r/facilityDetails.do?contractCode=NRSO&amp;parkId=71676", "GIANT GAP")</f>
        <v>0</v>
      </c>
      <c r="E170">
        <v>39.1388889</v>
      </c>
      <c r="F170">
        <v>-120.7922222</v>
      </c>
      <c r="G170" t="s">
        <v>678</v>
      </c>
      <c r="I170" t="s">
        <v>505</v>
      </c>
      <c r="J170">
        <f>HYPERLINK("http://maps.google.com/maps?z=10&amp;t=m&amp;q=loc:39.1388889+-120.7922222", 223)</f>
        <v>0</v>
      </c>
      <c r="K170">
        <v>25</v>
      </c>
      <c r="L170">
        <v>5</v>
      </c>
      <c r="M170">
        <v>2</v>
      </c>
      <c r="N170">
        <v>3</v>
      </c>
      <c r="O170">
        <v>3</v>
      </c>
    </row>
    <row r="171" spans="1:15">
      <c r="A171" s="1" t="s">
        <v>183</v>
      </c>
      <c r="B171" t="s">
        <v>504</v>
      </c>
      <c r="C171" t="s">
        <v>509</v>
      </c>
      <c r="D171">
        <f>HYPERLINK("http://www.reserveamerica.com/camping/glory-hole-recreation-area/r/facilityDetails.do?contractCode=NRSO&amp;parkId=74080", "GLORY HOLE RECREATION AREA")</f>
        <v>0</v>
      </c>
      <c r="E171">
        <v>38.0075</v>
      </c>
      <c r="F171">
        <v>-120.5402778</v>
      </c>
      <c r="G171" t="s">
        <v>679</v>
      </c>
      <c r="I171" t="s">
        <v>505</v>
      </c>
      <c r="J171">
        <f>HYPERLINK("http://maps.google.com/maps?z=10&amp;t=m&amp;q=loc:38.0075+-120.5402778", 141)</f>
        <v>0</v>
      </c>
      <c r="K171">
        <v>57</v>
      </c>
      <c r="L171">
        <v>7</v>
      </c>
      <c r="M171">
        <v>5</v>
      </c>
      <c r="N171">
        <v>2</v>
      </c>
      <c r="O171">
        <v>2</v>
      </c>
    </row>
    <row r="172" spans="1:15">
      <c r="A172" s="1" t="s">
        <v>184</v>
      </c>
      <c r="B172" t="s">
        <v>504</v>
      </c>
      <c r="C172" t="s">
        <v>509</v>
      </c>
      <c r="D172">
        <f>HYPERLINK("http://www.reserveamerica.com/camping/goldledge-campground/r/facilityDetails.do?contractCode=NRSO&amp;parkId=71679", "GOLDLEDGE CAMPGROUND")</f>
        <v>0</v>
      </c>
      <c r="E172">
        <v>35.8777778</v>
      </c>
      <c r="F172">
        <v>-118.4563889</v>
      </c>
      <c r="G172" t="s">
        <v>680</v>
      </c>
      <c r="I172" t="s">
        <v>505</v>
      </c>
      <c r="J172">
        <f>HYPERLINK("http://maps.google.com/maps?z=10&amp;t=m&amp;q=loc:35.8777778+-118.4563889", 347)</f>
        <v>0</v>
      </c>
      <c r="K172">
        <v>116</v>
      </c>
      <c r="L172">
        <v>24</v>
      </c>
      <c r="M172">
        <v>0</v>
      </c>
      <c r="N172">
        <v>24</v>
      </c>
      <c r="O172">
        <v>24</v>
      </c>
    </row>
    <row r="173" spans="1:15">
      <c r="A173" s="1" t="s">
        <v>185</v>
      </c>
      <c r="B173" t="s">
        <v>504</v>
      </c>
      <c r="C173" t="s">
        <v>509</v>
      </c>
      <c r="D173">
        <f>HYPERLINK("http://www.reserveamerica.com/camping/goose-meadows/r/facilityDetails.do?contractCode=NRSO&amp;parkId=71516", "GOOSE MEADOWS")</f>
        <v>0</v>
      </c>
      <c r="E173">
        <v>39.2575</v>
      </c>
      <c r="F173">
        <v>-120.2091667</v>
      </c>
      <c r="G173" t="s">
        <v>681</v>
      </c>
      <c r="I173" t="s">
        <v>505</v>
      </c>
      <c r="J173">
        <f>HYPERLINK("http://maps.google.com/maps?z=10&amp;t=m&amp;q=loc:39.2575+-120.2091667", 260)</f>
        <v>0</v>
      </c>
      <c r="K173">
        <v>34</v>
      </c>
      <c r="L173">
        <v>14</v>
      </c>
      <c r="M173">
        <v>0</v>
      </c>
      <c r="N173">
        <v>14</v>
      </c>
      <c r="O173">
        <v>14</v>
      </c>
    </row>
    <row r="174" spans="1:15">
      <c r="A174" s="1" t="s">
        <v>186</v>
      </c>
      <c r="B174" t="s">
        <v>504</v>
      </c>
      <c r="C174" t="s">
        <v>509</v>
      </c>
      <c r="D174">
        <f>HYPERLINK("http://www.reserveamerica.com/camping/granite-flat-california/r/facilityDetails.do?contractCode=NRSO&amp;parkId=71671", "GRANITE FLAT (CALIFORNIA)")</f>
        <v>0</v>
      </c>
      <c r="E174">
        <v>39.2991667</v>
      </c>
      <c r="F174">
        <v>-120.2036111</v>
      </c>
      <c r="G174" t="s">
        <v>682</v>
      </c>
      <c r="I174" t="s">
        <v>505</v>
      </c>
      <c r="J174">
        <f>HYPERLINK("http://maps.google.com/maps?z=10&amp;t=m&amp;q=loc:39.2991667+-120.2036111", 264)</f>
        <v>0</v>
      </c>
      <c r="K174">
        <v>33</v>
      </c>
      <c r="L174">
        <v>43</v>
      </c>
      <c r="M174">
        <v>7</v>
      </c>
      <c r="N174">
        <v>36</v>
      </c>
      <c r="O174">
        <v>36</v>
      </c>
    </row>
    <row r="175" spans="1:15">
      <c r="A175" s="1" t="s">
        <v>187</v>
      </c>
      <c r="B175" t="s">
        <v>504</v>
      </c>
      <c r="C175" t="s">
        <v>509</v>
      </c>
      <c r="D175">
        <f>HYPERLINK("http://www.reserveamerica.com/camping/grasshopper-flat/r/facilityDetails.do?contractCode=NRSO&amp;parkId=71613", "GRASSHOPPER FLAT")</f>
        <v>0</v>
      </c>
      <c r="E175">
        <v>39.8905556</v>
      </c>
      <c r="F175">
        <v>-120.4769444</v>
      </c>
      <c r="G175" t="s">
        <v>683</v>
      </c>
      <c r="I175" t="s">
        <v>505</v>
      </c>
      <c r="J175">
        <f>HYPERLINK("http://maps.google.com/maps?z=10&amp;t=m&amp;q=loc:39.8905556+-120.4769444", 310)</f>
        <v>0</v>
      </c>
      <c r="K175">
        <v>23</v>
      </c>
      <c r="L175">
        <v>0</v>
      </c>
      <c r="M175">
        <v>0</v>
      </c>
      <c r="N175">
        <v>0</v>
      </c>
      <c r="O175">
        <v>0</v>
      </c>
    </row>
    <row r="176" spans="1:15">
      <c r="A176" s="1" t="s">
        <v>188</v>
      </c>
      <c r="B176" t="s">
        <v>504</v>
      </c>
      <c r="C176" t="s">
        <v>509</v>
      </c>
      <c r="D176">
        <f>HYPERLINK("http://www.reserveamerica.com/camping/grassy-flat-campground/r/facilityDetails.do?contractCode=NRSO&amp;parkId=70527", "GRASSY FLAT CAMPGROUND")</f>
        <v>0</v>
      </c>
      <c r="E176">
        <v>41.8563889</v>
      </c>
      <c r="F176">
        <v>-123.8888889</v>
      </c>
      <c r="G176" t="s">
        <v>684</v>
      </c>
      <c r="I176" t="s">
        <v>505</v>
      </c>
      <c r="J176">
        <f>HYPERLINK("http://maps.google.com/maps?z=10&amp;t=m&amp;q=loc:41.8563889+-123.8888889", 531)</f>
        <v>0</v>
      </c>
      <c r="K176">
        <v>341</v>
      </c>
      <c r="L176">
        <v>10</v>
      </c>
      <c r="M176">
        <v>0</v>
      </c>
      <c r="N176">
        <v>10</v>
      </c>
      <c r="O176">
        <v>10</v>
      </c>
    </row>
    <row r="177" spans="1:15">
      <c r="A177" s="1" t="s">
        <v>189</v>
      </c>
      <c r="B177" t="s">
        <v>504</v>
      </c>
      <c r="C177" t="s">
        <v>509</v>
      </c>
      <c r="D177">
        <f>HYPERLINK("http://www.reserveamerica.com/camping/grays-meadows/r/facilityDetails.do?contractCode=NRSO&amp;parkId=70273", "GRAYS MEADOWS")</f>
        <v>0</v>
      </c>
      <c r="E177">
        <v>36.7688889</v>
      </c>
      <c r="F177">
        <v>-118.295</v>
      </c>
      <c r="G177" t="s">
        <v>685</v>
      </c>
      <c r="I177" t="s">
        <v>505</v>
      </c>
      <c r="J177">
        <f>HYPERLINK("http://maps.google.com/maps?z=10&amp;t=m&amp;q=loc:36.7688889+-118.295", 326)</f>
        <v>0</v>
      </c>
      <c r="K177">
        <v>99</v>
      </c>
      <c r="L177">
        <v>24</v>
      </c>
      <c r="M177">
        <v>2</v>
      </c>
      <c r="N177">
        <v>22</v>
      </c>
      <c r="O177">
        <v>22</v>
      </c>
    </row>
    <row r="178" spans="1:15">
      <c r="A178" s="1" t="s">
        <v>190</v>
      </c>
      <c r="B178" t="s">
        <v>504</v>
      </c>
      <c r="C178" t="s">
        <v>509</v>
      </c>
      <c r="D178">
        <f>HYPERLINK("http://www.reserveamerica.com/camping/grays-peak-group-camp/r/facilityDetails.do?contractCode=NRSO&amp;parkId=70174", "GRAYS PEAK GROUP CAMP")</f>
        <v>0</v>
      </c>
      <c r="E178">
        <v>34.2733333</v>
      </c>
      <c r="F178">
        <v>-116.9705556</v>
      </c>
      <c r="G178" t="s">
        <v>686</v>
      </c>
      <c r="I178" t="s">
        <v>505</v>
      </c>
      <c r="J178">
        <f>HYPERLINK("http://maps.google.com/maps?z=10&amp;t=m&amp;q=loc:34.2733333+-116.9705556", 559)</f>
        <v>0</v>
      </c>
      <c r="K178">
        <v>125</v>
      </c>
      <c r="L178">
        <v>0</v>
      </c>
      <c r="M178">
        <v>0</v>
      </c>
      <c r="N178">
        <v>0</v>
      </c>
      <c r="O178">
        <v>0</v>
      </c>
    </row>
    <row r="179" spans="1:15">
      <c r="A179" s="1" t="s">
        <v>191</v>
      </c>
      <c r="B179" t="s">
        <v>504</v>
      </c>
      <c r="C179" t="s">
        <v>509</v>
      </c>
      <c r="D179">
        <f>HYPERLINK("http://www.reserveamerica.com/camping/green-creek-group/r/facilityDetails.do?contractCode=NRSO&amp;parkId=70274", "GREEN CREEK GROUP")</f>
        <v>0</v>
      </c>
      <c r="E179">
        <v>38.1108333</v>
      </c>
      <c r="F179">
        <v>-119.2761111</v>
      </c>
      <c r="G179" t="s">
        <v>687</v>
      </c>
      <c r="I179" t="s">
        <v>505</v>
      </c>
      <c r="J179">
        <f>HYPERLINK("http://maps.google.com/maps?z=10&amp;t=m&amp;q=loc:38.1108333+-119.2761111", 247)</f>
        <v>0</v>
      </c>
      <c r="K179">
        <v>68</v>
      </c>
      <c r="L179">
        <v>0</v>
      </c>
      <c r="M179">
        <v>0</v>
      </c>
      <c r="N179">
        <v>0</v>
      </c>
      <c r="O179">
        <v>0</v>
      </c>
    </row>
    <row r="180" spans="1:15">
      <c r="A180" s="1" t="s">
        <v>192</v>
      </c>
      <c r="B180" t="s">
        <v>504</v>
      </c>
      <c r="C180" t="s">
        <v>509</v>
      </c>
      <c r="D180">
        <f>HYPERLINK("http://www.reserveamerica.com/camping/green-spot-equestrian-group-camp/r/facilityDetails.do?contractCode=NRSO&amp;parkId=70697", "GREEN SPOT EQUESTRIAN GROUP CAMP")</f>
        <v>0</v>
      </c>
      <c r="E180">
        <v>34.2233333</v>
      </c>
      <c r="F180">
        <v>-116.8061111</v>
      </c>
      <c r="G180" t="s">
        <v>688</v>
      </c>
      <c r="I180" t="s">
        <v>505</v>
      </c>
      <c r="J180">
        <f>HYPERLINK("http://maps.google.com/maps?z=10&amp;t=m&amp;q=loc:34.2233333+-116.8061111", 574)</f>
        <v>0</v>
      </c>
      <c r="K180">
        <v>125</v>
      </c>
      <c r="L180">
        <v>1</v>
      </c>
      <c r="M180">
        <v>0</v>
      </c>
      <c r="N180">
        <v>1</v>
      </c>
      <c r="O180">
        <v>1</v>
      </c>
    </row>
    <row r="181" spans="1:15">
      <c r="A181" s="1" t="s">
        <v>193</v>
      </c>
      <c r="B181" t="s">
        <v>504</v>
      </c>
      <c r="C181" t="s">
        <v>509</v>
      </c>
      <c r="D181">
        <f>HYPERLINK("http://www.reserveamerica.com/camping/green-valley/r/facilityDetails.do?contractCode=NRSO&amp;parkId=70275", "GREEN VALLEY")</f>
        <v>0</v>
      </c>
      <c r="E181">
        <v>34.2447222</v>
      </c>
      <c r="F181">
        <v>-117.0619444</v>
      </c>
      <c r="G181" t="s">
        <v>689</v>
      </c>
      <c r="I181" t="s">
        <v>505</v>
      </c>
      <c r="J181">
        <f>HYPERLINK("http://maps.google.com/maps?z=10&amp;t=m&amp;q=loc:34.2447222+-117.0619444", 554)</f>
        <v>0</v>
      </c>
      <c r="K181">
        <v>126</v>
      </c>
      <c r="L181">
        <v>8</v>
      </c>
      <c r="M181">
        <v>0</v>
      </c>
      <c r="N181">
        <v>8</v>
      </c>
      <c r="O181">
        <v>9</v>
      </c>
    </row>
    <row r="182" spans="1:15">
      <c r="A182" s="1" t="s">
        <v>194</v>
      </c>
      <c r="B182" t="s">
        <v>504</v>
      </c>
      <c r="C182" t="s">
        <v>509</v>
      </c>
      <c r="D182">
        <f>HYPERLINK("http://www.reserveamerica.com/camping/grizzly/r/facilityDetails.do?contractCode=NRSO&amp;parkId=71616", "GRIZZLY")</f>
        <v>0</v>
      </c>
      <c r="E182">
        <v>39.8872222</v>
      </c>
      <c r="F182">
        <v>-120.4725</v>
      </c>
      <c r="G182" t="s">
        <v>690</v>
      </c>
      <c r="I182" t="s">
        <v>505</v>
      </c>
      <c r="J182">
        <f>HYPERLINK("http://maps.google.com/maps?z=10&amp;t=m&amp;q=loc:39.8872222+-120.4725", 310)</f>
        <v>0</v>
      </c>
      <c r="K182">
        <v>23</v>
      </c>
      <c r="L182">
        <v>0</v>
      </c>
      <c r="M182">
        <v>0</v>
      </c>
      <c r="N182">
        <v>0</v>
      </c>
      <c r="O182">
        <v>0</v>
      </c>
    </row>
    <row r="183" spans="1:15">
      <c r="A183" s="1" t="s">
        <v>195</v>
      </c>
      <c r="B183" t="s">
        <v>505</v>
      </c>
      <c r="C183" t="s">
        <v>510</v>
      </c>
      <c r="D183">
        <f>HYPERLINK("http://www.reserveamerica.com/camping/grizzly-creek-redwoods-sp/r/facilityDetails.do?contractCode=CA&amp;parkId=120037", "GRIZZLY CREEK REDWOODS SP")</f>
        <v>0</v>
      </c>
      <c r="E183">
        <v>40.4841667</v>
      </c>
      <c r="F183">
        <v>-123.9055556</v>
      </c>
      <c r="G183" t="s">
        <v>690</v>
      </c>
      <c r="I183" t="s">
        <v>505</v>
      </c>
      <c r="J183">
        <f>HYPERLINK("http://maps.google.com/maps?z=10&amp;t=m&amp;q=loc:40.4841667+-123.9055556", 391)</f>
        <v>0</v>
      </c>
      <c r="K183">
        <v>334</v>
      </c>
      <c r="L183">
        <v>0</v>
      </c>
      <c r="M183">
        <v>0</v>
      </c>
      <c r="N183">
        <v>0</v>
      </c>
      <c r="O183">
        <v>0</v>
      </c>
    </row>
    <row r="184" spans="1:15">
      <c r="A184" s="1" t="s">
        <v>196</v>
      </c>
      <c r="B184" t="s">
        <v>505</v>
      </c>
      <c r="C184" t="s">
        <v>510</v>
      </c>
      <c r="D184">
        <f>HYPERLINK("http://www.reserveamerica.com/camping/grover-hot-springs-sp/r/facilityDetails.do?contractCode=CA&amp;parkId=120038", "GROVER HOT SPRINGS SP")</f>
        <v>0</v>
      </c>
      <c r="E184">
        <v>38.7005556</v>
      </c>
      <c r="F184">
        <v>-119.8366667</v>
      </c>
      <c r="G184" t="s">
        <v>691</v>
      </c>
      <c r="I184" t="s">
        <v>505</v>
      </c>
      <c r="J184">
        <f>HYPERLINK("http://maps.google.com/maps?z=10&amp;t=m&amp;q=loc:38.7005556+-119.8366667", 236)</f>
        <v>0</v>
      </c>
      <c r="K184">
        <v>49</v>
      </c>
      <c r="L184">
        <v>0</v>
      </c>
      <c r="M184">
        <v>0</v>
      </c>
      <c r="N184">
        <v>0</v>
      </c>
      <c r="O184">
        <v>0</v>
      </c>
    </row>
    <row r="185" spans="1:15">
      <c r="A185" s="1" t="s">
        <v>197</v>
      </c>
      <c r="B185" t="s">
        <v>504</v>
      </c>
      <c r="C185" t="s">
        <v>509</v>
      </c>
      <c r="D185">
        <f>HYPERLINK("http://www.reserveamerica.com/camping/gurnsey-creek/r/facilityDetails.do?contractCode=NRSO&amp;parkId=70594", "GURNSEY CREEK")</f>
        <v>0</v>
      </c>
      <c r="E185">
        <v>40.3088889</v>
      </c>
      <c r="F185">
        <v>-121.4266667</v>
      </c>
      <c r="G185" t="s">
        <v>692</v>
      </c>
      <c r="I185" t="s">
        <v>505</v>
      </c>
      <c r="J185">
        <f>HYPERLINK("http://maps.google.com/maps?z=10&amp;t=m&amp;q=loc:40.3088889+-121.4266667", 333)</f>
        <v>0</v>
      </c>
      <c r="K185">
        <v>6</v>
      </c>
      <c r="L185">
        <v>2</v>
      </c>
      <c r="M185">
        <v>0</v>
      </c>
      <c r="N185">
        <v>2</v>
      </c>
      <c r="O185">
        <v>2</v>
      </c>
    </row>
    <row r="186" spans="1:15">
      <c r="A186" s="1" t="s">
        <v>198</v>
      </c>
      <c r="B186" t="s">
        <v>505</v>
      </c>
      <c r="C186" t="s">
        <v>510</v>
      </c>
      <c r="D186">
        <f>HYPERLINK("http://www.reserveamerica.com/camping/half-moon-bay-sb/r/facilityDetails.do?contractCode=CA&amp;parkId=120039", "HALF MOON BAY SB")</f>
        <v>0</v>
      </c>
      <c r="E186">
        <v>37.4597222</v>
      </c>
      <c r="F186">
        <v>-122.4441667</v>
      </c>
      <c r="G186" t="s">
        <v>693</v>
      </c>
      <c r="I186" t="s">
        <v>505</v>
      </c>
      <c r="J186">
        <f>HYPERLINK("http://maps.google.com/maps?z=10&amp;t=m&amp;q=loc:37.4597222+-122.4441667", 49)</f>
        <v>0</v>
      </c>
      <c r="K186">
        <v>287</v>
      </c>
      <c r="L186">
        <v>0</v>
      </c>
      <c r="M186">
        <v>0</v>
      </c>
      <c r="N186">
        <v>0</v>
      </c>
      <c r="O186">
        <v>0</v>
      </c>
    </row>
    <row r="187" spans="1:15">
      <c r="A187" s="1" t="s">
        <v>199</v>
      </c>
      <c r="B187" t="s">
        <v>504</v>
      </c>
      <c r="C187" t="s">
        <v>509</v>
      </c>
      <c r="D187">
        <f>HYPERLINK("http://www.reserveamerica.com/camping/hallsted/r/facilityDetails.do?contractCode=NRSO&amp;parkId=70560", "HALLSTED")</f>
        <v>0</v>
      </c>
      <c r="E187">
        <v>40.0175</v>
      </c>
      <c r="F187">
        <v>-121.0730556</v>
      </c>
      <c r="G187" t="s">
        <v>694</v>
      </c>
      <c r="H187" t="s">
        <v>997</v>
      </c>
      <c r="I187" t="s">
        <v>505</v>
      </c>
      <c r="J187">
        <f>HYPERLINK("http://maps.google.com/maps?z=10&amp;t=m&amp;q=loc:40.0175+-121.0730556", 307)</f>
        <v>0</v>
      </c>
      <c r="K187">
        <v>13</v>
      </c>
      <c r="L187">
        <v>0</v>
      </c>
      <c r="M187">
        <v>0</v>
      </c>
      <c r="N187">
        <v>0</v>
      </c>
      <c r="O187">
        <v>0</v>
      </c>
    </row>
    <row r="188" spans="1:15">
      <c r="A188" s="1" t="s">
        <v>200</v>
      </c>
      <c r="B188" t="s">
        <v>504</v>
      </c>
      <c r="C188" t="s">
        <v>509</v>
      </c>
      <c r="D188">
        <f>HYPERLINK("http://www.reserveamerica.com/camping/hampshire-rocks/r/facilityDetails.do?contractCode=NRSO&amp;parkId=70553", "HAMPSHIRE ROCKS")</f>
        <v>0</v>
      </c>
      <c r="E188">
        <v>39.3105556</v>
      </c>
      <c r="F188">
        <v>-120.4966667</v>
      </c>
      <c r="G188" t="s">
        <v>695</v>
      </c>
      <c r="I188" t="s">
        <v>505</v>
      </c>
      <c r="J188">
        <f>HYPERLINK("http://maps.google.com/maps?z=10&amp;t=m&amp;q=loc:39.3105556+-120.4966667", 252)</f>
        <v>0</v>
      </c>
      <c r="K188">
        <v>28</v>
      </c>
      <c r="L188">
        <v>17</v>
      </c>
      <c r="M188">
        <v>0</v>
      </c>
      <c r="N188">
        <v>17</v>
      </c>
      <c r="O188">
        <v>17</v>
      </c>
    </row>
    <row r="189" spans="1:15">
      <c r="A189" s="1" t="s">
        <v>201</v>
      </c>
      <c r="B189" t="s">
        <v>504</v>
      </c>
      <c r="C189" t="s">
        <v>509</v>
      </c>
      <c r="D189">
        <f>HYPERLINK("http://www.reserveamerica.com/camping/hanna-flat/r/facilityDetails.do?contractCode=NRSO&amp;parkId=70532", "HANNA FLAT")</f>
        <v>0</v>
      </c>
      <c r="E189">
        <v>34.2877778</v>
      </c>
      <c r="F189">
        <v>-116.9744444</v>
      </c>
      <c r="G189" t="s">
        <v>696</v>
      </c>
      <c r="I189" t="s">
        <v>505</v>
      </c>
      <c r="J189">
        <f>HYPERLINK("http://maps.google.com/maps?z=10&amp;t=m&amp;q=loc:34.2877778+-116.9744444", 558)</f>
        <v>0</v>
      </c>
      <c r="K189">
        <v>125</v>
      </c>
      <c r="L189">
        <v>11</v>
      </c>
      <c r="M189">
        <v>0</v>
      </c>
      <c r="N189">
        <v>11</v>
      </c>
      <c r="O189">
        <v>12</v>
      </c>
    </row>
    <row r="190" spans="1:15">
      <c r="A190" s="1" t="s">
        <v>202</v>
      </c>
      <c r="B190" t="s">
        <v>504</v>
      </c>
      <c r="C190" t="s">
        <v>509</v>
      </c>
      <c r="D190">
        <f>HYPERLINK("http://www.reserveamerica.com/camping/hat-creek/r/facilityDetails.do?contractCode=NRSO&amp;parkId=70530", "HAT CREEK")</f>
        <v>0</v>
      </c>
      <c r="E190">
        <v>40.6677778</v>
      </c>
      <c r="F190">
        <v>-121.4455556</v>
      </c>
      <c r="G190" t="s">
        <v>697</v>
      </c>
      <c r="I190" t="s">
        <v>505</v>
      </c>
      <c r="J190">
        <f>HYPERLINK("http://maps.google.com/maps?z=10&amp;t=m&amp;q=loc:40.6677778+-121.4455556", 373)</f>
        <v>0</v>
      </c>
      <c r="K190">
        <v>5</v>
      </c>
      <c r="L190">
        <v>3</v>
      </c>
      <c r="M190">
        <v>0</v>
      </c>
      <c r="N190">
        <v>3</v>
      </c>
      <c r="O190">
        <v>3</v>
      </c>
    </row>
    <row r="191" spans="1:15">
      <c r="A191" s="1" t="s">
        <v>203</v>
      </c>
      <c r="B191" t="s">
        <v>504</v>
      </c>
      <c r="C191" t="s">
        <v>509</v>
      </c>
      <c r="D191">
        <f>HYPERLINK("http://www.reserveamerica.com/camping/hayward-flat/r/facilityDetails.do?contractCode=NRSO&amp;parkId=70515", "HAYWARD FLAT")</f>
        <v>0</v>
      </c>
      <c r="E191">
        <v>40.8744444</v>
      </c>
      <c r="F191">
        <v>-122.7691667</v>
      </c>
      <c r="G191" t="s">
        <v>698</v>
      </c>
      <c r="I191" t="s">
        <v>505</v>
      </c>
      <c r="J191">
        <f>HYPERLINK("http://maps.google.com/maps?z=10&amp;t=m&amp;q=loc:40.8744444+-122.7691667", 401)</f>
        <v>0</v>
      </c>
      <c r="K191">
        <v>349</v>
      </c>
      <c r="L191">
        <v>67</v>
      </c>
      <c r="M191">
        <v>0</v>
      </c>
      <c r="N191">
        <v>67</v>
      </c>
      <c r="O191">
        <v>67</v>
      </c>
    </row>
    <row r="192" spans="1:15">
      <c r="A192" s="1" t="s">
        <v>204</v>
      </c>
      <c r="B192" t="s">
        <v>504</v>
      </c>
      <c r="C192" t="s">
        <v>509</v>
      </c>
      <c r="D192">
        <f>HYPERLINK("http://www.reserveamerica.com/camping/headquarters/r/facilityDetails.do?contractCode=NRSO&amp;parkId=71599", "HEADQUARTERS")</f>
        <v>0</v>
      </c>
      <c r="E192">
        <v>35.7958333</v>
      </c>
      <c r="F192">
        <v>-118.4511111</v>
      </c>
      <c r="G192" t="s">
        <v>699</v>
      </c>
      <c r="I192" t="s">
        <v>505</v>
      </c>
      <c r="J192">
        <f>HYPERLINK("http://maps.google.com/maps?z=10&amp;t=m&amp;q=loc:35.7958333+-118.4511111", 352)</f>
        <v>0</v>
      </c>
      <c r="K192">
        <v>117</v>
      </c>
      <c r="L192">
        <v>11</v>
      </c>
      <c r="M192">
        <v>0</v>
      </c>
      <c r="N192">
        <v>11</v>
      </c>
      <c r="O192">
        <v>11</v>
      </c>
    </row>
    <row r="193" spans="1:15">
      <c r="A193" s="1" t="s">
        <v>205</v>
      </c>
      <c r="B193" t="s">
        <v>504</v>
      </c>
      <c r="C193" t="s">
        <v>509</v>
      </c>
      <c r="D193">
        <f>HYPERLINK("http://www.reserveamerica.com/camping/heart-bar-campground/r/facilityDetails.do?contractCode=NRSO&amp;parkId=70603", "HEART BAR CAMPGROUND")</f>
        <v>0</v>
      </c>
      <c r="E193">
        <v>34.1586111</v>
      </c>
      <c r="F193">
        <v>-116.7858333</v>
      </c>
      <c r="G193" t="s">
        <v>700</v>
      </c>
      <c r="I193" t="s">
        <v>505</v>
      </c>
      <c r="J193">
        <f>HYPERLINK("http://maps.google.com/maps?z=10&amp;t=m&amp;q=loc:34.1586111+-116.7858333", 580)</f>
        <v>0</v>
      </c>
      <c r="K193">
        <v>125</v>
      </c>
      <c r="L193">
        <v>49</v>
      </c>
      <c r="M193">
        <v>2</v>
      </c>
      <c r="N193">
        <v>47</v>
      </c>
      <c r="O193">
        <v>47</v>
      </c>
    </row>
    <row r="194" spans="1:15">
      <c r="A194" s="1" t="s">
        <v>206</v>
      </c>
      <c r="B194" t="s">
        <v>504</v>
      </c>
      <c r="C194" t="s">
        <v>509</v>
      </c>
      <c r="D194">
        <f>HYPERLINK("http://www.reserveamerica.com/camping/heart-bar-equestrian/r/facilityDetails.do?contractCode=NRSO&amp;parkId=70278", "HEART BAR EQUESTRIAN")</f>
        <v>0</v>
      </c>
      <c r="E194">
        <v>34.1586111</v>
      </c>
      <c r="F194">
        <v>-116.7858333</v>
      </c>
      <c r="G194" t="s">
        <v>701</v>
      </c>
      <c r="I194" t="s">
        <v>505</v>
      </c>
      <c r="J194">
        <f>HYPERLINK("http://maps.google.com/maps?z=10&amp;t=m&amp;q=loc:34.1586111+-116.7858333", 580)</f>
        <v>0</v>
      </c>
      <c r="K194">
        <v>125</v>
      </c>
      <c r="L194">
        <v>1</v>
      </c>
      <c r="M194">
        <v>0</v>
      </c>
      <c r="N194">
        <v>1</v>
      </c>
      <c r="O194">
        <v>1</v>
      </c>
    </row>
    <row r="195" spans="1:15">
      <c r="A195" s="1" t="s">
        <v>207</v>
      </c>
      <c r="B195" t="s">
        <v>505</v>
      </c>
      <c r="C195" t="s">
        <v>510</v>
      </c>
      <c r="D195">
        <f>HYPERLINK("http://www.reserveamerica.com/camping/henry-cowell-redwoods-sp/r/facilityDetails.do?contractCode=CA&amp;parkId=120041", "HENRY COWELL REDWOODS SP")</f>
        <v>0</v>
      </c>
      <c r="E195">
        <v>37.0236111</v>
      </c>
      <c r="F195">
        <v>-122.0519444</v>
      </c>
      <c r="G195" t="s">
        <v>702</v>
      </c>
      <c r="I195" t="s">
        <v>505</v>
      </c>
      <c r="J195">
        <f>HYPERLINK("http://maps.google.com/maps?z=10&amp;t=m&amp;q=loc:37.0236111+-122.0519444", 36)</f>
        <v>0</v>
      </c>
      <c r="K195">
        <v>200</v>
      </c>
      <c r="L195">
        <v>0</v>
      </c>
      <c r="M195">
        <v>0</v>
      </c>
      <c r="N195">
        <v>0</v>
      </c>
      <c r="O195">
        <v>0</v>
      </c>
    </row>
    <row r="196" spans="1:15">
      <c r="A196" s="1" t="s">
        <v>208</v>
      </c>
      <c r="B196" t="s">
        <v>505</v>
      </c>
      <c r="C196" t="s">
        <v>510</v>
      </c>
      <c r="D196">
        <f>HYPERLINK("http://www.reserveamerica.com/camping/henry-w-coe-sp/r/facilityDetails.do?contractCode=CA&amp;parkId=120109", "HENRY W COE SP")</f>
        <v>0</v>
      </c>
      <c r="E196">
        <v>37.18</v>
      </c>
      <c r="F196">
        <v>-121.55</v>
      </c>
      <c r="G196" t="s">
        <v>703</v>
      </c>
      <c r="I196" t="s">
        <v>505</v>
      </c>
      <c r="J196">
        <f>HYPERLINK("http://maps.google.com/maps?z=10&amp;t=m&amp;q=loc:37.18+-121.55", 35)</f>
        <v>0</v>
      </c>
      <c r="K196">
        <v>117</v>
      </c>
      <c r="L196">
        <v>5</v>
      </c>
      <c r="M196">
        <v>1</v>
      </c>
      <c r="N196">
        <v>4</v>
      </c>
      <c r="O196">
        <v>3</v>
      </c>
    </row>
    <row r="197" spans="1:15">
      <c r="A197" s="1" t="s">
        <v>209</v>
      </c>
      <c r="B197" t="s">
        <v>507</v>
      </c>
      <c r="C197" t="s">
        <v>511</v>
      </c>
      <c r="D197">
        <f>HYPERLINK("http://www.reserveamerica.com/camping/hermit-gulch/r/facilityDetails.do?contractCode=CTLN&amp;parkId=940012", "HERMIT GULCH")</f>
        <v>0</v>
      </c>
      <c r="E197">
        <v>33.3311111</v>
      </c>
      <c r="F197">
        <v>-118.3488889</v>
      </c>
      <c r="G197" t="s">
        <v>704</v>
      </c>
      <c r="I197" t="s">
        <v>505</v>
      </c>
      <c r="J197">
        <f>HYPERLINK("http://maps.google.com/maps?z=10&amp;t=m&amp;q=loc:33.3311111+-118.3488889", 548)</f>
        <v>0</v>
      </c>
      <c r="K197">
        <v>142</v>
      </c>
      <c r="L197">
        <v>38</v>
      </c>
      <c r="M197">
        <v>0</v>
      </c>
      <c r="N197">
        <v>38</v>
      </c>
      <c r="O197">
        <v>38</v>
      </c>
    </row>
    <row r="198" spans="1:15">
      <c r="A198" s="1" t="s">
        <v>210</v>
      </c>
      <c r="B198" t="s">
        <v>504</v>
      </c>
      <c r="C198" t="s">
        <v>509</v>
      </c>
      <c r="D198">
        <f>HYPERLINK("http://www.reserveamerica.com/camping/hidden-view/r/facilityDetails.do?contractCode=NRSO&amp;parkId=73203", "HIDDEN VIEW")</f>
        <v>0</v>
      </c>
      <c r="E198">
        <v>37.1247222</v>
      </c>
      <c r="F198">
        <v>-119.8972222</v>
      </c>
      <c r="G198" t="s">
        <v>705</v>
      </c>
      <c r="I198" t="s">
        <v>505</v>
      </c>
      <c r="J198">
        <f>HYPERLINK("http://maps.google.com/maps?z=10&amp;t=m&amp;q=loc:37.1247222+-119.8972222", 179)</f>
        <v>0</v>
      </c>
      <c r="K198">
        <v>96</v>
      </c>
      <c r="L198">
        <v>51</v>
      </c>
      <c r="M198">
        <v>1</v>
      </c>
      <c r="N198">
        <v>50</v>
      </c>
      <c r="O198">
        <v>50</v>
      </c>
    </row>
    <row r="199" spans="1:15">
      <c r="A199" s="1" t="s">
        <v>211</v>
      </c>
      <c r="B199" t="s">
        <v>504</v>
      </c>
      <c r="C199" t="s">
        <v>509</v>
      </c>
      <c r="D199">
        <f>HYPERLINK("http://www.reserveamerica.com/camping/hirz-bay/r/facilityDetails.do?contractCode=NRSO&amp;parkId=71523", "HIRZ BAY")</f>
        <v>0</v>
      </c>
      <c r="E199">
        <v>40.8666667</v>
      </c>
      <c r="F199">
        <v>-122.2530556</v>
      </c>
      <c r="G199" t="s">
        <v>706</v>
      </c>
      <c r="I199" t="s">
        <v>505</v>
      </c>
      <c r="J199">
        <f>HYPERLINK("http://maps.google.com/maps?z=10&amp;t=m&amp;q=loc:40.8666667+-122.2530556", 394)</f>
        <v>0</v>
      </c>
      <c r="K199">
        <v>355</v>
      </c>
      <c r="L199">
        <v>30</v>
      </c>
      <c r="M199">
        <v>0</v>
      </c>
      <c r="N199">
        <v>30</v>
      </c>
      <c r="O199">
        <v>30</v>
      </c>
    </row>
    <row r="200" spans="1:15">
      <c r="A200" s="1" t="s">
        <v>212</v>
      </c>
      <c r="B200" t="s">
        <v>504</v>
      </c>
      <c r="C200" t="s">
        <v>509</v>
      </c>
      <c r="D200">
        <f>HYPERLINK("http://www.reserveamerica.com/camping/hirz-bay-group-1/r/facilityDetails.do?contractCode=NRSO&amp;parkId=71927", "HIRZ BAY GROUP 1")</f>
        <v>0</v>
      </c>
      <c r="E200">
        <v>40.8666667</v>
      </c>
      <c r="F200">
        <v>-122.2530556</v>
      </c>
      <c r="G200" t="s">
        <v>707</v>
      </c>
      <c r="I200" t="s">
        <v>505</v>
      </c>
      <c r="J200">
        <f>HYPERLINK("http://maps.google.com/maps?z=10&amp;t=m&amp;q=loc:40.8666667+-122.2530556", 394)</f>
        <v>0</v>
      </c>
      <c r="K200">
        <v>355</v>
      </c>
      <c r="L200">
        <v>1</v>
      </c>
      <c r="M200">
        <v>0</v>
      </c>
      <c r="N200">
        <v>1</v>
      </c>
      <c r="O200">
        <v>1</v>
      </c>
    </row>
    <row r="201" spans="1:15">
      <c r="A201" s="1" t="s">
        <v>213</v>
      </c>
      <c r="B201" t="s">
        <v>504</v>
      </c>
      <c r="C201" t="s">
        <v>509</v>
      </c>
      <c r="D201">
        <f>HYPERLINK("http://www.reserveamerica.com/camping/hirz-bay-group-2/r/facilityDetails.do?contractCode=NRSO&amp;parkId=71928", "HIRZ BAY GROUP 2")</f>
        <v>0</v>
      </c>
      <c r="E201">
        <v>40.8666667</v>
      </c>
      <c r="F201">
        <v>-122.2530556</v>
      </c>
      <c r="G201" t="s">
        <v>708</v>
      </c>
      <c r="I201" t="s">
        <v>505</v>
      </c>
      <c r="J201">
        <f>HYPERLINK("http://maps.google.com/maps?z=10&amp;t=m&amp;q=loc:40.8666667+-122.2530556", 394)</f>
        <v>0</v>
      </c>
      <c r="K201">
        <v>355</v>
      </c>
      <c r="L201">
        <v>1</v>
      </c>
      <c r="M201">
        <v>0</v>
      </c>
      <c r="N201">
        <v>1</v>
      </c>
      <c r="O201">
        <v>1</v>
      </c>
    </row>
    <row r="202" spans="1:15">
      <c r="A202" s="1" t="s">
        <v>214</v>
      </c>
      <c r="B202" t="s">
        <v>504</v>
      </c>
      <c r="C202" t="s">
        <v>509</v>
      </c>
      <c r="D202">
        <f>HYPERLINK("http://www.reserveamerica.com/camping/hodgdon-meadow/r/facilityDetails.do?contractCode=NRSO&amp;parkId=70929", "HODGDON MEADOW")</f>
        <v>0</v>
      </c>
      <c r="E202">
        <v>37.7988889</v>
      </c>
      <c r="F202">
        <v>-119.8658333</v>
      </c>
      <c r="G202" t="s">
        <v>709</v>
      </c>
      <c r="I202" t="s">
        <v>505</v>
      </c>
      <c r="J202">
        <f>HYPERLINK("http://maps.google.com/maps?z=10&amp;t=m&amp;q=loc:37.7988889+-119.8658333", 187)</f>
        <v>0</v>
      </c>
      <c r="K202">
        <v>73</v>
      </c>
      <c r="L202">
        <v>0</v>
      </c>
      <c r="M202">
        <v>0</v>
      </c>
      <c r="N202">
        <v>0</v>
      </c>
      <c r="O202">
        <v>0</v>
      </c>
    </row>
    <row r="203" spans="1:15">
      <c r="A203" s="1" t="s">
        <v>215</v>
      </c>
      <c r="B203" t="s">
        <v>504</v>
      </c>
      <c r="C203" t="s">
        <v>509</v>
      </c>
      <c r="D203">
        <f>HYPERLINK("http://www.reserveamerica.com/camping/holey-meadow/r/facilityDetails.do?contractCode=NRSO&amp;parkId=71606", "HOLEY MEADOW")</f>
        <v>0</v>
      </c>
      <c r="E203">
        <v>35.9541667</v>
      </c>
      <c r="F203">
        <v>-118.6180556</v>
      </c>
      <c r="G203" t="s">
        <v>710</v>
      </c>
      <c r="I203" t="s">
        <v>505</v>
      </c>
      <c r="J203">
        <f>HYPERLINK("http://maps.google.com/maps?z=10&amp;t=m&amp;q=loc:35.9541667+-118.6180556", 330)</f>
        <v>0</v>
      </c>
      <c r="K203">
        <v>116</v>
      </c>
      <c r="L203">
        <v>9</v>
      </c>
      <c r="M203">
        <v>0</v>
      </c>
      <c r="N203">
        <v>9</v>
      </c>
      <c r="O203">
        <v>9</v>
      </c>
    </row>
    <row r="204" spans="1:15">
      <c r="A204" s="1" t="s">
        <v>216</v>
      </c>
      <c r="B204" t="s">
        <v>504</v>
      </c>
      <c r="C204" t="s">
        <v>509</v>
      </c>
      <c r="D204">
        <f>HYPERLINK("http://www.reserveamerica.com/camping/holiday-group-campground/r/facilityDetails.do?contractCode=NRSO&amp;parkId=70687", "HOLIDAY GROUP CAMPGROUND")</f>
        <v>0</v>
      </c>
      <c r="E204">
        <v>34.5172222</v>
      </c>
      <c r="F204">
        <v>-119.2769444</v>
      </c>
      <c r="G204" t="s">
        <v>711</v>
      </c>
      <c r="I204" t="s">
        <v>505</v>
      </c>
      <c r="J204">
        <f>HYPERLINK("http://maps.google.com/maps?z=10&amp;t=m&amp;q=loc:34.5172222+-119.2769444", 391)</f>
        <v>0</v>
      </c>
      <c r="K204">
        <v>142</v>
      </c>
      <c r="L204">
        <v>0</v>
      </c>
      <c r="M204">
        <v>0</v>
      </c>
      <c r="N204">
        <v>0</v>
      </c>
      <c r="O204">
        <v>0</v>
      </c>
    </row>
    <row r="205" spans="1:15">
      <c r="A205" s="1" t="s">
        <v>217</v>
      </c>
      <c r="B205" t="s">
        <v>504</v>
      </c>
      <c r="C205" t="s">
        <v>509</v>
      </c>
      <c r="D205">
        <f>HYPERLINK("http://www.reserveamerica.com/camping/honeymoon-flat/r/facilityDetails.do?contractCode=NRSO&amp;parkId=70280", "HONEYMOON FLAT")</f>
        <v>0</v>
      </c>
      <c r="E205">
        <v>38.2013889</v>
      </c>
      <c r="F205">
        <v>-119.32</v>
      </c>
      <c r="G205" t="s">
        <v>712</v>
      </c>
      <c r="I205" t="s">
        <v>505</v>
      </c>
      <c r="J205">
        <f>HYPERLINK("http://maps.google.com/maps?z=10&amp;t=m&amp;q=loc:38.2013889+-119.32", 247)</f>
        <v>0</v>
      </c>
      <c r="K205">
        <v>66</v>
      </c>
      <c r="L205">
        <v>0</v>
      </c>
      <c r="M205">
        <v>0</v>
      </c>
      <c r="N205">
        <v>0</v>
      </c>
      <c r="O205">
        <v>0</v>
      </c>
    </row>
    <row r="206" spans="1:15">
      <c r="A206" s="1" t="s">
        <v>218</v>
      </c>
      <c r="B206" t="s">
        <v>504</v>
      </c>
      <c r="C206" t="s">
        <v>509</v>
      </c>
      <c r="D206">
        <f>HYPERLINK("http://www.reserveamerica.com/camping/hope-valley/r/facilityDetails.do?contractCode=NRSO&amp;parkId=70458", "HOPE VALLEY")</f>
        <v>0</v>
      </c>
      <c r="E206">
        <v>38.8972778</v>
      </c>
      <c r="F206">
        <v>-119.930125</v>
      </c>
      <c r="G206" t="s">
        <v>713</v>
      </c>
      <c r="H206" t="s">
        <v>997</v>
      </c>
      <c r="I206" t="s">
        <v>505</v>
      </c>
      <c r="J206">
        <f>HYPERLINK("http://maps.google.com/maps?z=10&amp;t=m&amp;q=loc:38.8972778+-119.930125", 245)</f>
        <v>0</v>
      </c>
      <c r="K206">
        <v>44</v>
      </c>
      <c r="L206">
        <v>0</v>
      </c>
      <c r="M206">
        <v>0</v>
      </c>
      <c r="N206">
        <v>0</v>
      </c>
      <c r="O206">
        <v>0</v>
      </c>
    </row>
    <row r="207" spans="1:15">
      <c r="A207" s="1" t="s">
        <v>219</v>
      </c>
      <c r="B207" t="s">
        <v>504</v>
      </c>
      <c r="C207" t="s">
        <v>509</v>
      </c>
      <c r="D207">
        <f>HYPERLINK("http://www.reserveamerica.com/camping/horse-creek/r/facilityDetails.do?contractCode=NRSO&amp;parkId=73511", "HORSE CREEK")</f>
        <v>0</v>
      </c>
      <c r="E207">
        <v>36.3905556</v>
      </c>
      <c r="F207">
        <v>-118.9547222</v>
      </c>
      <c r="G207" t="s">
        <v>714</v>
      </c>
      <c r="I207" t="s">
        <v>505</v>
      </c>
      <c r="J207">
        <f>HYPERLINK("http://maps.google.com/maps?z=10&amp;t=m&amp;q=loc:36.3905556+-118.9547222", 282)</f>
        <v>0</v>
      </c>
      <c r="K207">
        <v>110</v>
      </c>
      <c r="L207">
        <v>67</v>
      </c>
      <c r="M207">
        <v>1</v>
      </c>
      <c r="N207">
        <v>66</v>
      </c>
      <c r="O207">
        <v>66</v>
      </c>
    </row>
    <row r="208" spans="1:15">
      <c r="A208" s="1" t="s">
        <v>220</v>
      </c>
      <c r="B208" t="s">
        <v>504</v>
      </c>
      <c r="C208" t="s">
        <v>509</v>
      </c>
      <c r="D208">
        <f>HYPERLINK("http://www.reserveamerica.com/camping/horse-heaven-group/r/facilityDetails.do?contractCode=NRSO&amp;parkId=70149", "HORSE HEAVEN GROUP")</f>
        <v>0</v>
      </c>
      <c r="E208">
        <v>32.8875</v>
      </c>
      <c r="F208">
        <v>-116.4408333</v>
      </c>
      <c r="G208" t="s">
        <v>715</v>
      </c>
      <c r="I208" t="s">
        <v>505</v>
      </c>
      <c r="J208">
        <f>HYPERLINK("http://maps.google.com/maps?z=10&amp;t=m&amp;q=loc:32.8875+-116.4408333", 699)</f>
        <v>0</v>
      </c>
      <c r="K208">
        <v>133</v>
      </c>
      <c r="L208">
        <v>0</v>
      </c>
      <c r="M208">
        <v>0</v>
      </c>
      <c r="N208">
        <v>0</v>
      </c>
      <c r="O208">
        <v>0</v>
      </c>
    </row>
    <row r="209" spans="1:15">
      <c r="A209" s="1" t="s">
        <v>221</v>
      </c>
      <c r="B209" t="s">
        <v>504</v>
      </c>
      <c r="C209" t="s">
        <v>509</v>
      </c>
      <c r="D209">
        <f>HYPERLINK("http://www.reserveamerica.com/camping/hospital-flat/r/facilityDetails.do?contractCode=NRSO&amp;parkId=71595", "HOSPITAL FLAT")</f>
        <v>0</v>
      </c>
      <c r="E209">
        <v>35.8286111</v>
      </c>
      <c r="F209">
        <v>-118.4577778</v>
      </c>
      <c r="G209" t="s">
        <v>716</v>
      </c>
      <c r="I209" t="s">
        <v>505</v>
      </c>
      <c r="J209">
        <f>HYPERLINK("http://maps.google.com/maps?z=10&amp;t=m&amp;q=loc:35.8286111+-118.4577778", 349)</f>
        <v>0</v>
      </c>
      <c r="K209">
        <v>117</v>
      </c>
      <c r="L209">
        <v>24</v>
      </c>
      <c r="M209">
        <v>0</v>
      </c>
      <c r="N209">
        <v>24</v>
      </c>
      <c r="O209">
        <v>24</v>
      </c>
    </row>
    <row r="210" spans="1:15">
      <c r="A210" s="1" t="s">
        <v>222</v>
      </c>
      <c r="B210" t="s">
        <v>505</v>
      </c>
      <c r="C210" t="s">
        <v>510</v>
      </c>
      <c r="D210">
        <f>HYPERLINK("http://www.reserveamerica.com/camping/humboldt-redwoods-sp/r/facilityDetails.do?contractCode=CA&amp;parkId=120042", "HUMBOLDT REDWOODS SP")</f>
        <v>0</v>
      </c>
      <c r="E210">
        <v>40.3144444</v>
      </c>
      <c r="F210">
        <v>-123.915</v>
      </c>
      <c r="G210" t="s">
        <v>717</v>
      </c>
      <c r="I210" t="s">
        <v>505</v>
      </c>
      <c r="J210">
        <f>HYPERLINK("http://maps.google.com/maps?z=10&amp;t=m&amp;q=loc:40.3144444+-123.915", 374)</f>
        <v>0</v>
      </c>
      <c r="K210">
        <v>332</v>
      </c>
      <c r="L210">
        <v>15</v>
      </c>
      <c r="M210">
        <v>2</v>
      </c>
      <c r="N210">
        <v>13</v>
      </c>
      <c r="O210">
        <v>13</v>
      </c>
    </row>
    <row r="211" spans="1:15">
      <c r="A211" s="1" t="s">
        <v>223</v>
      </c>
      <c r="B211" t="s">
        <v>504</v>
      </c>
      <c r="C211" t="s">
        <v>509</v>
      </c>
      <c r="D211">
        <f>HYPERLINK("http://www.reserveamerica.com/camping/hume-lake/r/facilityDetails.do?contractCode=NRSO&amp;parkId=71547", "HUME LAKE")</f>
        <v>0</v>
      </c>
      <c r="E211">
        <v>36.7947222</v>
      </c>
      <c r="F211">
        <v>-118.9047222</v>
      </c>
      <c r="G211" t="s">
        <v>718</v>
      </c>
      <c r="I211" t="s">
        <v>505</v>
      </c>
      <c r="J211">
        <f>HYPERLINK("http://maps.google.com/maps?z=10&amp;t=m&amp;q=loc:36.7947222+-118.9047222", 272)</f>
        <v>0</v>
      </c>
      <c r="K211">
        <v>101</v>
      </c>
      <c r="L211">
        <v>22</v>
      </c>
      <c r="M211">
        <v>0</v>
      </c>
      <c r="N211">
        <v>22</v>
      </c>
      <c r="O211">
        <v>22</v>
      </c>
    </row>
    <row r="212" spans="1:15">
      <c r="A212" s="1" t="s">
        <v>224</v>
      </c>
      <c r="B212" t="s">
        <v>504</v>
      </c>
      <c r="C212" t="s">
        <v>509</v>
      </c>
      <c r="D212">
        <f>HYPERLINK("http://www.reserveamerica.com/camping/hungry-gulch/r/facilityDetails.do?contractCode=NRSO&amp;parkId=71568", "HUNGRY GULCH")</f>
        <v>0</v>
      </c>
      <c r="E212">
        <v>35.6719444</v>
      </c>
      <c r="F212">
        <v>-118.4722222</v>
      </c>
      <c r="G212" t="s">
        <v>719</v>
      </c>
      <c r="I212" t="s">
        <v>505</v>
      </c>
      <c r="J212">
        <f>HYPERLINK("http://maps.google.com/maps?z=10&amp;t=m&amp;q=loc:35.6719444+-118.4722222", 357)</f>
        <v>0</v>
      </c>
      <c r="K212">
        <v>119</v>
      </c>
      <c r="L212">
        <v>74</v>
      </c>
      <c r="M212">
        <v>0</v>
      </c>
      <c r="N212">
        <v>74</v>
      </c>
      <c r="O212">
        <v>74</v>
      </c>
    </row>
    <row r="213" spans="1:15">
      <c r="A213" s="1" t="s">
        <v>225</v>
      </c>
      <c r="B213" t="s">
        <v>504</v>
      </c>
      <c r="C213" t="s">
        <v>509</v>
      </c>
      <c r="D213">
        <f>HYPERLINK("http://www.reserveamerica.com/camping/hutchins/r/facilityDetails.do?contractCode=NRSO&amp;parkId=70561", "HUTCHINS")</f>
        <v>0</v>
      </c>
      <c r="E213">
        <v>39.8830556</v>
      </c>
      <c r="F213">
        <v>-121.1991667</v>
      </c>
      <c r="G213" t="s">
        <v>720</v>
      </c>
      <c r="I213" t="s">
        <v>505</v>
      </c>
      <c r="J213">
        <f>HYPERLINK("http://maps.google.com/maps?z=10&amp;t=m&amp;q=loc:39.8830556+-121.1991667", 290)</f>
        <v>0</v>
      </c>
      <c r="K213">
        <v>11</v>
      </c>
      <c r="L213">
        <v>0</v>
      </c>
      <c r="M213">
        <v>0</v>
      </c>
      <c r="N213">
        <v>0</v>
      </c>
      <c r="O213">
        <v>0</v>
      </c>
    </row>
    <row r="214" spans="1:15">
      <c r="A214" s="1" t="s">
        <v>226</v>
      </c>
      <c r="B214" t="s">
        <v>504</v>
      </c>
      <c r="C214" t="s">
        <v>509</v>
      </c>
      <c r="D214">
        <f>HYPERLINK("http://www.reserveamerica.com/camping/ice-house/r/facilityDetails.do?contractCode=NRSO&amp;parkId=70283", "ICE HOUSE")</f>
        <v>0</v>
      </c>
      <c r="E214">
        <v>38.8233333</v>
      </c>
      <c r="F214">
        <v>-120.3588889</v>
      </c>
      <c r="G214" t="s">
        <v>721</v>
      </c>
      <c r="I214" t="s">
        <v>505</v>
      </c>
      <c r="J214">
        <f>HYPERLINK("http://maps.google.com/maps?z=10&amp;t=m&amp;q=loc:38.8233333+-120.3588889", 214)</f>
        <v>0</v>
      </c>
      <c r="K214">
        <v>38</v>
      </c>
      <c r="L214">
        <v>0</v>
      </c>
      <c r="M214">
        <v>0</v>
      </c>
      <c r="N214">
        <v>0</v>
      </c>
      <c r="O214">
        <v>0</v>
      </c>
    </row>
    <row r="215" spans="1:15">
      <c r="A215" s="1" t="s">
        <v>227</v>
      </c>
      <c r="B215" t="s">
        <v>504</v>
      </c>
      <c r="C215" t="s">
        <v>509</v>
      </c>
      <c r="D215">
        <f>HYPERLINK("http://www.reserveamerica.com/camping/indian-cove-campground/r/facilityDetails.do?contractCode=NRSO&amp;parkId=70952", "INDIAN COVE CAMPGROUND")</f>
        <v>0</v>
      </c>
      <c r="E215">
        <v>34.12</v>
      </c>
      <c r="F215">
        <v>-116.1558333</v>
      </c>
      <c r="G215" t="s">
        <v>722</v>
      </c>
      <c r="I215" t="s">
        <v>505</v>
      </c>
      <c r="J215">
        <f>HYPERLINK("http://maps.google.com/maps?z=10&amp;t=m&amp;q=loc:34.12+-116.1558333", 629)</f>
        <v>0</v>
      </c>
      <c r="K215">
        <v>122</v>
      </c>
      <c r="L215">
        <v>0</v>
      </c>
      <c r="M215">
        <v>0</v>
      </c>
      <c r="N215">
        <v>0</v>
      </c>
      <c r="O215">
        <v>0</v>
      </c>
    </row>
    <row r="216" spans="1:15">
      <c r="A216" s="1" t="s">
        <v>228</v>
      </c>
      <c r="B216" t="s">
        <v>505</v>
      </c>
      <c r="C216" t="s">
        <v>510</v>
      </c>
      <c r="D216">
        <f>HYPERLINK("http://www.reserveamerica.com/camping/indian-grinding-rock-shp/r/facilityDetails.do?contractCode=CA&amp;parkId=120043", "INDIAN GRINDING ROCK SHP")</f>
        <v>0</v>
      </c>
      <c r="G216" t="s">
        <v>723</v>
      </c>
      <c r="I216" t="s">
        <v>505</v>
      </c>
      <c r="J216">
        <f>HYPERLINK("http://maps.google.com/maps?z=10&amp;t=m&amp;q=loc:nan+nan", 0)</f>
        <v>0</v>
      </c>
      <c r="K216">
        <v>0</v>
      </c>
      <c r="L216">
        <v>22</v>
      </c>
      <c r="M216">
        <v>0</v>
      </c>
      <c r="N216">
        <v>22</v>
      </c>
      <c r="O216">
        <v>22</v>
      </c>
    </row>
    <row r="217" spans="1:15">
      <c r="A217" s="1" t="s">
        <v>229</v>
      </c>
      <c r="B217" t="s">
        <v>504</v>
      </c>
      <c r="C217" t="s">
        <v>509</v>
      </c>
      <c r="D217">
        <f>HYPERLINK("http://www.reserveamerica.com/camping/indian-scotty-group-site/r/facilityDetails.do?contractCode=NRSO&amp;parkId=75213", "INDIAN SCOTTY GROUP SITE")</f>
        <v>0</v>
      </c>
      <c r="E217">
        <v>41.6322222</v>
      </c>
      <c r="F217">
        <v>-123.0819444</v>
      </c>
      <c r="G217" t="s">
        <v>724</v>
      </c>
      <c r="H217" t="s">
        <v>997</v>
      </c>
      <c r="I217" t="s">
        <v>505</v>
      </c>
      <c r="J217">
        <f>HYPERLINK("http://maps.google.com/maps?z=10&amp;t=m&amp;q=loc:41.6322222+-123.0819444", 488)</f>
        <v>0</v>
      </c>
      <c r="K217">
        <v>348</v>
      </c>
      <c r="L217">
        <v>1</v>
      </c>
      <c r="M217">
        <v>0</v>
      </c>
      <c r="N217">
        <v>1</v>
      </c>
      <c r="O217">
        <v>1</v>
      </c>
    </row>
    <row r="218" spans="1:15">
      <c r="A218" s="1" t="s">
        <v>230</v>
      </c>
      <c r="B218" t="s">
        <v>504</v>
      </c>
      <c r="C218" t="s">
        <v>509</v>
      </c>
      <c r="D218">
        <f>HYPERLINK("http://www.reserveamerica.com/camping/indian-springs/r/facilityDetails.do?contractCode=NRSO&amp;parkId=75486", "INDIAN SPRINGS")</f>
        <v>0</v>
      </c>
      <c r="E218">
        <v>39.3293389</v>
      </c>
      <c r="F218">
        <v>-120.5694306</v>
      </c>
      <c r="G218" t="s">
        <v>725</v>
      </c>
      <c r="I218" t="s">
        <v>505</v>
      </c>
      <c r="J218">
        <f>HYPERLINK("http://maps.google.com/maps?z=10&amp;t=m&amp;q=loc:39.3293389+-120.5694306", 251)</f>
        <v>0</v>
      </c>
      <c r="K218">
        <v>27</v>
      </c>
      <c r="L218">
        <v>24</v>
      </c>
      <c r="M218">
        <v>0</v>
      </c>
      <c r="N218">
        <v>24</v>
      </c>
      <c r="O218">
        <v>24</v>
      </c>
    </row>
    <row r="219" spans="1:15">
      <c r="A219" s="1" t="s">
        <v>231</v>
      </c>
      <c r="B219" t="s">
        <v>504</v>
      </c>
      <c r="C219" t="s">
        <v>509</v>
      </c>
      <c r="D219">
        <f>HYPERLINK("http://www.reserveamerica.com/camping/indian-valley/r/facilityDetails.do?contractCode=NRSO&amp;parkId=75438", "INDIAN VALLEY")</f>
        <v>0</v>
      </c>
      <c r="E219">
        <v>39.5133333</v>
      </c>
      <c r="F219">
        <v>-120.9833333</v>
      </c>
      <c r="G219" t="s">
        <v>726</v>
      </c>
      <c r="I219" t="s">
        <v>505</v>
      </c>
      <c r="J219">
        <f>HYPERLINK("http://maps.google.com/maps?z=10&amp;t=m&amp;q=loc:39.5133333+-120.9833333", 255)</f>
        <v>0</v>
      </c>
      <c r="K219">
        <v>18</v>
      </c>
      <c r="L219">
        <v>0</v>
      </c>
      <c r="M219">
        <v>0</v>
      </c>
      <c r="N219">
        <v>0</v>
      </c>
      <c r="O219">
        <v>0</v>
      </c>
    </row>
    <row r="220" spans="1:15">
      <c r="A220" s="1" t="s">
        <v>232</v>
      </c>
      <c r="B220" t="s">
        <v>504</v>
      </c>
      <c r="C220" t="s">
        <v>509</v>
      </c>
      <c r="D220">
        <f>HYPERLINK("http://www.reserveamerica.com/camping/ironwood-group-camp/r/facilityDetails.do?contractCode=NRSO&amp;parkId=70176", "IRONWOOD GROUP CAMP")</f>
        <v>0</v>
      </c>
      <c r="E220">
        <v>34.3038889</v>
      </c>
      <c r="F220">
        <v>-117.0119444</v>
      </c>
      <c r="G220" t="s">
        <v>727</v>
      </c>
      <c r="I220" t="s">
        <v>505</v>
      </c>
      <c r="J220">
        <f>HYPERLINK("http://maps.google.com/maps?z=10&amp;t=m&amp;q=loc:34.3038889+-117.0119444", 554)</f>
        <v>0</v>
      </c>
      <c r="K220">
        <v>125</v>
      </c>
      <c r="L220">
        <v>1</v>
      </c>
      <c r="M220">
        <v>0</v>
      </c>
      <c r="N220">
        <v>1</v>
      </c>
      <c r="O220">
        <v>1</v>
      </c>
    </row>
    <row r="221" spans="1:15">
      <c r="A221" s="1" t="s">
        <v>233</v>
      </c>
      <c r="B221" t="s">
        <v>504</v>
      </c>
      <c r="C221" t="s">
        <v>509</v>
      </c>
      <c r="D221">
        <f>HYPERLINK("http://www.reserveamerica.com/camping/island-park/r/facilityDetails.do?contractCode=NRSO&amp;parkId=73223", "ISLAND PARK")</f>
        <v>0</v>
      </c>
      <c r="E221">
        <v>36.8646444</v>
      </c>
      <c r="F221">
        <v>-119.3157278</v>
      </c>
      <c r="G221" t="s">
        <v>728</v>
      </c>
      <c r="I221" t="s">
        <v>505</v>
      </c>
      <c r="J221">
        <f>HYPERLINK("http://maps.google.com/maps?z=10&amp;t=m&amp;q=loc:36.8646444+-119.3157278", 235)</f>
        <v>0</v>
      </c>
      <c r="K221">
        <v>101</v>
      </c>
      <c r="L221">
        <v>82</v>
      </c>
      <c r="M221">
        <v>0</v>
      </c>
      <c r="N221">
        <v>82</v>
      </c>
      <c r="O221">
        <v>82</v>
      </c>
    </row>
    <row r="222" spans="1:15">
      <c r="A222" s="1" t="s">
        <v>234</v>
      </c>
      <c r="B222" t="s">
        <v>504</v>
      </c>
      <c r="C222" t="s">
        <v>509</v>
      </c>
      <c r="D222">
        <f>HYPERLINK("http://www.reserveamerica.com/camping/jackass-meadow/r/facilityDetails.do?contractCode=NRSO&amp;parkId=71581", "JACKASS MEADOW")</f>
        <v>0</v>
      </c>
      <c r="E222">
        <v>37.2797222</v>
      </c>
      <c r="F222">
        <v>-118.9636111</v>
      </c>
      <c r="G222" t="s">
        <v>729</v>
      </c>
      <c r="I222" t="s">
        <v>505</v>
      </c>
      <c r="J222">
        <f>HYPERLINK("http://maps.google.com/maps?z=10&amp;t=m&amp;q=loc:37.2797222+-118.9636111", 260)</f>
        <v>0</v>
      </c>
      <c r="K222">
        <v>90</v>
      </c>
      <c r="L222">
        <v>32</v>
      </c>
      <c r="M222">
        <v>0</v>
      </c>
      <c r="N222">
        <v>32</v>
      </c>
      <c r="O222">
        <v>32</v>
      </c>
    </row>
    <row r="223" spans="1:15">
      <c r="A223" s="1" t="s">
        <v>235</v>
      </c>
      <c r="B223" t="s">
        <v>504</v>
      </c>
      <c r="C223" t="s">
        <v>509</v>
      </c>
      <c r="D223">
        <f>HYPERLINK("http://www.reserveamerica.com/camping/jackson-flats/r/facilityDetails.do?contractCode=NRSO&amp;parkId=73582", "JACKSON FLATS")</f>
        <v>0</v>
      </c>
      <c r="E223">
        <v>34.3608333</v>
      </c>
      <c r="F223">
        <v>-117.7991667</v>
      </c>
      <c r="G223" t="s">
        <v>730</v>
      </c>
      <c r="I223" t="s">
        <v>505</v>
      </c>
      <c r="J223">
        <f>HYPERLINK("http://maps.google.com/maps?z=10&amp;t=m&amp;q=loc:34.3608333+-117.7991667", 495)</f>
        <v>0</v>
      </c>
      <c r="K223">
        <v>130</v>
      </c>
      <c r="L223">
        <v>3</v>
      </c>
      <c r="M223">
        <v>0</v>
      </c>
      <c r="N223">
        <v>3</v>
      </c>
      <c r="O223">
        <v>3</v>
      </c>
    </row>
    <row r="224" spans="1:15">
      <c r="A224" s="1" t="s">
        <v>236</v>
      </c>
      <c r="B224" t="s">
        <v>505</v>
      </c>
      <c r="C224" t="s">
        <v>510</v>
      </c>
      <c r="D224">
        <f>HYPERLINK("http://www.reserveamerica.com/camping/jedediah-smith-redwoods-sp/r/facilityDetails.do?contractCode=CA&amp;parkId=120044", "JEDEDIAH SMITH REDWOODS SP")</f>
        <v>0</v>
      </c>
      <c r="E224">
        <v>41.7816667</v>
      </c>
      <c r="F224">
        <v>-124.1008333</v>
      </c>
      <c r="G224" t="s">
        <v>731</v>
      </c>
      <c r="I224" t="s">
        <v>505</v>
      </c>
      <c r="J224">
        <f>HYPERLINK("http://maps.google.com/maps?z=10&amp;t=m&amp;q=loc:41.7816667+-124.1008333", 529)</f>
        <v>0</v>
      </c>
      <c r="K224">
        <v>339</v>
      </c>
      <c r="L224">
        <v>1</v>
      </c>
      <c r="M224">
        <v>1</v>
      </c>
      <c r="N224">
        <v>0</v>
      </c>
      <c r="O224">
        <v>0</v>
      </c>
    </row>
    <row r="225" spans="1:15">
      <c r="A225" s="1" t="s">
        <v>237</v>
      </c>
      <c r="B225" t="s">
        <v>504</v>
      </c>
      <c r="C225" t="s">
        <v>509</v>
      </c>
      <c r="E225">
        <v>41.8161111</v>
      </c>
      <c r="F225">
        <v>-122.1216667</v>
      </c>
      <c r="G225" t="s">
        <v>732</v>
      </c>
      <c r="H225" t="s">
        <v>998</v>
      </c>
      <c r="I225" t="s">
        <v>505</v>
      </c>
      <c r="J225">
        <f>HYPERLINK("http://maps.google.com/maps?z=10&amp;t=m&amp;q=loc:41.8161111+-122.1216667", 499)</f>
        <v>0</v>
      </c>
      <c r="K225">
        <v>357</v>
      </c>
      <c r="L225">
        <v>0</v>
      </c>
      <c r="M225">
        <v>0</v>
      </c>
      <c r="N225">
        <v>0</v>
      </c>
      <c r="O225">
        <v>0</v>
      </c>
    </row>
    <row r="226" spans="1:15">
      <c r="A226" s="1" t="s">
        <v>238</v>
      </c>
      <c r="B226" t="s">
        <v>505</v>
      </c>
      <c r="C226" t="s">
        <v>510</v>
      </c>
      <c r="D226">
        <f>HYPERLINK("http://www.reserveamerica.com/camping/julia-pfeiffer-burns-sp/r/facilityDetails.do?contractCode=CA&amp;parkId=120045", "JULIA PFEIFFER BURNS SP")</f>
        <v>0</v>
      </c>
      <c r="E226">
        <v>36.1711111</v>
      </c>
      <c r="F226">
        <v>-121.6722222</v>
      </c>
      <c r="G226" t="s">
        <v>733</v>
      </c>
      <c r="I226" t="s">
        <v>505</v>
      </c>
      <c r="J226">
        <f>HYPERLINK("http://maps.google.com/maps?z=10&amp;t=m&amp;q=loc:36.1711111+-121.6722222", 130)</f>
        <v>0</v>
      </c>
      <c r="K226">
        <v>170</v>
      </c>
      <c r="L226">
        <v>0</v>
      </c>
      <c r="M226">
        <v>0</v>
      </c>
      <c r="N226">
        <v>0</v>
      </c>
      <c r="O226">
        <v>0</v>
      </c>
    </row>
    <row r="227" spans="1:15">
      <c r="A227" s="1" t="s">
        <v>239</v>
      </c>
      <c r="B227" t="s">
        <v>504</v>
      </c>
      <c r="C227" t="s">
        <v>509</v>
      </c>
      <c r="D227">
        <f>HYPERLINK("http://www.reserveamerica.com/camping/june-lake/r/facilityDetails.do?contractCode=NRSO&amp;parkId=70564", "JUNE LAKE")</f>
        <v>0</v>
      </c>
      <c r="E227">
        <v>37.7819444</v>
      </c>
      <c r="F227">
        <v>-119.0738889</v>
      </c>
      <c r="G227" t="s">
        <v>734</v>
      </c>
      <c r="I227" t="s">
        <v>505</v>
      </c>
      <c r="J227">
        <f>HYPERLINK("http://maps.google.com/maps?z=10&amp;t=m&amp;q=loc:37.7819444+-119.0738889", 254)</f>
        <v>0</v>
      </c>
      <c r="K227">
        <v>77</v>
      </c>
      <c r="L227">
        <v>0</v>
      </c>
      <c r="M227">
        <v>0</v>
      </c>
      <c r="N227">
        <v>0</v>
      </c>
      <c r="O227">
        <v>0</v>
      </c>
    </row>
    <row r="228" spans="1:15">
      <c r="A228" s="1" t="s">
        <v>240</v>
      </c>
      <c r="B228" t="s">
        <v>504</v>
      </c>
      <c r="C228" t="s">
        <v>509</v>
      </c>
      <c r="E228">
        <v>40.4511111</v>
      </c>
      <c r="F228">
        <v>-121.2958333</v>
      </c>
      <c r="G228" t="s">
        <v>735</v>
      </c>
      <c r="I228" t="s">
        <v>505</v>
      </c>
      <c r="J228">
        <f>HYPERLINK("http://maps.google.com/maps?z=10&amp;t=m&amp;q=loc:40.4511111+-121.2958333", 351)</f>
        <v>0</v>
      </c>
      <c r="K228">
        <v>8</v>
      </c>
      <c r="L228">
        <v>0</v>
      </c>
      <c r="M228">
        <v>0</v>
      </c>
      <c r="N228">
        <v>0</v>
      </c>
      <c r="O228">
        <v>0</v>
      </c>
    </row>
    <row r="229" spans="1:15">
      <c r="A229" s="1" t="s">
        <v>241</v>
      </c>
      <c r="B229" t="s">
        <v>504</v>
      </c>
      <c r="C229" t="s">
        <v>509</v>
      </c>
      <c r="D229">
        <f>HYPERLINK("http://www.reserveamerica.com/camping/juniper-springs-group-camp/r/facilityDetails.do?contractCode=NRSO&amp;parkId=70177", "JUNIPER SPRINGS GROUP CAMP")</f>
        <v>0</v>
      </c>
      <c r="E229">
        <v>34.2197222</v>
      </c>
      <c r="F229">
        <v>-116.7163889</v>
      </c>
      <c r="G229" t="s">
        <v>736</v>
      </c>
      <c r="I229" t="s">
        <v>505</v>
      </c>
      <c r="J229">
        <f>HYPERLINK("http://maps.google.com/maps?z=10&amp;t=m&amp;q=loc:34.2197222+-116.7163889", 581)</f>
        <v>0</v>
      </c>
      <c r="K229">
        <v>124</v>
      </c>
      <c r="L229">
        <v>1</v>
      </c>
      <c r="M229">
        <v>0</v>
      </c>
      <c r="N229">
        <v>1</v>
      </c>
      <c r="O229">
        <v>1</v>
      </c>
    </row>
    <row r="230" spans="1:15">
      <c r="A230" s="1" t="s">
        <v>242</v>
      </c>
      <c r="B230" t="s">
        <v>504</v>
      </c>
      <c r="C230" t="s">
        <v>509</v>
      </c>
      <c r="D230">
        <f>HYPERLINK("http://www.reserveamerica.com/camping/kaspian-campground/r/facilityDetails.do?contractCode=NRSO&amp;parkId=71663", "KASPIAN CAMPGROUND")</f>
        <v>0</v>
      </c>
      <c r="E230">
        <v>39.1144444</v>
      </c>
      <c r="F230">
        <v>-120.1586111</v>
      </c>
      <c r="G230" t="s">
        <v>737</v>
      </c>
      <c r="I230" t="s">
        <v>505</v>
      </c>
      <c r="J230">
        <f>HYPERLINK("http://maps.google.com/maps?z=10&amp;t=m&amp;q=loc:39.1144444+-120.1586111", 250)</f>
        <v>0</v>
      </c>
      <c r="K230">
        <v>37</v>
      </c>
      <c r="L230">
        <v>0</v>
      </c>
      <c r="M230">
        <v>0</v>
      </c>
      <c r="N230">
        <v>0</v>
      </c>
      <c r="O230">
        <v>0</v>
      </c>
    </row>
    <row r="231" spans="1:15">
      <c r="A231" s="1" t="s">
        <v>243</v>
      </c>
      <c r="B231" t="s">
        <v>504</v>
      </c>
      <c r="C231" t="s">
        <v>509</v>
      </c>
      <c r="D231">
        <f>HYPERLINK("http://www.reserveamerica.com/camping/kelty-meadow/r/facilityDetails.do?contractCode=NRSO&amp;parkId=71668", "KELTY MEADOW")</f>
        <v>0</v>
      </c>
      <c r="E231">
        <v>37.4402778</v>
      </c>
      <c r="F231">
        <v>-119.5438889</v>
      </c>
      <c r="G231" t="s">
        <v>738</v>
      </c>
      <c r="I231" t="s">
        <v>505</v>
      </c>
      <c r="J231">
        <f>HYPERLINK("http://maps.google.com/maps?z=10&amp;t=m&amp;q=loc:37.4402778+-119.5438889", 208)</f>
        <v>0</v>
      </c>
      <c r="K231">
        <v>85</v>
      </c>
      <c r="L231">
        <v>7</v>
      </c>
      <c r="M231">
        <v>0</v>
      </c>
      <c r="N231">
        <v>7</v>
      </c>
      <c r="O231">
        <v>7</v>
      </c>
    </row>
    <row r="232" spans="1:15">
      <c r="A232" s="1" t="s">
        <v>244</v>
      </c>
      <c r="B232" t="s">
        <v>504</v>
      </c>
      <c r="C232" t="s">
        <v>509</v>
      </c>
      <c r="D232">
        <f>HYPERLINK("http://www.reserveamerica.com/camping/kinnikinnick/r/facilityDetails.do?contractCode=NRSO&amp;parkId=71592", "KINNIKINNICK")</f>
        <v>0</v>
      </c>
      <c r="E232">
        <v>37.2527778</v>
      </c>
      <c r="F232">
        <v>-119.1777778</v>
      </c>
      <c r="G232" t="s">
        <v>739</v>
      </c>
      <c r="I232" t="s">
        <v>505</v>
      </c>
      <c r="J232">
        <f>HYPERLINK("http://maps.google.com/maps?z=10&amp;t=m&amp;q=loc:37.2527778+-119.1777778", 241)</f>
        <v>0</v>
      </c>
      <c r="K232">
        <v>91</v>
      </c>
      <c r="L232">
        <v>0</v>
      </c>
      <c r="M232">
        <v>0</v>
      </c>
      <c r="N232">
        <v>0</v>
      </c>
      <c r="O232">
        <v>0</v>
      </c>
    </row>
    <row r="233" spans="1:15">
      <c r="A233" s="1" t="s">
        <v>245</v>
      </c>
      <c r="B233" t="s">
        <v>504</v>
      </c>
      <c r="C233" t="s">
        <v>509</v>
      </c>
      <c r="D233">
        <f>HYPERLINK("http://www.reserveamerica.com/camping/kirby-cove-campground/r/facilityDetails.do?contractCode=NRSO&amp;parkId=70972", "KIRBY COVE CAMPGROUND")</f>
        <v>0</v>
      </c>
      <c r="E233">
        <v>37.84035</v>
      </c>
      <c r="F233">
        <v>-122.4888889</v>
      </c>
      <c r="G233" t="s">
        <v>740</v>
      </c>
      <c r="H233" t="s">
        <v>999</v>
      </c>
      <c r="I233" t="s">
        <v>505</v>
      </c>
      <c r="J233">
        <f>HYPERLINK("http://maps.google.com/maps?z=10&amp;t=m&amp;q=loc:37.84035+-122.4888889", 76)</f>
        <v>0</v>
      </c>
      <c r="K233">
        <v>318</v>
      </c>
      <c r="L233">
        <v>0</v>
      </c>
      <c r="M233">
        <v>0</v>
      </c>
      <c r="N233">
        <v>0</v>
      </c>
      <c r="O233">
        <v>0</v>
      </c>
    </row>
    <row r="234" spans="1:15">
      <c r="A234" s="1" t="s">
        <v>246</v>
      </c>
      <c r="B234" t="s">
        <v>504</v>
      </c>
      <c r="C234" t="s">
        <v>509</v>
      </c>
      <c r="D234">
        <f>HYPERLINK("http://www.reserveamerica.com/camping/kirk-creek-campground/r/facilityDetails.do?contractCode=NRSO&amp;parkId=71993", "KIRK CREEK CAMPGROUND")</f>
        <v>0</v>
      </c>
      <c r="E234">
        <v>35.9916667</v>
      </c>
      <c r="F234">
        <v>-121.4941667</v>
      </c>
      <c r="G234" t="s">
        <v>741</v>
      </c>
      <c r="I234" t="s">
        <v>505</v>
      </c>
      <c r="J234">
        <f>HYPERLINK("http://maps.google.com/maps?z=10&amp;t=m&amp;q=loc:35.9916667+-121.4941667", 152)</f>
        <v>0</v>
      </c>
      <c r="K234">
        <v>165</v>
      </c>
      <c r="L234">
        <v>0</v>
      </c>
      <c r="M234">
        <v>0</v>
      </c>
      <c r="N234">
        <v>0</v>
      </c>
      <c r="O234">
        <v>0</v>
      </c>
    </row>
    <row r="235" spans="1:15">
      <c r="A235" s="1" t="s">
        <v>247</v>
      </c>
      <c r="B235" t="s">
        <v>504</v>
      </c>
      <c r="C235" t="s">
        <v>509</v>
      </c>
      <c r="D235">
        <f>HYPERLINK("http://www.reserveamerica.com/camping/kit-carson-campground/r/facilityDetails.do?contractCode=NRSO&amp;parkId=109334", "KIT CARSON CAMPGROUND")</f>
        <v>0</v>
      </c>
      <c r="E235">
        <v>38.7767778</v>
      </c>
      <c r="F235">
        <v>-119.8946111</v>
      </c>
      <c r="G235" t="s">
        <v>742</v>
      </c>
      <c r="H235" t="s">
        <v>997</v>
      </c>
      <c r="I235" t="s">
        <v>505</v>
      </c>
      <c r="J235">
        <f>HYPERLINK("http://maps.google.com/maps?z=10&amp;t=m&amp;q=loc:38.7767778+-119.8946111", 238)</f>
        <v>0</v>
      </c>
      <c r="K235">
        <v>46</v>
      </c>
      <c r="L235">
        <v>0</v>
      </c>
      <c r="M235">
        <v>0</v>
      </c>
      <c r="N235">
        <v>0</v>
      </c>
      <c r="O235">
        <v>0</v>
      </c>
    </row>
    <row r="236" spans="1:15">
      <c r="A236" s="1" t="s">
        <v>248</v>
      </c>
      <c r="B236" t="s">
        <v>504</v>
      </c>
      <c r="C236" t="s">
        <v>509</v>
      </c>
      <c r="D236">
        <f>HYPERLINK("http://www.reserveamerica.com/camping/kyen-campground-and-oak-grove-day-use-area/r/facilityDetails.do?contractCode=NRSO&amp;parkId=73240", "KYEN CAMPGROUND AND OAK GROVE DAY USE AREA")</f>
        <v>0</v>
      </c>
      <c r="E236">
        <v>39.2366667</v>
      </c>
      <c r="F236">
        <v>-123.1777778</v>
      </c>
      <c r="G236" t="s">
        <v>743</v>
      </c>
      <c r="I236" t="s">
        <v>505</v>
      </c>
      <c r="J236">
        <f>HYPERLINK("http://maps.google.com/maps?z=10&amp;t=m&amp;q=loc:39.2366667+-123.1777778", 239)</f>
        <v>0</v>
      </c>
      <c r="K236">
        <v>332</v>
      </c>
      <c r="L236">
        <v>51</v>
      </c>
      <c r="M236">
        <v>1</v>
      </c>
      <c r="N236">
        <v>50</v>
      </c>
      <c r="O236">
        <v>51</v>
      </c>
    </row>
    <row r="237" spans="1:15">
      <c r="A237" s="1" t="s">
        <v>249</v>
      </c>
      <c r="B237" t="s">
        <v>504</v>
      </c>
      <c r="C237" t="s">
        <v>509</v>
      </c>
      <c r="D237">
        <f>HYPERLINK("http://www.reserveamerica.com/camping/laguna/r/facilityDetails.do?contractCode=NRSO&amp;parkId=70576", "LAGUNA")</f>
        <v>0</v>
      </c>
      <c r="E237">
        <v>32.8872222</v>
      </c>
      <c r="F237">
        <v>-116.4463889</v>
      </c>
      <c r="G237" t="s">
        <v>744</v>
      </c>
      <c r="I237" t="s">
        <v>505</v>
      </c>
      <c r="J237">
        <f>HYPERLINK("http://maps.google.com/maps?z=10&amp;t=m&amp;q=loc:32.8872222+-116.4463889", 699)</f>
        <v>0</v>
      </c>
      <c r="K237">
        <v>133</v>
      </c>
      <c r="L237">
        <v>14</v>
      </c>
      <c r="M237">
        <v>0</v>
      </c>
      <c r="N237">
        <v>14</v>
      </c>
      <c r="O237">
        <v>14</v>
      </c>
    </row>
    <row r="238" spans="1:15">
      <c r="A238" s="1" t="s">
        <v>250</v>
      </c>
      <c r="B238" t="s">
        <v>504</v>
      </c>
      <c r="C238" t="s">
        <v>509</v>
      </c>
      <c r="D238">
        <f>HYPERLINK("http://www.reserveamerica.com/camping/lake-campground/r/facilityDetails.do?contractCode=NRSO&amp;parkId=73584", "LAKE CAMPGROUND")</f>
        <v>0</v>
      </c>
      <c r="E238">
        <v>34.3905556</v>
      </c>
      <c r="F238">
        <v>-117.7233333</v>
      </c>
      <c r="G238" t="s">
        <v>745</v>
      </c>
      <c r="I238" t="s">
        <v>505</v>
      </c>
      <c r="J238">
        <f>HYPERLINK("http://maps.google.com/maps?z=10&amp;t=m&amp;q=loc:34.3905556+-117.7233333", 498)</f>
        <v>0</v>
      </c>
      <c r="K238">
        <v>129</v>
      </c>
      <c r="L238">
        <v>1</v>
      </c>
      <c r="M238">
        <v>0</v>
      </c>
      <c r="N238">
        <v>1</v>
      </c>
      <c r="O238">
        <v>1</v>
      </c>
    </row>
    <row r="239" spans="1:15">
      <c r="A239" s="1" t="s">
        <v>251</v>
      </c>
      <c r="B239" t="s">
        <v>504</v>
      </c>
      <c r="C239" t="s">
        <v>509</v>
      </c>
      <c r="D239">
        <f>HYPERLINK("http://www.reserveamerica.com/camping/lake-mary-campground/r/facilityDetails.do?contractCode=NRSO&amp;parkId=72775", "LAKE MARY CAMPGROUND")</f>
        <v>0</v>
      </c>
      <c r="E239">
        <v>37.6069444</v>
      </c>
      <c r="F239">
        <v>-119.0075</v>
      </c>
      <c r="G239" t="s">
        <v>746</v>
      </c>
      <c r="I239" t="s">
        <v>505</v>
      </c>
      <c r="J239">
        <f>HYPERLINK("http://maps.google.com/maps?z=10&amp;t=m&amp;q=loc:37.6069444+-119.0075", 257)</f>
        <v>0</v>
      </c>
      <c r="K239">
        <v>82</v>
      </c>
      <c r="L239">
        <v>3</v>
      </c>
      <c r="M239">
        <v>0</v>
      </c>
      <c r="N239">
        <v>3</v>
      </c>
      <c r="O239">
        <v>3</v>
      </c>
    </row>
    <row r="240" spans="1:15">
      <c r="A240" s="1" t="s">
        <v>252</v>
      </c>
      <c r="B240" t="s">
        <v>505</v>
      </c>
      <c r="C240" t="s">
        <v>510</v>
      </c>
      <c r="D240">
        <f>HYPERLINK("http://www.reserveamerica.com/camping/lake-oroville-sra/r/facilityDetails.do?contractCode=CA&amp;parkId=120046", "LAKE OROVILLE SRA")</f>
        <v>0</v>
      </c>
      <c r="E240">
        <v>39.528225</v>
      </c>
      <c r="F240">
        <v>-121.4455222</v>
      </c>
      <c r="G240" t="s">
        <v>747</v>
      </c>
      <c r="H240" t="s">
        <v>998</v>
      </c>
      <c r="I240" t="s">
        <v>505</v>
      </c>
      <c r="J240">
        <f>HYPERLINK("http://maps.google.com/maps?z=10&amp;t=m&amp;q=loc:39.528225+-121.4455222", 247)</f>
        <v>0</v>
      </c>
      <c r="K240">
        <v>9</v>
      </c>
      <c r="L240">
        <v>201</v>
      </c>
      <c r="M240">
        <v>10</v>
      </c>
      <c r="N240">
        <v>191</v>
      </c>
      <c r="O240">
        <v>191</v>
      </c>
    </row>
    <row r="241" spans="1:15">
      <c r="A241" s="1" t="s">
        <v>253</v>
      </c>
      <c r="B241" t="s">
        <v>505</v>
      </c>
      <c r="C241" t="s">
        <v>510</v>
      </c>
      <c r="D241">
        <f>HYPERLINK("http://www.reserveamerica.com/camping/lake-perris-sra/r/facilityDetails.do?contractCode=CA&amp;parkId=120069", "LAKE PERRIS SRA")</f>
        <v>0</v>
      </c>
      <c r="E241">
        <v>33.8491667</v>
      </c>
      <c r="F241">
        <v>-117.1886111</v>
      </c>
      <c r="G241" t="s">
        <v>748</v>
      </c>
      <c r="I241" t="s">
        <v>505</v>
      </c>
      <c r="J241">
        <f>HYPERLINK("http://maps.google.com/maps?z=10&amp;t=m&amp;q=loc:33.8491667+-117.1886111", 575)</f>
        <v>0</v>
      </c>
      <c r="K241">
        <v>130</v>
      </c>
      <c r="L241">
        <v>396</v>
      </c>
      <c r="M241">
        <v>19</v>
      </c>
      <c r="N241">
        <v>377</v>
      </c>
      <c r="O241">
        <v>377</v>
      </c>
    </row>
    <row r="242" spans="1:15">
      <c r="A242" s="1" t="s">
        <v>254</v>
      </c>
      <c r="B242" t="s">
        <v>504</v>
      </c>
      <c r="C242" t="s">
        <v>509</v>
      </c>
      <c r="D242">
        <f>HYPERLINK("http://www.reserveamerica.com/camping/lakes-basin/r/facilityDetails.do?contractCode=NRSO&amp;parkId=70167", "LAKES BASIN")</f>
        <v>0</v>
      </c>
      <c r="E242">
        <v>39.6666667</v>
      </c>
      <c r="F242">
        <v>-120.6577778</v>
      </c>
      <c r="G242" t="s">
        <v>749</v>
      </c>
      <c r="I242" t="s">
        <v>505</v>
      </c>
      <c r="J242">
        <f>HYPERLINK("http://maps.google.com/maps?z=10&amp;t=m&amp;q=loc:39.6666667+-120.6577778", 281)</f>
        <v>0</v>
      </c>
      <c r="K242">
        <v>22</v>
      </c>
      <c r="L242">
        <v>0</v>
      </c>
      <c r="M242">
        <v>0</v>
      </c>
      <c r="N242">
        <v>0</v>
      </c>
      <c r="O242">
        <v>0</v>
      </c>
    </row>
    <row r="243" spans="1:15">
      <c r="A243" s="1" t="s">
        <v>255</v>
      </c>
      <c r="B243" t="s">
        <v>504</v>
      </c>
      <c r="C243" t="s">
        <v>509</v>
      </c>
      <c r="D243">
        <f>HYPERLINK("http://www.reserveamerica.com/camping/lakeshore-east/r/facilityDetails.do?contractCode=NRSO&amp;parkId=71519", "LAKESHORE EAST")</f>
        <v>0</v>
      </c>
      <c r="E243">
        <v>40.8719444</v>
      </c>
      <c r="F243">
        <v>-122.3880556</v>
      </c>
      <c r="G243" t="s">
        <v>750</v>
      </c>
      <c r="I243" t="s">
        <v>505</v>
      </c>
      <c r="J243">
        <f>HYPERLINK("http://maps.google.com/maps?z=10&amp;t=m&amp;q=loc:40.8719444+-122.3880556", 396)</f>
        <v>0</v>
      </c>
      <c r="K243">
        <v>354</v>
      </c>
      <c r="L243">
        <v>17</v>
      </c>
      <c r="M243">
        <v>1</v>
      </c>
      <c r="N243">
        <v>16</v>
      </c>
      <c r="O243">
        <v>16</v>
      </c>
    </row>
    <row r="244" spans="1:15">
      <c r="A244" s="1" t="s">
        <v>256</v>
      </c>
      <c r="B244" t="s">
        <v>504</v>
      </c>
      <c r="C244" t="s">
        <v>509</v>
      </c>
      <c r="D244">
        <f>HYPERLINK("http://www.reserveamerica.com/camping/lakeside-truckee/r/facilityDetails.do?contractCode=NRSO&amp;parkId=74131", "LAKESIDE (TRUCKEE)")</f>
        <v>0</v>
      </c>
      <c r="E244">
        <v>39.3844444</v>
      </c>
      <c r="F244">
        <v>-120.1722222</v>
      </c>
      <c r="G244" t="s">
        <v>751</v>
      </c>
      <c r="I244" t="s">
        <v>505</v>
      </c>
      <c r="J244">
        <f>HYPERLINK("http://maps.google.com/maps?z=10&amp;t=m&amp;q=loc:39.3844444+-120.1722222", 273)</f>
        <v>0</v>
      </c>
      <c r="K244">
        <v>32</v>
      </c>
      <c r="L244">
        <v>27</v>
      </c>
      <c r="M244">
        <v>0</v>
      </c>
      <c r="N244">
        <v>27</v>
      </c>
      <c r="O244">
        <v>27</v>
      </c>
    </row>
    <row r="245" spans="1:15">
      <c r="A245" s="1" t="s">
        <v>257</v>
      </c>
      <c r="B245" t="s">
        <v>505</v>
      </c>
      <c r="C245" t="s">
        <v>510</v>
      </c>
      <c r="D245">
        <f>HYPERLINK("http://www.reserveamerica.com/camping/leo-carrillo-sb/r/facilityDetails.do?contractCode=CA&amp;parkId=120047", "LEO CARRILLO SB")</f>
        <v>0</v>
      </c>
      <c r="E245">
        <v>34.0441667</v>
      </c>
      <c r="F245">
        <v>-118.9383333</v>
      </c>
      <c r="G245" t="s">
        <v>752</v>
      </c>
      <c r="I245" t="s">
        <v>505</v>
      </c>
      <c r="J245">
        <f>HYPERLINK("http://maps.google.com/maps?z=10&amp;t=m&amp;q=loc:34.0441667+-118.9383333", 452)</f>
        <v>0</v>
      </c>
      <c r="K245">
        <v>142</v>
      </c>
      <c r="L245">
        <v>0</v>
      </c>
      <c r="M245">
        <v>0</v>
      </c>
      <c r="N245">
        <v>0</v>
      </c>
      <c r="O245">
        <v>0</v>
      </c>
    </row>
    <row r="246" spans="1:15">
      <c r="A246" s="1" t="s">
        <v>258</v>
      </c>
      <c r="B246" t="s">
        <v>504</v>
      </c>
      <c r="C246" t="s">
        <v>509</v>
      </c>
      <c r="D246">
        <f>HYPERLINK("http://www.reserveamerica.com/camping/lewis-at-french-meadows/r/facilityDetails.do?contractCode=NRSO&amp;parkId=72074", "LEWIS at FRENCH MEADOWS")</f>
        <v>0</v>
      </c>
      <c r="E246">
        <v>39.1302778</v>
      </c>
      <c r="F246">
        <v>-120.4169444</v>
      </c>
      <c r="G246" t="s">
        <v>753</v>
      </c>
      <c r="I246" t="s">
        <v>505</v>
      </c>
      <c r="J246">
        <f>HYPERLINK("http://maps.google.com/maps?z=10&amp;t=m&amp;q=loc:39.1302778+-120.4169444", 238)</f>
        <v>0</v>
      </c>
      <c r="K246">
        <v>32</v>
      </c>
      <c r="L246">
        <v>30</v>
      </c>
      <c r="M246">
        <v>1</v>
      </c>
      <c r="N246">
        <v>29</v>
      </c>
      <c r="O246">
        <v>29</v>
      </c>
    </row>
    <row r="247" spans="1:15">
      <c r="A247" s="1" t="s">
        <v>259</v>
      </c>
      <c r="B247" t="s">
        <v>504</v>
      </c>
      <c r="C247" t="s">
        <v>509</v>
      </c>
      <c r="D247">
        <f>HYPERLINK("http://www.reserveamerica.com/camping/liberty-glen-lake-sonoma/r/facilityDetails.do?contractCode=NRSO&amp;parkId=73251", "LIBERTY GLEN (LAKE SONOMA)")</f>
        <v>0</v>
      </c>
      <c r="E247">
        <v>38.7136111</v>
      </c>
      <c r="F247">
        <v>-123.0563889</v>
      </c>
      <c r="G247" t="s">
        <v>754</v>
      </c>
      <c r="I247" t="s">
        <v>505</v>
      </c>
      <c r="J247">
        <f>HYPERLINK("http://maps.google.com/maps?z=10&amp;t=m&amp;q=loc:38.7136111+-123.0563889", 184)</f>
        <v>0</v>
      </c>
      <c r="K247">
        <v>327</v>
      </c>
      <c r="L247">
        <v>97</v>
      </c>
      <c r="M247">
        <v>3</v>
      </c>
      <c r="N247">
        <v>94</v>
      </c>
      <c r="O247">
        <v>94</v>
      </c>
    </row>
    <row r="248" spans="1:15">
      <c r="A248" s="1" t="s">
        <v>260</v>
      </c>
      <c r="B248" t="s">
        <v>504</v>
      </c>
      <c r="C248" t="s">
        <v>509</v>
      </c>
      <c r="D248">
        <f>HYPERLINK("http://www.reserveamerica.com/camping/lightning-point-group-campground/r/facilityDetails.do?contractCode=NRSO&amp;parkId=75443", "LIGHTNING POINT GROUP CAMPGROUND")</f>
        <v>0</v>
      </c>
      <c r="E248">
        <v>34.3719444</v>
      </c>
      <c r="F248">
        <v>-118.1830556</v>
      </c>
      <c r="G248" t="s">
        <v>755</v>
      </c>
      <c r="I248" t="s">
        <v>505</v>
      </c>
      <c r="J248">
        <f>HYPERLINK("http://maps.google.com/maps?z=10&amp;t=m&amp;q=loc:34.3719444+-118.1830556", 469)</f>
        <v>0</v>
      </c>
      <c r="K248">
        <v>133</v>
      </c>
      <c r="L248">
        <v>0</v>
      </c>
      <c r="M248">
        <v>0</v>
      </c>
      <c r="N248">
        <v>0</v>
      </c>
      <c r="O248">
        <v>0</v>
      </c>
    </row>
    <row r="249" spans="1:15">
      <c r="A249" s="1" t="s">
        <v>261</v>
      </c>
      <c r="B249" t="s">
        <v>504</v>
      </c>
      <c r="C249" t="s">
        <v>509</v>
      </c>
      <c r="D249">
        <f>HYPERLINK("http://www.reserveamerica.com/camping/lightning-tree/r/facilityDetails.do?contractCode=NRSO&amp;parkId=71615", "LIGHTNING TREE")</f>
        <v>0</v>
      </c>
      <c r="E249">
        <v>39.9254556</v>
      </c>
      <c r="F249">
        <v>-120.5104944</v>
      </c>
      <c r="G249" t="s">
        <v>756</v>
      </c>
      <c r="I249" t="s">
        <v>505</v>
      </c>
      <c r="J249">
        <f>HYPERLINK("http://maps.google.com/maps?z=10&amp;t=m&amp;q=loc:39.9254556+-120.5104944", 313)</f>
        <v>0</v>
      </c>
      <c r="K249">
        <v>22</v>
      </c>
      <c r="L249">
        <v>0</v>
      </c>
      <c r="M249">
        <v>0</v>
      </c>
      <c r="N249">
        <v>0</v>
      </c>
      <c r="O249">
        <v>0</v>
      </c>
    </row>
    <row r="250" spans="1:15">
      <c r="A250" s="1" t="s">
        <v>262</v>
      </c>
      <c r="B250" t="s">
        <v>505</v>
      </c>
      <c r="C250" t="s">
        <v>510</v>
      </c>
      <c r="D250">
        <f>HYPERLINK("http://www.reserveamerica.com/camping/limekiln-sp/r/facilityDetails.do?contractCode=CA&amp;parkId=120048", "LIMEKILN SP")</f>
        <v>0</v>
      </c>
      <c r="E250">
        <v>36.0530556</v>
      </c>
      <c r="F250">
        <v>-121.5694444</v>
      </c>
      <c r="G250" t="s">
        <v>757</v>
      </c>
      <c r="H250" t="s">
        <v>997</v>
      </c>
      <c r="I250" t="s">
        <v>505</v>
      </c>
      <c r="J250">
        <f>HYPERLINK("http://maps.google.com/maps?z=10&amp;t=m&amp;q=loc:36.0530556+-121.5694444", 144)</f>
        <v>0</v>
      </c>
      <c r="K250">
        <v>167</v>
      </c>
      <c r="L250">
        <v>0</v>
      </c>
      <c r="M250">
        <v>0</v>
      </c>
      <c r="N250">
        <v>0</v>
      </c>
      <c r="O250">
        <v>0</v>
      </c>
    </row>
    <row r="251" spans="1:15">
      <c r="A251" s="1" t="s">
        <v>263</v>
      </c>
      <c r="B251" t="s">
        <v>504</v>
      </c>
      <c r="C251" t="s">
        <v>509</v>
      </c>
      <c r="D251">
        <f>HYPERLINK("http://www.reserveamerica.com/camping/limestone-campground/r/facilityDetails.do?contractCode=NRSO&amp;parkId=123440", "LIMESTONE CAMPGROUND")</f>
        <v>0</v>
      </c>
      <c r="E251">
        <v>35.9633333</v>
      </c>
      <c r="F251">
        <v>-118.4788889</v>
      </c>
      <c r="G251" t="s">
        <v>758</v>
      </c>
      <c r="I251" t="s">
        <v>505</v>
      </c>
      <c r="J251">
        <f>HYPERLINK("http://maps.google.com/maps?z=10&amp;t=m&amp;q=loc:35.9633333+-118.4788889", 341)</f>
        <v>0</v>
      </c>
      <c r="K251">
        <v>115</v>
      </c>
      <c r="L251">
        <v>1</v>
      </c>
      <c r="M251">
        <v>0</v>
      </c>
      <c r="N251">
        <v>1</v>
      </c>
      <c r="O251">
        <v>1</v>
      </c>
    </row>
    <row r="252" spans="1:15">
      <c r="A252" s="1" t="s">
        <v>264</v>
      </c>
      <c r="B252" t="s">
        <v>505</v>
      </c>
      <c r="C252" t="s">
        <v>510</v>
      </c>
      <c r="E252">
        <v>37.1553333</v>
      </c>
      <c r="F252">
        <v>-122.2031667</v>
      </c>
      <c r="G252" t="s">
        <v>759</v>
      </c>
      <c r="I252" t="s">
        <v>505</v>
      </c>
      <c r="J252">
        <f>HYPERLINK("http://maps.google.com/maps?z=10&amp;t=m&amp;q=loc:37.1553333+-122.2031667", 32)</f>
        <v>0</v>
      </c>
      <c r="K252">
        <v>234</v>
      </c>
      <c r="L252">
        <v>0</v>
      </c>
      <c r="M252">
        <v>0</v>
      </c>
      <c r="N252">
        <v>0</v>
      </c>
      <c r="O252">
        <v>0</v>
      </c>
    </row>
    <row r="253" spans="1:15">
      <c r="A253" s="1" t="s">
        <v>265</v>
      </c>
      <c r="B253" t="s">
        <v>504</v>
      </c>
      <c r="C253" t="s">
        <v>509</v>
      </c>
      <c r="D253">
        <f>HYPERLINK("http://www.reserveamerica.com/camping/little-beaver-a-campground/r/facilityDetails.do?contractCode=NRSO&amp;parkId=72431", "LITTLE BEAVER A CAMPGROUND")</f>
        <v>0</v>
      </c>
      <c r="E253">
        <v>39.745</v>
      </c>
      <c r="F253">
        <v>-120.9875</v>
      </c>
      <c r="G253" t="s">
        <v>760</v>
      </c>
      <c r="H253" t="s">
        <v>997</v>
      </c>
      <c r="I253" t="s">
        <v>505</v>
      </c>
      <c r="J253">
        <f>HYPERLINK("http://maps.google.com/maps?z=10&amp;t=m&amp;q=loc:39.745+-120.9875", 280)</f>
        <v>0</v>
      </c>
      <c r="K253">
        <v>16</v>
      </c>
      <c r="L253">
        <v>27</v>
      </c>
      <c r="M253">
        <v>0</v>
      </c>
      <c r="N253">
        <v>27</v>
      </c>
      <c r="O253">
        <v>27</v>
      </c>
    </row>
    <row r="254" spans="1:15">
      <c r="A254" s="1" t="s">
        <v>266</v>
      </c>
      <c r="B254" t="s">
        <v>507</v>
      </c>
      <c r="C254" t="s">
        <v>511</v>
      </c>
      <c r="D254">
        <f>HYPERLINK("http://www.reserveamerica.com/camping/little-harbor-campground/r/facilityDetails.do?contractCode=CTLN&amp;parkId=940021", "LITTLE HARBOR CAMPGROUND")</f>
        <v>0</v>
      </c>
      <c r="E254">
        <v>33.3866667</v>
      </c>
      <c r="F254">
        <v>-118.4730556</v>
      </c>
      <c r="G254" t="s">
        <v>761</v>
      </c>
      <c r="I254" t="s">
        <v>505</v>
      </c>
      <c r="J254">
        <f>HYPERLINK("http://maps.google.com/maps?z=10&amp;t=m&amp;q=loc:33.3866667+-118.4730556", 537)</f>
        <v>0</v>
      </c>
      <c r="K254">
        <v>143</v>
      </c>
      <c r="L254">
        <v>3</v>
      </c>
      <c r="M254">
        <v>0</v>
      </c>
      <c r="N254">
        <v>3</v>
      </c>
      <c r="O254">
        <v>3</v>
      </c>
    </row>
    <row r="255" spans="1:15">
      <c r="A255" s="1" t="s">
        <v>267</v>
      </c>
      <c r="B255" t="s">
        <v>504</v>
      </c>
      <c r="C255" t="s">
        <v>509</v>
      </c>
      <c r="D255">
        <f>HYPERLINK("http://www.reserveamerica.com/camping/live-oak/r/facilityDetails.do?contractCode=NRSO&amp;parkId=71563", "LIVE OAK")</f>
        <v>0</v>
      </c>
      <c r="E255">
        <v>35.7027778</v>
      </c>
      <c r="F255">
        <v>-118.4611111</v>
      </c>
      <c r="G255" t="s">
        <v>762</v>
      </c>
      <c r="I255" t="s">
        <v>505</v>
      </c>
      <c r="J255">
        <f>HYPERLINK("http://maps.google.com/maps?z=10&amp;t=m&amp;q=loc:35.7027778+-118.4611111", 356)</f>
        <v>0</v>
      </c>
      <c r="K255">
        <v>119</v>
      </c>
      <c r="L255">
        <v>0</v>
      </c>
      <c r="M255">
        <v>0</v>
      </c>
      <c r="N255">
        <v>0</v>
      </c>
      <c r="O255">
        <v>0</v>
      </c>
    </row>
    <row r="256" spans="1:15">
      <c r="A256" s="1" t="s">
        <v>268</v>
      </c>
      <c r="B256" t="s">
        <v>504</v>
      </c>
      <c r="C256" t="s">
        <v>509</v>
      </c>
      <c r="D256">
        <f>HYPERLINK("http://www.reserveamerica.com/camping/live-oak-south/r/facilityDetails.do?contractCode=NRSO&amp;parkId=75185", "LIVE OAK SOUTH")</f>
        <v>0</v>
      </c>
      <c r="E256">
        <v>35.7027778</v>
      </c>
      <c r="F256">
        <v>-118.4611111</v>
      </c>
      <c r="G256" t="s">
        <v>763</v>
      </c>
      <c r="I256" t="s">
        <v>505</v>
      </c>
      <c r="J256">
        <f>HYPERLINK("http://maps.google.com/maps?z=10&amp;t=m&amp;q=loc:35.7027778+-118.4611111", 356)</f>
        <v>0</v>
      </c>
      <c r="K256">
        <v>119</v>
      </c>
      <c r="L256">
        <v>0</v>
      </c>
      <c r="M256">
        <v>0</v>
      </c>
      <c r="N256">
        <v>0</v>
      </c>
      <c r="O256">
        <v>0</v>
      </c>
    </row>
    <row r="257" spans="1:15">
      <c r="A257" s="1" t="s">
        <v>269</v>
      </c>
      <c r="B257" t="s">
        <v>504</v>
      </c>
      <c r="C257" t="s">
        <v>509</v>
      </c>
      <c r="D257">
        <f>HYPERLINK("http://www.reserveamerica.com/camping/lobo-group/r/facilityDetails.do?contractCode=NRSO&amp;parkId=70291", "LOBO GROUP")</f>
        <v>0</v>
      </c>
      <c r="E257">
        <v>34.1755556</v>
      </c>
      <c r="F257">
        <v>-116.8625</v>
      </c>
      <c r="G257" t="s">
        <v>764</v>
      </c>
      <c r="I257" t="s">
        <v>505</v>
      </c>
      <c r="J257">
        <f>HYPERLINK("http://maps.google.com/maps?z=10&amp;t=m&amp;q=loc:34.1755556+-116.8625", 573)</f>
        <v>0</v>
      </c>
      <c r="K257">
        <v>126</v>
      </c>
      <c r="L257">
        <v>0</v>
      </c>
      <c r="M257">
        <v>0</v>
      </c>
      <c r="N257">
        <v>0</v>
      </c>
      <c r="O257">
        <v>0</v>
      </c>
    </row>
    <row r="258" spans="1:15">
      <c r="A258" s="1" t="s">
        <v>270</v>
      </c>
      <c r="B258" t="s">
        <v>504</v>
      </c>
      <c r="C258" t="s">
        <v>509</v>
      </c>
      <c r="D258">
        <f>HYPERLINK("http://www.reserveamerica.com/camping/lodgepole-campgroundsequoia-and-kings-canyon-national-park/r/facilityDetails.do?contractCode=NRSO&amp;parkId=70941", "Lodgepole Campground-Sequoia and Kings Canyon National Park")</f>
        <v>0</v>
      </c>
      <c r="E258">
        <v>36.6067111</v>
      </c>
      <c r="F258">
        <v>-118.7258</v>
      </c>
      <c r="G258" t="s">
        <v>765</v>
      </c>
      <c r="H258" t="s">
        <v>997</v>
      </c>
      <c r="I258" t="s">
        <v>505</v>
      </c>
      <c r="J258">
        <f>HYPERLINK("http://maps.google.com/maps?z=10&amp;t=m&amp;q=loc:36.6067111+-118.7258", 293)</f>
        <v>0</v>
      </c>
      <c r="K258">
        <v>104</v>
      </c>
      <c r="L258">
        <v>0</v>
      </c>
      <c r="M258">
        <v>0</v>
      </c>
      <c r="N258">
        <v>0</v>
      </c>
      <c r="O258">
        <v>0</v>
      </c>
    </row>
    <row r="259" spans="1:15">
      <c r="A259" s="1" t="s">
        <v>271</v>
      </c>
      <c r="B259" t="s">
        <v>504</v>
      </c>
      <c r="C259" t="s">
        <v>509</v>
      </c>
      <c r="D259">
        <f>HYPERLINK("http://www.reserveamerica.com/camping/lodgepole-group-lake-alpine/r/facilityDetails.do?contractCode=NRSO&amp;parkId=70688", "LODGEPOLE GROUP LAKE ALPINE")</f>
        <v>0</v>
      </c>
      <c r="E259">
        <v>38.4163889</v>
      </c>
      <c r="F259">
        <v>-120.105</v>
      </c>
      <c r="G259" t="s">
        <v>766</v>
      </c>
      <c r="I259" t="s">
        <v>505</v>
      </c>
      <c r="J259">
        <f>HYPERLINK("http://maps.google.com/maps?z=10&amp;t=m&amp;q=loc:38.4163889+-120.105", 198)</f>
        <v>0</v>
      </c>
      <c r="K259">
        <v>52</v>
      </c>
      <c r="L259">
        <v>2</v>
      </c>
      <c r="M259">
        <v>0</v>
      </c>
      <c r="N259">
        <v>2</v>
      </c>
      <c r="O259">
        <v>2</v>
      </c>
    </row>
    <row r="260" spans="1:15">
      <c r="A260" s="1" t="s">
        <v>272</v>
      </c>
      <c r="B260" t="s">
        <v>504</v>
      </c>
      <c r="C260" t="s">
        <v>509</v>
      </c>
      <c r="D260">
        <f>HYPERLINK("http://www.reserveamerica.com/camping/loganville/r/facilityDetails.do?contractCode=NRSO&amp;parkId=75431", "LOGANVILLE")</f>
        <v>0</v>
      </c>
      <c r="E260">
        <v>39.5647222</v>
      </c>
      <c r="F260">
        <v>-120.6611111</v>
      </c>
      <c r="G260" t="s">
        <v>767</v>
      </c>
      <c r="I260" t="s">
        <v>505</v>
      </c>
      <c r="J260">
        <f>HYPERLINK("http://maps.google.com/maps?z=10&amp;t=m&amp;q=loc:39.5647222+-120.6611111", 271)</f>
        <v>0</v>
      </c>
      <c r="K260">
        <v>23</v>
      </c>
      <c r="L260">
        <v>14</v>
      </c>
      <c r="M260">
        <v>0</v>
      </c>
      <c r="N260">
        <v>14</v>
      </c>
      <c r="O260">
        <v>14</v>
      </c>
    </row>
    <row r="261" spans="1:15">
      <c r="A261" s="1" t="s">
        <v>273</v>
      </c>
      <c r="B261" t="s">
        <v>504</v>
      </c>
      <c r="C261" t="s">
        <v>509</v>
      </c>
      <c r="D261">
        <f>HYPERLINK("http://www.reserveamerica.com/camping/logger-campground/r/facilityDetails.do?contractCode=NRSO&amp;parkId=71643", "LOGGER CAMPGROUND")</f>
        <v>0</v>
      </c>
      <c r="E261">
        <v>39.4663889</v>
      </c>
      <c r="F261">
        <v>-120.1286111</v>
      </c>
      <c r="G261" t="s">
        <v>768</v>
      </c>
      <c r="I261" t="s">
        <v>505</v>
      </c>
      <c r="J261">
        <f>HYPERLINK("http://maps.google.com/maps?z=10&amp;t=m&amp;q=loc:39.4663889+-120.1286111", 283)</f>
        <v>0</v>
      </c>
      <c r="K261">
        <v>32</v>
      </c>
      <c r="L261">
        <v>171</v>
      </c>
      <c r="M261">
        <v>0</v>
      </c>
      <c r="N261">
        <v>171</v>
      </c>
      <c r="O261">
        <v>171</v>
      </c>
    </row>
    <row r="262" spans="1:15">
      <c r="A262" s="1" t="s">
        <v>274</v>
      </c>
      <c r="B262" t="s">
        <v>504</v>
      </c>
      <c r="C262" t="s">
        <v>509</v>
      </c>
      <c r="D262">
        <f>HYPERLINK("http://www.reserveamerica.com/camping/logger-flat-group/r/facilityDetails.do?contractCode=NRSO&amp;parkId=71541", "LOGGER FLAT GROUP")</f>
        <v>0</v>
      </c>
      <c r="E262">
        <v>36.7755556</v>
      </c>
      <c r="F262">
        <v>-118.8936111</v>
      </c>
      <c r="G262" t="s">
        <v>769</v>
      </c>
      <c r="I262" t="s">
        <v>505</v>
      </c>
      <c r="J262">
        <f>HYPERLINK("http://maps.google.com/maps?z=10&amp;t=m&amp;q=loc:36.7755556+-118.8936111", 274)</f>
        <v>0</v>
      </c>
      <c r="K262">
        <v>102</v>
      </c>
      <c r="L262">
        <v>1</v>
      </c>
      <c r="M262">
        <v>0</v>
      </c>
      <c r="N262">
        <v>1</v>
      </c>
      <c r="O262">
        <v>1</v>
      </c>
    </row>
    <row r="263" spans="1:15">
      <c r="A263" s="1" t="s">
        <v>275</v>
      </c>
      <c r="B263" t="s">
        <v>504</v>
      </c>
      <c r="C263" t="s">
        <v>509</v>
      </c>
      <c r="D263">
        <f>HYPERLINK("http://www.reserveamerica.com/camping/lone-pine/r/facilityDetails.do?contractCode=NRSO&amp;parkId=70292", "LONE PINE")</f>
        <v>0</v>
      </c>
      <c r="E263">
        <v>36.5976111</v>
      </c>
      <c r="F263">
        <v>-118.1848056</v>
      </c>
      <c r="G263" t="s">
        <v>770</v>
      </c>
      <c r="I263" t="s">
        <v>505</v>
      </c>
      <c r="J263">
        <f>HYPERLINK("http://maps.google.com/maps?z=10&amp;t=m&amp;q=loc:36.5976111+-118.1848056", 340)</f>
        <v>0</v>
      </c>
      <c r="K263">
        <v>102</v>
      </c>
      <c r="L263">
        <v>8</v>
      </c>
      <c r="M263">
        <v>0</v>
      </c>
      <c r="N263">
        <v>8</v>
      </c>
      <c r="O263">
        <v>8</v>
      </c>
    </row>
    <row r="264" spans="1:15">
      <c r="A264" s="1" t="s">
        <v>276</v>
      </c>
      <c r="B264" t="s">
        <v>504</v>
      </c>
      <c r="C264" t="s">
        <v>509</v>
      </c>
      <c r="D264">
        <f>HYPERLINK("http://www.reserveamerica.com/camping/lone-rock-ca/r/facilityDetails.do?contractCode=NRSO&amp;parkId=71723", "LONE ROCK (CA)")</f>
        <v>0</v>
      </c>
      <c r="E264">
        <v>40.1952778</v>
      </c>
      <c r="F264">
        <v>-120.6172222</v>
      </c>
      <c r="G264" t="s">
        <v>771</v>
      </c>
      <c r="H264" t="s">
        <v>998</v>
      </c>
      <c r="I264" t="s">
        <v>505</v>
      </c>
      <c r="J264">
        <f>HYPERLINK("http://maps.google.com/maps?z=10&amp;t=m&amp;q=loc:40.1952778+-120.6172222", 337)</f>
        <v>0</v>
      </c>
      <c r="K264">
        <v>18</v>
      </c>
      <c r="L264">
        <v>0</v>
      </c>
      <c r="M264">
        <v>0</v>
      </c>
      <c r="N264">
        <v>0</v>
      </c>
      <c r="O264">
        <v>0</v>
      </c>
    </row>
    <row r="265" spans="1:15">
      <c r="A265" s="1" t="s">
        <v>277</v>
      </c>
      <c r="B265" t="s">
        <v>504</v>
      </c>
      <c r="C265" t="s">
        <v>509</v>
      </c>
      <c r="D265">
        <f>HYPERLINK("http://www.reserveamerica.com/camping/long-meadow-group/r/facilityDetails.do?contractCode=NRSO&amp;parkId=71605", "LONG MEADOW GROUP")</f>
        <v>0</v>
      </c>
      <c r="E265">
        <v>35.9791667</v>
      </c>
      <c r="F265">
        <v>-118.5805556</v>
      </c>
      <c r="G265" t="s">
        <v>772</v>
      </c>
      <c r="I265" t="s">
        <v>505</v>
      </c>
      <c r="J265">
        <f>HYPERLINK("http://maps.google.com/maps?z=10&amp;t=m&amp;q=loc:35.9791667+-118.5805556", 332)</f>
        <v>0</v>
      </c>
      <c r="K265">
        <v>115</v>
      </c>
      <c r="L265">
        <v>1</v>
      </c>
      <c r="M265">
        <v>0</v>
      </c>
      <c r="N265">
        <v>1</v>
      </c>
      <c r="O265">
        <v>1</v>
      </c>
    </row>
    <row r="266" spans="1:15">
      <c r="A266" s="1" t="s">
        <v>278</v>
      </c>
      <c r="B266" t="s">
        <v>504</v>
      </c>
      <c r="C266" t="s">
        <v>509</v>
      </c>
      <c r="D266">
        <f>HYPERLINK("http://www.reserveamerica.com/camping/long-point-ca/r/facilityDetails.do?contractCode=NRSO&amp;parkId=71724", "LONG POINT (CA)")</f>
        <v>0</v>
      </c>
      <c r="E266">
        <v>40.1783333</v>
      </c>
      <c r="F266">
        <v>-120.5783333</v>
      </c>
      <c r="G266" t="s">
        <v>773</v>
      </c>
      <c r="H266" t="s">
        <v>998</v>
      </c>
      <c r="I266" t="s">
        <v>505</v>
      </c>
      <c r="J266">
        <f>HYPERLINK("http://maps.google.com/maps?z=10&amp;t=m&amp;q=loc:40.1783333+-120.5783333", 337)</f>
        <v>0</v>
      </c>
      <c r="K266">
        <v>19</v>
      </c>
      <c r="L266">
        <v>0</v>
      </c>
      <c r="M266">
        <v>0</v>
      </c>
      <c r="N266">
        <v>0</v>
      </c>
      <c r="O266">
        <v>0</v>
      </c>
    </row>
    <row r="267" spans="1:15">
      <c r="A267" s="1" t="s">
        <v>279</v>
      </c>
      <c r="B267" t="s">
        <v>504</v>
      </c>
      <c r="C267" t="s">
        <v>509</v>
      </c>
      <c r="D267">
        <f>HYPERLINK("http://www.reserveamerica.com/camping/lookout-campground/r/facilityDetails.do?contractCode=NRSO&amp;parkId=108733", "Lookout Campground")</f>
        <v>0</v>
      </c>
      <c r="E267">
        <v>39.5888972</v>
      </c>
      <c r="F267">
        <v>-120.0736111</v>
      </c>
      <c r="G267" t="s">
        <v>774</v>
      </c>
      <c r="I267" t="s">
        <v>505</v>
      </c>
      <c r="J267">
        <f>HYPERLINK("http://maps.google.com/maps?z=10&amp;t=m&amp;q=loc:39.5888972+-120.0736111", 297)</f>
        <v>0</v>
      </c>
      <c r="K267">
        <v>31</v>
      </c>
      <c r="L267">
        <v>0</v>
      </c>
      <c r="M267">
        <v>0</v>
      </c>
      <c r="N267">
        <v>0</v>
      </c>
      <c r="O267">
        <v>0</v>
      </c>
    </row>
    <row r="268" spans="1:15">
      <c r="A268" s="1" t="s">
        <v>280</v>
      </c>
      <c r="B268" t="s">
        <v>504</v>
      </c>
      <c r="C268" t="s">
        <v>509</v>
      </c>
      <c r="D268">
        <f>HYPERLINK("http://www.reserveamerica.com/camping/loon-lake/r/facilityDetails.do?contractCode=NRSO&amp;parkId=70293", "LOON LAKE")</f>
        <v>0</v>
      </c>
      <c r="E268">
        <v>38.9833333</v>
      </c>
      <c r="F268">
        <v>-120.33</v>
      </c>
      <c r="G268" t="s">
        <v>775</v>
      </c>
      <c r="I268" t="s">
        <v>505</v>
      </c>
      <c r="J268">
        <f>HYPERLINK("http://maps.google.com/maps?z=10&amp;t=m&amp;q=loc:38.9833333+-120.33", 229)</f>
        <v>0</v>
      </c>
      <c r="K268">
        <v>36</v>
      </c>
      <c r="L268">
        <v>0</v>
      </c>
      <c r="M268">
        <v>0</v>
      </c>
      <c r="N268">
        <v>0</v>
      </c>
      <c r="O268">
        <v>0</v>
      </c>
    </row>
    <row r="269" spans="1:15">
      <c r="A269" s="1" t="s">
        <v>281</v>
      </c>
      <c r="B269" t="s">
        <v>504</v>
      </c>
      <c r="C269" t="s">
        <v>509</v>
      </c>
      <c r="D269">
        <f>HYPERLINK("http://www.reserveamerica.com/camping/los-prietos/r/facilityDetails.do?contractCode=NRSO&amp;parkId=73962", "LOS PRIETOS")</f>
        <v>0</v>
      </c>
      <c r="E269">
        <v>34.5416667</v>
      </c>
      <c r="F269">
        <v>-119.8091667</v>
      </c>
      <c r="G269" t="s">
        <v>776</v>
      </c>
      <c r="I269" t="s">
        <v>505</v>
      </c>
      <c r="J269">
        <f>HYPERLINK("http://maps.google.com/maps?z=10&amp;t=m&amp;q=loc:34.5416667+-119.8091667", 362)</f>
        <v>0</v>
      </c>
      <c r="K269">
        <v>148</v>
      </c>
      <c r="L269">
        <v>13</v>
      </c>
      <c r="M269">
        <v>0</v>
      </c>
      <c r="N269">
        <v>13</v>
      </c>
      <c r="O269">
        <v>13</v>
      </c>
    </row>
    <row r="270" spans="1:15">
      <c r="A270" s="1" t="s">
        <v>282</v>
      </c>
      <c r="B270" t="s">
        <v>504</v>
      </c>
      <c r="C270" t="s">
        <v>509</v>
      </c>
      <c r="D270">
        <f>HYPERLINK("http://www.reserveamerica.com/camping/lost-claim/r/facilityDetails.do?contractCode=NRSO&amp;parkId=110538", "LOST CLAIM")</f>
        <v>0</v>
      </c>
      <c r="E270">
        <v>37.8211111</v>
      </c>
      <c r="F270">
        <v>-120.0486111</v>
      </c>
      <c r="G270" t="s">
        <v>777</v>
      </c>
      <c r="I270" t="s">
        <v>505</v>
      </c>
      <c r="J270">
        <f>HYPERLINK("http://maps.google.com/maps?z=10&amp;t=m&amp;q=loc:37.8211111+-120.0486111", 172)</f>
        <v>0</v>
      </c>
      <c r="K270">
        <v>70</v>
      </c>
      <c r="L270">
        <v>9</v>
      </c>
      <c r="M270">
        <v>0</v>
      </c>
      <c r="N270">
        <v>9</v>
      </c>
      <c r="O270">
        <v>9</v>
      </c>
    </row>
    <row r="271" spans="1:15">
      <c r="A271" s="1" t="s">
        <v>283</v>
      </c>
      <c r="B271" t="s">
        <v>504</v>
      </c>
      <c r="C271" t="s">
        <v>509</v>
      </c>
      <c r="E271">
        <v>40.5625</v>
      </c>
      <c r="F271">
        <v>-121.5166667</v>
      </c>
      <c r="G271" t="s">
        <v>778</v>
      </c>
      <c r="I271" t="s">
        <v>505</v>
      </c>
      <c r="J271">
        <f>HYPERLINK("http://maps.google.com/maps?z=10&amp;t=m&amp;q=loc:40.5625+-121.5166667", 361)</f>
        <v>0</v>
      </c>
      <c r="K271">
        <v>5</v>
      </c>
      <c r="L271">
        <v>0</v>
      </c>
      <c r="M271">
        <v>0</v>
      </c>
      <c r="N271">
        <v>0</v>
      </c>
      <c r="O271">
        <v>0</v>
      </c>
    </row>
    <row r="272" spans="1:15">
      <c r="A272" s="1" t="s">
        <v>284</v>
      </c>
      <c r="B272" t="s">
        <v>504</v>
      </c>
      <c r="C272" t="s">
        <v>509</v>
      </c>
      <c r="D272">
        <f>HYPERLINK("http://www.reserveamerica.com/camping/lower-billy-creek/r/facilityDetails.do?contractCode=NRSO&amp;parkId=71714", "LOWER BILLY CREEK")</f>
        <v>0</v>
      </c>
      <c r="E272">
        <v>37.2380556</v>
      </c>
      <c r="F272">
        <v>-119.2277778</v>
      </c>
      <c r="G272" t="s">
        <v>779</v>
      </c>
      <c r="H272" t="s">
        <v>998</v>
      </c>
      <c r="I272" t="s">
        <v>505</v>
      </c>
      <c r="J272">
        <f>HYPERLINK("http://maps.google.com/maps?z=10&amp;t=m&amp;q=loc:37.2380556+-119.2277778", 237)</f>
        <v>0</v>
      </c>
      <c r="K272">
        <v>91</v>
      </c>
      <c r="L272">
        <v>3</v>
      </c>
      <c r="M272">
        <v>0</v>
      </c>
      <c r="N272">
        <v>3</v>
      </c>
      <c r="O272">
        <v>3</v>
      </c>
    </row>
    <row r="273" spans="1:15">
      <c r="A273" s="1" t="s">
        <v>285</v>
      </c>
      <c r="B273" t="s">
        <v>504</v>
      </c>
      <c r="C273" t="s">
        <v>509</v>
      </c>
      <c r="D273">
        <f>HYPERLINK("http://www.reserveamerica.com/camping/lower-little-truckee/r/facilityDetails.do?contractCode=NRSO&amp;parkId=71717", "LOWER LITTLE TRUCKEE")</f>
        <v>0</v>
      </c>
      <c r="E273">
        <v>39.4855556</v>
      </c>
      <c r="F273">
        <v>-120.2363889</v>
      </c>
      <c r="G273" t="s">
        <v>780</v>
      </c>
      <c r="I273" t="s">
        <v>505</v>
      </c>
      <c r="J273">
        <f>HYPERLINK("http://maps.google.com/maps?z=10&amp;t=m&amp;q=loc:39.4855556+-120.2363889", 280)</f>
        <v>0</v>
      </c>
      <c r="K273">
        <v>30</v>
      </c>
      <c r="L273">
        <v>14</v>
      </c>
      <c r="M273">
        <v>0</v>
      </c>
      <c r="N273">
        <v>14</v>
      </c>
      <c r="O273">
        <v>14</v>
      </c>
    </row>
    <row r="274" spans="1:15">
      <c r="A274" s="1" t="s">
        <v>286</v>
      </c>
      <c r="B274" t="s">
        <v>504</v>
      </c>
      <c r="C274" t="s">
        <v>509</v>
      </c>
      <c r="D274">
        <f>HYPERLINK("http://www.reserveamerica.com/camping/lower-pines/r/facilityDetails.do?contractCode=NRSO&amp;parkId=70928", "LOWER PINES")</f>
        <v>0</v>
      </c>
      <c r="E274">
        <v>37.7408333</v>
      </c>
      <c r="F274">
        <v>-119.5666667</v>
      </c>
      <c r="G274" t="s">
        <v>781</v>
      </c>
      <c r="I274" t="s">
        <v>505</v>
      </c>
      <c r="J274">
        <f>HYPERLINK("http://maps.google.com/maps?z=10&amp;t=m&amp;q=loc:37.7408333+-119.5666667", 211)</f>
        <v>0</v>
      </c>
      <c r="K274">
        <v>76</v>
      </c>
      <c r="L274">
        <v>0</v>
      </c>
      <c r="M274">
        <v>0</v>
      </c>
      <c r="N274">
        <v>0</v>
      </c>
      <c r="O274">
        <v>0</v>
      </c>
    </row>
    <row r="275" spans="1:15">
      <c r="A275" s="1" t="s">
        <v>287</v>
      </c>
      <c r="B275" t="s">
        <v>504</v>
      </c>
      <c r="C275" t="s">
        <v>509</v>
      </c>
      <c r="D275">
        <f>HYPERLINK("http://www.reserveamerica.com/camping/lower-twin-lakes-at-bridgeport/r/facilityDetails.do?contractCode=NRSO&amp;parkId=70352", "LOWER TWIN LAKES AT BRIDGEPORT")</f>
        <v>0</v>
      </c>
      <c r="E275">
        <v>38.1727778</v>
      </c>
      <c r="F275">
        <v>-119.3311111</v>
      </c>
      <c r="G275" t="s">
        <v>782</v>
      </c>
      <c r="I275" t="s">
        <v>505</v>
      </c>
      <c r="J275">
        <f>HYPERLINK("http://maps.google.com/maps?z=10&amp;t=m&amp;q=loc:38.1727778+-119.3311111", 244)</f>
        <v>0</v>
      </c>
      <c r="K275">
        <v>66</v>
      </c>
      <c r="L275">
        <v>0</v>
      </c>
      <c r="M275">
        <v>0</v>
      </c>
      <c r="N275">
        <v>0</v>
      </c>
      <c r="O275">
        <v>0</v>
      </c>
    </row>
    <row r="276" spans="1:15">
      <c r="A276" s="1" t="s">
        <v>288</v>
      </c>
      <c r="B276" t="s">
        <v>504</v>
      </c>
      <c r="C276" t="s">
        <v>509</v>
      </c>
      <c r="D276">
        <f>HYPERLINK("http://www.reserveamerica.com/camping/lupine/r/facilityDetails.do?contractCode=NRSO&amp;parkId=71579", "LUPINE")</f>
        <v>0</v>
      </c>
      <c r="E276">
        <v>37.3077778</v>
      </c>
      <c r="F276">
        <v>-119.5441667</v>
      </c>
      <c r="G276" t="s">
        <v>783</v>
      </c>
      <c r="I276" t="s">
        <v>505</v>
      </c>
      <c r="J276">
        <f>HYPERLINK("http://maps.google.com/maps?z=10&amp;t=m&amp;q=loc:37.3077778+-119.5441667", 208)</f>
        <v>0</v>
      </c>
      <c r="K276">
        <v>89</v>
      </c>
      <c r="L276">
        <v>33</v>
      </c>
      <c r="M276">
        <v>0</v>
      </c>
      <c r="N276">
        <v>33</v>
      </c>
      <c r="O276">
        <v>33</v>
      </c>
    </row>
    <row r="277" spans="1:15">
      <c r="A277" s="1" t="s">
        <v>289</v>
      </c>
      <c r="B277" t="s">
        <v>505</v>
      </c>
      <c r="C277" t="s">
        <v>510</v>
      </c>
      <c r="D277">
        <f>HYPERLINK("http://www.reserveamerica.com/camping/mackerricher-sp/r/facilityDetails.do?contractCode=CA&amp;parkId=120049", "MACKERRICHER SP")</f>
        <v>0</v>
      </c>
      <c r="E277">
        <v>39.4933333</v>
      </c>
      <c r="F277">
        <v>-123.7925</v>
      </c>
      <c r="G277" t="s">
        <v>784</v>
      </c>
      <c r="I277" t="s">
        <v>505</v>
      </c>
      <c r="J277">
        <f>HYPERLINK("http://maps.google.com/maps?z=10&amp;t=m&amp;q=loc:39.4933333+-123.7925", 291)</f>
        <v>0</v>
      </c>
      <c r="K277">
        <v>326</v>
      </c>
      <c r="L277">
        <v>0</v>
      </c>
      <c r="M277">
        <v>0</v>
      </c>
      <c r="N277">
        <v>0</v>
      </c>
      <c r="O277">
        <v>0</v>
      </c>
    </row>
    <row r="278" spans="1:15">
      <c r="A278" s="1" t="s">
        <v>290</v>
      </c>
      <c r="B278" t="s">
        <v>505</v>
      </c>
      <c r="C278" t="s">
        <v>510</v>
      </c>
      <c r="D278">
        <f>HYPERLINK("http://www.reserveamerica.com/camping/malakoff-diggins-shp/r/facilityDetails.do?contractCode=CA&amp;parkId=120050", "MALAKOFF DIGGINS SHP")</f>
        <v>0</v>
      </c>
      <c r="E278">
        <v>39.3738889</v>
      </c>
      <c r="F278">
        <v>-120.9136111</v>
      </c>
      <c r="G278" t="s">
        <v>785</v>
      </c>
      <c r="I278" t="s">
        <v>505</v>
      </c>
      <c r="J278">
        <f>HYPERLINK("http://maps.google.com/maps?z=10&amp;t=m&amp;q=loc:39.3738889+-120.9136111", 243)</f>
        <v>0</v>
      </c>
      <c r="K278">
        <v>20</v>
      </c>
      <c r="L278">
        <v>28</v>
      </c>
      <c r="M278">
        <v>0</v>
      </c>
      <c r="N278">
        <v>28</v>
      </c>
      <c r="O278">
        <v>28</v>
      </c>
    </row>
    <row r="279" spans="1:15">
      <c r="A279" s="1" t="s">
        <v>291</v>
      </c>
      <c r="B279" t="s">
        <v>505</v>
      </c>
      <c r="C279" t="s">
        <v>510</v>
      </c>
      <c r="D279">
        <f>HYPERLINK("http://www.reserveamerica.com/camping/malibu-creek-sp/r/facilityDetails.do?contractCode=CA&amp;parkId=120051", "MALIBU CREEK SP")</f>
        <v>0</v>
      </c>
      <c r="E279">
        <v>34.1033333</v>
      </c>
      <c r="F279">
        <v>-118.7330556</v>
      </c>
      <c r="G279" t="s">
        <v>786</v>
      </c>
      <c r="I279" t="s">
        <v>505</v>
      </c>
      <c r="J279">
        <f>HYPERLINK("http://maps.google.com/maps?z=10&amp;t=m&amp;q=loc:34.1033333+-118.7330556", 458)</f>
        <v>0</v>
      </c>
      <c r="K279">
        <v>140</v>
      </c>
      <c r="L279">
        <v>0</v>
      </c>
      <c r="M279">
        <v>0</v>
      </c>
      <c r="N279">
        <v>0</v>
      </c>
      <c r="O279">
        <v>0</v>
      </c>
    </row>
    <row r="280" spans="1:15">
      <c r="A280" s="1" t="s">
        <v>292</v>
      </c>
      <c r="B280" t="s">
        <v>504</v>
      </c>
      <c r="C280" t="s">
        <v>509</v>
      </c>
      <c r="D280">
        <f>HYPERLINK("http://www.reserveamerica.com/camping/mammoth-pool/r/facilityDetails.do?contractCode=NRSO&amp;parkId=71597", "MAMMOTH POOL")</f>
        <v>0</v>
      </c>
      <c r="E280">
        <v>37.3441667</v>
      </c>
      <c r="F280">
        <v>-119.3311111</v>
      </c>
      <c r="G280" t="s">
        <v>787</v>
      </c>
      <c r="I280" t="s">
        <v>505</v>
      </c>
      <c r="J280">
        <f>HYPERLINK("http://maps.google.com/maps?z=10&amp;t=m&amp;q=loc:37.3441667+-119.3311111", 227)</f>
        <v>0</v>
      </c>
      <c r="K280">
        <v>88</v>
      </c>
      <c r="L280">
        <v>0</v>
      </c>
      <c r="M280">
        <v>0</v>
      </c>
      <c r="N280">
        <v>0</v>
      </c>
      <c r="O280">
        <v>0</v>
      </c>
    </row>
    <row r="281" spans="1:15">
      <c r="A281" s="1" t="s">
        <v>293</v>
      </c>
      <c r="B281" t="s">
        <v>505</v>
      </c>
      <c r="C281" t="s">
        <v>510</v>
      </c>
      <c r="E281">
        <v>38.9738889</v>
      </c>
      <c r="F281">
        <v>-123.7113889</v>
      </c>
      <c r="G281" t="s">
        <v>788</v>
      </c>
      <c r="I281" t="s">
        <v>505</v>
      </c>
      <c r="J281">
        <f>HYPERLINK("http://maps.google.com/maps?z=10&amp;t=m&amp;q=loc:38.9738889+-123.7113889", 241)</f>
        <v>0</v>
      </c>
      <c r="K281">
        <v>319</v>
      </c>
      <c r="L281">
        <v>0</v>
      </c>
      <c r="M281">
        <v>0</v>
      </c>
      <c r="N281">
        <v>0</v>
      </c>
      <c r="O281">
        <v>0</v>
      </c>
    </row>
    <row r="282" spans="1:15">
      <c r="A282" s="1" t="s">
        <v>294</v>
      </c>
      <c r="B282" t="s">
        <v>505</v>
      </c>
      <c r="C282" t="s">
        <v>510</v>
      </c>
      <c r="D282">
        <f>HYPERLINK("http://www.reserveamerica.com/camping/manresa-sb/r/facilityDetails.do?contractCode=CA&amp;parkId=120053", "MANRESA SB")</f>
        <v>0</v>
      </c>
      <c r="E282">
        <v>36.9241667</v>
      </c>
      <c r="F282">
        <v>-121.8555556</v>
      </c>
      <c r="G282" t="s">
        <v>789</v>
      </c>
      <c r="I282" t="s">
        <v>505</v>
      </c>
      <c r="J282">
        <f>HYPERLINK("http://maps.google.com/maps?z=10&amp;t=m&amp;q=loc:36.9241667+-121.8555556", 45)</f>
        <v>0</v>
      </c>
      <c r="K282">
        <v>174</v>
      </c>
      <c r="L282">
        <v>0</v>
      </c>
      <c r="M282">
        <v>0</v>
      </c>
      <c r="N282">
        <v>0</v>
      </c>
      <c r="O282">
        <v>0</v>
      </c>
    </row>
    <row r="283" spans="1:15">
      <c r="A283" s="1" t="s">
        <v>295</v>
      </c>
      <c r="B283" t="s">
        <v>504</v>
      </c>
      <c r="C283" t="s">
        <v>509</v>
      </c>
      <c r="D283">
        <f>HYPERLINK("http://www.reserveamerica.com/camping/manzanita-lake/r/facilityDetails.do?contractCode=NRSO&amp;parkId=74045", "MANZANITA LAKE")</f>
        <v>0</v>
      </c>
      <c r="E283">
        <v>40.5291667</v>
      </c>
      <c r="F283">
        <v>-121.5638889</v>
      </c>
      <c r="G283" t="s">
        <v>790</v>
      </c>
      <c r="I283" t="s">
        <v>505</v>
      </c>
      <c r="J283">
        <f>HYPERLINK("http://maps.google.com/maps?z=10&amp;t=m&amp;q=loc:40.5291667+-121.5638889", 356)</f>
        <v>0</v>
      </c>
      <c r="K283">
        <v>4</v>
      </c>
      <c r="L283">
        <v>6</v>
      </c>
      <c r="M283">
        <v>0</v>
      </c>
      <c r="N283">
        <v>6</v>
      </c>
      <c r="O283">
        <v>7</v>
      </c>
    </row>
    <row r="284" spans="1:15">
      <c r="A284" s="1" t="s">
        <v>296</v>
      </c>
      <c r="B284" t="s">
        <v>504</v>
      </c>
      <c r="C284" t="s">
        <v>509</v>
      </c>
      <c r="D284">
        <f>HYPERLINK("http://www.reserveamerica.com/camping/marion-mountain/r/facilityDetails.do?contractCode=NRSO&amp;parkId=70178", "MARION MOUNTAIN")</f>
        <v>0</v>
      </c>
      <c r="E284">
        <v>33.7916667</v>
      </c>
      <c r="F284">
        <v>-116.7319444</v>
      </c>
      <c r="G284" t="s">
        <v>791</v>
      </c>
      <c r="I284" t="s">
        <v>505</v>
      </c>
      <c r="J284">
        <f>HYPERLINK("http://maps.google.com/maps?z=10&amp;t=m&amp;q=loc:33.7916667+-116.7319444", 610)</f>
        <v>0</v>
      </c>
      <c r="K284">
        <v>128</v>
      </c>
      <c r="L284">
        <v>2</v>
      </c>
      <c r="M284">
        <v>0</v>
      </c>
      <c r="N284">
        <v>2</v>
      </c>
      <c r="O284">
        <v>2</v>
      </c>
    </row>
    <row r="285" spans="1:15">
      <c r="A285" s="1" t="s">
        <v>297</v>
      </c>
      <c r="B285" t="s">
        <v>504</v>
      </c>
      <c r="C285" t="s">
        <v>509</v>
      </c>
      <c r="D285">
        <f>HYPERLINK("http://www.reserveamerica.com/camping/mary-smith-campground/r/facilityDetails.do?contractCode=NRSO&amp;parkId=72375", "MARY SMITH CAMPGROUND")</f>
        <v>0</v>
      </c>
      <c r="E285">
        <v>40.9261111</v>
      </c>
      <c r="F285">
        <v>-122.9152778</v>
      </c>
      <c r="G285" t="s">
        <v>792</v>
      </c>
      <c r="I285" t="s">
        <v>505</v>
      </c>
      <c r="J285">
        <f>HYPERLINK("http://maps.google.com/maps?z=10&amp;t=m&amp;q=loc:40.9261111+-122.9152778", 409)</f>
        <v>0</v>
      </c>
      <c r="K285">
        <v>348</v>
      </c>
      <c r="L285">
        <v>7</v>
      </c>
      <c r="M285">
        <v>0</v>
      </c>
      <c r="N285">
        <v>7</v>
      </c>
      <c r="O285">
        <v>7</v>
      </c>
    </row>
    <row r="286" spans="1:15">
      <c r="A286" s="1" t="s">
        <v>298</v>
      </c>
      <c r="B286" t="s">
        <v>505</v>
      </c>
      <c r="C286" t="s">
        <v>510</v>
      </c>
      <c r="D286">
        <f>HYPERLINK("http://www.reserveamerica.com/camping/mcarthurburney-falls-mem-sp/r/facilityDetails.do?contractCode=CA&amp;parkId=120054", "MCARTHUR-BURNEY FALLS MEM SP")</f>
        <v>0</v>
      </c>
      <c r="E286">
        <v>41.0188889</v>
      </c>
      <c r="F286">
        <v>-121.6502778</v>
      </c>
      <c r="G286" t="s">
        <v>793</v>
      </c>
      <c r="I286" t="s">
        <v>505</v>
      </c>
      <c r="J286">
        <f>HYPERLINK("http://maps.google.com/maps?z=10&amp;t=m&amp;q=loc:41.0188889+-121.6502778", 410)</f>
        <v>0</v>
      </c>
      <c r="K286">
        <v>2</v>
      </c>
      <c r="L286">
        <v>23</v>
      </c>
      <c r="M286">
        <v>3</v>
      </c>
      <c r="N286">
        <v>20</v>
      </c>
      <c r="O286">
        <v>20</v>
      </c>
    </row>
    <row r="287" spans="1:15">
      <c r="A287" s="1" t="s">
        <v>299</v>
      </c>
      <c r="B287" t="s">
        <v>505</v>
      </c>
      <c r="C287" t="s">
        <v>510</v>
      </c>
      <c r="D287">
        <f>HYPERLINK("http://www.reserveamerica.com/camping/mcconnell-sra/r/facilityDetails.do?contractCode=CA&amp;parkId=120055", "MCCONNELL SRA")</f>
        <v>0</v>
      </c>
      <c r="E287">
        <v>37.4152778</v>
      </c>
      <c r="F287">
        <v>-120.71</v>
      </c>
      <c r="G287" t="s">
        <v>794</v>
      </c>
      <c r="I287" t="s">
        <v>505</v>
      </c>
      <c r="J287">
        <f>HYPERLINK("http://maps.google.com/maps?z=10&amp;t=m&amp;q=loc:37.4152778+-120.71", 106)</f>
        <v>0</v>
      </c>
      <c r="K287">
        <v>84</v>
      </c>
      <c r="L287">
        <v>15</v>
      </c>
      <c r="M287">
        <v>1</v>
      </c>
      <c r="N287">
        <v>14</v>
      </c>
      <c r="O287">
        <v>14</v>
      </c>
    </row>
    <row r="288" spans="1:15">
      <c r="A288" s="1" t="s">
        <v>300</v>
      </c>
      <c r="B288" t="s">
        <v>504</v>
      </c>
      <c r="C288" t="s">
        <v>509</v>
      </c>
      <c r="D288">
        <f>HYPERLINK("http://www.reserveamerica.com/camping/mcgee-creek/r/facilityDetails.do?contractCode=NRSO&amp;parkId=70520", "MCGEE CREEK")</f>
        <v>0</v>
      </c>
      <c r="E288">
        <v>37.5644444</v>
      </c>
      <c r="F288">
        <v>-118.7847222</v>
      </c>
      <c r="G288" t="s">
        <v>795</v>
      </c>
      <c r="I288" t="s">
        <v>505</v>
      </c>
      <c r="J288">
        <f>HYPERLINK("http://maps.google.com/maps?z=10&amp;t=m&amp;q=loc:37.5644444+-118.7847222", 276)</f>
        <v>0</v>
      </c>
      <c r="K288">
        <v>83</v>
      </c>
      <c r="L288">
        <v>14</v>
      </c>
      <c r="M288">
        <v>0</v>
      </c>
      <c r="N288">
        <v>14</v>
      </c>
      <c r="O288">
        <v>14</v>
      </c>
    </row>
    <row r="289" spans="1:15">
      <c r="A289" s="1" t="s">
        <v>301</v>
      </c>
      <c r="B289" t="s">
        <v>504</v>
      </c>
      <c r="C289" t="s">
        <v>509</v>
      </c>
      <c r="D289">
        <f>HYPERLINK("http://www.reserveamerica.com/camping/mcgill-campground/r/facilityDetails.do?contractCode=NRSO&amp;parkId=70166", "MCGILL CAMPGROUND")</f>
        <v>0</v>
      </c>
      <c r="E289">
        <v>34.8155556</v>
      </c>
      <c r="F289">
        <v>-119.0983333</v>
      </c>
      <c r="G289" t="s">
        <v>796</v>
      </c>
      <c r="I289" t="s">
        <v>505</v>
      </c>
      <c r="J289">
        <f>HYPERLINK("http://maps.google.com/maps?z=10&amp;t=m&amp;q=loc:34.8155556+-119.0983333", 376)</f>
        <v>0</v>
      </c>
      <c r="K289">
        <v>137</v>
      </c>
      <c r="L289">
        <v>0</v>
      </c>
      <c r="M289">
        <v>0</v>
      </c>
      <c r="N289">
        <v>0</v>
      </c>
      <c r="O289">
        <v>0</v>
      </c>
    </row>
    <row r="290" spans="1:15">
      <c r="A290" s="1" t="s">
        <v>302</v>
      </c>
      <c r="B290" t="s">
        <v>505</v>
      </c>
      <c r="C290" t="s">
        <v>510</v>
      </c>
      <c r="D290">
        <f>HYPERLINK("http://www.reserveamerica.com/camping/mcgrath-sb/r/facilityDetails.do?contractCode=CA&amp;parkId=120056", "MCGRATH SB")</f>
        <v>0</v>
      </c>
      <c r="E290">
        <v>34.2263889</v>
      </c>
      <c r="F290">
        <v>-119.2613889</v>
      </c>
      <c r="G290" t="s">
        <v>797</v>
      </c>
      <c r="I290" t="s">
        <v>505</v>
      </c>
      <c r="J290">
        <f>HYPERLINK("http://maps.google.com/maps?z=10&amp;t=m&amp;q=loc:34.2263889+-119.2613889", 419)</f>
        <v>0</v>
      </c>
      <c r="K290">
        <v>144</v>
      </c>
      <c r="L290">
        <v>0</v>
      </c>
      <c r="M290">
        <v>0</v>
      </c>
      <c r="N290">
        <v>0</v>
      </c>
      <c r="O290">
        <v>0</v>
      </c>
    </row>
    <row r="291" spans="1:15">
      <c r="A291" s="1" t="s">
        <v>303</v>
      </c>
      <c r="B291" t="s">
        <v>504</v>
      </c>
      <c r="C291" t="s">
        <v>509</v>
      </c>
      <c r="D291">
        <f>HYPERLINK("http://www.reserveamerica.com/camping/meeks-bay/r/facilityDetails.do?contractCode=NRSO&amp;parkId=71664", "MEEKS BAY")</f>
        <v>0</v>
      </c>
      <c r="E291">
        <v>39.0377778</v>
      </c>
      <c r="F291">
        <v>-120.1236111</v>
      </c>
      <c r="G291" t="s">
        <v>798</v>
      </c>
      <c r="I291" t="s">
        <v>505</v>
      </c>
      <c r="J291">
        <f>HYPERLINK("http://maps.google.com/maps?z=10&amp;t=m&amp;q=loc:39.0377778+-120.1236111", 245)</f>
        <v>0</v>
      </c>
      <c r="K291">
        <v>38</v>
      </c>
      <c r="L291">
        <v>0</v>
      </c>
      <c r="M291">
        <v>0</v>
      </c>
      <c r="N291">
        <v>0</v>
      </c>
      <c r="O291">
        <v>0</v>
      </c>
    </row>
    <row r="292" spans="1:15">
      <c r="A292" s="1" t="s">
        <v>304</v>
      </c>
      <c r="B292" t="s">
        <v>504</v>
      </c>
      <c r="C292" t="s">
        <v>509</v>
      </c>
      <c r="D292">
        <f>HYPERLINK("http://www.reserveamerica.com/camping/merrill-campground/r/facilityDetails.do?contractCode=NRSO&amp;parkId=71706", "MERRILL CAMPGROUND")</f>
        <v>0</v>
      </c>
      <c r="E292">
        <v>40.5481194</v>
      </c>
      <c r="F292">
        <v>-120.8120056</v>
      </c>
      <c r="G292" t="s">
        <v>799</v>
      </c>
      <c r="I292" t="s">
        <v>505</v>
      </c>
      <c r="J292">
        <f>HYPERLINK("http://maps.google.com/maps?z=10&amp;t=m&amp;q=loc:40.5481194+-120.8120056", 370)</f>
        <v>0</v>
      </c>
      <c r="K292">
        <v>14</v>
      </c>
      <c r="L292">
        <v>0</v>
      </c>
      <c r="M292">
        <v>0</v>
      </c>
      <c r="N292">
        <v>0</v>
      </c>
      <c r="O292">
        <v>0</v>
      </c>
    </row>
    <row r="293" spans="1:15">
      <c r="A293" s="1" t="s">
        <v>305</v>
      </c>
      <c r="B293" t="s">
        <v>504</v>
      </c>
      <c r="C293" t="s">
        <v>509</v>
      </c>
      <c r="D293">
        <f>HYPERLINK("http://www.reserveamerica.com/camping/middle-meadows/r/facilityDetails.do?contractCode=NRSO&amp;parkId=70151", "MIDDLE MEADOWS")</f>
        <v>0</v>
      </c>
      <c r="E293">
        <v>39.0511111</v>
      </c>
      <c r="F293">
        <v>-120.4661111</v>
      </c>
      <c r="G293" t="s">
        <v>800</v>
      </c>
      <c r="I293" t="s">
        <v>505</v>
      </c>
      <c r="J293">
        <f>HYPERLINK("http://maps.google.com/maps?z=10&amp;t=m&amp;q=loc:39.0511111+-120.4661111", 229)</f>
        <v>0</v>
      </c>
      <c r="K293">
        <v>32</v>
      </c>
      <c r="L293">
        <v>1</v>
      </c>
      <c r="M293">
        <v>0</v>
      </c>
      <c r="N293">
        <v>1</v>
      </c>
      <c r="O293">
        <v>1</v>
      </c>
    </row>
    <row r="294" spans="1:15">
      <c r="A294" s="1" t="s">
        <v>306</v>
      </c>
      <c r="B294" t="s">
        <v>505</v>
      </c>
      <c r="C294" t="s">
        <v>510</v>
      </c>
      <c r="D294">
        <f>HYPERLINK("http://www.reserveamerica.com/camping/millerton-lake-sra/r/facilityDetails.do?contractCode=CA&amp;parkId=120057", "MILLERTON LAKE SRA")</f>
        <v>0</v>
      </c>
      <c r="E294">
        <v>37.0202778</v>
      </c>
      <c r="F294">
        <v>-119.6669444</v>
      </c>
      <c r="G294" t="s">
        <v>801</v>
      </c>
      <c r="I294" t="s">
        <v>505</v>
      </c>
      <c r="J294">
        <f>HYPERLINK("http://maps.google.com/maps?z=10&amp;t=m&amp;q=loc:37.0202778+-119.6669444", 201)</f>
        <v>0</v>
      </c>
      <c r="K294">
        <v>99</v>
      </c>
      <c r="L294">
        <v>133</v>
      </c>
      <c r="M294">
        <v>7</v>
      </c>
      <c r="N294">
        <v>126</v>
      </c>
      <c r="O294">
        <v>126</v>
      </c>
    </row>
    <row r="295" spans="1:15">
      <c r="A295" s="1" t="s">
        <v>307</v>
      </c>
      <c r="B295" t="s">
        <v>504</v>
      </c>
      <c r="C295" t="s">
        <v>509</v>
      </c>
      <c r="D295">
        <f>HYPERLINK("http://www.reserveamerica.com/camping/minersville-campground/r/facilityDetails.do?contractCode=NRSO&amp;parkId=72378", "MINERSVILLE CAMPGROUND")</f>
        <v>0</v>
      </c>
      <c r="E295">
        <v>40.8516667</v>
      </c>
      <c r="F295">
        <v>-122.8113889</v>
      </c>
      <c r="G295" t="s">
        <v>802</v>
      </c>
      <c r="I295" t="s">
        <v>505</v>
      </c>
      <c r="J295">
        <f>HYPERLINK("http://maps.google.com/maps?z=10&amp;t=m&amp;q=loc:40.8516667+-122.8113889", 399)</f>
        <v>0</v>
      </c>
      <c r="K295">
        <v>349</v>
      </c>
      <c r="L295">
        <v>8</v>
      </c>
      <c r="M295">
        <v>0</v>
      </c>
      <c r="N295">
        <v>8</v>
      </c>
      <c r="O295">
        <v>8</v>
      </c>
    </row>
    <row r="296" spans="1:15">
      <c r="A296" s="1" t="s">
        <v>308</v>
      </c>
      <c r="B296" t="s">
        <v>508</v>
      </c>
      <c r="C296" t="s">
        <v>511</v>
      </c>
      <c r="D296">
        <f>HYPERLINK("http://www.reserveamerica.com/camping/modesto-reservoir-regional-park/r/facilityDetails.do?contractCode=STAN&amp;parkId=1040011", "MODESTO RESERVOIR REGIONAL PARK")</f>
        <v>0</v>
      </c>
      <c r="E296">
        <v>37.6597222</v>
      </c>
      <c r="F296">
        <v>-120.6555556</v>
      </c>
      <c r="G296" t="s">
        <v>803</v>
      </c>
      <c r="H296" t="s">
        <v>1000</v>
      </c>
      <c r="I296" t="s">
        <v>505</v>
      </c>
      <c r="J296">
        <f>HYPERLINK("http://maps.google.com/maps?z=10&amp;t=m&amp;q=loc:37.6597222+-120.6555556", 116)</f>
        <v>0</v>
      </c>
      <c r="K296">
        <v>71</v>
      </c>
      <c r="L296">
        <v>100</v>
      </c>
      <c r="M296">
        <v>4</v>
      </c>
      <c r="N296">
        <v>96</v>
      </c>
      <c r="O296">
        <v>96</v>
      </c>
    </row>
    <row r="297" spans="1:15">
      <c r="A297" s="1" t="s">
        <v>309</v>
      </c>
      <c r="B297" t="s">
        <v>504</v>
      </c>
      <c r="C297" t="s">
        <v>509</v>
      </c>
      <c r="D297">
        <f>HYPERLINK("http://www.reserveamerica.com/camping/mono-creek/r/facilityDetails.do?contractCode=NRSO&amp;parkId=71582", "MONO CREEK")</f>
        <v>0</v>
      </c>
      <c r="E297">
        <v>37.3586111</v>
      </c>
      <c r="F297">
        <v>-118.9975</v>
      </c>
      <c r="G297" t="s">
        <v>804</v>
      </c>
      <c r="I297" t="s">
        <v>505</v>
      </c>
      <c r="J297">
        <f>HYPERLINK("http://maps.google.com/maps?z=10&amp;t=m&amp;q=loc:37.3586111+-118.9975", 256)</f>
        <v>0</v>
      </c>
      <c r="K297">
        <v>88</v>
      </c>
      <c r="L297">
        <v>11</v>
      </c>
      <c r="M297">
        <v>0</v>
      </c>
      <c r="N297">
        <v>11</v>
      </c>
      <c r="O297">
        <v>11</v>
      </c>
    </row>
    <row r="298" spans="1:15">
      <c r="A298" s="1" t="s">
        <v>310</v>
      </c>
      <c r="B298" t="s">
        <v>504</v>
      </c>
      <c r="C298" t="s">
        <v>509</v>
      </c>
      <c r="D298">
        <f>HYPERLINK("http://www.reserveamerica.com/camping/mono-hot-springs/r/facilityDetails.do?contractCode=NRSO&amp;parkId=71583", "MONO HOT SPRINGS")</f>
        <v>0</v>
      </c>
      <c r="E298">
        <v>37.3263889</v>
      </c>
      <c r="F298">
        <v>-119.0177778</v>
      </c>
      <c r="G298" t="s">
        <v>805</v>
      </c>
      <c r="I298" t="s">
        <v>505</v>
      </c>
      <c r="J298">
        <f>HYPERLINK("http://maps.google.com/maps?z=10&amp;t=m&amp;q=loc:37.3263889+-119.0177778", 255)</f>
        <v>0</v>
      </c>
      <c r="K298">
        <v>89</v>
      </c>
      <c r="L298">
        <v>0</v>
      </c>
      <c r="M298">
        <v>0</v>
      </c>
      <c r="N298">
        <v>0</v>
      </c>
      <c r="O298">
        <v>0</v>
      </c>
    </row>
    <row r="299" spans="1:15">
      <c r="A299" s="1" t="s">
        <v>311</v>
      </c>
      <c r="B299" t="s">
        <v>505</v>
      </c>
      <c r="C299" t="s">
        <v>510</v>
      </c>
      <c r="D299">
        <f>HYPERLINK("http://www.reserveamerica.com/camping/montana-de-oro-sp/r/facilityDetails.do?contractCode=CA&amp;parkId=120058", "MONTANA DE ORO SP")</f>
        <v>0</v>
      </c>
      <c r="E299">
        <v>35.2638889</v>
      </c>
      <c r="F299">
        <v>-120.8622222</v>
      </c>
      <c r="G299" t="s">
        <v>806</v>
      </c>
      <c r="I299" t="s">
        <v>505</v>
      </c>
      <c r="J299">
        <f>HYPERLINK("http://maps.google.com/maps?z=10&amp;t=m&amp;q=loc:35.2638889+-120.8622222", 247)</f>
        <v>0</v>
      </c>
      <c r="K299">
        <v>157</v>
      </c>
      <c r="L299">
        <v>1</v>
      </c>
      <c r="M299">
        <v>1</v>
      </c>
      <c r="N299">
        <v>0</v>
      </c>
      <c r="O299">
        <v>0</v>
      </c>
    </row>
    <row r="300" spans="1:15">
      <c r="A300" s="1" t="s">
        <v>312</v>
      </c>
      <c r="B300" t="s">
        <v>504</v>
      </c>
      <c r="C300" t="s">
        <v>509</v>
      </c>
      <c r="D300">
        <f>HYPERLINK("http://www.reserveamerica.com/camping/moore-creek/r/facilityDetails.do?contractCode=NRSO&amp;parkId=71524", "MOORE CREEK")</f>
        <v>0</v>
      </c>
      <c r="E300">
        <v>40.8838889</v>
      </c>
      <c r="F300">
        <v>-122.2177778</v>
      </c>
      <c r="G300" t="s">
        <v>807</v>
      </c>
      <c r="I300" t="s">
        <v>505</v>
      </c>
      <c r="J300">
        <f>HYPERLINK("http://maps.google.com/maps?z=10&amp;t=m&amp;q=loc:40.8838889+-122.2177778", 396)</f>
        <v>0</v>
      </c>
      <c r="K300">
        <v>356</v>
      </c>
      <c r="L300">
        <v>1</v>
      </c>
      <c r="M300">
        <v>0</v>
      </c>
      <c r="N300">
        <v>1</v>
      </c>
      <c r="O300">
        <v>1</v>
      </c>
    </row>
    <row r="301" spans="1:15">
      <c r="A301" s="1" t="s">
        <v>313</v>
      </c>
      <c r="B301" t="s">
        <v>506</v>
      </c>
      <c r="C301" t="s">
        <v>511</v>
      </c>
      <c r="D301">
        <f>HYPERLINK("http://www.reserveamerica.com/camping/morgan-territory-regional-preserve/r/facilityDetails.do?contractCode=EB&amp;parkId=110456", "Morgan Territory Regional Preserve")</f>
        <v>0</v>
      </c>
      <c r="E301">
        <v>37.8191667</v>
      </c>
      <c r="F301">
        <v>-121.7955556</v>
      </c>
      <c r="G301" t="s">
        <v>808</v>
      </c>
      <c r="I301" t="s">
        <v>505</v>
      </c>
      <c r="J301">
        <f>HYPERLINK("http://maps.google.com/maps?z=10&amp;t=m&amp;q=loc:37.8191667+-121.7955556", 55)</f>
        <v>0</v>
      </c>
      <c r="K301">
        <v>10</v>
      </c>
      <c r="L301">
        <v>0</v>
      </c>
      <c r="M301">
        <v>0</v>
      </c>
      <c r="N301">
        <v>0</v>
      </c>
      <c r="O301">
        <v>0</v>
      </c>
    </row>
    <row r="302" spans="1:15">
      <c r="A302" s="1" t="s">
        <v>314</v>
      </c>
      <c r="B302" t="s">
        <v>505</v>
      </c>
      <c r="C302" t="s">
        <v>510</v>
      </c>
      <c r="D302">
        <f>HYPERLINK("http://www.reserveamerica.com/camping/morro-bay-sp/r/facilityDetails.do?contractCode=CA&amp;parkId=120059", "MORRO BAY SP")</f>
        <v>0</v>
      </c>
      <c r="E302">
        <v>35.3538889</v>
      </c>
      <c r="F302">
        <v>-120.8316667</v>
      </c>
      <c r="G302" t="s">
        <v>809</v>
      </c>
      <c r="I302" t="s">
        <v>505</v>
      </c>
      <c r="J302">
        <f>HYPERLINK("http://maps.google.com/maps?z=10&amp;t=m&amp;q=loc:35.3538889+-120.8316667", 239)</f>
        <v>0</v>
      </c>
      <c r="K302">
        <v>156</v>
      </c>
      <c r="L302">
        <v>0</v>
      </c>
      <c r="M302">
        <v>0</v>
      </c>
      <c r="N302">
        <v>0</v>
      </c>
      <c r="O302">
        <v>0</v>
      </c>
    </row>
    <row r="303" spans="1:15">
      <c r="A303" s="1" t="s">
        <v>315</v>
      </c>
      <c r="B303" t="s">
        <v>505</v>
      </c>
      <c r="C303" t="s">
        <v>510</v>
      </c>
      <c r="D303">
        <f>HYPERLINK("http://www.reserveamerica.com/camping/morro-strand-sb/r/facilityDetails.do?contractCode=CA&amp;parkId=120060", "MORRO STRAND SB")</f>
        <v>0</v>
      </c>
      <c r="E303">
        <v>35.4277778</v>
      </c>
      <c r="F303">
        <v>-120.8819444</v>
      </c>
      <c r="G303" t="s">
        <v>810</v>
      </c>
      <c r="I303" t="s">
        <v>505</v>
      </c>
      <c r="J303">
        <f>HYPERLINK("http://maps.google.com/maps?z=10&amp;t=m&amp;q=loc:35.4277778+-120.8819444", 230)</f>
        <v>0</v>
      </c>
      <c r="K303">
        <v>156</v>
      </c>
      <c r="L303">
        <v>1</v>
      </c>
      <c r="M303">
        <v>0</v>
      </c>
      <c r="N303">
        <v>1</v>
      </c>
      <c r="O303">
        <v>1</v>
      </c>
    </row>
    <row r="304" spans="1:15">
      <c r="A304" s="1" t="s">
        <v>316</v>
      </c>
      <c r="B304" t="s">
        <v>504</v>
      </c>
      <c r="C304" t="s">
        <v>509</v>
      </c>
      <c r="D304">
        <f>HYPERLINK("http://www.reserveamerica.com/camping/mount-rose-nv/r/facilityDetails.do?contractCode=NRSO&amp;parkId=70459", "MOUNT ROSE (NV)")</f>
        <v>0</v>
      </c>
      <c r="E304">
        <v>39.3122778</v>
      </c>
      <c r="F304">
        <v>-119.8973611</v>
      </c>
      <c r="G304" t="s">
        <v>811</v>
      </c>
      <c r="I304" t="s">
        <v>505</v>
      </c>
      <c r="J304">
        <f>HYPERLINK("http://maps.google.com/maps?z=10&amp;t=m&amp;q=loc:39.3122778+-119.8973611", 281)</f>
        <v>0</v>
      </c>
      <c r="K304">
        <v>37</v>
      </c>
      <c r="L304">
        <v>0</v>
      </c>
      <c r="M304">
        <v>0</v>
      </c>
      <c r="N304">
        <v>0</v>
      </c>
      <c r="O304">
        <v>0</v>
      </c>
    </row>
    <row r="305" spans="1:15">
      <c r="A305" s="1" t="s">
        <v>317</v>
      </c>
      <c r="B305" t="s">
        <v>505</v>
      </c>
      <c r="C305" t="s">
        <v>510</v>
      </c>
      <c r="D305">
        <f>HYPERLINK("http://www.reserveamerica.com/camping/mount-tamalpais-sp/r/facilityDetails.do?contractCode=CA&amp;parkId=120063", "MOUNT TAMALPAIS SP")</f>
        <v>0</v>
      </c>
      <c r="E305">
        <v>37.9038889</v>
      </c>
      <c r="F305">
        <v>-122.595</v>
      </c>
      <c r="G305" t="s">
        <v>812</v>
      </c>
      <c r="I305" t="s">
        <v>505</v>
      </c>
      <c r="J305">
        <f>HYPERLINK("http://maps.google.com/maps?z=10&amp;t=m&amp;q=loc:37.9038889+-122.595", 88)</f>
        <v>0</v>
      </c>
      <c r="K305">
        <v>316</v>
      </c>
      <c r="L305">
        <v>0</v>
      </c>
      <c r="M305">
        <v>0</v>
      </c>
      <c r="N305">
        <v>0</v>
      </c>
      <c r="O305">
        <v>0</v>
      </c>
    </row>
    <row r="306" spans="1:15">
      <c r="A306" s="1" t="s">
        <v>318</v>
      </c>
      <c r="B306" t="s">
        <v>504</v>
      </c>
      <c r="C306" t="s">
        <v>509</v>
      </c>
      <c r="D306">
        <f>HYPERLINK("http://www.reserveamerica.com/camping/mountain-oak/r/facilityDetails.do?contractCode=NRSO&amp;parkId=73583", "MOUNTAIN OAK")</f>
        <v>0</v>
      </c>
      <c r="E306">
        <v>34.3947222</v>
      </c>
      <c r="F306">
        <v>-117.7294444</v>
      </c>
      <c r="G306" t="s">
        <v>813</v>
      </c>
      <c r="I306" t="s">
        <v>505</v>
      </c>
      <c r="J306">
        <f>HYPERLINK("http://maps.google.com/maps?z=10&amp;t=m&amp;q=loc:34.3947222+-117.7294444", 497)</f>
        <v>0</v>
      </c>
      <c r="K306">
        <v>129</v>
      </c>
      <c r="L306">
        <v>1</v>
      </c>
      <c r="M306">
        <v>0</v>
      </c>
      <c r="N306">
        <v>1</v>
      </c>
      <c r="O306">
        <v>1</v>
      </c>
    </row>
    <row r="307" spans="1:15">
      <c r="A307" s="1" t="s">
        <v>319</v>
      </c>
      <c r="B307" t="s">
        <v>505</v>
      </c>
      <c r="C307" t="s">
        <v>510</v>
      </c>
      <c r="D307">
        <f>HYPERLINK("http://www.reserveamerica.com/camping/mt-diablo-sp/r/facilityDetails.do?contractCode=CA&amp;parkId=120061", "MT. DIABLO SP")</f>
        <v>0</v>
      </c>
      <c r="E307">
        <v>37.8627778</v>
      </c>
      <c r="F307">
        <v>-121.93</v>
      </c>
      <c r="G307" t="s">
        <v>814</v>
      </c>
      <c r="I307" t="s">
        <v>505</v>
      </c>
      <c r="J307">
        <f>HYPERLINK("http://maps.google.com/maps?z=10&amp;t=m&amp;q=loc:37.8627778+-121.93", 59)</f>
        <v>0</v>
      </c>
      <c r="K307">
        <v>357</v>
      </c>
      <c r="L307">
        <v>51</v>
      </c>
      <c r="M307">
        <v>0</v>
      </c>
      <c r="N307">
        <v>51</v>
      </c>
      <c r="O307">
        <v>51</v>
      </c>
    </row>
    <row r="308" spans="1:15">
      <c r="A308" s="1" t="s">
        <v>320</v>
      </c>
      <c r="B308" t="s">
        <v>505</v>
      </c>
      <c r="C308" t="s">
        <v>510</v>
      </c>
      <c r="D308">
        <f>HYPERLINK("http://www.reserveamerica.com/camping/mt-san-jacinto-sp/r/facilityDetails.do?contractCode=CA&amp;parkId=120062", "MT. SAN JACINTO SP")</f>
        <v>0</v>
      </c>
      <c r="E308">
        <v>33.8102778</v>
      </c>
      <c r="F308">
        <v>-116.675</v>
      </c>
      <c r="G308" t="s">
        <v>815</v>
      </c>
      <c r="I308" t="s">
        <v>505</v>
      </c>
      <c r="J308">
        <f>HYPERLINK("http://maps.google.com/maps?z=10&amp;t=m&amp;q=loc:33.8102778+-116.675", 613)</f>
        <v>0</v>
      </c>
      <c r="K308">
        <v>128</v>
      </c>
      <c r="L308">
        <v>25</v>
      </c>
      <c r="M308">
        <v>4</v>
      </c>
      <c r="N308">
        <v>21</v>
      </c>
      <c r="O308">
        <v>21</v>
      </c>
    </row>
    <row r="309" spans="1:15">
      <c r="A309" s="1" t="s">
        <v>321</v>
      </c>
      <c r="B309" t="s">
        <v>504</v>
      </c>
      <c r="C309" t="s">
        <v>509</v>
      </c>
      <c r="D309">
        <f>HYPERLINK("http://www.reserveamerica.com/camping/nelson-point/r/facilityDetails.do?contractCode=NRSO&amp;parkId=71525", "NELSON POINT")</f>
        <v>0</v>
      </c>
      <c r="E309">
        <v>40.8483333</v>
      </c>
      <c r="F309">
        <v>-122.3458333</v>
      </c>
      <c r="G309" t="s">
        <v>816</v>
      </c>
      <c r="I309" t="s">
        <v>505</v>
      </c>
      <c r="J309">
        <f>HYPERLINK("http://maps.google.com/maps?z=10&amp;t=m&amp;q=loc:40.8483333+-122.3458333", 393)</f>
        <v>0</v>
      </c>
      <c r="K309">
        <v>354</v>
      </c>
      <c r="L309">
        <v>1</v>
      </c>
      <c r="M309">
        <v>0</v>
      </c>
      <c r="N309">
        <v>1</v>
      </c>
      <c r="O309">
        <v>1</v>
      </c>
    </row>
    <row r="310" spans="1:15">
      <c r="A310" s="1" t="s">
        <v>322</v>
      </c>
      <c r="B310" t="s">
        <v>504</v>
      </c>
      <c r="C310" t="s">
        <v>509</v>
      </c>
      <c r="D310">
        <f>HYPERLINK("http://www.reserveamerica.com/camping/nevada-beach-campground-and-day-use-pavilion/r/facilityDetails.do?contractCode=NRSO&amp;parkId=71530", "Nevada Beach Campground and Day Use Pavilion")</f>
        <v>0</v>
      </c>
      <c r="E310">
        <v>38.9819444</v>
      </c>
      <c r="F310">
        <v>-119.9486111</v>
      </c>
      <c r="G310" t="s">
        <v>817</v>
      </c>
      <c r="H310" t="s">
        <v>998</v>
      </c>
      <c r="I310" t="s">
        <v>505</v>
      </c>
      <c r="J310">
        <f>HYPERLINK("http://maps.google.com/maps?z=10&amp;t=m&amp;q=loc:38.9819444+-119.9486111", 251)</f>
        <v>0</v>
      </c>
      <c r="K310">
        <v>42</v>
      </c>
      <c r="L310">
        <v>0</v>
      </c>
      <c r="M310">
        <v>0</v>
      </c>
      <c r="N310">
        <v>0</v>
      </c>
      <c r="O310">
        <v>0</v>
      </c>
    </row>
    <row r="311" spans="1:15">
      <c r="A311" s="1" t="s">
        <v>323</v>
      </c>
      <c r="B311" t="s">
        <v>505</v>
      </c>
      <c r="C311" t="s">
        <v>510</v>
      </c>
      <c r="D311">
        <f>HYPERLINK("http://www.reserveamerica.com/camping/new-brighton-sb/r/facilityDetails.do?contractCode=CA&amp;parkId=120064", "NEW BRIGHTON SB")</f>
        <v>0</v>
      </c>
      <c r="E311">
        <v>36.9786111</v>
      </c>
      <c r="F311">
        <v>-121.9347222</v>
      </c>
      <c r="G311" t="s">
        <v>818</v>
      </c>
      <c r="I311" t="s">
        <v>505</v>
      </c>
      <c r="J311">
        <f>HYPERLINK("http://maps.google.com/maps?z=10&amp;t=m&amp;q=loc:36.9786111+-121.9347222", 38)</f>
        <v>0</v>
      </c>
      <c r="K311">
        <v>183</v>
      </c>
      <c r="L311">
        <v>0</v>
      </c>
      <c r="M311">
        <v>0</v>
      </c>
      <c r="N311">
        <v>0</v>
      </c>
      <c r="O311">
        <v>0</v>
      </c>
    </row>
    <row r="312" spans="1:15">
      <c r="A312" s="1" t="s">
        <v>324</v>
      </c>
      <c r="B312" t="s">
        <v>504</v>
      </c>
      <c r="C312" t="s">
        <v>509</v>
      </c>
      <c r="D312">
        <f>HYPERLINK("http://www.reserveamerica.com/camping/new-shady-rest-campground/r/facilityDetails.do?contractCode=NRSO&amp;parkId=73771", "NEW SHADY REST CAMPGROUND")</f>
        <v>0</v>
      </c>
      <c r="E312">
        <v>37.65</v>
      </c>
      <c r="F312">
        <v>-118.9591667</v>
      </c>
      <c r="G312" t="s">
        <v>819</v>
      </c>
      <c r="I312" t="s">
        <v>505</v>
      </c>
      <c r="J312">
        <f>HYPERLINK("http://maps.google.com/maps?z=10&amp;t=m&amp;q=loc:37.65+-118.9591667", 262)</f>
        <v>0</v>
      </c>
      <c r="K312">
        <v>81</v>
      </c>
      <c r="L312">
        <v>52</v>
      </c>
      <c r="M312">
        <v>0</v>
      </c>
      <c r="N312">
        <v>52</v>
      </c>
      <c r="O312">
        <v>52</v>
      </c>
    </row>
    <row r="313" spans="1:15">
      <c r="A313" s="1" t="s">
        <v>325</v>
      </c>
      <c r="B313" t="s">
        <v>504</v>
      </c>
      <c r="C313" t="s">
        <v>509</v>
      </c>
      <c r="D313">
        <f>HYPERLINK("http://www.reserveamerica.com/camping/nordheimer-group-sites/r/facilityDetails.do?contractCode=NRSO&amp;parkId=75212", "NORDHEIMER GROUP SITES")</f>
        <v>0</v>
      </c>
      <c r="E313">
        <v>41.2986111</v>
      </c>
      <c r="F313">
        <v>-123.3638889</v>
      </c>
      <c r="G313" t="s">
        <v>820</v>
      </c>
      <c r="I313" t="s">
        <v>505</v>
      </c>
      <c r="J313">
        <f>HYPERLINK("http://maps.google.com/maps?z=10&amp;t=m&amp;q=loc:41.2986111+-123.3638889", 458)</f>
        <v>0</v>
      </c>
      <c r="K313">
        <v>344</v>
      </c>
      <c r="L313">
        <v>4</v>
      </c>
      <c r="M313">
        <v>0</v>
      </c>
      <c r="N313">
        <v>4</v>
      </c>
      <c r="O313">
        <v>4</v>
      </c>
    </row>
    <row r="314" spans="1:15">
      <c r="A314" s="1" t="s">
        <v>326</v>
      </c>
      <c r="B314" t="s">
        <v>504</v>
      </c>
      <c r="C314" t="s">
        <v>509</v>
      </c>
      <c r="D314">
        <f>HYPERLINK("http://www.reserveamerica.com/camping/north-fork-ca/r/facilityDetails.do?contractCode=NRSO&amp;parkId=75481", "NORTH FORK (CA)")</f>
        <v>0</v>
      </c>
      <c r="E314">
        <v>39.2705556</v>
      </c>
      <c r="F314">
        <v>-120.6588889</v>
      </c>
      <c r="G314" t="s">
        <v>821</v>
      </c>
      <c r="I314" t="s">
        <v>505</v>
      </c>
      <c r="J314">
        <f>HYPERLINK("http://maps.google.com/maps?z=10&amp;t=m&amp;q=loc:39.2705556+-120.6588889", 241)</f>
        <v>0</v>
      </c>
      <c r="K314">
        <v>26</v>
      </c>
      <c r="L314">
        <v>7</v>
      </c>
      <c r="M314">
        <v>0</v>
      </c>
      <c r="N314">
        <v>7</v>
      </c>
      <c r="O314">
        <v>7</v>
      </c>
    </row>
    <row r="315" spans="1:15">
      <c r="A315" s="1" t="s">
        <v>327</v>
      </c>
      <c r="B315" t="s">
        <v>504</v>
      </c>
      <c r="C315" t="s">
        <v>509</v>
      </c>
      <c r="D315">
        <f>HYPERLINK("http://www.reserveamerica.com/camping/north-pines/r/facilityDetails.do?contractCode=NRSO&amp;parkId=70927", "NORTH PINES")</f>
        <v>0</v>
      </c>
      <c r="E315">
        <v>37.7419444</v>
      </c>
      <c r="F315">
        <v>-119.5655556</v>
      </c>
      <c r="G315" t="s">
        <v>822</v>
      </c>
      <c r="I315" t="s">
        <v>505</v>
      </c>
      <c r="J315">
        <f>HYPERLINK("http://maps.google.com/maps?z=10&amp;t=m&amp;q=loc:37.7419444+-119.5655556", 211)</f>
        <v>0</v>
      </c>
      <c r="K315">
        <v>76</v>
      </c>
      <c r="L315">
        <v>0</v>
      </c>
      <c r="M315">
        <v>0</v>
      </c>
      <c r="N315">
        <v>0</v>
      </c>
      <c r="O315">
        <v>0</v>
      </c>
    </row>
    <row r="316" spans="1:15">
      <c r="A316" s="1" t="s">
        <v>328</v>
      </c>
      <c r="B316" t="s">
        <v>504</v>
      </c>
      <c r="C316" t="s">
        <v>509</v>
      </c>
      <c r="D316">
        <f>HYPERLINK("http://www.reserveamerica.com/camping/north-shore-ca/r/facilityDetails.do?contractCode=NRSO&amp;parkId=70604", "NORTH SHORE (CA)")</f>
        <v>0</v>
      </c>
      <c r="E316">
        <v>34.2672222</v>
      </c>
      <c r="F316">
        <v>-117.1633333</v>
      </c>
      <c r="G316" t="s">
        <v>823</v>
      </c>
      <c r="I316" t="s">
        <v>505</v>
      </c>
      <c r="J316">
        <f>HYPERLINK("http://maps.google.com/maps?z=10&amp;t=m&amp;q=loc:34.2672222+-117.1633333", 546)</f>
        <v>0</v>
      </c>
      <c r="K316">
        <v>127</v>
      </c>
      <c r="L316">
        <v>9</v>
      </c>
      <c r="M316">
        <v>0</v>
      </c>
      <c r="N316">
        <v>9</v>
      </c>
      <c r="O316">
        <v>9</v>
      </c>
    </row>
    <row r="317" spans="1:15">
      <c r="A317" s="1" t="s">
        <v>329</v>
      </c>
      <c r="B317" t="s">
        <v>504</v>
      </c>
      <c r="C317" t="s">
        <v>509</v>
      </c>
      <c r="D317">
        <f>HYPERLINK("http://www.reserveamerica.com/camping/oak-bottom-campground/r/facilityDetails.do?contractCode=NRSO&amp;parkId=75502", "OAK BOTTOM CAMPGROUND")</f>
        <v>0</v>
      </c>
      <c r="E317">
        <v>41.3772222</v>
      </c>
      <c r="F317">
        <v>-123.4513889</v>
      </c>
      <c r="G317" t="s">
        <v>824</v>
      </c>
      <c r="I317" t="s">
        <v>505</v>
      </c>
      <c r="J317">
        <f>HYPERLINK("http://maps.google.com/maps?z=10&amp;t=m&amp;q=loc:41.3772222+-123.4513889", 469)</f>
        <v>0</v>
      </c>
      <c r="K317">
        <v>344</v>
      </c>
      <c r="L317">
        <v>13</v>
      </c>
      <c r="M317">
        <v>0</v>
      </c>
      <c r="N317">
        <v>13</v>
      </c>
      <c r="O317">
        <v>13</v>
      </c>
    </row>
    <row r="318" spans="1:15">
      <c r="A318" s="1" t="s">
        <v>330</v>
      </c>
      <c r="B318" t="s">
        <v>504</v>
      </c>
      <c r="C318" t="s">
        <v>509</v>
      </c>
      <c r="D318">
        <f>HYPERLINK("http://www.reserveamerica.com/camping/oak-grove-campground/r/facilityDetails.do?contractCode=NRSO&amp;parkId=109083", "OAK GROVE CAMPGROUND")</f>
        <v>0</v>
      </c>
      <c r="E318">
        <v>33.386525</v>
      </c>
      <c r="F318">
        <v>-116.7913694</v>
      </c>
      <c r="G318" t="s">
        <v>825</v>
      </c>
      <c r="I318" t="s">
        <v>505</v>
      </c>
      <c r="J318">
        <f>HYPERLINK("http://maps.google.com/maps?z=10&amp;t=m&amp;q=loc:33.386525+-116.7913694", 637)</f>
        <v>0</v>
      </c>
      <c r="K318">
        <v>131</v>
      </c>
      <c r="L318">
        <v>54</v>
      </c>
      <c r="M318">
        <v>0</v>
      </c>
      <c r="N318">
        <v>54</v>
      </c>
      <c r="O318">
        <v>54</v>
      </c>
    </row>
    <row r="319" spans="1:15">
      <c r="A319" s="1" t="s">
        <v>331</v>
      </c>
      <c r="B319" t="s">
        <v>504</v>
      </c>
      <c r="C319" t="s">
        <v>509</v>
      </c>
      <c r="D319">
        <f>HYPERLINK("http://www.reserveamerica.com/camping/oak-knoll-campground/r/facilityDetails.do?contractCode=NRSO&amp;parkId=73639", "OAK KNOLL CAMPGROUND")</f>
        <v>0</v>
      </c>
      <c r="E319">
        <v>38.18265</v>
      </c>
      <c r="F319">
        <v>-120.8030556</v>
      </c>
      <c r="G319" t="s">
        <v>826</v>
      </c>
      <c r="I319" t="s">
        <v>505</v>
      </c>
      <c r="J319">
        <f>HYPERLINK("http://maps.google.com/maps?z=10&amp;t=m&amp;q=loc:38.18265+-120.8030556", 135)</f>
        <v>0</v>
      </c>
      <c r="K319">
        <v>45</v>
      </c>
      <c r="L319">
        <v>0</v>
      </c>
      <c r="M319">
        <v>0</v>
      </c>
      <c r="N319">
        <v>0</v>
      </c>
      <c r="O319">
        <v>0</v>
      </c>
    </row>
    <row r="320" spans="1:15">
      <c r="A320" s="1" t="s">
        <v>332</v>
      </c>
      <c r="B320" t="s">
        <v>504</v>
      </c>
      <c r="C320" t="s">
        <v>509</v>
      </c>
      <c r="D320">
        <f>HYPERLINK("http://www.reserveamerica.com/camping/observatory-campground/r/facilityDetails.do?contractCode=NRSO&amp;parkId=72310", "OBSERVATORY CAMPGROUND")</f>
        <v>0</v>
      </c>
      <c r="E320">
        <v>33.3416667</v>
      </c>
      <c r="F320">
        <v>-116.8786111</v>
      </c>
      <c r="G320" t="s">
        <v>827</v>
      </c>
      <c r="I320" t="s">
        <v>505</v>
      </c>
      <c r="J320">
        <f>HYPERLINK("http://maps.google.com/maps?z=10&amp;t=m&amp;q=loc:33.3416667+-116.8786111", 635)</f>
        <v>0</v>
      </c>
      <c r="K320">
        <v>132</v>
      </c>
      <c r="L320">
        <v>3</v>
      </c>
      <c r="M320">
        <v>1</v>
      </c>
      <c r="N320">
        <v>2</v>
      </c>
      <c r="O320">
        <v>2</v>
      </c>
    </row>
    <row r="321" spans="1:15">
      <c r="A321" s="1" t="s">
        <v>333</v>
      </c>
      <c r="B321" t="s">
        <v>504</v>
      </c>
      <c r="C321" t="s">
        <v>509</v>
      </c>
      <c r="D321">
        <f>HYPERLINK("http://www.reserveamerica.com/camping/obsidian-flat/r/facilityDetails.do?contractCode=NRSO&amp;parkId=70155", "OBSIDIAN FLAT")</f>
        <v>0</v>
      </c>
      <c r="E321">
        <v>37.7333333</v>
      </c>
      <c r="F321">
        <v>-119.0166667</v>
      </c>
      <c r="G321" t="s">
        <v>828</v>
      </c>
      <c r="I321" t="s">
        <v>505</v>
      </c>
      <c r="J321">
        <f>HYPERLINK("http://maps.google.com/maps?z=10&amp;t=m&amp;q=loc:37.7333333+-119.0166667", 258)</f>
        <v>0</v>
      </c>
      <c r="K321">
        <v>79</v>
      </c>
      <c r="L321">
        <v>0</v>
      </c>
      <c r="M321">
        <v>0</v>
      </c>
      <c r="N321">
        <v>0</v>
      </c>
      <c r="O321">
        <v>0</v>
      </c>
    </row>
    <row r="322" spans="1:15">
      <c r="A322" s="1" t="s">
        <v>334</v>
      </c>
      <c r="B322" t="s">
        <v>505</v>
      </c>
      <c r="C322" t="s">
        <v>510</v>
      </c>
      <c r="D322">
        <f>HYPERLINK("http://www.reserveamerica.com/camping/oceano-dunes-svra/r/facilityDetails.do?contractCode=CA&amp;parkId=120065", "OCEANO DUNES SVRA")</f>
        <v>0</v>
      </c>
      <c r="E322">
        <v>35.1055556</v>
      </c>
      <c r="F322">
        <v>-120.6291667</v>
      </c>
      <c r="G322" t="s">
        <v>829</v>
      </c>
      <c r="I322" t="s">
        <v>505</v>
      </c>
      <c r="J322">
        <f>HYPERLINK("http://maps.google.com/maps?z=10&amp;t=m&amp;q=loc:35.1055556+-120.6291667", 272)</f>
        <v>0</v>
      </c>
      <c r="K322">
        <v>154</v>
      </c>
      <c r="L322">
        <v>999</v>
      </c>
      <c r="M322">
        <v>0</v>
      </c>
      <c r="N322">
        <v>999</v>
      </c>
      <c r="O322">
        <v>999</v>
      </c>
    </row>
    <row r="323" spans="1:15">
      <c r="A323" s="1" t="s">
        <v>335</v>
      </c>
      <c r="B323" t="s">
        <v>504</v>
      </c>
      <c r="C323" t="s">
        <v>509</v>
      </c>
      <c r="D323">
        <f>HYPERLINK("http://www.reserveamerica.com/camping/oh-ridge/r/facilityDetails.do?contractCode=NRSO&amp;parkId=70565", "OH RIDGE")</f>
        <v>0</v>
      </c>
      <c r="E323">
        <v>37.7969444</v>
      </c>
      <c r="F323">
        <v>-119.0616667</v>
      </c>
      <c r="G323" t="s">
        <v>830</v>
      </c>
      <c r="I323" t="s">
        <v>505</v>
      </c>
      <c r="J323">
        <f>HYPERLINK("http://maps.google.com/maps?z=10&amp;t=m&amp;q=loc:37.7969444+-119.0616667", 255)</f>
        <v>0</v>
      </c>
      <c r="K323">
        <v>77</v>
      </c>
      <c r="L323">
        <v>96</v>
      </c>
      <c r="M323">
        <v>0</v>
      </c>
      <c r="N323">
        <v>96</v>
      </c>
      <c r="O323">
        <v>96</v>
      </c>
    </row>
    <row r="324" spans="1:15">
      <c r="A324" s="1" t="s">
        <v>336</v>
      </c>
      <c r="B324" t="s">
        <v>504</v>
      </c>
      <c r="C324" t="s">
        <v>509</v>
      </c>
      <c r="D324">
        <f>HYPERLINK("http://www.reserveamerica.com/camping/old-shady-rest-campground/r/facilityDetails.do?contractCode=NRSO&amp;parkId=73735", "OLD SHADY REST CAMPGROUND")</f>
        <v>0</v>
      </c>
      <c r="E324">
        <v>37.65</v>
      </c>
      <c r="F324">
        <v>-118.9616667</v>
      </c>
      <c r="G324" t="s">
        <v>831</v>
      </c>
      <c r="I324" t="s">
        <v>505</v>
      </c>
      <c r="J324">
        <f>HYPERLINK("http://maps.google.com/maps?z=10&amp;t=m&amp;q=loc:37.65+-118.9616667", 262)</f>
        <v>0</v>
      </c>
      <c r="K324">
        <v>81</v>
      </c>
      <c r="L324">
        <v>33</v>
      </c>
      <c r="M324">
        <v>0</v>
      </c>
      <c r="N324">
        <v>33</v>
      </c>
      <c r="O324">
        <v>33</v>
      </c>
    </row>
    <row r="325" spans="1:15">
      <c r="A325" s="1" t="s">
        <v>337</v>
      </c>
      <c r="B325" t="s">
        <v>504</v>
      </c>
      <c r="C325" t="s">
        <v>509</v>
      </c>
      <c r="D325">
        <f>HYPERLINK("http://www.reserveamerica.com/camping/onion-valley/r/facilityDetails.do?contractCode=NRSO&amp;parkId=70303", "ONION VALLEY")</f>
        <v>0</v>
      </c>
      <c r="E325">
        <v>36.7747222</v>
      </c>
      <c r="F325">
        <v>-118.3455556</v>
      </c>
      <c r="G325" t="s">
        <v>832</v>
      </c>
      <c r="I325" t="s">
        <v>505</v>
      </c>
      <c r="J325">
        <f>HYPERLINK("http://maps.google.com/maps?z=10&amp;t=m&amp;q=loc:36.7747222+-118.3455556", 321)</f>
        <v>0</v>
      </c>
      <c r="K325">
        <v>99</v>
      </c>
      <c r="L325">
        <v>0</v>
      </c>
      <c r="M325">
        <v>0</v>
      </c>
      <c r="N325">
        <v>0</v>
      </c>
      <c r="O325">
        <v>0</v>
      </c>
    </row>
    <row r="326" spans="1:15">
      <c r="A326" s="1" t="s">
        <v>338</v>
      </c>
      <c r="B326" t="s">
        <v>504</v>
      </c>
      <c r="C326" t="s">
        <v>509</v>
      </c>
      <c r="D326">
        <f>HYPERLINK("http://www.reserveamerica.com/camping/orland-buttes/r/facilityDetails.do?contractCode=NRSO&amp;parkId=73307", "ORLAND BUTTES")</f>
        <v>0</v>
      </c>
      <c r="E326">
        <v>39.7721972</v>
      </c>
      <c r="F326">
        <v>-122.3528472</v>
      </c>
      <c r="G326" t="s">
        <v>833</v>
      </c>
      <c r="I326" t="s">
        <v>505</v>
      </c>
      <c r="J326">
        <f>HYPERLINK("http://maps.google.com/maps?z=10&amp;t=m&amp;q=loc:39.7721972+-122.3528472", 274)</f>
        <v>0</v>
      </c>
      <c r="K326">
        <v>352</v>
      </c>
      <c r="L326">
        <v>31</v>
      </c>
      <c r="M326">
        <v>0</v>
      </c>
      <c r="N326">
        <v>31</v>
      </c>
      <c r="O326">
        <v>31</v>
      </c>
    </row>
    <row r="327" spans="1:15">
      <c r="A327" s="1" t="s">
        <v>339</v>
      </c>
      <c r="B327" t="s">
        <v>504</v>
      </c>
      <c r="C327" t="s">
        <v>509</v>
      </c>
      <c r="D327">
        <f>HYPERLINK("http://www.reserveamerica.com/camping/oso-group/r/facilityDetails.do?contractCode=NRSO&amp;parkId=73490", "OSO GROUP")</f>
        <v>0</v>
      </c>
      <c r="E327">
        <v>34.1755556</v>
      </c>
      <c r="F327">
        <v>-116.8625</v>
      </c>
      <c r="G327" t="s">
        <v>834</v>
      </c>
      <c r="I327" t="s">
        <v>505</v>
      </c>
      <c r="J327">
        <f>HYPERLINK("http://maps.google.com/maps?z=10&amp;t=m&amp;q=loc:34.1755556+-116.8625", 573)</f>
        <v>0</v>
      </c>
      <c r="K327">
        <v>126</v>
      </c>
      <c r="L327">
        <v>0</v>
      </c>
      <c r="M327">
        <v>0</v>
      </c>
      <c r="N327">
        <v>0</v>
      </c>
      <c r="O327">
        <v>0</v>
      </c>
    </row>
    <row r="328" spans="1:15">
      <c r="A328" s="1" t="s">
        <v>340</v>
      </c>
      <c r="B328" t="s">
        <v>504</v>
      </c>
      <c r="C328" t="s">
        <v>509</v>
      </c>
      <c r="D328">
        <f>HYPERLINK("http://www.reserveamerica.com/camping/packsaddle/r/facilityDetails.do?contractCode=NRSO&amp;parkId=75425", "PACKSADDLE")</f>
        <v>0</v>
      </c>
      <c r="E328">
        <v>39.6238889</v>
      </c>
      <c r="F328">
        <v>-120.6497222</v>
      </c>
      <c r="G328" t="s">
        <v>835</v>
      </c>
      <c r="I328" t="s">
        <v>505</v>
      </c>
      <c r="J328">
        <f>HYPERLINK("http://maps.google.com/maps?z=10&amp;t=m&amp;q=loc:39.6238889+-120.6497222", 277)</f>
        <v>0</v>
      </c>
      <c r="K328">
        <v>22</v>
      </c>
      <c r="L328">
        <v>2</v>
      </c>
      <c r="M328">
        <v>0</v>
      </c>
      <c r="N328">
        <v>2</v>
      </c>
      <c r="O328">
        <v>2</v>
      </c>
    </row>
    <row r="329" spans="1:15">
      <c r="A329" s="1" t="s">
        <v>341</v>
      </c>
      <c r="B329" t="s">
        <v>504</v>
      </c>
      <c r="C329" t="s">
        <v>509</v>
      </c>
      <c r="D329">
        <f>HYPERLINK("http://www.reserveamerica.com/camping/paha/r/facilityDetails.do?contractCode=NRSO&amp;parkId=70306", "PAHA")</f>
        <v>0</v>
      </c>
      <c r="E329">
        <v>38.1791667</v>
      </c>
      <c r="F329">
        <v>-119.325</v>
      </c>
      <c r="G329" t="s">
        <v>836</v>
      </c>
      <c r="I329" t="s">
        <v>505</v>
      </c>
      <c r="J329">
        <f>HYPERLINK("http://maps.google.com/maps?z=10&amp;t=m&amp;q=loc:38.1791667+-119.325", 245)</f>
        <v>0</v>
      </c>
      <c r="K329">
        <v>66</v>
      </c>
      <c r="L329">
        <v>0</v>
      </c>
      <c r="M329">
        <v>0</v>
      </c>
      <c r="N329">
        <v>0</v>
      </c>
      <c r="O329">
        <v>0</v>
      </c>
    </row>
    <row r="330" spans="1:15">
      <c r="A330" s="1" t="s">
        <v>342</v>
      </c>
      <c r="B330" t="s">
        <v>505</v>
      </c>
      <c r="C330" t="s">
        <v>510</v>
      </c>
      <c r="D330">
        <f>HYPERLINK("http://www.reserveamerica.com/camping/palomar-mountain-sp/r/facilityDetails.do?contractCode=CA&amp;parkId=120066", "PALOMAR MOUNTAIN SP")</f>
        <v>0</v>
      </c>
      <c r="E330">
        <v>33.3375</v>
      </c>
      <c r="F330">
        <v>-116.9094444</v>
      </c>
      <c r="G330" t="s">
        <v>837</v>
      </c>
      <c r="I330" t="s">
        <v>505</v>
      </c>
      <c r="J330">
        <f>HYPERLINK("http://maps.google.com/maps?z=10&amp;t=m&amp;q=loc:33.3375+-116.9094444", 633)</f>
        <v>0</v>
      </c>
      <c r="K330">
        <v>132</v>
      </c>
      <c r="L330">
        <v>1</v>
      </c>
      <c r="M330">
        <v>1</v>
      </c>
      <c r="N330">
        <v>0</v>
      </c>
      <c r="O330">
        <v>0</v>
      </c>
    </row>
    <row r="331" spans="1:15">
      <c r="A331" s="1" t="s">
        <v>343</v>
      </c>
      <c r="B331" t="s">
        <v>504</v>
      </c>
      <c r="C331" t="s">
        <v>509</v>
      </c>
      <c r="D331">
        <f>HYPERLINK("http://www.reserveamerica.com/camping/panther-flat-campground/r/facilityDetails.do?contractCode=NRSO&amp;parkId=70649", "PANTHER FLAT CAMPGROUND")</f>
        <v>0</v>
      </c>
      <c r="E331">
        <v>41.8430556</v>
      </c>
      <c r="F331">
        <v>-123.9305556</v>
      </c>
      <c r="G331" t="s">
        <v>838</v>
      </c>
      <c r="I331" t="s">
        <v>505</v>
      </c>
      <c r="J331">
        <f>HYPERLINK("http://maps.google.com/maps?z=10&amp;t=m&amp;q=loc:41.8430556+-123.9305556", 530)</f>
        <v>0</v>
      </c>
      <c r="K331">
        <v>341</v>
      </c>
      <c r="L331">
        <v>24</v>
      </c>
      <c r="M331">
        <v>0</v>
      </c>
      <c r="N331">
        <v>24</v>
      </c>
      <c r="O331">
        <v>24</v>
      </c>
    </row>
    <row r="332" spans="1:15">
      <c r="A332" s="1" t="s">
        <v>344</v>
      </c>
      <c r="B332" t="s">
        <v>504</v>
      </c>
      <c r="C332" t="s">
        <v>509</v>
      </c>
      <c r="D332">
        <f>HYPERLINK("http://www.reserveamerica.com/camping/paradise/r/facilityDetails.do?contractCode=NRSO&amp;parkId=73782", "PARADISE")</f>
        <v>0</v>
      </c>
      <c r="E332">
        <v>34.5422222</v>
      </c>
      <c r="F332">
        <v>-119.8127778</v>
      </c>
      <c r="G332" t="s">
        <v>839</v>
      </c>
      <c r="I332" t="s">
        <v>505</v>
      </c>
      <c r="J332">
        <f>HYPERLINK("http://maps.google.com/maps?z=10&amp;t=m&amp;q=loc:34.5422222+-119.8127778", 362)</f>
        <v>0</v>
      </c>
      <c r="K332">
        <v>148</v>
      </c>
      <c r="L332">
        <v>10</v>
      </c>
      <c r="M332">
        <v>0</v>
      </c>
      <c r="N332">
        <v>10</v>
      </c>
      <c r="O332">
        <v>10</v>
      </c>
    </row>
    <row r="333" spans="1:15">
      <c r="A333" s="1" t="s">
        <v>345</v>
      </c>
      <c r="B333" t="s">
        <v>504</v>
      </c>
      <c r="C333" t="s">
        <v>509</v>
      </c>
      <c r="D333">
        <f>HYPERLINK("http://www.reserveamerica.com/camping/paradise-cove/r/facilityDetails.do?contractCode=NRSO&amp;parkId=71566", "PARADISE COVE")</f>
        <v>0</v>
      </c>
      <c r="E333">
        <v>35.6491667</v>
      </c>
      <c r="F333">
        <v>-118.425</v>
      </c>
      <c r="G333" t="s">
        <v>840</v>
      </c>
      <c r="I333" t="s">
        <v>505</v>
      </c>
      <c r="J333">
        <f>HYPERLINK("http://maps.google.com/maps?z=10&amp;t=m&amp;q=loc:35.6491667+-118.425", 362)</f>
        <v>0</v>
      </c>
      <c r="K333">
        <v>119</v>
      </c>
      <c r="L333">
        <v>50</v>
      </c>
      <c r="M333">
        <v>0</v>
      </c>
      <c r="N333">
        <v>50</v>
      </c>
      <c r="O333">
        <v>50</v>
      </c>
    </row>
    <row r="334" spans="1:15">
      <c r="A334" s="1" t="s">
        <v>346</v>
      </c>
      <c r="B334" t="s">
        <v>507</v>
      </c>
      <c r="C334" t="s">
        <v>511</v>
      </c>
      <c r="D334">
        <f>HYPERLINK("http://www.reserveamerica.com/camping/parson-landing-campground/r/facilityDetails.do?contractCode=CTLN&amp;parkId=940022", "PARSON LANDING CAMPGROUND")</f>
        <v>0</v>
      </c>
      <c r="E334">
        <v>33.4722222</v>
      </c>
      <c r="F334">
        <v>-118.5502778</v>
      </c>
      <c r="G334" t="s">
        <v>841</v>
      </c>
      <c r="I334" t="s">
        <v>505</v>
      </c>
      <c r="J334">
        <f>HYPERLINK("http://maps.google.com/maps?z=10&amp;t=m&amp;q=loc:33.4722222+-118.5502778", 525)</f>
        <v>0</v>
      </c>
      <c r="K334">
        <v>143</v>
      </c>
      <c r="L334">
        <v>0</v>
      </c>
      <c r="M334">
        <v>0</v>
      </c>
      <c r="N334">
        <v>0</v>
      </c>
      <c r="O334">
        <v>0</v>
      </c>
    </row>
    <row r="335" spans="1:15">
      <c r="A335" s="1" t="s">
        <v>347</v>
      </c>
      <c r="B335" t="s">
        <v>504</v>
      </c>
      <c r="C335" t="s">
        <v>509</v>
      </c>
      <c r="D335">
        <f>HYPERLINK("http://www.reserveamerica.com/camping/pass-creek-campground/r/facilityDetails.do?contractCode=NRSO&amp;parkId=71527", "PASS CREEK CAMPGROUND")</f>
        <v>0</v>
      </c>
      <c r="E335">
        <v>39.5040667</v>
      </c>
      <c r="F335">
        <v>-120.5343778</v>
      </c>
      <c r="G335" t="s">
        <v>842</v>
      </c>
      <c r="I335" t="s">
        <v>505</v>
      </c>
      <c r="J335">
        <f>HYPERLINK("http://maps.google.com/maps?z=10&amp;t=m&amp;q=loc:39.5040667+-120.5343778", 269)</f>
        <v>0</v>
      </c>
      <c r="K335">
        <v>25</v>
      </c>
      <c r="L335">
        <v>13</v>
      </c>
      <c r="M335">
        <v>0</v>
      </c>
      <c r="N335">
        <v>13</v>
      </c>
      <c r="O335">
        <v>13</v>
      </c>
    </row>
    <row r="336" spans="1:15">
      <c r="A336" s="1" t="s">
        <v>348</v>
      </c>
      <c r="B336" t="s">
        <v>504</v>
      </c>
      <c r="C336" t="s">
        <v>509</v>
      </c>
      <c r="D336">
        <f>HYPERLINK("http://www.reserveamerica.com/camping/patrick-creek-campground/r/facilityDetails.do?contractCode=NRSO&amp;parkId=70640", "PATRICK CREEK CAMPGROUND")</f>
        <v>0</v>
      </c>
      <c r="E336">
        <v>41.8719444</v>
      </c>
      <c r="F336">
        <v>-123.8466667</v>
      </c>
      <c r="G336" t="s">
        <v>843</v>
      </c>
      <c r="I336" t="s">
        <v>505</v>
      </c>
      <c r="J336">
        <f>HYPERLINK("http://maps.google.com/maps?z=10&amp;t=m&amp;q=loc:41.8719444+-123.8466667", 531)</f>
        <v>0</v>
      </c>
      <c r="K336">
        <v>342</v>
      </c>
      <c r="L336">
        <v>7</v>
      </c>
      <c r="M336">
        <v>0</v>
      </c>
      <c r="N336">
        <v>7</v>
      </c>
      <c r="O336">
        <v>7</v>
      </c>
    </row>
    <row r="337" spans="1:15">
      <c r="A337" s="1" t="s">
        <v>349</v>
      </c>
      <c r="B337" t="s">
        <v>505</v>
      </c>
      <c r="C337" t="s">
        <v>510</v>
      </c>
      <c r="D337">
        <f>HYPERLINK("http://www.reserveamerica.com/camping/patricks-point-sp/r/facilityDetails.do?contractCode=CA&amp;parkId=120067", "PATRICKS POINT SP")</f>
        <v>0</v>
      </c>
      <c r="E337">
        <v>41.1361111</v>
      </c>
      <c r="F337">
        <v>-124.1602778</v>
      </c>
      <c r="G337" t="s">
        <v>843</v>
      </c>
      <c r="H337" t="s">
        <v>999</v>
      </c>
      <c r="I337" t="s">
        <v>505</v>
      </c>
      <c r="J337">
        <f>HYPERLINK("http://maps.google.com/maps?z=10&amp;t=m&amp;q=loc:41.1361111+-124.1602778", 465)</f>
        <v>0</v>
      </c>
      <c r="K337">
        <v>336</v>
      </c>
      <c r="L337">
        <v>0</v>
      </c>
      <c r="M337">
        <v>0</v>
      </c>
      <c r="N337">
        <v>0</v>
      </c>
      <c r="O337">
        <v>0</v>
      </c>
    </row>
    <row r="338" spans="1:15">
      <c r="A338" s="1" t="s">
        <v>350</v>
      </c>
      <c r="B338" t="s">
        <v>504</v>
      </c>
      <c r="C338" t="s">
        <v>509</v>
      </c>
      <c r="D338">
        <f>HYPERLINK("http://www.reserveamerica.com/camping/pearch-creek-campground/r/facilityDetails.do?contractCode=NRSO&amp;parkId=75492", "PEARCH CREEK CAMPGROUND")</f>
        <v>0</v>
      </c>
      <c r="E338">
        <v>41.3088889</v>
      </c>
      <c r="F338">
        <v>-123.5208333</v>
      </c>
      <c r="G338" t="s">
        <v>844</v>
      </c>
      <c r="I338" t="s">
        <v>505</v>
      </c>
      <c r="J338">
        <f>HYPERLINK("http://maps.google.com/maps?z=10&amp;t=m&amp;q=loc:41.3088889+-123.5208333", 463)</f>
        <v>0</v>
      </c>
      <c r="K338">
        <v>343</v>
      </c>
      <c r="L338">
        <v>4</v>
      </c>
      <c r="M338">
        <v>0</v>
      </c>
      <c r="N338">
        <v>4</v>
      </c>
      <c r="O338">
        <v>4</v>
      </c>
    </row>
    <row r="339" spans="1:15">
      <c r="A339" s="1" t="s">
        <v>351</v>
      </c>
      <c r="B339" t="s">
        <v>505</v>
      </c>
      <c r="C339" t="s">
        <v>510</v>
      </c>
      <c r="D339">
        <f>HYPERLINK("http://www.reserveamerica.com/camping/pfeiffer-big-sur-sp/r/facilityDetails.do?contractCode=CA&amp;parkId=120068", "PFEIFFER BIG SUR SP")</f>
        <v>0</v>
      </c>
      <c r="E339">
        <v>36.2530556</v>
      </c>
      <c r="F339">
        <v>-121.7811111</v>
      </c>
      <c r="G339" t="s">
        <v>845</v>
      </c>
      <c r="H339" t="s">
        <v>997</v>
      </c>
      <c r="I339" t="s">
        <v>505</v>
      </c>
      <c r="J339">
        <f>HYPERLINK("http://maps.google.com/maps?z=10&amp;t=m&amp;q=loc:36.2530556+-121.7811111", 119)</f>
        <v>0</v>
      </c>
      <c r="K339">
        <v>174</v>
      </c>
      <c r="L339">
        <v>0</v>
      </c>
      <c r="M339">
        <v>0</v>
      </c>
      <c r="N339">
        <v>0</v>
      </c>
      <c r="O339">
        <v>0</v>
      </c>
    </row>
    <row r="340" spans="1:15">
      <c r="A340" s="1" t="s">
        <v>352</v>
      </c>
      <c r="B340" t="s">
        <v>504</v>
      </c>
      <c r="C340" t="s">
        <v>509</v>
      </c>
      <c r="D340">
        <f>HYPERLINK("http://www.reserveamerica.com/camping/pine-glen/r/facilityDetails.do?contractCode=NRSO&amp;parkId=70566", "PINE GLEN")</f>
        <v>0</v>
      </c>
      <c r="E340">
        <v>37.6491667</v>
      </c>
      <c r="F340">
        <v>-118.9552778</v>
      </c>
      <c r="G340" t="s">
        <v>846</v>
      </c>
      <c r="I340" t="s">
        <v>505</v>
      </c>
      <c r="J340">
        <f>HYPERLINK("http://maps.google.com/maps?z=10&amp;t=m&amp;q=loc:37.6491667+-118.9552778", 262)</f>
        <v>0</v>
      </c>
      <c r="K340">
        <v>81</v>
      </c>
      <c r="L340">
        <v>2</v>
      </c>
      <c r="M340">
        <v>0</v>
      </c>
      <c r="N340">
        <v>2</v>
      </c>
      <c r="O340">
        <v>2</v>
      </c>
    </row>
    <row r="341" spans="1:15">
      <c r="A341" s="1" t="s">
        <v>353</v>
      </c>
      <c r="B341" t="s">
        <v>504</v>
      </c>
      <c r="C341" t="s">
        <v>509</v>
      </c>
      <c r="D341">
        <f>HYPERLINK("http://www.reserveamerica.com/camping/pine-point/r/facilityDetails.do?contractCode=NRSO&amp;parkId=71526", "PINE POINT")</f>
        <v>0</v>
      </c>
      <c r="E341">
        <v>40.9272222</v>
      </c>
      <c r="F341">
        <v>-122.2480556</v>
      </c>
      <c r="G341" t="s">
        <v>847</v>
      </c>
      <c r="I341" t="s">
        <v>505</v>
      </c>
      <c r="J341">
        <f>HYPERLINK("http://maps.google.com/maps?z=10&amp;t=m&amp;q=loc:40.9272222+-122.2480556", 401)</f>
        <v>0</v>
      </c>
      <c r="K341">
        <v>355</v>
      </c>
      <c r="L341">
        <v>1</v>
      </c>
      <c r="M341">
        <v>0</v>
      </c>
      <c r="N341">
        <v>1</v>
      </c>
      <c r="O341">
        <v>1</v>
      </c>
    </row>
    <row r="342" spans="1:15">
      <c r="A342" s="1" t="s">
        <v>354</v>
      </c>
      <c r="B342" t="s">
        <v>504</v>
      </c>
      <c r="C342" t="s">
        <v>509</v>
      </c>
      <c r="D342">
        <f>HYPERLINK("http://www.reserveamerica.com/camping/pinecrest/r/facilityDetails.do?contractCode=NRSO&amp;parkId=70541", "PINECREST")</f>
        <v>0</v>
      </c>
      <c r="E342">
        <v>38.1908333</v>
      </c>
      <c r="F342">
        <v>-119.9972222</v>
      </c>
      <c r="G342" t="s">
        <v>848</v>
      </c>
      <c r="I342" t="s">
        <v>505</v>
      </c>
      <c r="J342">
        <f>HYPERLINK("http://maps.google.com/maps?z=10&amp;t=m&amp;q=loc:38.1908333+-119.9972222", 193)</f>
        <v>0</v>
      </c>
      <c r="K342">
        <v>59</v>
      </c>
      <c r="L342">
        <v>0</v>
      </c>
      <c r="M342">
        <v>0</v>
      </c>
      <c r="N342">
        <v>0</v>
      </c>
      <c r="O342">
        <v>0</v>
      </c>
    </row>
    <row r="343" spans="1:15">
      <c r="A343" s="1" t="s">
        <v>355</v>
      </c>
      <c r="B343" t="s">
        <v>504</v>
      </c>
      <c r="C343" t="s">
        <v>509</v>
      </c>
      <c r="D343">
        <f>HYPERLINK("http://www.reserveamerica.com/camping/pineknot/r/facilityDetails.do?contractCode=NRSO&amp;parkId=70585", "PINEKNOT")</f>
        <v>0</v>
      </c>
      <c r="E343">
        <v>34.2352778</v>
      </c>
      <c r="F343">
        <v>-116.8830556</v>
      </c>
      <c r="G343" t="s">
        <v>849</v>
      </c>
      <c r="I343" t="s">
        <v>505</v>
      </c>
      <c r="J343">
        <f>HYPERLINK("http://maps.google.com/maps?z=10&amp;t=m&amp;q=loc:34.2352778+-116.8830556", 568)</f>
        <v>0</v>
      </c>
      <c r="K343">
        <v>125</v>
      </c>
      <c r="L343">
        <v>0</v>
      </c>
      <c r="M343">
        <v>0</v>
      </c>
      <c r="N343">
        <v>0</v>
      </c>
      <c r="O343">
        <v>0</v>
      </c>
    </row>
    <row r="344" spans="1:15">
      <c r="A344" s="1" t="s">
        <v>356</v>
      </c>
      <c r="B344" t="s">
        <v>504</v>
      </c>
      <c r="C344" t="s">
        <v>509</v>
      </c>
      <c r="D344">
        <f>HYPERLINK("http://www.reserveamerica.com/camping/pines-group-stanislaus/r/facilityDetails.do?contractCode=NRSO&amp;parkId=73635", "PINES GROUP STANISLAUS")</f>
        <v>0</v>
      </c>
      <c r="E344">
        <v>37.8166667</v>
      </c>
      <c r="F344">
        <v>-120.0833333</v>
      </c>
      <c r="G344" t="s">
        <v>850</v>
      </c>
      <c r="I344" t="s">
        <v>505</v>
      </c>
      <c r="J344">
        <f>HYPERLINK("http://maps.google.com/maps?z=10&amp;t=m&amp;q=loc:37.8166667+-120.0833333", 169)</f>
        <v>0</v>
      </c>
      <c r="K344">
        <v>70</v>
      </c>
      <c r="L344">
        <v>0</v>
      </c>
      <c r="M344">
        <v>0</v>
      </c>
      <c r="N344">
        <v>0</v>
      </c>
      <c r="O344">
        <v>0</v>
      </c>
    </row>
    <row r="345" spans="1:15">
      <c r="A345" s="1" t="s">
        <v>357</v>
      </c>
      <c r="B345" t="s">
        <v>504</v>
      </c>
      <c r="C345" t="s">
        <v>509</v>
      </c>
      <c r="D345">
        <f>HYPERLINK("http://www.reserveamerica.com/camping/pinnacles-campground/r/facilityDetails.do?contractCode=NRSO&amp;parkId=73984", "PINNACLES CAMPGROUND")</f>
        <v>0</v>
      </c>
      <c r="E345">
        <v>36.4663889</v>
      </c>
      <c r="F345">
        <v>-121.1761111</v>
      </c>
      <c r="G345" t="s">
        <v>851</v>
      </c>
      <c r="H345" t="s">
        <v>999</v>
      </c>
      <c r="I345" t="s">
        <v>505</v>
      </c>
      <c r="J345">
        <f>HYPERLINK("http://maps.google.com/maps?z=10&amp;t=m&amp;q=loc:36.4663889+-121.1761111", 115)</f>
        <v>0</v>
      </c>
      <c r="K345">
        <v>145</v>
      </c>
      <c r="L345">
        <v>63</v>
      </c>
      <c r="M345">
        <v>0</v>
      </c>
      <c r="N345">
        <v>63</v>
      </c>
      <c r="O345">
        <v>63</v>
      </c>
    </row>
    <row r="346" spans="1:15">
      <c r="A346" s="1" t="s">
        <v>358</v>
      </c>
      <c r="B346" t="s">
        <v>504</v>
      </c>
      <c r="C346" t="s">
        <v>509</v>
      </c>
      <c r="D346">
        <f>HYPERLINK("http://www.reserveamerica.com/camping/pioneer-point/r/facilityDetails.do?contractCode=NRSO&amp;parkId=71567", "PIONEER POINT")</f>
        <v>0</v>
      </c>
      <c r="E346">
        <v>35.6516667</v>
      </c>
      <c r="F346">
        <v>-118.4861111</v>
      </c>
      <c r="G346" t="s">
        <v>852</v>
      </c>
      <c r="I346" t="s">
        <v>505</v>
      </c>
      <c r="J346">
        <f>HYPERLINK("http://maps.google.com/maps?z=10&amp;t=m&amp;q=loc:35.6516667+-118.4861111", 357)</f>
        <v>0</v>
      </c>
      <c r="K346">
        <v>120</v>
      </c>
      <c r="L346">
        <v>73</v>
      </c>
      <c r="M346">
        <v>0</v>
      </c>
      <c r="N346">
        <v>73</v>
      </c>
      <c r="O346">
        <v>73</v>
      </c>
    </row>
    <row r="347" spans="1:15">
      <c r="A347" s="1" t="s">
        <v>359</v>
      </c>
      <c r="B347" t="s">
        <v>504</v>
      </c>
      <c r="C347" t="s">
        <v>509</v>
      </c>
      <c r="D347">
        <f>HYPERLINK("http://www.reserveamerica.com/camping/pioneer-trail/r/facilityDetails.do?contractCode=NRSO&amp;parkId=70597", "PIONEER TRAIL")</f>
        <v>0</v>
      </c>
      <c r="E347">
        <v>38.1875</v>
      </c>
      <c r="F347">
        <v>-119.9875</v>
      </c>
      <c r="G347" t="s">
        <v>853</v>
      </c>
      <c r="I347" t="s">
        <v>505</v>
      </c>
      <c r="J347">
        <f>HYPERLINK("http://maps.google.com/maps?z=10&amp;t=m&amp;q=loc:38.1875+-119.9875", 193)</f>
        <v>0</v>
      </c>
      <c r="K347">
        <v>59</v>
      </c>
      <c r="L347">
        <v>0</v>
      </c>
      <c r="M347">
        <v>0</v>
      </c>
      <c r="N347">
        <v>0</v>
      </c>
      <c r="O347">
        <v>0</v>
      </c>
    </row>
    <row r="348" spans="1:15">
      <c r="A348" s="1" t="s">
        <v>360</v>
      </c>
      <c r="B348" t="s">
        <v>504</v>
      </c>
      <c r="C348" t="s">
        <v>509</v>
      </c>
      <c r="D348">
        <f>HYPERLINK("http://www.reserveamerica.com/camping/pipi-campground/r/facilityDetails.do?contractCode=NRSO&amp;parkId=70554", "PIPI CAMPGROUND")</f>
        <v>0</v>
      </c>
      <c r="E348">
        <v>38.5736111</v>
      </c>
      <c r="F348">
        <v>-120.4375</v>
      </c>
      <c r="G348" t="s">
        <v>854</v>
      </c>
      <c r="I348" t="s">
        <v>505</v>
      </c>
      <c r="J348">
        <f>HYPERLINK("http://maps.google.com/maps?z=10&amp;t=m&amp;q=loc:38.5736111+-120.4375", 189)</f>
        <v>0</v>
      </c>
      <c r="K348">
        <v>42</v>
      </c>
      <c r="L348">
        <v>5</v>
      </c>
      <c r="M348">
        <v>0</v>
      </c>
      <c r="N348">
        <v>5</v>
      </c>
      <c r="O348">
        <v>5</v>
      </c>
    </row>
    <row r="349" spans="1:15">
      <c r="A349" s="1" t="s">
        <v>361</v>
      </c>
      <c r="B349" t="s">
        <v>505</v>
      </c>
      <c r="C349" t="s">
        <v>510</v>
      </c>
      <c r="D349">
        <f>HYPERLINK("http://www.reserveamerica.com/camping/pismo-sb/r/facilityDetails.do?contractCode=CA&amp;parkId=120070", "PISMO SB")</f>
        <v>0</v>
      </c>
      <c r="E349">
        <v>35.1077778</v>
      </c>
      <c r="F349">
        <v>-120.6297222</v>
      </c>
      <c r="G349" t="s">
        <v>855</v>
      </c>
      <c r="I349" t="s">
        <v>505</v>
      </c>
      <c r="J349">
        <f>HYPERLINK("http://maps.google.com/maps?z=10&amp;t=m&amp;q=loc:35.1077778+-120.6297222", 271)</f>
        <v>0</v>
      </c>
      <c r="K349">
        <v>154</v>
      </c>
      <c r="L349">
        <v>1</v>
      </c>
      <c r="M349">
        <v>1</v>
      </c>
      <c r="N349">
        <v>0</v>
      </c>
      <c r="O349">
        <v>0</v>
      </c>
    </row>
    <row r="350" spans="1:15">
      <c r="A350" s="1" t="s">
        <v>362</v>
      </c>
      <c r="B350" t="s">
        <v>504</v>
      </c>
      <c r="C350" t="s">
        <v>509</v>
      </c>
      <c r="D350">
        <f>HYPERLINK("http://www.reserveamerica.com/camping/plaskett-creek-campground/r/facilityDetails.do?contractCode=NRSO&amp;parkId=70161", "PLASKETT CREEK CAMPGROUND")</f>
        <v>0</v>
      </c>
      <c r="E350">
        <v>35.9172222</v>
      </c>
      <c r="F350">
        <v>-121.465</v>
      </c>
      <c r="G350" t="s">
        <v>856</v>
      </c>
      <c r="I350" t="s">
        <v>505</v>
      </c>
      <c r="J350">
        <f>HYPERLINK("http://maps.google.com/maps?z=10&amp;t=m&amp;q=loc:35.9172222+-121.465", 161)</f>
        <v>0</v>
      </c>
      <c r="K350">
        <v>165</v>
      </c>
      <c r="L350">
        <v>0</v>
      </c>
      <c r="M350">
        <v>0</v>
      </c>
      <c r="N350">
        <v>0</v>
      </c>
      <c r="O350">
        <v>0</v>
      </c>
    </row>
    <row r="351" spans="1:15">
      <c r="A351" s="1" t="s">
        <v>363</v>
      </c>
      <c r="B351" t="s">
        <v>505</v>
      </c>
      <c r="C351" t="s">
        <v>510</v>
      </c>
      <c r="D351">
        <f>HYPERLINK("http://www.reserveamerica.com/camping/plumaseureka-sp/r/facilityDetails.do?contractCode=CA&amp;parkId=120100", "PLUMAS-EUREKA SP")</f>
        <v>0</v>
      </c>
      <c r="E351">
        <v>39.7780556</v>
      </c>
      <c r="F351">
        <v>-120.6955556</v>
      </c>
      <c r="G351" t="s">
        <v>857</v>
      </c>
      <c r="I351" t="s">
        <v>505</v>
      </c>
      <c r="J351">
        <f>HYPERLINK("http://maps.google.com/maps?z=10&amp;t=m&amp;q=loc:39.7780556+-120.6955556", 291)</f>
        <v>0</v>
      </c>
      <c r="K351">
        <v>20</v>
      </c>
      <c r="L351">
        <v>0</v>
      </c>
      <c r="M351">
        <v>0</v>
      </c>
      <c r="N351">
        <v>0</v>
      </c>
      <c r="O351">
        <v>0</v>
      </c>
    </row>
    <row r="352" spans="1:15">
      <c r="A352" s="1" t="s">
        <v>364</v>
      </c>
      <c r="B352" t="s">
        <v>505</v>
      </c>
      <c r="C352" t="s">
        <v>510</v>
      </c>
      <c r="D352">
        <f>HYPERLINK("http://www.reserveamerica.com/camping/point-mugu-sp/r/facilityDetails.do?contractCode=CA&amp;parkId=120072", "POINT MUGU SP")</f>
        <v>0</v>
      </c>
      <c r="E352">
        <v>34.0855556</v>
      </c>
      <c r="F352">
        <v>-119.06</v>
      </c>
      <c r="G352" t="s">
        <v>858</v>
      </c>
      <c r="I352" t="s">
        <v>505</v>
      </c>
      <c r="J352">
        <f>HYPERLINK("http://maps.google.com/maps?z=10&amp;t=m&amp;q=loc:34.0855556+-119.06", 442)</f>
        <v>0</v>
      </c>
      <c r="K352">
        <v>143</v>
      </c>
      <c r="L352">
        <v>0</v>
      </c>
      <c r="M352">
        <v>0</v>
      </c>
      <c r="N352">
        <v>0</v>
      </c>
      <c r="O352">
        <v>0</v>
      </c>
    </row>
    <row r="353" spans="1:15">
      <c r="A353" s="1" t="s">
        <v>365</v>
      </c>
      <c r="B353" t="s">
        <v>504</v>
      </c>
      <c r="C353" t="s">
        <v>509</v>
      </c>
      <c r="D353">
        <f>HYPERLINK("http://www.reserveamerica.com/camping/point-reyes-national-seashore-campground/r/facilityDetails.do?contractCode=NRSO&amp;parkId=72393", "Point Reyes National Seashore Campground")</f>
        <v>0</v>
      </c>
      <c r="E353">
        <v>37.9966667</v>
      </c>
      <c r="F353">
        <v>-122.975</v>
      </c>
      <c r="G353" t="s">
        <v>859</v>
      </c>
      <c r="H353" t="s">
        <v>999</v>
      </c>
      <c r="I353" t="s">
        <v>505</v>
      </c>
      <c r="J353">
        <f>HYPERLINK("http://maps.google.com/maps?z=10&amp;t=m&amp;q=loc:37.9966667+-122.975", 119)</f>
        <v>0</v>
      </c>
      <c r="K353">
        <v>308</v>
      </c>
      <c r="L353">
        <v>0</v>
      </c>
      <c r="M353">
        <v>0</v>
      </c>
      <c r="N353">
        <v>0</v>
      </c>
      <c r="O353">
        <v>0</v>
      </c>
    </row>
    <row r="354" spans="1:15">
      <c r="A354" s="1" t="s">
        <v>366</v>
      </c>
      <c r="B354" t="s">
        <v>504</v>
      </c>
      <c r="C354" t="s">
        <v>509</v>
      </c>
      <c r="D354">
        <f>HYPERLINK("http://www.reserveamerica.com/camping/ponderosa-campground/r/facilityDetails.do?contractCode=NRSO&amp;parkId=71996", "PONDEROSA CAMPGROUND")</f>
        <v>0</v>
      </c>
      <c r="E354">
        <v>36.005</v>
      </c>
      <c r="F354">
        <v>-121.3763889</v>
      </c>
      <c r="G354" t="s">
        <v>860</v>
      </c>
      <c r="I354" t="s">
        <v>505</v>
      </c>
      <c r="J354">
        <f>HYPERLINK("http://maps.google.com/maps?z=10&amp;t=m&amp;q=loc:36.005+-121.3763889", 154)</f>
        <v>0</v>
      </c>
      <c r="K354">
        <v>162</v>
      </c>
      <c r="L354">
        <v>6</v>
      </c>
      <c r="M354">
        <v>0</v>
      </c>
      <c r="N354">
        <v>6</v>
      </c>
      <c r="O354">
        <v>6</v>
      </c>
    </row>
    <row r="355" spans="1:15">
      <c r="A355" s="1" t="s">
        <v>367</v>
      </c>
      <c r="B355" t="s">
        <v>504</v>
      </c>
      <c r="C355" t="s">
        <v>509</v>
      </c>
      <c r="D355">
        <f>HYPERLINK("http://www.reserveamerica.com/camping/ponderosa-cove-campground/r/facilityDetails.do?contractCode=NRSO&amp;parkId=72294", "PONDEROSA COVE CAMPGROUND")</f>
        <v>0</v>
      </c>
      <c r="E355">
        <v>38.8741667</v>
      </c>
      <c r="F355">
        <v>-120.6027778</v>
      </c>
      <c r="G355" t="s">
        <v>861</v>
      </c>
      <c r="I355" t="s">
        <v>505</v>
      </c>
      <c r="J355">
        <f>HYPERLINK("http://maps.google.com/maps?z=10&amp;t=m&amp;q=loc:38.8741667+-120.6027778", 206)</f>
        <v>0</v>
      </c>
      <c r="K355">
        <v>33</v>
      </c>
      <c r="L355">
        <v>0</v>
      </c>
      <c r="M355">
        <v>0</v>
      </c>
      <c r="N355">
        <v>0</v>
      </c>
      <c r="O355">
        <v>0</v>
      </c>
    </row>
    <row r="356" spans="1:15">
      <c r="A356" s="1" t="s">
        <v>368</v>
      </c>
      <c r="B356" t="s">
        <v>505</v>
      </c>
      <c r="C356" t="s">
        <v>510</v>
      </c>
      <c r="D356">
        <f>HYPERLINK("http://www.reserveamerica.com/camping/portola-redwoods-sp/r/facilityDetails.do?contractCode=CA&amp;parkId=120073", "PORTOLA REDWOODS SP")</f>
        <v>0</v>
      </c>
      <c r="E356">
        <v>37.2511111</v>
      </c>
      <c r="F356">
        <v>-122.2041667</v>
      </c>
      <c r="G356" t="s">
        <v>862</v>
      </c>
      <c r="I356" t="s">
        <v>505</v>
      </c>
      <c r="J356">
        <f>HYPERLINK("http://maps.google.com/maps?z=10&amp;t=m&amp;q=loc:37.2511111+-122.2041667", 27)</f>
        <v>0</v>
      </c>
      <c r="K356">
        <v>252</v>
      </c>
      <c r="L356">
        <v>0</v>
      </c>
      <c r="M356">
        <v>0</v>
      </c>
      <c r="N356">
        <v>0</v>
      </c>
      <c r="O356">
        <v>0</v>
      </c>
    </row>
    <row r="357" spans="1:15">
      <c r="A357" s="1" t="s">
        <v>369</v>
      </c>
      <c r="B357" t="s">
        <v>504</v>
      </c>
      <c r="C357" t="s">
        <v>509</v>
      </c>
      <c r="D357">
        <f>HYPERLINK("http://www.reserveamerica.com/camping/potwisha-campground/r/facilityDetails.do?contractCode=NRSO&amp;parkId=72461", "POTWISHA CAMPGROUND")</f>
        <v>0</v>
      </c>
      <c r="E357">
        <v>36.5174444</v>
      </c>
      <c r="F357">
        <v>-118.800375</v>
      </c>
      <c r="G357" t="s">
        <v>863</v>
      </c>
      <c r="I357" t="s">
        <v>505</v>
      </c>
      <c r="J357">
        <f>HYPERLINK("http://maps.google.com/maps?z=10&amp;t=m&amp;q=loc:36.5174444+-118.800375", 290)</f>
        <v>0</v>
      </c>
      <c r="K357">
        <v>107</v>
      </c>
      <c r="L357">
        <v>0</v>
      </c>
      <c r="M357">
        <v>0</v>
      </c>
      <c r="N357">
        <v>0</v>
      </c>
      <c r="O357">
        <v>0</v>
      </c>
    </row>
    <row r="358" spans="1:15">
      <c r="A358" s="1" t="s">
        <v>370</v>
      </c>
      <c r="B358" t="s">
        <v>505</v>
      </c>
      <c r="C358" t="s">
        <v>510</v>
      </c>
      <c r="D358">
        <f>HYPERLINK("http://www.reserveamerica.com/camping/prairie-creek-redwoods-sp-elk-prairie-campground/r/facilityDetails.do?contractCode=CA&amp;parkId=120074", "PRAIRIE CREEK REDWOODS SP ELK PRAIRIE CAMPGROUND")</f>
        <v>0</v>
      </c>
      <c r="E358">
        <v>41.4072222</v>
      </c>
      <c r="F358">
        <v>-124.0191667</v>
      </c>
      <c r="G358" t="s">
        <v>864</v>
      </c>
      <c r="I358" t="s">
        <v>505</v>
      </c>
      <c r="J358">
        <f>HYPERLINK("http://maps.google.com/maps?z=10&amp;t=m&amp;q=loc:41.4072222+-124.0191667", 488)</f>
        <v>0</v>
      </c>
      <c r="K358">
        <v>338</v>
      </c>
      <c r="L358">
        <v>16</v>
      </c>
      <c r="M358">
        <v>4</v>
      </c>
      <c r="N358">
        <v>12</v>
      </c>
      <c r="O358">
        <v>12</v>
      </c>
    </row>
    <row r="359" spans="1:15">
      <c r="A359" s="1" t="s">
        <v>371</v>
      </c>
      <c r="B359" t="s">
        <v>505</v>
      </c>
      <c r="C359" t="s">
        <v>510</v>
      </c>
      <c r="D359">
        <f>HYPERLINK("http://www.reserveamerica.com/camping/prairie-creek-redwoods-sp-gold-bluffs-beach-campground/r/facilityDetails.do?contractCode=CA&amp;parkId=124700", "PRAIRIE CREEK REDWOODS SP GOLD BLUFFS BEACH CAMPGROUND")</f>
        <v>0</v>
      </c>
      <c r="E359">
        <v>41.3835722</v>
      </c>
      <c r="F359">
        <v>-124.0694611</v>
      </c>
      <c r="G359" t="s">
        <v>865</v>
      </c>
      <c r="I359" t="s">
        <v>505</v>
      </c>
      <c r="J359">
        <f>HYPERLINK("http://maps.google.com/maps?z=10&amp;t=m&amp;q=loc:41.3835722+-124.0694611", 487)</f>
        <v>0</v>
      </c>
      <c r="K359">
        <v>338</v>
      </c>
      <c r="L359">
        <v>1</v>
      </c>
      <c r="M359">
        <v>0</v>
      </c>
      <c r="N359">
        <v>1</v>
      </c>
      <c r="O359">
        <v>1</v>
      </c>
    </row>
    <row r="360" spans="1:15">
      <c r="A360" s="1" t="s">
        <v>372</v>
      </c>
      <c r="B360" t="s">
        <v>504</v>
      </c>
      <c r="C360" t="s">
        <v>509</v>
      </c>
      <c r="D360">
        <f>HYPERLINK("http://www.reserveamerica.com/camping/princess/r/facilityDetails.do?contractCode=NRSO&amp;parkId=71548", "PRINCESS")</f>
        <v>0</v>
      </c>
      <c r="E360">
        <v>36.8027778</v>
      </c>
      <c r="F360">
        <v>-118.9369444</v>
      </c>
      <c r="G360" t="s">
        <v>866</v>
      </c>
      <c r="I360" t="s">
        <v>505</v>
      </c>
      <c r="J360">
        <f>HYPERLINK("http://maps.google.com/maps?z=10&amp;t=m&amp;q=loc:36.8027778+-118.9369444", 269)</f>
        <v>0</v>
      </c>
      <c r="K360">
        <v>101</v>
      </c>
      <c r="L360">
        <v>0</v>
      </c>
      <c r="M360">
        <v>0</v>
      </c>
      <c r="N360">
        <v>0</v>
      </c>
      <c r="O360">
        <v>0</v>
      </c>
    </row>
    <row r="361" spans="1:15">
      <c r="A361" s="1" t="s">
        <v>373</v>
      </c>
      <c r="B361" t="s">
        <v>504</v>
      </c>
      <c r="C361" t="s">
        <v>509</v>
      </c>
      <c r="D361">
        <f>HYPERLINK("http://www.reserveamerica.com/camping/prosser-family/r/facilityDetails.do?contractCode=NRSO&amp;parkId=75053", "PROSSER FAMILY")</f>
        <v>0</v>
      </c>
      <c r="E361">
        <v>39.3777778</v>
      </c>
      <c r="F361">
        <v>-120.1605556</v>
      </c>
      <c r="G361" t="s">
        <v>867</v>
      </c>
      <c r="I361" t="s">
        <v>505</v>
      </c>
      <c r="J361">
        <f>HYPERLINK("http://maps.google.com/maps?z=10&amp;t=m&amp;q=loc:39.3777778+-120.1605556", 273)</f>
        <v>0</v>
      </c>
      <c r="K361">
        <v>33</v>
      </c>
      <c r="L361">
        <v>21</v>
      </c>
      <c r="M361">
        <v>0</v>
      </c>
      <c r="N361">
        <v>21</v>
      </c>
      <c r="O361">
        <v>21</v>
      </c>
    </row>
    <row r="362" spans="1:15">
      <c r="A362" s="1" t="s">
        <v>374</v>
      </c>
      <c r="B362" t="s">
        <v>504</v>
      </c>
      <c r="C362" t="s">
        <v>509</v>
      </c>
      <c r="D362">
        <f>HYPERLINK("http://www.reserveamerica.com/camping/prosser-ranch-group/r/facilityDetails.do?contractCode=NRSO&amp;parkId=70183", "PROSSER RANCH GROUP")</f>
        <v>0</v>
      </c>
      <c r="E362">
        <v>39.3787972</v>
      </c>
      <c r="F362">
        <v>-120.1552</v>
      </c>
      <c r="G362" t="s">
        <v>868</v>
      </c>
      <c r="I362" t="s">
        <v>505</v>
      </c>
      <c r="J362">
        <f>HYPERLINK("http://maps.google.com/maps?z=10&amp;t=m&amp;q=loc:39.3787972+-120.1552", 274)</f>
        <v>0</v>
      </c>
      <c r="K362">
        <v>33</v>
      </c>
      <c r="L362">
        <v>0</v>
      </c>
      <c r="M362">
        <v>0</v>
      </c>
      <c r="N362">
        <v>0</v>
      </c>
      <c r="O362">
        <v>0</v>
      </c>
    </row>
    <row r="363" spans="1:15">
      <c r="A363" s="1" t="s">
        <v>375</v>
      </c>
      <c r="B363" t="s">
        <v>504</v>
      </c>
      <c r="C363" t="s">
        <v>509</v>
      </c>
      <c r="E363">
        <v>37.6488889</v>
      </c>
      <c r="F363">
        <v>-119.0736111</v>
      </c>
      <c r="G363" t="s">
        <v>869</v>
      </c>
      <c r="I363" t="s">
        <v>505</v>
      </c>
      <c r="J363">
        <f>HYPERLINK("http://maps.google.com/maps?z=10&amp;t=m&amp;q=loc:37.6488889+-119.0736111", 252)</f>
        <v>0</v>
      </c>
      <c r="K363">
        <v>81</v>
      </c>
      <c r="L363">
        <v>0</v>
      </c>
      <c r="M363">
        <v>0</v>
      </c>
      <c r="N363">
        <v>0</v>
      </c>
      <c r="O363">
        <v>0</v>
      </c>
    </row>
    <row r="364" spans="1:15">
      <c r="A364" s="1" t="s">
        <v>376</v>
      </c>
      <c r="B364" t="s">
        <v>504</v>
      </c>
      <c r="C364" t="s">
        <v>509</v>
      </c>
      <c r="D364">
        <f>HYPERLINK("http://www.reserveamerica.com/camping/pyramid-lake--los-alamos-campground/r/facilityDetails.do?contractCode=NRSO&amp;parkId=72292", "PYRAMID LAKE - LOS ALAMOS CAMPGROUND")</f>
        <v>0</v>
      </c>
      <c r="E364">
        <v>34.65</v>
      </c>
      <c r="F364">
        <v>-118.7666667</v>
      </c>
      <c r="G364" t="s">
        <v>870</v>
      </c>
      <c r="I364" t="s">
        <v>505</v>
      </c>
      <c r="J364">
        <f>HYPERLINK("http://maps.google.com/maps?z=10&amp;t=m&amp;q=loc:34.65+-118.7666667", 410)</f>
        <v>0</v>
      </c>
      <c r="K364">
        <v>135</v>
      </c>
      <c r="L364">
        <v>83</v>
      </c>
      <c r="M364">
        <v>1</v>
      </c>
      <c r="N364">
        <v>82</v>
      </c>
      <c r="O364">
        <v>82</v>
      </c>
    </row>
    <row r="365" spans="1:15">
      <c r="A365" s="1" t="s">
        <v>377</v>
      </c>
      <c r="B365" t="s">
        <v>504</v>
      </c>
      <c r="C365" t="s">
        <v>509</v>
      </c>
      <c r="D365">
        <f>HYPERLINK("http://www.reserveamerica.com/camping/quaking-aspen/r/facilityDetails.do?contractCode=NRSO&amp;parkId=71610", "QUAKING ASPEN")</f>
        <v>0</v>
      </c>
      <c r="E365">
        <v>36.1208333</v>
      </c>
      <c r="F365">
        <v>-118.5472222</v>
      </c>
      <c r="G365" t="s">
        <v>871</v>
      </c>
      <c r="I365" t="s">
        <v>505</v>
      </c>
      <c r="J365">
        <f>HYPERLINK("http://maps.google.com/maps?z=10&amp;t=m&amp;q=loc:36.1208333+-118.5472222", 327)</f>
        <v>0</v>
      </c>
      <c r="K365">
        <v>113</v>
      </c>
      <c r="L365">
        <v>13</v>
      </c>
      <c r="M365">
        <v>2</v>
      </c>
      <c r="N365">
        <v>11</v>
      </c>
      <c r="O365">
        <v>11</v>
      </c>
    </row>
    <row r="366" spans="1:15">
      <c r="A366" s="1" t="s">
        <v>378</v>
      </c>
      <c r="B366" t="s">
        <v>504</v>
      </c>
      <c r="C366" t="s">
        <v>509</v>
      </c>
      <c r="D366">
        <f>HYPERLINK("http://www.reserveamerica.com/camping/ramshorn/r/facilityDetails.do?contractCode=NRSO&amp;parkId=75433", "RAMSHORN")</f>
        <v>0</v>
      </c>
      <c r="E366">
        <v>39.5394444</v>
      </c>
      <c r="F366">
        <v>-120.9113889</v>
      </c>
      <c r="G366" t="s">
        <v>872</v>
      </c>
      <c r="I366" t="s">
        <v>505</v>
      </c>
      <c r="J366">
        <f>HYPERLINK("http://maps.google.com/maps?z=10&amp;t=m&amp;q=loc:39.5394444+-120.9113889", 260)</f>
        <v>0</v>
      </c>
      <c r="K366">
        <v>19</v>
      </c>
      <c r="L366">
        <v>13</v>
      </c>
      <c r="M366">
        <v>0</v>
      </c>
      <c r="N366">
        <v>13</v>
      </c>
      <c r="O366">
        <v>13</v>
      </c>
    </row>
    <row r="367" spans="1:15">
      <c r="A367" s="1" t="s">
        <v>379</v>
      </c>
      <c r="B367" t="s">
        <v>504</v>
      </c>
      <c r="C367" t="s">
        <v>509</v>
      </c>
      <c r="D367">
        <f>HYPERLINK("http://www.reserveamerica.com/camping/rancheria/r/facilityDetails.do?contractCode=NRSO&amp;parkId=71593", "RANCHERIA")</f>
        <v>0</v>
      </c>
      <c r="E367">
        <v>37.2477778</v>
      </c>
      <c r="F367">
        <v>-119.1611111</v>
      </c>
      <c r="G367" t="s">
        <v>873</v>
      </c>
      <c r="H367" t="s">
        <v>998</v>
      </c>
      <c r="I367" t="s">
        <v>505</v>
      </c>
      <c r="J367">
        <f>HYPERLINK("http://maps.google.com/maps?z=10&amp;t=m&amp;q=loc:37.2477778+-119.1611111", 242)</f>
        <v>0</v>
      </c>
      <c r="K367">
        <v>91</v>
      </c>
      <c r="L367">
        <v>95</v>
      </c>
      <c r="M367">
        <v>19</v>
      </c>
      <c r="N367">
        <v>76</v>
      </c>
      <c r="O367">
        <v>76</v>
      </c>
    </row>
    <row r="368" spans="1:15">
      <c r="A368" s="1" t="s">
        <v>380</v>
      </c>
      <c r="B368" t="s">
        <v>504</v>
      </c>
      <c r="C368" t="s">
        <v>509</v>
      </c>
      <c r="D368">
        <f>HYPERLINK("http://www.reserveamerica.com/camping/recreation-point/r/facilityDetails.do?contractCode=NRSO&amp;parkId=71720", "RECREATION POINT")</f>
        <v>0</v>
      </c>
      <c r="E368">
        <v>37.3286111</v>
      </c>
      <c r="F368">
        <v>-119.5777778</v>
      </c>
      <c r="G368" t="s">
        <v>874</v>
      </c>
      <c r="I368" t="s">
        <v>505</v>
      </c>
      <c r="J368">
        <f>HYPERLINK("http://maps.google.com/maps?z=10&amp;t=m&amp;q=loc:37.3286111+-119.5777778", 205)</f>
        <v>0</v>
      </c>
      <c r="K368">
        <v>89</v>
      </c>
      <c r="L368">
        <v>0</v>
      </c>
      <c r="M368">
        <v>0</v>
      </c>
      <c r="N368">
        <v>0</v>
      </c>
      <c r="O368">
        <v>0</v>
      </c>
    </row>
    <row r="369" spans="1:15">
      <c r="A369" s="1" t="s">
        <v>381</v>
      </c>
      <c r="B369" t="s">
        <v>504</v>
      </c>
      <c r="C369" t="s">
        <v>509</v>
      </c>
      <c r="D369">
        <f>HYPERLINK("http://www.reserveamerica.com/camping/red-feather-california/r/facilityDetails.do?contractCode=NRSO&amp;parkId=70562", "RED FEATHER CALIFORNIA")</f>
        <v>0</v>
      </c>
      <c r="E369">
        <v>39.7352778</v>
      </c>
      <c r="F369">
        <v>-120.9530556</v>
      </c>
      <c r="G369" t="s">
        <v>875</v>
      </c>
      <c r="H369" t="s">
        <v>998</v>
      </c>
      <c r="I369" t="s">
        <v>505</v>
      </c>
      <c r="J369">
        <f>HYPERLINK("http://maps.google.com/maps?z=10&amp;t=m&amp;q=loc:39.7352778+-120.9530556", 280)</f>
        <v>0</v>
      </c>
      <c r="K369">
        <v>16</v>
      </c>
      <c r="L369">
        <v>56</v>
      </c>
      <c r="M369">
        <v>0</v>
      </c>
      <c r="N369">
        <v>56</v>
      </c>
      <c r="O369">
        <v>56</v>
      </c>
    </row>
    <row r="370" spans="1:15">
      <c r="A370" s="1" t="s">
        <v>382</v>
      </c>
      <c r="B370" t="s">
        <v>504</v>
      </c>
      <c r="C370" t="s">
        <v>509</v>
      </c>
      <c r="D370">
        <f>HYPERLINK("http://www.reserveamerica.com/camping/red-fir/r/facilityDetails.do?contractCode=NRSO&amp;parkId=70612", "RED FIR")</f>
        <v>0</v>
      </c>
      <c r="E370">
        <v>39.0022222</v>
      </c>
      <c r="F370">
        <v>-120.3125</v>
      </c>
      <c r="G370" t="s">
        <v>876</v>
      </c>
      <c r="I370" t="s">
        <v>505</v>
      </c>
      <c r="J370">
        <f>HYPERLINK("http://maps.google.com/maps?z=10&amp;t=m&amp;q=loc:39.0022222+-120.3125", 232)</f>
        <v>0</v>
      </c>
      <c r="K370">
        <v>36</v>
      </c>
      <c r="L370">
        <v>0</v>
      </c>
      <c r="M370">
        <v>0</v>
      </c>
      <c r="N370">
        <v>0</v>
      </c>
      <c r="O370">
        <v>0</v>
      </c>
    </row>
    <row r="371" spans="1:15">
      <c r="A371" s="1" t="s">
        <v>383</v>
      </c>
      <c r="B371" t="s">
        <v>504</v>
      </c>
      <c r="C371" t="s">
        <v>509</v>
      </c>
      <c r="D371">
        <f>HYPERLINK("http://www.reserveamerica.com/camping/redwood-meadow/r/facilityDetails.do?contractCode=NRSO&amp;parkId=71608", "REDWOOD MEADOW")</f>
        <v>0</v>
      </c>
      <c r="E371">
        <v>35.9777778</v>
      </c>
      <c r="F371">
        <v>-118.5916667</v>
      </c>
      <c r="G371" t="s">
        <v>877</v>
      </c>
      <c r="I371" t="s">
        <v>505</v>
      </c>
      <c r="J371">
        <f>HYPERLINK("http://maps.google.com/maps?z=10&amp;t=m&amp;q=loc:35.9777778+-118.5916667", 331)</f>
        <v>0</v>
      </c>
      <c r="K371">
        <v>115</v>
      </c>
      <c r="L371">
        <v>4</v>
      </c>
      <c r="M371">
        <v>0</v>
      </c>
      <c r="N371">
        <v>4</v>
      </c>
      <c r="O371">
        <v>4</v>
      </c>
    </row>
    <row r="372" spans="1:15">
      <c r="A372" s="1" t="s">
        <v>384</v>
      </c>
      <c r="B372" t="s">
        <v>505</v>
      </c>
      <c r="C372" t="s">
        <v>510</v>
      </c>
      <c r="D372">
        <f>HYPERLINK("http://www.reserveamerica.com/camping/refugio-sb/r/facilityDetails.do?contractCode=CA&amp;parkId=120075", "REFUGIO SB")</f>
        <v>0</v>
      </c>
      <c r="E372">
        <v>34.4622222</v>
      </c>
      <c r="F372">
        <v>-120.0713889</v>
      </c>
      <c r="G372" t="s">
        <v>878</v>
      </c>
      <c r="I372" t="s">
        <v>505</v>
      </c>
      <c r="J372">
        <f>HYPERLINK("http://maps.google.com/maps?z=10&amp;t=m&amp;q=loc:34.4622222+-120.0713889", 358)</f>
        <v>0</v>
      </c>
      <c r="K372">
        <v>152</v>
      </c>
      <c r="L372">
        <v>0</v>
      </c>
      <c r="M372">
        <v>0</v>
      </c>
      <c r="N372">
        <v>0</v>
      </c>
      <c r="O372">
        <v>0</v>
      </c>
    </row>
    <row r="373" spans="1:15">
      <c r="A373" s="1" t="s">
        <v>385</v>
      </c>
      <c r="B373" t="s">
        <v>504</v>
      </c>
      <c r="C373" t="s">
        <v>509</v>
      </c>
      <c r="D373">
        <f>HYPERLINK("http://www.reserveamerica.com/camping/reversed-creek-campground/r/facilityDetails.do?contractCode=NRSO&amp;parkId=72148", "REVERSED CREEK CAMPGROUND")</f>
        <v>0</v>
      </c>
      <c r="E373">
        <v>37.7703306</v>
      </c>
      <c r="F373">
        <v>-119.084275</v>
      </c>
      <c r="G373" t="s">
        <v>879</v>
      </c>
      <c r="I373" t="s">
        <v>505</v>
      </c>
      <c r="J373">
        <f>HYPERLINK("http://maps.google.com/maps?z=10&amp;t=m&amp;q=loc:37.7703306+-119.084275", 253)</f>
        <v>0</v>
      </c>
      <c r="K373">
        <v>77</v>
      </c>
      <c r="L373">
        <v>2</v>
      </c>
      <c r="M373">
        <v>0</v>
      </c>
      <c r="N373">
        <v>2</v>
      </c>
      <c r="O373">
        <v>2</v>
      </c>
    </row>
    <row r="374" spans="1:15">
      <c r="A374" s="1" t="s">
        <v>386</v>
      </c>
      <c r="B374" t="s">
        <v>505</v>
      </c>
      <c r="C374" t="s">
        <v>510</v>
      </c>
      <c r="D374">
        <f>HYPERLINK("http://www.reserveamerica.com/camping/richardson-grove-sp/r/facilityDetails.do?contractCode=CA&amp;parkId=120076", "RICHARDSON GROVE SP")</f>
        <v>0</v>
      </c>
      <c r="E374">
        <v>40.0172222</v>
      </c>
      <c r="F374">
        <v>-123.7916667</v>
      </c>
      <c r="G374" t="s">
        <v>880</v>
      </c>
      <c r="I374" t="s">
        <v>505</v>
      </c>
      <c r="J374">
        <f>HYPERLINK("http://maps.google.com/maps?z=10&amp;t=m&amp;q=loc:40.0172222+-123.7916667", 340)</f>
        <v>0</v>
      </c>
      <c r="K374">
        <v>331</v>
      </c>
      <c r="L374">
        <v>0</v>
      </c>
      <c r="M374">
        <v>0</v>
      </c>
      <c r="N374">
        <v>0</v>
      </c>
      <c r="O374">
        <v>0</v>
      </c>
    </row>
    <row r="375" spans="1:15">
      <c r="A375" s="1" t="s">
        <v>387</v>
      </c>
      <c r="B375" t="s">
        <v>504</v>
      </c>
      <c r="C375" t="s">
        <v>509</v>
      </c>
      <c r="D375">
        <f>HYPERLINK("http://www.reserveamerica.com/camping/robinson-creek-north/r/facilityDetails.do?contractCode=NRSO&amp;parkId=70317", "ROBINSON CREEK NORTH")</f>
        <v>0</v>
      </c>
      <c r="E375">
        <v>38.1861111</v>
      </c>
      <c r="F375">
        <v>-119.3175</v>
      </c>
      <c r="G375" t="s">
        <v>881</v>
      </c>
      <c r="I375" t="s">
        <v>505</v>
      </c>
      <c r="J375">
        <f>HYPERLINK("http://maps.google.com/maps?z=10&amp;t=m&amp;q=loc:38.1861111+-119.3175", 246)</f>
        <v>0</v>
      </c>
      <c r="K375">
        <v>66</v>
      </c>
      <c r="L375">
        <v>0</v>
      </c>
      <c r="M375">
        <v>0</v>
      </c>
      <c r="N375">
        <v>0</v>
      </c>
      <c r="O375">
        <v>0</v>
      </c>
    </row>
    <row r="376" spans="1:15">
      <c r="A376" s="1" t="s">
        <v>388</v>
      </c>
      <c r="B376" t="s">
        <v>504</v>
      </c>
      <c r="C376" t="s">
        <v>509</v>
      </c>
      <c r="D376">
        <f>HYPERLINK("http://www.reserveamerica.com/camping/robinson-creek-south/r/facilityDetails.do?contractCode=NRSO&amp;parkId=71943", "ROBINSON CREEK SOUTH")</f>
        <v>0</v>
      </c>
      <c r="E376">
        <v>38.1861111</v>
      </c>
      <c r="F376">
        <v>-119.3175</v>
      </c>
      <c r="G376" t="s">
        <v>882</v>
      </c>
      <c r="I376" t="s">
        <v>505</v>
      </c>
      <c r="J376">
        <f>HYPERLINK("http://maps.google.com/maps?z=10&amp;t=m&amp;q=loc:38.1861111+-119.3175", 246)</f>
        <v>0</v>
      </c>
      <c r="K376">
        <v>66</v>
      </c>
      <c r="L376">
        <v>0</v>
      </c>
      <c r="M376">
        <v>0</v>
      </c>
      <c r="N376">
        <v>0</v>
      </c>
      <c r="O376">
        <v>0</v>
      </c>
    </row>
    <row r="377" spans="1:15">
      <c r="A377" s="1" t="s">
        <v>389</v>
      </c>
      <c r="B377" t="s">
        <v>504</v>
      </c>
      <c r="C377" t="s">
        <v>509</v>
      </c>
      <c r="D377">
        <f>HYPERLINK("http://www.reserveamerica.com/camping/rock-creek-sierra-natl-fores/r/facilityDetails.do?contractCode=NRSO&amp;parkId=71598", "ROCK CREEK (SIERRA NATL FORES")</f>
        <v>0</v>
      </c>
      <c r="E377">
        <v>37.2911111</v>
      </c>
      <c r="F377">
        <v>-119.3594444</v>
      </c>
      <c r="G377" t="s">
        <v>883</v>
      </c>
      <c r="I377" t="s">
        <v>505</v>
      </c>
      <c r="J377">
        <f>HYPERLINK("http://maps.google.com/maps?z=10&amp;t=m&amp;q=loc:37.2911111+-119.3594444", 225)</f>
        <v>0</v>
      </c>
      <c r="K377">
        <v>90</v>
      </c>
      <c r="L377">
        <v>0</v>
      </c>
      <c r="M377">
        <v>0</v>
      </c>
      <c r="N377">
        <v>0</v>
      </c>
      <c r="O377">
        <v>0</v>
      </c>
    </row>
    <row r="378" spans="1:15">
      <c r="A378" s="1" t="s">
        <v>390</v>
      </c>
      <c r="B378" t="s">
        <v>504</v>
      </c>
      <c r="C378" t="s">
        <v>509</v>
      </c>
      <c r="D378">
        <f>HYPERLINK("http://www.reserveamerica.com/camping/rock-creek-lake/r/facilityDetails.do?contractCode=NRSO&amp;parkId=73836", "ROCK CREEK LAKE")</f>
        <v>0</v>
      </c>
      <c r="E378">
        <v>37.4538222</v>
      </c>
      <c r="F378">
        <v>-118.7390139</v>
      </c>
      <c r="G378" t="s">
        <v>884</v>
      </c>
      <c r="I378" t="s">
        <v>505</v>
      </c>
      <c r="J378">
        <f>HYPERLINK("http://maps.google.com/maps?z=10&amp;t=m&amp;q=loc:37.4538222+-118.7390139", 279)</f>
        <v>0</v>
      </c>
      <c r="K378">
        <v>86</v>
      </c>
      <c r="L378">
        <v>0</v>
      </c>
      <c r="M378">
        <v>0</v>
      </c>
      <c r="N378">
        <v>0</v>
      </c>
      <c r="O378">
        <v>0</v>
      </c>
    </row>
    <row r="379" spans="1:15">
      <c r="A379" s="1" t="s">
        <v>391</v>
      </c>
      <c r="B379" t="s">
        <v>504</v>
      </c>
      <c r="C379" t="s">
        <v>509</v>
      </c>
      <c r="E379">
        <v>37.4538222</v>
      </c>
      <c r="F379">
        <v>-118.7390139</v>
      </c>
      <c r="G379" t="s">
        <v>885</v>
      </c>
      <c r="I379" t="s">
        <v>505</v>
      </c>
      <c r="J379">
        <f>HYPERLINK("http://maps.google.com/maps?z=10&amp;t=m&amp;q=loc:37.4538222+-118.7390139", 279)</f>
        <v>0</v>
      </c>
      <c r="K379">
        <v>86</v>
      </c>
      <c r="L379">
        <v>0</v>
      </c>
      <c r="M379">
        <v>0</v>
      </c>
      <c r="N379">
        <v>0</v>
      </c>
      <c r="O379">
        <v>0</v>
      </c>
    </row>
    <row r="380" spans="1:15">
      <c r="A380" s="1" t="s">
        <v>392</v>
      </c>
      <c r="B380" t="s">
        <v>504</v>
      </c>
      <c r="C380" t="s">
        <v>509</v>
      </c>
      <c r="D380">
        <f>HYPERLINK("http://www.reserveamerica.com/camping/rocky-rest/r/facilityDetails.do?contractCode=NRSO&amp;parkId=75439", "ROCKY REST")</f>
        <v>0</v>
      </c>
      <c r="E380">
        <v>39.5138889</v>
      </c>
      <c r="F380">
        <v>-120.9744444</v>
      </c>
      <c r="G380" t="s">
        <v>886</v>
      </c>
      <c r="I380" t="s">
        <v>505</v>
      </c>
      <c r="J380">
        <f>HYPERLINK("http://maps.google.com/maps?z=10&amp;t=m&amp;q=loc:39.5138889+-120.9744444", 256)</f>
        <v>0</v>
      </c>
      <c r="K380">
        <v>18</v>
      </c>
      <c r="L380">
        <v>0</v>
      </c>
      <c r="M380">
        <v>0</v>
      </c>
      <c r="N380">
        <v>0</v>
      </c>
      <c r="O380">
        <v>0</v>
      </c>
    </row>
    <row r="381" spans="1:15">
      <c r="A381" s="1" t="s">
        <v>393</v>
      </c>
      <c r="B381" t="s">
        <v>504</v>
      </c>
      <c r="C381" t="s">
        <v>509</v>
      </c>
      <c r="D381">
        <f>HYPERLINK("http://www.reserveamerica.com/camping/running-deer-campground/r/facilityDetails.do?contractCode=NRSO&amp;parkId=73569", "RUNNING DEER CAMPGROUND")</f>
        <v>0</v>
      </c>
      <c r="E381">
        <v>39.7352778</v>
      </c>
      <c r="F381">
        <v>-120.9530556</v>
      </c>
      <c r="G381" t="s">
        <v>887</v>
      </c>
      <c r="H381" t="s">
        <v>998</v>
      </c>
      <c r="I381" t="s">
        <v>505</v>
      </c>
      <c r="J381">
        <f>HYPERLINK("http://maps.google.com/maps?z=10&amp;t=m&amp;q=loc:39.7352778+-120.9530556", 280)</f>
        <v>0</v>
      </c>
      <c r="K381">
        <v>16</v>
      </c>
      <c r="L381">
        <v>38</v>
      </c>
      <c r="M381">
        <v>0</v>
      </c>
      <c r="N381">
        <v>38</v>
      </c>
      <c r="O381">
        <v>38</v>
      </c>
    </row>
    <row r="382" spans="1:15">
      <c r="A382" s="1" t="s">
        <v>394</v>
      </c>
      <c r="B382" t="s">
        <v>505</v>
      </c>
      <c r="C382" t="s">
        <v>510</v>
      </c>
      <c r="E382">
        <v>39.3330556</v>
      </c>
      <c r="F382">
        <v>-123.7738889</v>
      </c>
      <c r="G382" t="s">
        <v>888</v>
      </c>
      <c r="I382" t="s">
        <v>505</v>
      </c>
      <c r="J382">
        <f>HYPERLINK("http://maps.google.com/maps?z=10&amp;t=m&amp;q=loc:39.3330556+-123.7738889", 275)</f>
        <v>0</v>
      </c>
      <c r="K382">
        <v>324</v>
      </c>
      <c r="L382">
        <v>0</v>
      </c>
      <c r="M382">
        <v>0</v>
      </c>
      <c r="N382">
        <v>0</v>
      </c>
      <c r="O382">
        <v>0</v>
      </c>
    </row>
    <row r="383" spans="1:15">
      <c r="A383" s="1" t="s">
        <v>395</v>
      </c>
      <c r="B383" t="s">
        <v>505</v>
      </c>
      <c r="C383" t="s">
        <v>510</v>
      </c>
      <c r="E383">
        <v>34.6777778</v>
      </c>
      <c r="F383">
        <v>-117.8041667</v>
      </c>
      <c r="G383" t="s">
        <v>889</v>
      </c>
      <c r="I383" t="s">
        <v>505</v>
      </c>
      <c r="J383">
        <f>HYPERLINK("http://maps.google.com/maps?z=10&amp;t=m&amp;q=loc:34.6777778+-117.8041667", 471)</f>
        <v>0</v>
      </c>
      <c r="K383">
        <v>127</v>
      </c>
      <c r="L383">
        <v>0</v>
      </c>
      <c r="M383">
        <v>0</v>
      </c>
      <c r="N383">
        <v>0</v>
      </c>
      <c r="O383">
        <v>0</v>
      </c>
    </row>
    <row r="384" spans="1:15">
      <c r="A384" s="1" t="s">
        <v>396</v>
      </c>
      <c r="B384" t="s">
        <v>504</v>
      </c>
      <c r="C384" t="s">
        <v>509</v>
      </c>
      <c r="D384">
        <f>HYPERLINK("http://www.reserveamerica.com/camping/sage-hill/r/facilityDetails.do?contractCode=NRSO&amp;parkId=70164", "SAGE HILL")</f>
        <v>0</v>
      </c>
      <c r="E384">
        <v>34.5391667</v>
      </c>
      <c r="F384">
        <v>-119.7911111</v>
      </c>
      <c r="G384" t="s">
        <v>890</v>
      </c>
      <c r="I384" t="s">
        <v>505</v>
      </c>
      <c r="J384">
        <f>HYPERLINK("http://maps.google.com/maps?z=10&amp;t=m&amp;q=loc:34.5391667+-119.7911111", 363)</f>
        <v>0</v>
      </c>
      <c r="K384">
        <v>147</v>
      </c>
      <c r="L384">
        <v>3</v>
      </c>
      <c r="M384">
        <v>0</v>
      </c>
      <c r="N384">
        <v>3</v>
      </c>
      <c r="O384">
        <v>3</v>
      </c>
    </row>
    <row r="385" spans="1:15">
      <c r="A385" s="1" t="s">
        <v>397</v>
      </c>
      <c r="B385" t="s">
        <v>504</v>
      </c>
      <c r="C385" t="s">
        <v>509</v>
      </c>
      <c r="D385">
        <f>HYPERLINK("http://www.reserveamerica.com/camping/salmon-creek/r/facilityDetails.do?contractCode=NRSO&amp;parkId=75430", "SALMON CREEK")</f>
        <v>0</v>
      </c>
      <c r="E385">
        <v>39.6236111</v>
      </c>
      <c r="F385">
        <v>-120.6122222</v>
      </c>
      <c r="G385" t="s">
        <v>891</v>
      </c>
      <c r="I385" t="s">
        <v>505</v>
      </c>
      <c r="J385">
        <f>HYPERLINK("http://maps.google.com/maps?z=10&amp;t=m&amp;q=loc:39.6236111+-120.6122222", 278)</f>
        <v>0</v>
      </c>
      <c r="K385">
        <v>23</v>
      </c>
      <c r="L385">
        <v>16</v>
      </c>
      <c r="M385">
        <v>0</v>
      </c>
      <c r="N385">
        <v>16</v>
      </c>
      <c r="O385">
        <v>16</v>
      </c>
    </row>
    <row r="386" spans="1:15">
      <c r="A386" s="1" t="s">
        <v>398</v>
      </c>
      <c r="B386" t="s">
        <v>505</v>
      </c>
      <c r="C386" t="s">
        <v>510</v>
      </c>
      <c r="D386">
        <f>HYPERLINK("http://www.reserveamerica.com/camping/salt-point-sp/r/facilityDetails.do?contractCode=CA&amp;parkId=120080", "SALT POINT SP")</f>
        <v>0</v>
      </c>
      <c r="E386">
        <v>38.5752778</v>
      </c>
      <c r="F386">
        <v>-123.3119444</v>
      </c>
      <c r="G386" t="s">
        <v>892</v>
      </c>
      <c r="I386" t="s">
        <v>505</v>
      </c>
      <c r="J386">
        <f>HYPERLINK("http://maps.google.com/maps?z=10&amp;t=m&amp;q=loc:38.5752778+-123.3119444", 185)</f>
        <v>0</v>
      </c>
      <c r="K386">
        <v>318</v>
      </c>
      <c r="L386">
        <v>2</v>
      </c>
      <c r="M386">
        <v>2</v>
      </c>
      <c r="N386">
        <v>0</v>
      </c>
      <c r="O386">
        <v>0</v>
      </c>
    </row>
    <row r="387" spans="1:15">
      <c r="A387" s="1" t="s">
        <v>399</v>
      </c>
      <c r="B387" t="s">
        <v>505</v>
      </c>
      <c r="C387" t="s">
        <v>510</v>
      </c>
      <c r="D387">
        <f>HYPERLINK("http://www.reserveamerica.com/camping/salton-sea-sra/r/facilityDetails.do?contractCode=CA&amp;parkId=120079", "SALTON SEA SRA")</f>
        <v>0</v>
      </c>
      <c r="E387">
        <v>33.4177778</v>
      </c>
      <c r="F387">
        <v>-115.8308333</v>
      </c>
      <c r="G387" t="s">
        <v>893</v>
      </c>
      <c r="I387" t="s">
        <v>505</v>
      </c>
      <c r="J387">
        <f>HYPERLINK("http://maps.google.com/maps?z=10&amp;t=m&amp;q=loc:33.4177778+-115.8308333", 701)</f>
        <v>0</v>
      </c>
      <c r="K387">
        <v>126</v>
      </c>
      <c r="L387">
        <v>0</v>
      </c>
      <c r="M387">
        <v>0</v>
      </c>
      <c r="N387">
        <v>0</v>
      </c>
      <c r="O387">
        <v>0</v>
      </c>
    </row>
    <row r="388" spans="1:15">
      <c r="A388" s="1" t="s">
        <v>400</v>
      </c>
      <c r="B388" t="s">
        <v>505</v>
      </c>
      <c r="C388" t="s">
        <v>510</v>
      </c>
      <c r="D388">
        <f>HYPERLINK("http://www.reserveamerica.com/camping/samuel-p-taylor-sp/r/facilityDetails.do?contractCode=CA&amp;parkId=120081", "SAMUEL P. TAYLOR SP")</f>
        <v>0</v>
      </c>
      <c r="E388">
        <v>38.0258333</v>
      </c>
      <c r="F388">
        <v>-122.7266667</v>
      </c>
      <c r="G388" t="s">
        <v>894</v>
      </c>
      <c r="H388" t="s">
        <v>997</v>
      </c>
      <c r="I388" t="s">
        <v>505</v>
      </c>
      <c r="J388">
        <f>HYPERLINK("http://maps.google.com/maps?z=10&amp;t=m&amp;q=loc:38.0258333+-122.7266667", 105)</f>
        <v>0</v>
      </c>
      <c r="K388">
        <v>317</v>
      </c>
      <c r="L388">
        <v>0</v>
      </c>
      <c r="M388">
        <v>0</v>
      </c>
      <c r="N388">
        <v>0</v>
      </c>
      <c r="O388">
        <v>0</v>
      </c>
    </row>
    <row r="389" spans="1:15">
      <c r="A389" s="1" t="s">
        <v>401</v>
      </c>
      <c r="B389" t="s">
        <v>505</v>
      </c>
      <c r="C389" t="s">
        <v>510</v>
      </c>
      <c r="D389">
        <f>HYPERLINK("http://www.reserveamerica.com/camping/san-clemente-sb/r/facilityDetails.do?contractCode=CA&amp;parkId=120082", "SAN CLEMENTE SB")</f>
        <v>0</v>
      </c>
      <c r="E389">
        <v>33.4030556</v>
      </c>
      <c r="F389">
        <v>-117.6038889</v>
      </c>
      <c r="G389" t="s">
        <v>895</v>
      </c>
      <c r="I389" t="s">
        <v>505</v>
      </c>
      <c r="J389">
        <f>HYPERLINK("http://maps.google.com/maps?z=10&amp;t=m&amp;q=loc:33.4030556+-117.6038889", 584)</f>
        <v>0</v>
      </c>
      <c r="K389">
        <v>136</v>
      </c>
      <c r="L389">
        <v>0</v>
      </c>
      <c r="M389">
        <v>0</v>
      </c>
      <c r="N389">
        <v>0</v>
      </c>
      <c r="O389">
        <v>0</v>
      </c>
    </row>
    <row r="390" spans="1:15">
      <c r="A390" s="1" t="s">
        <v>402</v>
      </c>
      <c r="B390" t="s">
        <v>505</v>
      </c>
      <c r="C390" t="s">
        <v>510</v>
      </c>
      <c r="D390">
        <f>HYPERLINK("http://www.reserveamerica.com/camping/san-elijo-sb/r/facilityDetails.do?contractCode=CA&amp;parkId=120083", "SAN ELIJO SB")</f>
        <v>0</v>
      </c>
      <c r="E390">
        <v>33.0247222</v>
      </c>
      <c r="F390">
        <v>-117.2855556</v>
      </c>
      <c r="G390" t="s">
        <v>896</v>
      </c>
      <c r="I390" t="s">
        <v>505</v>
      </c>
      <c r="J390">
        <f>HYPERLINK("http://maps.google.com/maps?z=10&amp;t=m&amp;q=loc:33.0247222+-117.2855556", 636)</f>
        <v>0</v>
      </c>
      <c r="K390">
        <v>137</v>
      </c>
      <c r="L390">
        <v>0</v>
      </c>
      <c r="M390">
        <v>0</v>
      </c>
      <c r="N390">
        <v>0</v>
      </c>
      <c r="O390">
        <v>0</v>
      </c>
    </row>
    <row r="391" spans="1:15">
      <c r="A391" s="1" t="s">
        <v>403</v>
      </c>
      <c r="B391" t="s">
        <v>504</v>
      </c>
      <c r="C391" t="s">
        <v>509</v>
      </c>
      <c r="D391">
        <f>HYPERLINK("http://www.reserveamerica.com/camping/san-gorgonio/r/facilityDetails.do?contractCode=NRSO&amp;parkId=70182", "SAN GORGONIO")</f>
        <v>0</v>
      </c>
      <c r="E391">
        <v>34.1744444</v>
      </c>
      <c r="F391">
        <v>-116.8663889</v>
      </c>
      <c r="G391" t="s">
        <v>897</v>
      </c>
      <c r="I391" t="s">
        <v>505</v>
      </c>
      <c r="J391">
        <f>HYPERLINK("http://maps.google.com/maps?z=10&amp;t=m&amp;q=loc:34.1744444+-116.8663889", 573)</f>
        <v>0</v>
      </c>
      <c r="K391">
        <v>126</v>
      </c>
      <c r="L391">
        <v>38</v>
      </c>
      <c r="M391">
        <v>12</v>
      </c>
      <c r="N391">
        <v>26</v>
      </c>
      <c r="O391">
        <v>26</v>
      </c>
    </row>
    <row r="392" spans="1:15">
      <c r="A392" s="1" t="s">
        <v>404</v>
      </c>
      <c r="B392" t="s">
        <v>505</v>
      </c>
      <c r="C392" t="s">
        <v>510</v>
      </c>
      <c r="D392">
        <f>HYPERLINK("http://www.reserveamerica.com/camping/san-luis-reservoir-sra/r/facilityDetails.do?contractCode=CA&amp;parkId=120084", "SAN LUIS RESERVOIR SRA")</f>
        <v>0</v>
      </c>
      <c r="E392">
        <v>37.0522222</v>
      </c>
      <c r="F392">
        <v>-121.1130556</v>
      </c>
      <c r="G392" t="s">
        <v>898</v>
      </c>
      <c r="I392" t="s">
        <v>505</v>
      </c>
      <c r="J392">
        <f>HYPERLINK("http://maps.google.com/maps?z=10&amp;t=m&amp;q=loc:37.0522222+-121.1130556", 76)</f>
        <v>0</v>
      </c>
      <c r="K392">
        <v>113</v>
      </c>
      <c r="L392">
        <v>136</v>
      </c>
      <c r="M392">
        <v>13</v>
      </c>
      <c r="N392">
        <v>123</v>
      </c>
      <c r="O392">
        <v>123</v>
      </c>
    </row>
    <row r="393" spans="1:15">
      <c r="A393" s="1" t="s">
        <v>405</v>
      </c>
      <c r="B393" t="s">
        <v>504</v>
      </c>
      <c r="C393" t="s">
        <v>509</v>
      </c>
      <c r="D393">
        <f>HYPERLINK("http://www.reserveamerica.com/camping/san-miguel-island/r/facilityDetails.do?contractCode=NRSO&amp;parkId=70983", "SAN MIGUEL ISLAND")</f>
        <v>0</v>
      </c>
      <c r="E393">
        <v>34.0406028</v>
      </c>
      <c r="F393">
        <v>-120.3490889</v>
      </c>
      <c r="G393" t="s">
        <v>899</v>
      </c>
      <c r="H393" t="s">
        <v>996</v>
      </c>
      <c r="I393" t="s">
        <v>505</v>
      </c>
      <c r="J393">
        <f>HYPERLINK("http://maps.google.com/maps?z=10&amp;t=m&amp;q=loc:34.0406028+-120.3490889", 391)</f>
        <v>0</v>
      </c>
      <c r="K393">
        <v>158</v>
      </c>
      <c r="L393">
        <v>9</v>
      </c>
      <c r="M393">
        <v>0</v>
      </c>
      <c r="N393">
        <v>9</v>
      </c>
      <c r="O393">
        <v>9</v>
      </c>
    </row>
    <row r="394" spans="1:15">
      <c r="A394" s="1" t="s">
        <v>406</v>
      </c>
      <c r="B394" t="s">
        <v>505</v>
      </c>
      <c r="C394" t="s">
        <v>510</v>
      </c>
      <c r="D394">
        <f>HYPERLINK("http://www.reserveamerica.com/camping/san-onofre-sb/r/facilityDetails.do?contractCode=CA&amp;parkId=120085", "SAN ONOFRE SB")</f>
        <v>0</v>
      </c>
      <c r="E394">
        <v>33.3727778</v>
      </c>
      <c r="F394">
        <v>-117.5647222</v>
      </c>
      <c r="G394" t="s">
        <v>900</v>
      </c>
      <c r="I394" t="s">
        <v>505</v>
      </c>
      <c r="J394">
        <f>HYPERLINK("http://maps.google.com/maps?z=10&amp;t=m&amp;q=loc:33.3727778+-117.5647222", 589)</f>
        <v>0</v>
      </c>
      <c r="K394">
        <v>136</v>
      </c>
      <c r="L394">
        <v>1</v>
      </c>
      <c r="M394">
        <v>1</v>
      </c>
      <c r="N394">
        <v>0</v>
      </c>
      <c r="O394">
        <v>0</v>
      </c>
    </row>
    <row r="395" spans="1:15">
      <c r="A395" s="1" t="s">
        <v>407</v>
      </c>
      <c r="B395" t="s">
        <v>505</v>
      </c>
      <c r="C395" t="s">
        <v>510</v>
      </c>
      <c r="D395">
        <f>HYPERLINK("http://www.reserveamerica.com/camping/san-simeon-sp/r/facilityDetails.do?contractCode=CA&amp;parkId=120086", "SAN SIMEON SP")</f>
        <v>0</v>
      </c>
      <c r="E395">
        <v>35.5836111</v>
      </c>
      <c r="F395">
        <v>-121.1205556</v>
      </c>
      <c r="G395" t="s">
        <v>901</v>
      </c>
      <c r="I395" t="s">
        <v>505</v>
      </c>
      <c r="J395">
        <f>HYPERLINK("http://maps.google.com/maps?z=10&amp;t=m&amp;q=loc:35.5836111+-121.1205556", 206)</f>
        <v>0</v>
      </c>
      <c r="K395">
        <v>159</v>
      </c>
      <c r="L395">
        <v>159</v>
      </c>
      <c r="M395">
        <v>2</v>
      </c>
      <c r="N395">
        <v>157</v>
      </c>
      <c r="O395">
        <v>157</v>
      </c>
    </row>
    <row r="396" spans="1:15">
      <c r="A396" s="1" t="s">
        <v>408</v>
      </c>
      <c r="B396" t="s">
        <v>504</v>
      </c>
      <c r="C396" t="s">
        <v>509</v>
      </c>
      <c r="D396">
        <f>HYPERLINK("http://www.reserveamerica.com/camping/sandy-flat/r/facilityDetails.do?contractCode=NRSO&amp;parkId=72076", "SANDY FLAT")</f>
        <v>0</v>
      </c>
      <c r="E396">
        <v>35.5744444</v>
      </c>
      <c r="F396">
        <v>-118.5255556</v>
      </c>
      <c r="G396" t="s">
        <v>902</v>
      </c>
      <c r="I396" t="s">
        <v>505</v>
      </c>
      <c r="J396">
        <f>HYPERLINK("http://maps.google.com/maps?z=10&amp;t=m&amp;q=loc:35.5744444+-118.5255556", 359)</f>
        <v>0</v>
      </c>
      <c r="K396">
        <v>121</v>
      </c>
      <c r="L396">
        <v>33</v>
      </c>
      <c r="M396">
        <v>0</v>
      </c>
      <c r="N396">
        <v>33</v>
      </c>
      <c r="O396">
        <v>33</v>
      </c>
    </row>
    <row r="397" spans="1:15">
      <c r="A397" s="1" t="s">
        <v>409</v>
      </c>
      <c r="B397" t="s">
        <v>504</v>
      </c>
      <c r="C397" t="s">
        <v>509</v>
      </c>
      <c r="D397">
        <f>HYPERLINK("http://www.reserveamerica.com/camping/santa-barbara-island/r/facilityDetails.do?contractCode=NRSO&amp;parkId=70982", "SANTA BARBARA ISLAND")</f>
        <v>0</v>
      </c>
      <c r="E397">
        <v>33.47985</v>
      </c>
      <c r="F397">
        <v>-119.0298917</v>
      </c>
      <c r="G397" t="s">
        <v>903</v>
      </c>
      <c r="H397" t="s">
        <v>996</v>
      </c>
      <c r="I397" t="s">
        <v>505</v>
      </c>
      <c r="J397">
        <f>HYPERLINK("http://maps.google.com/maps?z=10&amp;t=m&amp;q=loc:33.47985+-119.0298917", 500)</f>
        <v>0</v>
      </c>
      <c r="K397">
        <v>147</v>
      </c>
      <c r="L397">
        <v>0</v>
      </c>
      <c r="M397">
        <v>0</v>
      </c>
      <c r="N397">
        <v>0</v>
      </c>
      <c r="O397">
        <v>0</v>
      </c>
    </row>
    <row r="398" spans="1:15">
      <c r="A398" s="1" t="s">
        <v>410</v>
      </c>
      <c r="B398" t="s">
        <v>504</v>
      </c>
      <c r="C398" t="s">
        <v>509</v>
      </c>
      <c r="D398">
        <f>HYPERLINK("http://www.reserveamerica.com/camping/santa-cruz-del-norte-backcountry/r/facilityDetails.do?contractCode=NRSO&amp;parkId=70981", "SANTA CRUZ DEL NORTE BACKCOUNTRY")</f>
        <v>0</v>
      </c>
      <c r="E398">
        <v>34.0108333</v>
      </c>
      <c r="F398">
        <v>-119.6602778</v>
      </c>
      <c r="G398" t="s">
        <v>904</v>
      </c>
      <c r="H398" t="s">
        <v>996</v>
      </c>
      <c r="I398" t="s">
        <v>505</v>
      </c>
      <c r="J398">
        <f>HYPERLINK("http://maps.google.com/maps?z=10&amp;t=m&amp;q=loc:34.0108333+-119.6602778", 420)</f>
        <v>0</v>
      </c>
      <c r="K398">
        <v>150</v>
      </c>
      <c r="L398">
        <v>0</v>
      </c>
      <c r="M398">
        <v>0</v>
      </c>
      <c r="N398">
        <v>0</v>
      </c>
      <c r="O398">
        <v>0</v>
      </c>
    </row>
    <row r="399" spans="1:15">
      <c r="A399" s="1" t="s">
        <v>411</v>
      </c>
      <c r="B399" t="s">
        <v>504</v>
      </c>
      <c r="C399" t="s">
        <v>509</v>
      </c>
      <c r="D399">
        <f>HYPERLINK("http://www.reserveamerica.com/camping/santa-cruz-scorpion/r/facilityDetails.do?contractCode=NRSO&amp;parkId=70980", "SANTA CRUZ SCORPION")</f>
        <v>0</v>
      </c>
      <c r="E399">
        <v>34.0482444</v>
      </c>
      <c r="F399">
        <v>-119.5615972</v>
      </c>
      <c r="G399" t="s">
        <v>905</v>
      </c>
      <c r="H399" t="s">
        <v>996</v>
      </c>
      <c r="I399" t="s">
        <v>505</v>
      </c>
      <c r="J399">
        <f>HYPERLINK("http://maps.google.com/maps?z=10&amp;t=m&amp;q=loc:34.0482444+-119.5615972", 421)</f>
        <v>0</v>
      </c>
      <c r="K399">
        <v>149</v>
      </c>
      <c r="L399">
        <v>0</v>
      </c>
      <c r="M399">
        <v>0</v>
      </c>
      <c r="N399">
        <v>0</v>
      </c>
      <c r="O399">
        <v>0</v>
      </c>
    </row>
    <row r="400" spans="1:15">
      <c r="A400" s="1" t="s">
        <v>412</v>
      </c>
      <c r="B400" t="s">
        <v>504</v>
      </c>
      <c r="C400" t="s">
        <v>509</v>
      </c>
      <c r="D400">
        <f>HYPERLINK("http://www.reserveamerica.com/camping/santa-rosa-island/r/facilityDetails.do?contractCode=NRSO&amp;parkId=70979", "SANTA ROSA ISLAND")</f>
        <v>0</v>
      </c>
      <c r="E400">
        <v>33.99105</v>
      </c>
      <c r="F400">
        <v>-120.0481472</v>
      </c>
      <c r="G400" t="s">
        <v>906</v>
      </c>
      <c r="H400" t="s">
        <v>996</v>
      </c>
      <c r="I400" t="s">
        <v>505</v>
      </c>
      <c r="J400">
        <f>HYPERLINK("http://maps.google.com/maps?z=10&amp;t=m&amp;q=loc:33.99105+-120.0481472", 406)</f>
        <v>0</v>
      </c>
      <c r="K400">
        <v>155</v>
      </c>
      <c r="L400">
        <v>4</v>
      </c>
      <c r="M400">
        <v>0</v>
      </c>
      <c r="N400">
        <v>4</v>
      </c>
      <c r="O400">
        <v>4</v>
      </c>
    </row>
    <row r="401" spans="1:15">
      <c r="A401" s="1" t="s">
        <v>413</v>
      </c>
      <c r="B401" t="s">
        <v>504</v>
      </c>
      <c r="C401" t="s">
        <v>509</v>
      </c>
      <c r="D401">
        <f>HYPERLINK("http://www.reserveamerica.com/camping/sarah-totten-campground/r/facilityDetails.do?contractCode=NRSO&amp;parkId=75265", "SARAH TOTTEN CAMPGROUND")</f>
        <v>0</v>
      </c>
      <c r="E401">
        <v>41.7841667</v>
      </c>
      <c r="F401">
        <v>-123.0430556</v>
      </c>
      <c r="G401" t="s">
        <v>907</v>
      </c>
      <c r="I401" t="s">
        <v>505</v>
      </c>
      <c r="J401">
        <f>HYPERLINK("http://maps.google.com/maps?z=10&amp;t=m&amp;q=loc:41.7841667+-123.0430556", 504)</f>
        <v>0</v>
      </c>
      <c r="K401">
        <v>349</v>
      </c>
      <c r="L401">
        <v>2</v>
      </c>
      <c r="M401">
        <v>0</v>
      </c>
      <c r="N401">
        <v>2</v>
      </c>
      <c r="O401">
        <v>2</v>
      </c>
    </row>
    <row r="402" spans="1:15">
      <c r="A402" s="1" t="s">
        <v>414</v>
      </c>
      <c r="B402" t="s">
        <v>504</v>
      </c>
      <c r="C402" t="s">
        <v>509</v>
      </c>
      <c r="D402">
        <f>HYPERLINK("http://www.reserveamerica.com/camping/sardine-lake/r/facilityDetails.do?contractCode=NRSO&amp;parkId=75429", "SARDINE LAKE")</f>
        <v>0</v>
      </c>
      <c r="E402">
        <v>39.6188889</v>
      </c>
      <c r="F402">
        <v>-120.6175</v>
      </c>
      <c r="G402" t="s">
        <v>908</v>
      </c>
      <c r="I402" t="s">
        <v>505</v>
      </c>
      <c r="J402">
        <f>HYPERLINK("http://maps.google.com/maps?z=10&amp;t=m&amp;q=loc:39.6188889+-120.6175", 278)</f>
        <v>0</v>
      </c>
      <c r="K402">
        <v>23</v>
      </c>
      <c r="L402">
        <v>1</v>
      </c>
      <c r="M402">
        <v>0</v>
      </c>
      <c r="N402">
        <v>1</v>
      </c>
      <c r="O402">
        <v>1</v>
      </c>
    </row>
    <row r="403" spans="1:15">
      <c r="A403" s="1" t="s">
        <v>415</v>
      </c>
      <c r="B403" t="s">
        <v>504</v>
      </c>
      <c r="C403" t="s">
        <v>509</v>
      </c>
      <c r="D403">
        <f>HYPERLINK("http://www.reserveamerica.com/camping/serrano/r/facilityDetails.do?contractCode=NRSO&amp;parkId=70533", "SERRANO")</f>
        <v>0</v>
      </c>
      <c r="E403">
        <v>34.2613889</v>
      </c>
      <c r="F403">
        <v>-116.9194444</v>
      </c>
      <c r="G403" t="s">
        <v>909</v>
      </c>
      <c r="I403" t="s">
        <v>505</v>
      </c>
      <c r="J403">
        <f>HYPERLINK("http://maps.google.com/maps?z=10&amp;t=m&amp;q=loc:34.2613889+-116.9194444", 563)</f>
        <v>0</v>
      </c>
      <c r="K403">
        <v>125</v>
      </c>
      <c r="L403">
        <v>0</v>
      </c>
      <c r="M403">
        <v>0</v>
      </c>
      <c r="N403">
        <v>0</v>
      </c>
      <c r="O403">
        <v>0</v>
      </c>
    </row>
    <row r="404" spans="1:15">
      <c r="A404" s="1" t="s">
        <v>416</v>
      </c>
      <c r="B404" t="s">
        <v>504</v>
      </c>
      <c r="C404" t="s">
        <v>509</v>
      </c>
      <c r="D404">
        <f>HYPERLINK("http://www.reserveamerica.com/camping/shady-cove-group-campground/r/facilityDetails.do?contractCode=NRSO&amp;parkId=73900", "SHADY COVE GROUP CAMPGROUND")</f>
        <v>0</v>
      </c>
      <c r="E404">
        <v>34.2083139</v>
      </c>
      <c r="F404">
        <v>-117.0468333</v>
      </c>
      <c r="G404" t="s">
        <v>910</v>
      </c>
      <c r="I404" t="s">
        <v>505</v>
      </c>
      <c r="J404">
        <f>HYPERLINK("http://maps.google.com/maps?z=10&amp;t=m&amp;q=loc:34.2083139+-117.0468333", 558)</f>
        <v>0</v>
      </c>
      <c r="K404">
        <v>126</v>
      </c>
      <c r="L404">
        <v>0</v>
      </c>
      <c r="M404">
        <v>0</v>
      </c>
      <c r="N404">
        <v>0</v>
      </c>
      <c r="O404">
        <v>0</v>
      </c>
    </row>
    <row r="405" spans="1:15">
      <c r="A405" s="1" t="s">
        <v>417</v>
      </c>
      <c r="B405" t="s">
        <v>504</v>
      </c>
      <c r="C405" t="s">
        <v>509</v>
      </c>
      <c r="E405">
        <v>33.9991667</v>
      </c>
      <c r="F405">
        <v>-116.1180556</v>
      </c>
      <c r="G405" t="s">
        <v>911</v>
      </c>
      <c r="I405" t="s">
        <v>505</v>
      </c>
      <c r="J405">
        <f>HYPERLINK("http://maps.google.com/maps?z=10&amp;t=m&amp;q=loc:33.9991667+-116.1180556", 640)</f>
        <v>0</v>
      </c>
      <c r="K405">
        <v>123</v>
      </c>
      <c r="L405">
        <v>0</v>
      </c>
      <c r="M405">
        <v>0</v>
      </c>
      <c r="N405">
        <v>0</v>
      </c>
      <c r="O405">
        <v>0</v>
      </c>
    </row>
    <row r="406" spans="1:15">
      <c r="A406" s="1" t="s">
        <v>418</v>
      </c>
      <c r="B406" t="s">
        <v>504</v>
      </c>
      <c r="C406" t="s">
        <v>509</v>
      </c>
      <c r="D406">
        <f>HYPERLINK("http://www.reserveamerica.com/camping/sherwin-creek/r/facilityDetails.do?contractCode=NRSO&amp;parkId=70567", "SHERWIN CREEK")</f>
        <v>0</v>
      </c>
      <c r="E406">
        <v>37.63</v>
      </c>
      <c r="F406">
        <v>-118.935</v>
      </c>
      <c r="G406" t="s">
        <v>912</v>
      </c>
      <c r="I406" t="s">
        <v>505</v>
      </c>
      <c r="J406">
        <f>HYPERLINK("http://maps.google.com/maps?z=10&amp;t=m&amp;q=loc:37.63+-118.935", 264)</f>
        <v>0</v>
      </c>
      <c r="K406">
        <v>81</v>
      </c>
      <c r="L406">
        <v>50</v>
      </c>
      <c r="M406">
        <v>0</v>
      </c>
      <c r="N406">
        <v>50</v>
      </c>
      <c r="O406">
        <v>50</v>
      </c>
    </row>
    <row r="407" spans="1:15">
      <c r="A407" s="1" t="s">
        <v>419</v>
      </c>
      <c r="B407" t="s">
        <v>504</v>
      </c>
      <c r="C407" t="s">
        <v>509</v>
      </c>
      <c r="D407">
        <f>HYPERLINK("http://www.reserveamerica.com/camping/shirttail-creek/r/facilityDetails.do?contractCode=NRSO&amp;parkId=71675", "SHIRTTAIL CREEK")</f>
        <v>0</v>
      </c>
      <c r="E407">
        <v>39.1444444</v>
      </c>
      <c r="F407">
        <v>-120.7847222</v>
      </c>
      <c r="G407" t="s">
        <v>913</v>
      </c>
      <c r="I407" t="s">
        <v>505</v>
      </c>
      <c r="J407">
        <f>HYPERLINK("http://maps.google.com/maps?z=10&amp;t=m&amp;q=loc:39.1444444+-120.7847222", 224)</f>
        <v>0</v>
      </c>
      <c r="K407">
        <v>25</v>
      </c>
      <c r="L407">
        <v>15</v>
      </c>
      <c r="M407">
        <v>3</v>
      </c>
      <c r="N407">
        <v>12</v>
      </c>
      <c r="O407">
        <v>12</v>
      </c>
    </row>
    <row r="408" spans="1:15">
      <c r="A408" s="1" t="s">
        <v>420</v>
      </c>
      <c r="B408" t="s">
        <v>506</v>
      </c>
      <c r="C408" t="s">
        <v>511</v>
      </c>
      <c r="D408">
        <f>HYPERLINK("http://www.reserveamerica.com/camping/sibley-volcanic-regional-preserve/r/facilityDetails.do?contractCode=EB&amp;parkId=110550", "Sibley Volcanic Regional Preserve")</f>
        <v>0</v>
      </c>
      <c r="E408">
        <v>37.8477778</v>
      </c>
      <c r="F408">
        <v>-122.1983333</v>
      </c>
      <c r="G408" t="s">
        <v>914</v>
      </c>
      <c r="I408" t="s">
        <v>505</v>
      </c>
      <c r="J408">
        <f>HYPERLINK("http://maps.google.com/maps?z=10&amp;t=m&amp;q=loc:37.8477778+-122.1983333", 63)</f>
        <v>0</v>
      </c>
      <c r="K408">
        <v>336</v>
      </c>
      <c r="L408">
        <v>0</v>
      </c>
      <c r="M408">
        <v>0</v>
      </c>
      <c r="N408">
        <v>0</v>
      </c>
      <c r="O408">
        <v>0</v>
      </c>
    </row>
    <row r="409" spans="1:15">
      <c r="A409" s="1" t="s">
        <v>421</v>
      </c>
      <c r="B409" t="s">
        <v>504</v>
      </c>
      <c r="C409" t="s">
        <v>509</v>
      </c>
      <c r="D409">
        <f>HYPERLINK("http://www.reserveamerica.com/camping/sierra/r/facilityDetails.do?contractCode=NRSO&amp;parkId=75435", "SIERRA")</f>
        <v>0</v>
      </c>
      <c r="E409">
        <v>39.6308333</v>
      </c>
      <c r="F409">
        <v>-120.5586111</v>
      </c>
      <c r="G409" t="s">
        <v>915</v>
      </c>
      <c r="I409" t="s">
        <v>505</v>
      </c>
      <c r="J409">
        <f>HYPERLINK("http://maps.google.com/maps?z=10&amp;t=m&amp;q=loc:39.6308333+-120.5586111", 281)</f>
        <v>0</v>
      </c>
      <c r="K409">
        <v>24</v>
      </c>
      <c r="L409">
        <v>13</v>
      </c>
      <c r="M409">
        <v>0</v>
      </c>
      <c r="N409">
        <v>13</v>
      </c>
      <c r="O409">
        <v>13</v>
      </c>
    </row>
    <row r="410" spans="1:15">
      <c r="A410" s="1" t="s">
        <v>422</v>
      </c>
      <c r="B410" t="s">
        <v>504</v>
      </c>
      <c r="C410" t="s">
        <v>509</v>
      </c>
      <c r="D410">
        <f>HYPERLINK("http://www.reserveamerica.com/camping/silver-creek/r/facilityDetails.do?contractCode=NRSO&amp;parkId=70460", "Silver Creek")</f>
        <v>0</v>
      </c>
      <c r="E410">
        <v>38.5889722</v>
      </c>
      <c r="F410">
        <v>-119.7871667</v>
      </c>
      <c r="G410" t="s">
        <v>916</v>
      </c>
      <c r="I410" t="s">
        <v>505</v>
      </c>
      <c r="J410">
        <f>HYPERLINK("http://maps.google.com/maps?z=10&amp;t=m&amp;q=loc:38.5889722+-119.7871667", 232)</f>
        <v>0</v>
      </c>
      <c r="K410">
        <v>52</v>
      </c>
      <c r="L410">
        <v>0</v>
      </c>
      <c r="M410">
        <v>0</v>
      </c>
      <c r="N410">
        <v>0</v>
      </c>
      <c r="O410">
        <v>0</v>
      </c>
    </row>
    <row r="411" spans="1:15">
      <c r="A411" s="1" t="s">
        <v>423</v>
      </c>
      <c r="B411" t="s">
        <v>504</v>
      </c>
      <c r="C411" t="s">
        <v>509</v>
      </c>
      <c r="D411">
        <f>HYPERLINK("http://www.reserveamerica.com/camping/silver-creek-group-campground/r/facilityDetails.do?contractCode=NRSO&amp;parkId=74160", "SILVER CREEK GROUP CAMPGROUND")</f>
        <v>0</v>
      </c>
      <c r="E411">
        <v>38.8269444</v>
      </c>
      <c r="F411">
        <v>-120.39</v>
      </c>
      <c r="G411" t="s">
        <v>917</v>
      </c>
      <c r="I411" t="s">
        <v>505</v>
      </c>
      <c r="J411">
        <f>HYPERLINK("http://maps.google.com/maps?z=10&amp;t=m&amp;q=loc:38.8269444+-120.39", 212)</f>
        <v>0</v>
      </c>
      <c r="K411">
        <v>38</v>
      </c>
      <c r="L411">
        <v>0</v>
      </c>
      <c r="M411">
        <v>0</v>
      </c>
      <c r="N411">
        <v>0</v>
      </c>
      <c r="O411">
        <v>0</v>
      </c>
    </row>
    <row r="412" spans="1:15">
      <c r="A412" s="1" t="s">
        <v>424</v>
      </c>
      <c r="B412" t="s">
        <v>504</v>
      </c>
      <c r="C412" t="s">
        <v>509</v>
      </c>
      <c r="D412">
        <f>HYPERLINK("http://www.reserveamerica.com/camping/silver-creektruckee/r/facilityDetails.do?contractCode=NRSO&amp;parkId=71672", "SILVER CREEK-TRUCKEE")</f>
        <v>0</v>
      </c>
      <c r="E412">
        <v>39.2230556</v>
      </c>
      <c r="F412">
        <v>-120.2008333</v>
      </c>
      <c r="G412" t="s">
        <v>918</v>
      </c>
      <c r="I412" t="s">
        <v>505</v>
      </c>
      <c r="J412">
        <f>HYPERLINK("http://maps.google.com/maps?z=10&amp;t=m&amp;q=loc:39.2230556+-120.2008333", 257)</f>
        <v>0</v>
      </c>
      <c r="K412">
        <v>34</v>
      </c>
      <c r="L412">
        <v>11</v>
      </c>
      <c r="M412">
        <v>0</v>
      </c>
      <c r="N412">
        <v>11</v>
      </c>
      <c r="O412">
        <v>11</v>
      </c>
    </row>
    <row r="413" spans="1:15">
      <c r="A413" s="1" t="s">
        <v>425</v>
      </c>
      <c r="B413" t="s">
        <v>504</v>
      </c>
      <c r="C413" t="s">
        <v>509</v>
      </c>
      <c r="D413">
        <f>HYPERLINK("http://www.reserveamerica.com/camping/silver-lake-campground-june-lake-ca/r/facilityDetails.do?contractCode=NRSO&amp;parkId=75194", "SILVER LAKE CAMPGROUND JUNE LAKE (CA")</f>
        <v>0</v>
      </c>
      <c r="E413">
        <v>37.7830556</v>
      </c>
      <c r="F413">
        <v>-119.1263889</v>
      </c>
      <c r="G413" t="s">
        <v>919</v>
      </c>
      <c r="I413" t="s">
        <v>505</v>
      </c>
      <c r="J413">
        <f>HYPERLINK("http://maps.google.com/maps?z=10&amp;t=m&amp;q=loc:37.7830556+-119.1263889", 250)</f>
        <v>0</v>
      </c>
      <c r="K413">
        <v>77</v>
      </c>
      <c r="L413">
        <v>3</v>
      </c>
      <c r="M413">
        <v>0</v>
      </c>
      <c r="N413">
        <v>3</v>
      </c>
      <c r="O413">
        <v>3</v>
      </c>
    </row>
    <row r="414" spans="1:15">
      <c r="A414" s="1" t="s">
        <v>426</v>
      </c>
      <c r="B414" t="s">
        <v>504</v>
      </c>
      <c r="C414" t="s">
        <v>509</v>
      </c>
      <c r="D414">
        <f>HYPERLINK("http://www.reserveamerica.com/camping/silver-lake-east-eldorado/r/facilityDetails.do?contractCode=NRSO&amp;parkId=70555", "SILVER LAKE EAST- ELDORADO")</f>
        <v>0</v>
      </c>
      <c r="E414">
        <v>38.675</v>
      </c>
      <c r="F414">
        <v>-119.8875</v>
      </c>
      <c r="G414" t="s">
        <v>920</v>
      </c>
      <c r="I414" t="s">
        <v>505</v>
      </c>
      <c r="J414">
        <f>HYPERLINK("http://maps.google.com/maps?z=10&amp;t=m&amp;q=loc:38.675+-119.8875", 231)</f>
        <v>0</v>
      </c>
      <c r="K414">
        <v>49</v>
      </c>
      <c r="L414">
        <v>33</v>
      </c>
      <c r="M414">
        <v>0</v>
      </c>
      <c r="N414">
        <v>33</v>
      </c>
      <c r="O414">
        <v>33</v>
      </c>
    </row>
    <row r="415" spans="1:15">
      <c r="A415" s="1" t="s">
        <v>427</v>
      </c>
      <c r="B415" t="s">
        <v>504</v>
      </c>
      <c r="C415" t="s">
        <v>509</v>
      </c>
      <c r="D415">
        <f>HYPERLINK("http://www.reserveamerica.com/camping/silvertip-group/r/facilityDetails.do?contractCode=NRSO&amp;parkId=71673", "SILVERTIP GROUP")</f>
        <v>0</v>
      </c>
      <c r="E415">
        <v>39.4866667</v>
      </c>
      <c r="F415">
        <v>-120.5475</v>
      </c>
      <c r="G415" t="s">
        <v>921</v>
      </c>
      <c r="I415" t="s">
        <v>505</v>
      </c>
      <c r="J415">
        <f>HYPERLINK("http://maps.google.com/maps?z=10&amp;t=m&amp;q=loc:39.4866667+-120.5475", 267)</f>
        <v>0</v>
      </c>
      <c r="K415">
        <v>25</v>
      </c>
      <c r="L415">
        <v>0</v>
      </c>
      <c r="M415">
        <v>0</v>
      </c>
      <c r="N415">
        <v>0</v>
      </c>
      <c r="O415">
        <v>0</v>
      </c>
    </row>
    <row r="416" spans="1:15">
      <c r="A416" s="1" t="s">
        <v>428</v>
      </c>
      <c r="B416" t="s">
        <v>505</v>
      </c>
      <c r="C416" t="s">
        <v>510</v>
      </c>
      <c r="D416">
        <f>HYPERLINK("http://www.reserveamerica.com/camping/silverwood-lake-sra/r/facilityDetails.do?contractCode=CA&amp;parkId=120088", "SILVERWOOD LAKE SRA")</f>
        <v>0</v>
      </c>
      <c r="E416">
        <v>34.2911111</v>
      </c>
      <c r="F416">
        <v>-117.3275</v>
      </c>
      <c r="G416" t="s">
        <v>922</v>
      </c>
      <c r="I416" t="s">
        <v>505</v>
      </c>
      <c r="J416">
        <f>HYPERLINK("http://maps.google.com/maps?z=10&amp;t=m&amp;q=loc:34.2911111+-117.3275", 532)</f>
        <v>0</v>
      </c>
      <c r="K416">
        <v>127</v>
      </c>
      <c r="L416">
        <v>21</v>
      </c>
      <c r="M416">
        <v>8</v>
      </c>
      <c r="N416">
        <v>13</v>
      </c>
      <c r="O416">
        <v>13</v>
      </c>
    </row>
    <row r="417" spans="1:15">
      <c r="A417" s="1" t="s">
        <v>429</v>
      </c>
      <c r="B417" t="s">
        <v>504</v>
      </c>
      <c r="C417" t="s">
        <v>509</v>
      </c>
      <c r="D417">
        <f>HYPERLINK("http://www.reserveamerica.com/camping/skyline/r/facilityDetails.do?contractCode=NRSO&amp;parkId=70327", "SKYLINE")</f>
        <v>0</v>
      </c>
      <c r="E417">
        <v>34.1555556</v>
      </c>
      <c r="F417">
        <v>-116.7830556</v>
      </c>
      <c r="G417" t="s">
        <v>923</v>
      </c>
      <c r="I417" t="s">
        <v>505</v>
      </c>
      <c r="J417">
        <f>HYPERLINK("http://maps.google.com/maps?z=10&amp;t=m&amp;q=loc:34.1555556+-116.7830556", 581)</f>
        <v>0</v>
      </c>
      <c r="K417">
        <v>125</v>
      </c>
      <c r="L417">
        <v>0</v>
      </c>
      <c r="M417">
        <v>0</v>
      </c>
      <c r="N417">
        <v>0</v>
      </c>
      <c r="O417">
        <v>0</v>
      </c>
    </row>
    <row r="418" spans="1:15">
      <c r="A418" s="1" t="s">
        <v>430</v>
      </c>
      <c r="B418" t="s">
        <v>505</v>
      </c>
      <c r="C418" t="s">
        <v>510</v>
      </c>
      <c r="D418">
        <f>HYPERLINK("http://www.reserveamerica.com/camping/sonoma-coast-sb/r/facilityDetails.do?contractCode=CA&amp;parkId=120089", "SONOMA COAST SB")</f>
        <v>0</v>
      </c>
      <c r="E418">
        <v>38.3866667</v>
      </c>
      <c r="F418">
        <v>-123.0833333</v>
      </c>
      <c r="G418" t="s">
        <v>924</v>
      </c>
      <c r="I418" t="s">
        <v>505</v>
      </c>
      <c r="J418">
        <f>HYPERLINK("http://maps.google.com/maps?z=10&amp;t=m&amp;q=loc:38.3866667+-123.0833333", 156)</f>
        <v>0</v>
      </c>
      <c r="K418">
        <v>319</v>
      </c>
      <c r="L418">
        <v>0</v>
      </c>
      <c r="M418">
        <v>0</v>
      </c>
      <c r="N418">
        <v>0</v>
      </c>
      <c r="O418">
        <v>0</v>
      </c>
    </row>
    <row r="419" spans="1:15">
      <c r="A419" s="1" t="s">
        <v>431</v>
      </c>
      <c r="B419" t="s">
        <v>504</v>
      </c>
      <c r="C419" t="s">
        <v>509</v>
      </c>
      <c r="D419">
        <f>HYPERLINK("http://www.reserveamerica.com/camping/soquel-campground/r/facilityDetails.do?contractCode=NRSO&amp;parkId=71669", "SOQUEL CAMPGROUND")</f>
        <v>0</v>
      </c>
      <c r="E419">
        <v>37.405</v>
      </c>
      <c r="F419">
        <v>-119.5605556</v>
      </c>
      <c r="G419" t="s">
        <v>925</v>
      </c>
      <c r="I419" t="s">
        <v>505</v>
      </c>
      <c r="J419">
        <f>HYPERLINK("http://maps.google.com/maps?z=10&amp;t=m&amp;q=loc:37.405+-119.5605556", 207)</f>
        <v>0</v>
      </c>
      <c r="K419">
        <v>86</v>
      </c>
      <c r="L419">
        <v>9</v>
      </c>
      <c r="M419">
        <v>0</v>
      </c>
      <c r="N419">
        <v>9</v>
      </c>
      <c r="O419">
        <v>9</v>
      </c>
    </row>
    <row r="420" spans="1:15">
      <c r="A420" s="1" t="s">
        <v>432</v>
      </c>
      <c r="B420" t="s">
        <v>505</v>
      </c>
      <c r="C420" t="s">
        <v>510</v>
      </c>
      <c r="D420">
        <f>HYPERLINK("http://www.reserveamerica.com/camping/south-carlsbad-sb/r/facilityDetails.do?contractCode=CA&amp;parkId=120090", "SOUTH CARLSBAD SB")</f>
        <v>0</v>
      </c>
      <c r="E420">
        <v>33.1038889</v>
      </c>
      <c r="F420">
        <v>-117.3186111</v>
      </c>
      <c r="G420" t="s">
        <v>926</v>
      </c>
      <c r="I420" t="s">
        <v>505</v>
      </c>
      <c r="J420">
        <f>HYPERLINK("http://maps.google.com/maps?z=10&amp;t=m&amp;q=loc:33.1038889+-117.3186111", 627)</f>
        <v>0</v>
      </c>
      <c r="K420">
        <v>137</v>
      </c>
      <c r="L420">
        <v>0</v>
      </c>
      <c r="M420">
        <v>0</v>
      </c>
      <c r="N420">
        <v>0</v>
      </c>
      <c r="O420">
        <v>0</v>
      </c>
    </row>
    <row r="421" spans="1:15">
      <c r="A421" s="1" t="s">
        <v>433</v>
      </c>
      <c r="B421" t="s">
        <v>504</v>
      </c>
      <c r="C421" t="s">
        <v>509</v>
      </c>
      <c r="D421">
        <f>HYPERLINK("http://www.reserveamerica.com/camping/south-fork-group-ca/r/facilityDetails.do?contractCode=NRSO&amp;parkId=73802", "SOUTH FORK GROUP (CA)")</f>
        <v>0</v>
      </c>
      <c r="E421">
        <v>38.76</v>
      </c>
      <c r="F421">
        <v>-120.5205556</v>
      </c>
      <c r="G421" t="s">
        <v>927</v>
      </c>
      <c r="I421" t="s">
        <v>505</v>
      </c>
      <c r="J421">
        <f>HYPERLINK("http://maps.google.com/maps?z=10&amp;t=m&amp;q=loc:38.76+-120.5205556", 200)</f>
        <v>0</v>
      </c>
      <c r="K421">
        <v>36</v>
      </c>
      <c r="L421">
        <v>0</v>
      </c>
      <c r="M421">
        <v>0</v>
      </c>
      <c r="N421">
        <v>0</v>
      </c>
      <c r="O421">
        <v>0</v>
      </c>
    </row>
    <row r="422" spans="1:15">
      <c r="A422" s="1" t="s">
        <v>434</v>
      </c>
      <c r="B422" t="s">
        <v>504</v>
      </c>
      <c r="C422" t="s">
        <v>509</v>
      </c>
      <c r="D422">
        <f>HYPERLINK("http://www.reserveamerica.com/camping/south-shore-campground/r/facilityDetails.do?contractCode=NRSO&amp;parkId=74125", "SOUTH SHORE CAMPGROUND")</f>
        <v>0</v>
      </c>
      <c r="E422">
        <v>38.5330556</v>
      </c>
      <c r="F422">
        <v>-120.2347222</v>
      </c>
      <c r="G422" t="s">
        <v>928</v>
      </c>
      <c r="I422" t="s">
        <v>505</v>
      </c>
      <c r="J422">
        <f>HYPERLINK("http://maps.google.com/maps?z=10&amp;t=m&amp;q=loc:38.5330556+-120.2347222", 198)</f>
        <v>0</v>
      </c>
      <c r="K422">
        <v>47</v>
      </c>
      <c r="L422">
        <v>6</v>
      </c>
      <c r="M422">
        <v>0</v>
      </c>
      <c r="N422">
        <v>6</v>
      </c>
      <c r="O422">
        <v>6</v>
      </c>
    </row>
    <row r="423" spans="1:15">
      <c r="A423" s="1" t="s">
        <v>435</v>
      </c>
      <c r="B423" t="s">
        <v>504</v>
      </c>
      <c r="C423" t="s">
        <v>509</v>
      </c>
      <c r="D423">
        <f>HYPERLINK("http://www.reserveamerica.com/camping/spanish-creek-campground/r/facilityDetails.do?contractCode=NRSO&amp;parkId=75247", "SPANISH CREEK CAMPGROUND")</f>
        <v>0</v>
      </c>
      <c r="E423">
        <v>40.0269444</v>
      </c>
      <c r="F423">
        <v>-120.9644444</v>
      </c>
      <c r="G423" t="s">
        <v>929</v>
      </c>
      <c r="H423" t="s">
        <v>997</v>
      </c>
      <c r="I423" t="s">
        <v>505</v>
      </c>
      <c r="J423">
        <f>HYPERLINK("http://maps.google.com/maps?z=10&amp;t=m&amp;q=loc:40.0269444+-120.9644444", 310)</f>
        <v>0</v>
      </c>
      <c r="K423">
        <v>14</v>
      </c>
      <c r="L423">
        <v>0</v>
      </c>
      <c r="M423">
        <v>0</v>
      </c>
      <c r="N423">
        <v>0</v>
      </c>
      <c r="O423">
        <v>0</v>
      </c>
    </row>
    <row r="424" spans="1:15">
      <c r="A424" s="1" t="s">
        <v>436</v>
      </c>
      <c r="B424" t="s">
        <v>504</v>
      </c>
      <c r="C424" t="s">
        <v>509</v>
      </c>
      <c r="D424">
        <f>HYPERLINK("http://www.reserveamerica.com/camping/spring-cove/r/facilityDetails.do?contractCode=NRSO&amp;parkId=71578", "SPRING COVE")</f>
        <v>0</v>
      </c>
      <c r="E424">
        <v>37.3005556</v>
      </c>
      <c r="F424">
        <v>-119.5413889</v>
      </c>
      <c r="G424" t="s">
        <v>930</v>
      </c>
      <c r="I424" t="s">
        <v>505</v>
      </c>
      <c r="J424">
        <f>HYPERLINK("http://maps.google.com/maps?z=10&amp;t=m&amp;q=loc:37.3005556+-119.5413889", 209)</f>
        <v>0</v>
      </c>
      <c r="K424">
        <v>90</v>
      </c>
      <c r="L424">
        <v>0</v>
      </c>
      <c r="M424">
        <v>0</v>
      </c>
      <c r="N424">
        <v>0</v>
      </c>
      <c r="O424">
        <v>0</v>
      </c>
    </row>
    <row r="425" spans="1:15">
      <c r="A425" s="1" t="s">
        <v>437</v>
      </c>
      <c r="B425" t="s">
        <v>504</v>
      </c>
      <c r="C425" t="s">
        <v>509</v>
      </c>
      <c r="D425">
        <f>HYPERLINK("http://www.reserveamerica.com/camping/spring-creek/r/facilityDetails.do?contractCode=NRSO&amp;parkId=71612", "SPRING CREEK")</f>
        <v>0</v>
      </c>
      <c r="E425">
        <v>39.8958333</v>
      </c>
      <c r="F425">
        <v>-120.1763889</v>
      </c>
      <c r="G425" t="s">
        <v>931</v>
      </c>
      <c r="I425" t="s">
        <v>505</v>
      </c>
      <c r="J425">
        <f>HYPERLINK("http://maps.google.com/maps?z=10&amp;t=m&amp;q=loc:39.8958333+-120.1763889", 322)</f>
        <v>0</v>
      </c>
      <c r="K425">
        <v>27</v>
      </c>
      <c r="L425">
        <v>0</v>
      </c>
      <c r="M425">
        <v>0</v>
      </c>
      <c r="N425">
        <v>0</v>
      </c>
      <c r="O425">
        <v>0</v>
      </c>
    </row>
    <row r="426" spans="1:15">
      <c r="A426" s="1" t="s">
        <v>438</v>
      </c>
      <c r="B426" t="s">
        <v>505</v>
      </c>
      <c r="C426" t="s">
        <v>510</v>
      </c>
      <c r="D426">
        <f>HYPERLINK("http://www.reserveamerica.com/camping/standishhickey-sra/r/facilityDetails.do?contractCode=CA&amp;parkId=120091", "STANDISH-HICKEY SRA")</f>
        <v>0</v>
      </c>
      <c r="E426">
        <v>39.8794444</v>
      </c>
      <c r="F426">
        <v>-123.7372222</v>
      </c>
      <c r="G426" t="s">
        <v>508</v>
      </c>
      <c r="I426" t="s">
        <v>505</v>
      </c>
      <c r="J426">
        <f>HYPERLINK("http://maps.google.com/maps?z=10&amp;t=m&amp;q=loc:39.8794444+-123.7372222", 325)</f>
        <v>0</v>
      </c>
      <c r="K426">
        <v>331</v>
      </c>
      <c r="L426">
        <v>84</v>
      </c>
      <c r="M426">
        <v>6</v>
      </c>
      <c r="N426">
        <v>78</v>
      </c>
      <c r="O426">
        <v>78</v>
      </c>
    </row>
    <row r="427" spans="1:15">
      <c r="A427" s="1" t="s">
        <v>439</v>
      </c>
      <c r="B427" t="s">
        <v>504</v>
      </c>
      <c r="C427" t="s">
        <v>509</v>
      </c>
      <c r="D427">
        <f>HYPERLINK("http://www.reserveamerica.com/camping/stoney-group-shastatrinity/r/facilityDetails.do?contractCode=NRSO&amp;parkId=70753", "STONEY GROUP SHASTA-TRINITY")</f>
        <v>0</v>
      </c>
      <c r="E427">
        <v>40.8513889</v>
      </c>
      <c r="F427">
        <v>-122.8502778</v>
      </c>
      <c r="G427" t="s">
        <v>932</v>
      </c>
      <c r="I427" t="s">
        <v>505</v>
      </c>
      <c r="J427">
        <f>HYPERLINK("http://maps.google.com/maps?z=10&amp;t=m&amp;q=loc:40.8513889+-122.8502778", 399)</f>
        <v>0</v>
      </c>
      <c r="K427">
        <v>348</v>
      </c>
      <c r="L427">
        <v>0</v>
      </c>
      <c r="M427">
        <v>0</v>
      </c>
      <c r="N427">
        <v>0</v>
      </c>
      <c r="O427">
        <v>0</v>
      </c>
    </row>
    <row r="428" spans="1:15">
      <c r="A428" s="1" t="s">
        <v>440</v>
      </c>
      <c r="B428" t="s">
        <v>504</v>
      </c>
      <c r="C428" t="s">
        <v>509</v>
      </c>
      <c r="D428">
        <f>HYPERLINK("http://www.reserveamerica.com/camping/stony-creek-sequoia/r/facilityDetails.do?contractCode=NRSO&amp;parkId=71554", "STONY CREEK SEQUOIA")</f>
        <v>0</v>
      </c>
      <c r="E428">
        <v>36.6647222</v>
      </c>
      <c r="F428">
        <v>-118.8316667</v>
      </c>
      <c r="G428" t="s">
        <v>933</v>
      </c>
      <c r="I428" t="s">
        <v>505</v>
      </c>
      <c r="J428">
        <f>HYPERLINK("http://maps.google.com/maps?z=10&amp;t=m&amp;q=loc:36.6647222+-118.8316667", 282)</f>
        <v>0</v>
      </c>
      <c r="K428">
        <v>104</v>
      </c>
      <c r="L428">
        <v>13</v>
      </c>
      <c r="M428">
        <v>0</v>
      </c>
      <c r="N428">
        <v>13</v>
      </c>
      <c r="O428">
        <v>13</v>
      </c>
    </row>
    <row r="429" spans="1:15">
      <c r="A429" s="1" t="s">
        <v>441</v>
      </c>
      <c r="B429" t="s">
        <v>504</v>
      </c>
      <c r="C429" t="s">
        <v>509</v>
      </c>
      <c r="D429">
        <f>HYPERLINK("http://www.reserveamerica.com/camping/stumpy-meadows/r/facilityDetails.do?contractCode=NRSO&amp;parkId=70336", "STUMPY MEADOWS")</f>
        <v>0</v>
      </c>
      <c r="E429">
        <v>38.9041667</v>
      </c>
      <c r="F429">
        <v>-120.5916667</v>
      </c>
      <c r="G429" t="s">
        <v>934</v>
      </c>
      <c r="I429" t="s">
        <v>505</v>
      </c>
      <c r="J429">
        <f>HYPERLINK("http://maps.google.com/maps?z=10&amp;t=m&amp;q=loc:38.9041667+-120.5916667", 209)</f>
        <v>0</v>
      </c>
      <c r="K429">
        <v>32</v>
      </c>
      <c r="L429">
        <v>27</v>
      </c>
      <c r="M429">
        <v>5</v>
      </c>
      <c r="N429">
        <v>22</v>
      </c>
      <c r="O429">
        <v>22</v>
      </c>
    </row>
    <row r="430" spans="1:15">
      <c r="A430" s="1" t="s">
        <v>442</v>
      </c>
      <c r="B430" t="s">
        <v>505</v>
      </c>
      <c r="C430" t="s">
        <v>510</v>
      </c>
      <c r="D430">
        <f>HYPERLINK("http://www.reserveamerica.com/camping/sugar-pine-point-sp/r/facilityDetails.do?contractCode=CA&amp;parkId=120093", "SUGAR PINE POINT SP")</f>
        <v>0</v>
      </c>
      <c r="E430">
        <v>39.0575</v>
      </c>
      <c r="F430">
        <v>-120.1213889</v>
      </c>
      <c r="G430" t="s">
        <v>935</v>
      </c>
      <c r="I430" t="s">
        <v>505</v>
      </c>
      <c r="J430">
        <f>HYPERLINK("http://maps.google.com/maps?z=10&amp;t=m&amp;q=loc:39.0575+-120.1213889", 247)</f>
        <v>0</v>
      </c>
      <c r="K430">
        <v>38</v>
      </c>
      <c r="L430">
        <v>0</v>
      </c>
      <c r="M430">
        <v>0</v>
      </c>
      <c r="N430">
        <v>0</v>
      </c>
      <c r="O430">
        <v>0</v>
      </c>
    </row>
    <row r="431" spans="1:15">
      <c r="A431" s="1" t="s">
        <v>443</v>
      </c>
      <c r="B431" t="s">
        <v>505</v>
      </c>
      <c r="C431" t="s">
        <v>510</v>
      </c>
      <c r="D431">
        <f>HYPERLINK("http://www.reserveamerica.com/camping/sugarloaf-ridge-sp/r/facilityDetails.do?contractCode=CA&amp;parkId=120092", "SUGARLOAF RIDGE SP")</f>
        <v>0</v>
      </c>
      <c r="E431">
        <v>38.445</v>
      </c>
      <c r="F431">
        <v>-122.5011111</v>
      </c>
      <c r="G431" t="s">
        <v>936</v>
      </c>
      <c r="I431" t="s">
        <v>505</v>
      </c>
      <c r="J431">
        <f>HYPERLINK("http://maps.google.com/maps?z=10&amp;t=m&amp;q=loc:38.445+-122.5011111", 134)</f>
        <v>0</v>
      </c>
      <c r="K431">
        <v>337</v>
      </c>
      <c r="L431">
        <v>1</v>
      </c>
      <c r="M431">
        <v>1</v>
      </c>
      <c r="N431">
        <v>0</v>
      </c>
      <c r="O431">
        <v>0</v>
      </c>
    </row>
    <row r="432" spans="1:15">
      <c r="A432" s="1" t="s">
        <v>444</v>
      </c>
      <c r="B432" t="s">
        <v>504</v>
      </c>
      <c r="C432" t="s">
        <v>509</v>
      </c>
      <c r="D432">
        <f>HYPERLINK("http://www.reserveamerica.com/camping/summerdale-campground/r/facilityDetails.do?contractCode=NRSO&amp;parkId=73745", "SUMMERDALE CAMPGROUND")</f>
        <v>0</v>
      </c>
      <c r="E432">
        <v>37.4706472</v>
      </c>
      <c r="F432">
        <v>-119.6427333</v>
      </c>
      <c r="G432" t="s">
        <v>937</v>
      </c>
      <c r="H432" t="s">
        <v>997</v>
      </c>
      <c r="I432" t="s">
        <v>505</v>
      </c>
      <c r="J432">
        <f>HYPERLINK("http://maps.google.com/maps?z=10&amp;t=m&amp;q=loc:37.4706472+-119.6427333", 200)</f>
        <v>0</v>
      </c>
      <c r="K432">
        <v>84</v>
      </c>
      <c r="L432">
        <v>2</v>
      </c>
      <c r="M432">
        <v>0</v>
      </c>
      <c r="N432">
        <v>2</v>
      </c>
      <c r="O432">
        <v>2</v>
      </c>
    </row>
    <row r="433" spans="1:15">
      <c r="A433" s="1" t="s">
        <v>445</v>
      </c>
      <c r="B433" t="s">
        <v>504</v>
      </c>
      <c r="C433" t="s">
        <v>509</v>
      </c>
      <c r="D433">
        <f>HYPERLINK("http://www.reserveamerica.com/camping/summit-lake-north/r/facilityDetails.do?contractCode=NRSO&amp;parkId=74047", "SUMMIT LAKE NORTH")</f>
        <v>0</v>
      </c>
      <c r="E433">
        <v>40.4944444</v>
      </c>
      <c r="F433">
        <v>-121.425</v>
      </c>
      <c r="G433" t="s">
        <v>938</v>
      </c>
      <c r="I433" t="s">
        <v>505</v>
      </c>
      <c r="J433">
        <f>HYPERLINK("http://maps.google.com/maps?z=10&amp;t=m&amp;q=loc:40.4944444+-121.425", 354)</f>
        <v>0</v>
      </c>
      <c r="K433">
        <v>6</v>
      </c>
      <c r="L433">
        <v>1</v>
      </c>
      <c r="M433">
        <v>0</v>
      </c>
      <c r="N433">
        <v>1</v>
      </c>
      <c r="O433">
        <v>1</v>
      </c>
    </row>
    <row r="434" spans="1:15">
      <c r="A434" s="1" t="s">
        <v>446</v>
      </c>
      <c r="B434" t="s">
        <v>504</v>
      </c>
      <c r="C434" t="s">
        <v>509</v>
      </c>
      <c r="D434">
        <f>HYPERLINK("http://www.reserveamerica.com/camping/summit-lake-south/r/facilityDetails.do?contractCode=NRSO&amp;parkId=74046", "SUMMIT LAKE SOUTH")</f>
        <v>0</v>
      </c>
      <c r="E434">
        <v>40.4902778</v>
      </c>
      <c r="F434">
        <v>-121.4236111</v>
      </c>
      <c r="G434" t="s">
        <v>939</v>
      </c>
      <c r="I434" t="s">
        <v>505</v>
      </c>
      <c r="J434">
        <f>HYPERLINK("http://maps.google.com/maps?z=10&amp;t=m&amp;q=loc:40.4902778+-121.4236111", 353)</f>
        <v>0</v>
      </c>
      <c r="K434">
        <v>6</v>
      </c>
      <c r="L434">
        <v>0</v>
      </c>
      <c r="M434">
        <v>0</v>
      </c>
      <c r="N434">
        <v>0</v>
      </c>
      <c r="O434">
        <v>0</v>
      </c>
    </row>
    <row r="435" spans="1:15">
      <c r="A435" s="1" t="s">
        <v>447</v>
      </c>
      <c r="B435" t="s">
        <v>506</v>
      </c>
      <c r="C435" t="s">
        <v>511</v>
      </c>
      <c r="D435">
        <f>HYPERLINK("http://www.reserveamerica.com/camping/sunol/r/facilityDetails.do?contractCode=EB&amp;parkId=110028", "Sunol")</f>
        <v>0</v>
      </c>
      <c r="E435">
        <v>37.5152778</v>
      </c>
      <c r="F435">
        <v>-121.8327778</v>
      </c>
      <c r="G435" t="s">
        <v>940</v>
      </c>
      <c r="I435" t="s">
        <v>505</v>
      </c>
      <c r="J435">
        <f>HYPERLINK("http://maps.google.com/maps?z=10&amp;t=m&amp;q=loc:37.5152778+-121.8327778", 21)</f>
        <v>0</v>
      </c>
      <c r="K435">
        <v>17</v>
      </c>
      <c r="L435">
        <v>0</v>
      </c>
      <c r="M435">
        <v>0</v>
      </c>
      <c r="N435">
        <v>0</v>
      </c>
      <c r="O435">
        <v>0</v>
      </c>
    </row>
    <row r="436" spans="1:15">
      <c r="A436" s="1" t="s">
        <v>448</v>
      </c>
      <c r="B436" t="s">
        <v>504</v>
      </c>
      <c r="C436" t="s">
        <v>509</v>
      </c>
      <c r="D436">
        <f>HYPERLINK("http://www.reserveamerica.com/camping/sunset-campground-ca/r/facilityDetails.do?contractCode=NRSO&amp;parkId=110283", "SUNSET CAMPGROUND (CA)")</f>
        <v>0</v>
      </c>
      <c r="E436">
        <v>36.7377778</v>
      </c>
      <c r="F436">
        <v>-118.9647222</v>
      </c>
      <c r="G436" t="s">
        <v>941</v>
      </c>
      <c r="I436" t="s">
        <v>505</v>
      </c>
      <c r="J436">
        <f>HYPERLINK("http://maps.google.com/maps?z=10&amp;t=m&amp;q=loc:36.7377778+-118.9647222", 269)</f>
        <v>0</v>
      </c>
      <c r="K436">
        <v>103</v>
      </c>
      <c r="L436">
        <v>0</v>
      </c>
      <c r="M436">
        <v>0</v>
      </c>
      <c r="N436">
        <v>0</v>
      </c>
      <c r="O436">
        <v>0</v>
      </c>
    </row>
    <row r="437" spans="1:15">
      <c r="A437" s="1" t="s">
        <v>449</v>
      </c>
      <c r="B437" t="s">
        <v>505</v>
      </c>
      <c r="C437" t="s">
        <v>510</v>
      </c>
      <c r="D437">
        <f>HYPERLINK("http://www.reserveamerica.com/camping/sunset-sb/r/facilityDetails.do?contractCode=CA&amp;parkId=120094", "SUNSET SB")</f>
        <v>0</v>
      </c>
      <c r="E437">
        <v>36.8816667</v>
      </c>
      <c r="F437">
        <v>-121.8272222</v>
      </c>
      <c r="G437" t="s">
        <v>942</v>
      </c>
      <c r="I437" t="s">
        <v>505</v>
      </c>
      <c r="J437">
        <f>HYPERLINK("http://maps.google.com/maps?z=10&amp;t=m&amp;q=loc:36.8816667+-121.8272222", 50)</f>
        <v>0</v>
      </c>
      <c r="K437">
        <v>171</v>
      </c>
      <c r="L437">
        <v>0</v>
      </c>
      <c r="M437">
        <v>0</v>
      </c>
      <c r="N437">
        <v>0</v>
      </c>
      <c r="O437">
        <v>0</v>
      </c>
    </row>
    <row r="438" spans="1:15">
      <c r="A438" s="1" t="s">
        <v>450</v>
      </c>
      <c r="B438" t="s">
        <v>504</v>
      </c>
      <c r="C438" t="s">
        <v>509</v>
      </c>
      <c r="D438">
        <f>HYPERLINK("http://www.reserveamerica.com/camping/sunsetunion-valley/r/facilityDetails.do?contractCode=NRSO&amp;parkId=70310", "SUNSET-UNION VALLEY")</f>
        <v>0</v>
      </c>
      <c r="E438">
        <v>38.8658333</v>
      </c>
      <c r="F438">
        <v>-120.405</v>
      </c>
      <c r="G438" t="s">
        <v>943</v>
      </c>
      <c r="I438" t="s">
        <v>505</v>
      </c>
      <c r="J438">
        <f>HYPERLINK("http://maps.google.com/maps?z=10&amp;t=m&amp;q=loc:38.8658333+-120.405", 215)</f>
        <v>0</v>
      </c>
      <c r="K438">
        <v>37</v>
      </c>
      <c r="L438">
        <v>0</v>
      </c>
      <c r="M438">
        <v>0</v>
      </c>
      <c r="N438">
        <v>0</v>
      </c>
      <c r="O438">
        <v>0</v>
      </c>
    </row>
    <row r="439" spans="1:15">
      <c r="A439" s="1" t="s">
        <v>451</v>
      </c>
      <c r="B439" t="s">
        <v>504</v>
      </c>
      <c r="C439" t="s">
        <v>509</v>
      </c>
      <c r="D439">
        <f>HYPERLINK("http://www.reserveamerica.com/camping/sweetwater/r/facilityDetails.do?contractCode=NRSO&amp;parkId=71665", "SWEETWATER")</f>
        <v>0</v>
      </c>
      <c r="E439">
        <v>37.365</v>
      </c>
      <c r="F439">
        <v>-119.3522222</v>
      </c>
      <c r="G439" t="s">
        <v>944</v>
      </c>
      <c r="I439" t="s">
        <v>505</v>
      </c>
      <c r="J439">
        <f>HYPERLINK("http://maps.google.com/maps?z=10&amp;t=m&amp;q=loc:37.365+-119.3522222", 225)</f>
        <v>0</v>
      </c>
      <c r="K439">
        <v>88</v>
      </c>
      <c r="L439">
        <v>9</v>
      </c>
      <c r="M439">
        <v>0</v>
      </c>
      <c r="N439">
        <v>9</v>
      </c>
      <c r="O439">
        <v>9</v>
      </c>
    </row>
    <row r="440" spans="1:15">
      <c r="A440" s="1" t="s">
        <v>452</v>
      </c>
      <c r="B440" t="s">
        <v>504</v>
      </c>
      <c r="C440" t="s">
        <v>509</v>
      </c>
      <c r="D440">
        <f>HYPERLINK("http://www.reserveamerica.com/camping/sycamore-grove-campground/r/facilityDetails.do?contractCode=NRSO&amp;parkId=75545", "SYCAMORE GROVE CAMPGROUND")</f>
        <v>0</v>
      </c>
      <c r="E440">
        <v>40.1560528</v>
      </c>
      <c r="F440">
        <v>-122.2040694</v>
      </c>
      <c r="G440" t="s">
        <v>945</v>
      </c>
      <c r="I440" t="s">
        <v>505</v>
      </c>
      <c r="J440">
        <f>HYPERLINK("http://maps.google.com/maps?z=10&amp;t=m&amp;q=loc:40.1560528+-122.2040694", 315)</f>
        <v>0</v>
      </c>
      <c r="K440">
        <v>355</v>
      </c>
      <c r="L440">
        <v>28</v>
      </c>
      <c r="M440">
        <v>0</v>
      </c>
      <c r="N440">
        <v>28</v>
      </c>
      <c r="O440">
        <v>28</v>
      </c>
    </row>
    <row r="441" spans="1:15">
      <c r="A441" s="1" t="s">
        <v>453</v>
      </c>
      <c r="B441" t="s">
        <v>504</v>
      </c>
      <c r="C441" t="s">
        <v>509</v>
      </c>
      <c r="D441">
        <f>HYPERLINK("http://www.reserveamerica.com/camping/table-mountain-angeles/r/facilityDetails.do?contractCode=NRSO&amp;parkId=73585", "TABLE MOUNTAIN (ANGELES)")</f>
        <v>0</v>
      </c>
      <c r="E441">
        <v>34.3863889</v>
      </c>
      <c r="F441">
        <v>-117.6894444</v>
      </c>
      <c r="G441" t="s">
        <v>946</v>
      </c>
      <c r="I441" t="s">
        <v>505</v>
      </c>
      <c r="J441">
        <f>HYPERLINK("http://maps.google.com/maps?z=10&amp;t=m&amp;q=loc:34.3863889+-117.6894444", 500)</f>
        <v>0</v>
      </c>
      <c r="K441">
        <v>129</v>
      </c>
      <c r="L441">
        <v>25</v>
      </c>
      <c r="M441">
        <v>0</v>
      </c>
      <c r="N441">
        <v>25</v>
      </c>
      <c r="O441">
        <v>25</v>
      </c>
    </row>
    <row r="442" spans="1:15">
      <c r="A442" s="1" t="s">
        <v>454</v>
      </c>
      <c r="B442" t="s">
        <v>504</v>
      </c>
      <c r="C442" t="s">
        <v>509</v>
      </c>
      <c r="D442">
        <f>HYPERLINK("http://www.reserveamerica.com/camping/table-mountain-inyo/r/facilityDetails.do?contractCode=NRSO&amp;parkId=70522", "TABLE MOUNTAIN (INYO)")</f>
        <v>0</v>
      </c>
      <c r="E442">
        <v>37.2080556</v>
      </c>
      <c r="F442">
        <v>-118.5683333</v>
      </c>
      <c r="G442" t="s">
        <v>947</v>
      </c>
      <c r="I442" t="s">
        <v>505</v>
      </c>
      <c r="J442">
        <f>HYPERLINK("http://maps.google.com/maps?z=10&amp;t=m&amp;q=loc:37.2080556+-118.5683333", 295)</f>
        <v>0</v>
      </c>
      <c r="K442">
        <v>91</v>
      </c>
      <c r="L442">
        <v>0</v>
      </c>
      <c r="M442">
        <v>0</v>
      </c>
      <c r="N442">
        <v>0</v>
      </c>
      <c r="O442">
        <v>0</v>
      </c>
    </row>
    <row r="443" spans="1:15">
      <c r="A443" s="1" t="s">
        <v>455</v>
      </c>
      <c r="B443" t="s">
        <v>505</v>
      </c>
      <c r="C443" t="s">
        <v>510</v>
      </c>
      <c r="D443">
        <f>HYPERLINK("http://www.reserveamerica.com/camping/tahoe-sra/r/facilityDetails.do?contractCode=CA&amp;parkId=120095", "TAHOE SRA")</f>
        <v>0</v>
      </c>
      <c r="E443">
        <v>39.1752778</v>
      </c>
      <c r="F443">
        <v>-120.1338889</v>
      </c>
      <c r="G443" t="s">
        <v>948</v>
      </c>
      <c r="I443" t="s">
        <v>505</v>
      </c>
      <c r="J443">
        <f>HYPERLINK("http://maps.google.com/maps?z=10&amp;t=m&amp;q=loc:39.1752778+-120.1338889", 257)</f>
        <v>0</v>
      </c>
      <c r="K443">
        <v>36</v>
      </c>
      <c r="L443">
        <v>0</v>
      </c>
      <c r="M443">
        <v>0</v>
      </c>
      <c r="N443">
        <v>0</v>
      </c>
      <c r="O443">
        <v>0</v>
      </c>
    </row>
    <row r="444" spans="1:15">
      <c r="A444" s="1" t="s">
        <v>456</v>
      </c>
      <c r="B444" t="s">
        <v>504</v>
      </c>
      <c r="C444" t="s">
        <v>509</v>
      </c>
      <c r="D444">
        <f>HYPERLINK("http://www.reserveamerica.com/camping/tanglewood-group-camp/r/facilityDetails.do?contractCode=NRSO&amp;parkId=70180", "TANGLEWOOD GROUP CAMP")</f>
        <v>0</v>
      </c>
      <c r="E444">
        <v>34.2922222</v>
      </c>
      <c r="F444">
        <v>-116.8644444</v>
      </c>
      <c r="G444" t="s">
        <v>949</v>
      </c>
      <c r="I444" t="s">
        <v>505</v>
      </c>
      <c r="J444">
        <f>HYPERLINK("http://maps.google.com/maps?z=10&amp;t=m&amp;q=loc:34.2922222+-116.8644444", 565)</f>
        <v>0</v>
      </c>
      <c r="K444">
        <v>125</v>
      </c>
      <c r="L444">
        <v>0</v>
      </c>
      <c r="M444">
        <v>0</v>
      </c>
      <c r="N444">
        <v>0</v>
      </c>
      <c r="O444">
        <v>0</v>
      </c>
    </row>
    <row r="445" spans="1:15">
      <c r="A445" s="1" t="s">
        <v>457</v>
      </c>
      <c r="B445" t="s">
        <v>504</v>
      </c>
      <c r="C445" t="s">
        <v>509</v>
      </c>
      <c r="D445">
        <f>HYPERLINK("http://www.reserveamerica.com/camping/tannery/r/facilityDetails.do?contractCode=NRSO&amp;parkId=70516", "TANNERY")</f>
        <v>0</v>
      </c>
      <c r="E445">
        <v>40.8366667</v>
      </c>
      <c r="F445">
        <v>-122.8480556</v>
      </c>
      <c r="G445" t="s">
        <v>950</v>
      </c>
      <c r="I445" t="s">
        <v>505</v>
      </c>
      <c r="J445">
        <f>HYPERLINK("http://maps.google.com/maps?z=10&amp;t=m&amp;q=loc:40.8366667+-122.8480556", 398)</f>
        <v>0</v>
      </c>
      <c r="K445">
        <v>348</v>
      </c>
      <c r="L445">
        <v>49</v>
      </c>
      <c r="M445">
        <v>0</v>
      </c>
      <c r="N445">
        <v>49</v>
      </c>
      <c r="O445">
        <v>49</v>
      </c>
    </row>
    <row r="446" spans="1:15">
      <c r="A446" s="1" t="s">
        <v>458</v>
      </c>
      <c r="B446" t="s">
        <v>504</v>
      </c>
      <c r="C446" t="s">
        <v>509</v>
      </c>
      <c r="D446">
        <f>HYPERLINK("http://www.reserveamerica.com/camping/ten-mile-campground-ca/r/facilityDetails.do?contractCode=NRSO&amp;parkId=125740", "TEN MILE CAMPGROUND (CA)")</f>
        <v>0</v>
      </c>
      <c r="E446">
        <v>36.7941667</v>
      </c>
      <c r="F446">
        <v>-118.9077778</v>
      </c>
      <c r="G446" t="s">
        <v>951</v>
      </c>
      <c r="H446" t="s">
        <v>1001</v>
      </c>
      <c r="I446" t="s">
        <v>505</v>
      </c>
      <c r="J446">
        <f>HYPERLINK("http://maps.google.com/maps?z=10&amp;t=m&amp;q=loc:36.7941667+-118.9077778", 272)</f>
        <v>0</v>
      </c>
      <c r="K446">
        <v>101</v>
      </c>
      <c r="L446">
        <v>0</v>
      </c>
      <c r="M446">
        <v>0</v>
      </c>
      <c r="N446">
        <v>0</v>
      </c>
      <c r="O446">
        <v>0</v>
      </c>
    </row>
    <row r="447" spans="1:15">
      <c r="A447" s="1" t="s">
        <v>459</v>
      </c>
      <c r="B447" t="s">
        <v>504</v>
      </c>
      <c r="C447" t="s">
        <v>509</v>
      </c>
      <c r="D447">
        <f>HYPERLINK("http://www.reserveamerica.com/camping/tent-peg-group/r/facilityDetails.do?contractCode=NRSO&amp;parkId=73960", "TENT PEG GROUP")</f>
        <v>0</v>
      </c>
      <c r="E447">
        <v>34.2652778</v>
      </c>
      <c r="F447">
        <v>-117.0833333</v>
      </c>
      <c r="G447" t="s">
        <v>952</v>
      </c>
      <c r="I447" t="s">
        <v>505</v>
      </c>
      <c r="J447">
        <f>HYPERLINK("http://maps.google.com/maps?z=10&amp;t=m&amp;q=loc:34.2652778+-117.0833333", 551)</f>
        <v>0</v>
      </c>
      <c r="K447">
        <v>126</v>
      </c>
      <c r="L447">
        <v>0</v>
      </c>
      <c r="M447">
        <v>0</v>
      </c>
      <c r="N447">
        <v>0</v>
      </c>
      <c r="O447">
        <v>0</v>
      </c>
    </row>
    <row r="448" spans="1:15">
      <c r="A448" s="1" t="s">
        <v>460</v>
      </c>
      <c r="B448" t="s">
        <v>504</v>
      </c>
      <c r="C448" t="s">
        <v>509</v>
      </c>
      <c r="D448">
        <f>HYPERLINK("http://www.reserveamerica.com/camping/texas-flats/r/facilityDetails.do?contractCode=NRSO&amp;parkId=71667", "TEXAS FLATS")</f>
        <v>0</v>
      </c>
      <c r="E448">
        <v>37.3927778</v>
      </c>
      <c r="F448">
        <v>-119.5816667</v>
      </c>
      <c r="G448" t="s">
        <v>953</v>
      </c>
      <c r="I448" t="s">
        <v>505</v>
      </c>
      <c r="J448">
        <f>HYPERLINK("http://maps.google.com/maps?z=10&amp;t=m&amp;q=loc:37.3927778+-119.5816667", 205)</f>
        <v>0</v>
      </c>
      <c r="K448">
        <v>87</v>
      </c>
      <c r="L448">
        <v>0</v>
      </c>
      <c r="M448">
        <v>0</v>
      </c>
      <c r="N448">
        <v>0</v>
      </c>
      <c r="O448">
        <v>0</v>
      </c>
    </row>
    <row r="449" spans="1:15">
      <c r="A449" s="1" t="s">
        <v>461</v>
      </c>
      <c r="B449" t="s">
        <v>504</v>
      </c>
      <c r="C449" t="s">
        <v>509</v>
      </c>
      <c r="D449">
        <f>HYPERLINK("http://www.reserveamerica.com/camping/tillie-creek/r/facilityDetails.do?contractCode=NRSO&amp;parkId=71570", "TILLIE CREEK")</f>
        <v>0</v>
      </c>
      <c r="E449">
        <v>35.7013889</v>
      </c>
      <c r="F449">
        <v>-118.4544444</v>
      </c>
      <c r="G449" t="s">
        <v>954</v>
      </c>
      <c r="I449" t="s">
        <v>505</v>
      </c>
      <c r="J449">
        <f>HYPERLINK("http://maps.google.com/maps?z=10&amp;t=m&amp;q=loc:35.7013889+-118.4544444", 357)</f>
        <v>0</v>
      </c>
      <c r="K449">
        <v>119</v>
      </c>
      <c r="L449">
        <v>0</v>
      </c>
      <c r="M449">
        <v>0</v>
      </c>
      <c r="N449">
        <v>0</v>
      </c>
      <c r="O449">
        <v>0</v>
      </c>
    </row>
    <row r="450" spans="1:15">
      <c r="A450" s="1" t="s">
        <v>462</v>
      </c>
      <c r="B450" t="s">
        <v>504</v>
      </c>
      <c r="C450" t="s">
        <v>509</v>
      </c>
      <c r="D450">
        <f>HYPERLINK("http://www.reserveamerica.com/camping/trailhead-group/r/facilityDetails.do?contractCode=NRSO&amp;parkId=70832", "TRAILHEAD GROUP")</f>
        <v>0</v>
      </c>
      <c r="E450">
        <v>37.9642</v>
      </c>
      <c r="F450">
        <v>-119.2724</v>
      </c>
      <c r="G450" t="s">
        <v>955</v>
      </c>
      <c r="I450" t="s">
        <v>505</v>
      </c>
      <c r="J450">
        <f>HYPERLINK("http://maps.google.com/maps?z=10&amp;t=m&amp;q=loc:37.9642+-119.2724", 242)</f>
        <v>0</v>
      </c>
      <c r="K450">
        <v>72</v>
      </c>
      <c r="L450">
        <v>0</v>
      </c>
      <c r="M450">
        <v>0</v>
      </c>
      <c r="N450">
        <v>0</v>
      </c>
      <c r="O450">
        <v>0</v>
      </c>
    </row>
    <row r="451" spans="1:15">
      <c r="A451" s="1" t="s">
        <v>463</v>
      </c>
      <c r="B451" t="s">
        <v>504</v>
      </c>
      <c r="C451" t="s">
        <v>509</v>
      </c>
      <c r="D451">
        <f>HYPERLINK("http://www.reserveamerica.com/camping/tree-of-heaven-campground/r/facilityDetails.do?contractCode=NRSO&amp;parkId=75332", "TREE OF HEAVEN CAMPGROUND")</f>
        <v>0</v>
      </c>
      <c r="E451">
        <v>41.7841667</v>
      </c>
      <c r="F451">
        <v>-123.0430556</v>
      </c>
      <c r="G451" t="s">
        <v>956</v>
      </c>
      <c r="I451" t="s">
        <v>505</v>
      </c>
      <c r="J451">
        <f>HYPERLINK("http://maps.google.com/maps?z=10&amp;t=m&amp;q=loc:41.7841667+-123.0430556", 504)</f>
        <v>0</v>
      </c>
      <c r="K451">
        <v>349</v>
      </c>
      <c r="L451">
        <v>14</v>
      </c>
      <c r="M451">
        <v>1</v>
      </c>
      <c r="N451">
        <v>13</v>
      </c>
      <c r="O451">
        <v>13</v>
      </c>
    </row>
    <row r="452" spans="1:15">
      <c r="A452" s="1" t="s">
        <v>464</v>
      </c>
      <c r="B452" t="s">
        <v>504</v>
      </c>
      <c r="C452" t="s">
        <v>509</v>
      </c>
      <c r="D452">
        <f>HYPERLINK("http://www.reserveamerica.com/camping/trimmer-campground/r/facilityDetails.do?contractCode=NRSO&amp;parkId=72331", "TRIMMER CAMPGROUND")</f>
        <v>0</v>
      </c>
      <c r="E452">
        <v>36.9044444</v>
      </c>
      <c r="F452">
        <v>-119.2936111</v>
      </c>
      <c r="G452" t="s">
        <v>957</v>
      </c>
      <c r="I452" t="s">
        <v>505</v>
      </c>
      <c r="J452">
        <f>HYPERLINK("http://maps.google.com/maps?z=10&amp;t=m&amp;q=loc:36.9044444+-119.2936111", 236)</f>
        <v>0</v>
      </c>
      <c r="K452">
        <v>100</v>
      </c>
      <c r="L452">
        <v>8</v>
      </c>
      <c r="M452">
        <v>0</v>
      </c>
      <c r="N452">
        <v>8</v>
      </c>
      <c r="O452">
        <v>8</v>
      </c>
    </row>
    <row r="453" spans="1:15">
      <c r="A453" s="1" t="s">
        <v>465</v>
      </c>
      <c r="B453" t="s">
        <v>504</v>
      </c>
      <c r="C453" t="s">
        <v>509</v>
      </c>
      <c r="D453">
        <f>HYPERLINK("http://www.reserveamerica.com/camping/trumbull-lake/r/facilityDetails.do?contractCode=NRSO&amp;parkId=70349", "TRUMBULL LAKE")</f>
        <v>0</v>
      </c>
      <c r="E453">
        <v>38.0505556</v>
      </c>
      <c r="F453">
        <v>-119.2572222</v>
      </c>
      <c r="G453" t="s">
        <v>958</v>
      </c>
      <c r="I453" t="s">
        <v>505</v>
      </c>
      <c r="J453">
        <f>HYPERLINK("http://maps.google.com/maps?z=10&amp;t=m&amp;q=loc:38.0505556+-119.2572222", 246)</f>
        <v>0</v>
      </c>
      <c r="K453">
        <v>70</v>
      </c>
      <c r="L453">
        <v>0</v>
      </c>
      <c r="M453">
        <v>0</v>
      </c>
      <c r="N453">
        <v>0</v>
      </c>
      <c r="O453">
        <v>0</v>
      </c>
    </row>
    <row r="454" spans="1:15">
      <c r="A454" s="1" t="s">
        <v>466</v>
      </c>
      <c r="B454" t="s">
        <v>504</v>
      </c>
      <c r="C454" t="s">
        <v>509</v>
      </c>
      <c r="D454">
        <f>HYPERLINK("http://www.reserveamerica.com/camping/tuff-campground/r/facilityDetails.do?contractCode=NRSO&amp;parkId=70523", "TUFF CAMPGROUND")</f>
        <v>0</v>
      </c>
      <c r="E454">
        <v>37.5625</v>
      </c>
      <c r="F454">
        <v>-118.6641667</v>
      </c>
      <c r="G454" t="s">
        <v>959</v>
      </c>
      <c r="I454" t="s">
        <v>505</v>
      </c>
      <c r="J454">
        <f>HYPERLINK("http://maps.google.com/maps?z=10&amp;t=m&amp;q=loc:37.5625+-118.6641667", 287)</f>
        <v>0</v>
      </c>
      <c r="K454">
        <v>83</v>
      </c>
      <c r="L454">
        <v>16</v>
      </c>
      <c r="M454">
        <v>0</v>
      </c>
      <c r="N454">
        <v>16</v>
      </c>
      <c r="O454">
        <v>15</v>
      </c>
    </row>
    <row r="455" spans="1:15">
      <c r="A455" s="1" t="s">
        <v>467</v>
      </c>
      <c r="B455" t="s">
        <v>504</v>
      </c>
      <c r="C455" t="s">
        <v>509</v>
      </c>
      <c r="D455">
        <f>HYPERLINK("http://www.reserveamerica.com/camping/tule/r/facilityDetails.do?contractCode=NRSO&amp;parkId=73451", "TULE")</f>
        <v>0</v>
      </c>
      <c r="E455">
        <v>36.0802778</v>
      </c>
      <c r="F455">
        <v>-118.9022222</v>
      </c>
      <c r="G455" t="s">
        <v>960</v>
      </c>
      <c r="I455" t="s">
        <v>505</v>
      </c>
      <c r="J455">
        <f>HYPERLINK("http://maps.google.com/maps?z=10&amp;t=m&amp;q=loc:36.0802778+-118.9022222", 301)</f>
        <v>0</v>
      </c>
      <c r="K455">
        <v>116</v>
      </c>
      <c r="L455">
        <v>45</v>
      </c>
      <c r="M455">
        <v>0</v>
      </c>
      <c r="N455">
        <v>45</v>
      </c>
      <c r="O455">
        <v>45</v>
      </c>
    </row>
    <row r="456" spans="1:15">
      <c r="A456" s="1" t="s">
        <v>468</v>
      </c>
      <c r="B456" t="s">
        <v>504</v>
      </c>
      <c r="C456" t="s">
        <v>509</v>
      </c>
      <c r="D456">
        <f>HYPERLINK("http://www.reserveamerica.com/camping/tunnel-mills-ii/r/facilityDetails.do?contractCode=NRSO&amp;parkId=70556", "TUNNEL MILLS II")</f>
        <v>0</v>
      </c>
      <c r="E456">
        <v>39.2527778</v>
      </c>
      <c r="F456">
        <v>-120.6516667</v>
      </c>
      <c r="G456" t="s">
        <v>961</v>
      </c>
      <c r="I456" t="s">
        <v>505</v>
      </c>
      <c r="J456">
        <f>HYPERLINK("http://maps.google.com/maps?z=10&amp;t=m&amp;q=loc:39.2527778+-120.6516667", 240)</f>
        <v>0</v>
      </c>
      <c r="K456">
        <v>26</v>
      </c>
      <c r="L456">
        <v>1</v>
      </c>
      <c r="M456">
        <v>0</v>
      </c>
      <c r="N456">
        <v>1</v>
      </c>
      <c r="O456">
        <v>1</v>
      </c>
    </row>
    <row r="457" spans="1:15">
      <c r="A457" s="1" t="s">
        <v>469</v>
      </c>
      <c r="B457" t="s">
        <v>504</v>
      </c>
      <c r="C457" t="s">
        <v>509</v>
      </c>
      <c r="D457">
        <f>HYPERLINK("http://www.reserveamerica.com/camping/tuolumne-meadows/r/facilityDetails.do?contractCode=NRSO&amp;parkId=70926", "TUOLUMNE MEADOWS")</f>
        <v>0</v>
      </c>
      <c r="E457">
        <v>37.8711111</v>
      </c>
      <c r="F457">
        <v>-119.36</v>
      </c>
      <c r="G457" t="s">
        <v>962</v>
      </c>
      <c r="I457" t="s">
        <v>505</v>
      </c>
      <c r="J457">
        <f>HYPERLINK("http://maps.google.com/maps?z=10&amp;t=m&amp;q=loc:37.8711111+-119.36", 232)</f>
        <v>0</v>
      </c>
      <c r="K457">
        <v>74</v>
      </c>
      <c r="L457">
        <v>0</v>
      </c>
      <c r="M457">
        <v>0</v>
      </c>
      <c r="N457">
        <v>0</v>
      </c>
      <c r="O457">
        <v>0</v>
      </c>
    </row>
    <row r="458" spans="1:15">
      <c r="A458" s="1" t="s">
        <v>470</v>
      </c>
      <c r="B458" t="s">
        <v>505</v>
      </c>
      <c r="C458" t="s">
        <v>510</v>
      </c>
      <c r="D458">
        <f>HYPERLINK("http://www.reserveamerica.com/camping/turlock-lake-sra/r/facilityDetails.do?contractCode=CA&amp;parkId=120096", "TURLOCK LAKE SRA")</f>
        <v>0</v>
      </c>
      <c r="E458">
        <v>37.6272222</v>
      </c>
      <c r="F458">
        <v>-120.5813889</v>
      </c>
      <c r="G458" t="s">
        <v>963</v>
      </c>
      <c r="H458" t="s">
        <v>997</v>
      </c>
      <c r="I458" t="s">
        <v>505</v>
      </c>
      <c r="J458">
        <f>HYPERLINK("http://maps.google.com/maps?z=10&amp;t=m&amp;q=loc:37.6272222+-120.5813889", 121)</f>
        <v>0</v>
      </c>
      <c r="K458">
        <v>73</v>
      </c>
      <c r="L458">
        <v>38</v>
      </c>
      <c r="M458">
        <v>0</v>
      </c>
      <c r="N458">
        <v>38</v>
      </c>
      <c r="O458">
        <v>38</v>
      </c>
    </row>
    <row r="459" spans="1:15">
      <c r="A459" s="1" t="s">
        <v>471</v>
      </c>
      <c r="B459" t="s">
        <v>504</v>
      </c>
      <c r="C459" t="s">
        <v>509</v>
      </c>
      <c r="D459">
        <f>HYPERLINK("http://www.reserveamerica.com/camping/tuttletown-recreation-area/r/facilityDetails.do?contractCode=NRSO&amp;parkId=74079", "TUTTLETOWN RECREATION AREA")</f>
        <v>0</v>
      </c>
      <c r="E459">
        <v>37.9838889</v>
      </c>
      <c r="F459">
        <v>-120.5080556</v>
      </c>
      <c r="G459" t="s">
        <v>964</v>
      </c>
      <c r="I459" t="s">
        <v>505</v>
      </c>
      <c r="J459">
        <f>HYPERLINK("http://maps.google.com/maps?z=10&amp;t=m&amp;q=loc:37.9838889+-120.5080556", 142)</f>
        <v>0</v>
      </c>
      <c r="K459">
        <v>58</v>
      </c>
      <c r="L459">
        <v>7</v>
      </c>
      <c r="M459">
        <v>4</v>
      </c>
      <c r="N459">
        <v>3</v>
      </c>
      <c r="O459">
        <v>3</v>
      </c>
    </row>
    <row r="460" spans="1:15">
      <c r="A460" s="1" t="s">
        <v>472</v>
      </c>
      <c r="B460" t="s">
        <v>504</v>
      </c>
      <c r="C460" t="s">
        <v>509</v>
      </c>
      <c r="D460">
        <f>HYPERLINK("http://www.reserveamerica.com/camping/twin-lakes-campground/r/facilityDetails.do?contractCode=NRSO&amp;parkId=75193", "TWIN LAKES CAMPGROUND")</f>
        <v>0</v>
      </c>
      <c r="E460">
        <v>37.6158333</v>
      </c>
      <c r="F460">
        <v>-119.0069444</v>
      </c>
      <c r="G460" t="s">
        <v>965</v>
      </c>
      <c r="I460" t="s">
        <v>505</v>
      </c>
      <c r="J460">
        <f>HYPERLINK("http://maps.google.com/maps?z=10&amp;t=m&amp;q=loc:37.6158333+-119.0069444", 257)</f>
        <v>0</v>
      </c>
      <c r="K460">
        <v>81</v>
      </c>
      <c r="L460">
        <v>3</v>
      </c>
      <c r="M460">
        <v>0</v>
      </c>
      <c r="N460">
        <v>3</v>
      </c>
      <c r="O460">
        <v>3</v>
      </c>
    </row>
    <row r="461" spans="1:15">
      <c r="A461" s="1" t="s">
        <v>473</v>
      </c>
      <c r="B461" t="s">
        <v>507</v>
      </c>
      <c r="C461" t="s">
        <v>511</v>
      </c>
      <c r="D461">
        <f>HYPERLINK("http://www.reserveamerica.com/camping/two-harbors-campground/r/facilityDetails.do?contractCode=CTLN&amp;parkId=940011", "TWO HARBORS CAMPGROUND")</f>
        <v>0</v>
      </c>
      <c r="E461">
        <v>33.4427778</v>
      </c>
      <c r="F461">
        <v>-118.4866667</v>
      </c>
      <c r="G461" t="s">
        <v>966</v>
      </c>
      <c r="I461" t="s">
        <v>505</v>
      </c>
      <c r="J461">
        <f>HYPERLINK("http://maps.google.com/maps?z=10&amp;t=m&amp;q=loc:33.4427778+-118.4866667", 531)</f>
        <v>0</v>
      </c>
      <c r="K461">
        <v>143</v>
      </c>
      <c r="L461">
        <v>0</v>
      </c>
      <c r="M461">
        <v>0</v>
      </c>
      <c r="N461">
        <v>0</v>
      </c>
      <c r="O461">
        <v>0</v>
      </c>
    </row>
    <row r="462" spans="1:15">
      <c r="A462" s="1" t="s">
        <v>474</v>
      </c>
      <c r="B462" t="s">
        <v>504</v>
      </c>
      <c r="C462" t="s">
        <v>509</v>
      </c>
      <c r="D462">
        <f>HYPERLINK("http://www.reserveamerica.com/camping/union-flat/r/facilityDetails.do?contractCode=NRSO&amp;parkId=75424", "UNION FLAT")</f>
        <v>0</v>
      </c>
      <c r="E462">
        <v>39.5675</v>
      </c>
      <c r="F462">
        <v>-120.7447222</v>
      </c>
      <c r="G462" t="s">
        <v>967</v>
      </c>
      <c r="I462" t="s">
        <v>505</v>
      </c>
      <c r="J462">
        <f>HYPERLINK("http://maps.google.com/maps?z=10&amp;t=m&amp;q=loc:39.5675+-120.7447222", 268)</f>
        <v>0</v>
      </c>
      <c r="K462">
        <v>21</v>
      </c>
      <c r="L462">
        <v>0</v>
      </c>
      <c r="M462">
        <v>0</v>
      </c>
      <c r="N462">
        <v>0</v>
      </c>
      <c r="O462">
        <v>0</v>
      </c>
    </row>
    <row r="463" spans="1:15">
      <c r="A463" s="1" t="s">
        <v>475</v>
      </c>
      <c r="B463" t="s">
        <v>504</v>
      </c>
      <c r="C463" t="s">
        <v>509</v>
      </c>
      <c r="D463">
        <f>HYPERLINK("http://www.reserveamerica.com/camping/upper-billy-creek-cg/r/facilityDetails.do?contractCode=NRSO&amp;parkId=71588", "UPPER BILLY CREEK CG")</f>
        <v>0</v>
      </c>
      <c r="E463">
        <v>37.2380556</v>
      </c>
      <c r="F463">
        <v>-119.2277778</v>
      </c>
      <c r="G463" t="s">
        <v>968</v>
      </c>
      <c r="I463" t="s">
        <v>505</v>
      </c>
      <c r="J463">
        <f>HYPERLINK("http://maps.google.com/maps?z=10&amp;t=m&amp;q=loc:37.2380556+-119.2277778", 237)</f>
        <v>0</v>
      </c>
      <c r="K463">
        <v>91</v>
      </c>
      <c r="L463">
        <v>0</v>
      </c>
      <c r="M463">
        <v>0</v>
      </c>
      <c r="N463">
        <v>0</v>
      </c>
      <c r="O463">
        <v>0</v>
      </c>
    </row>
    <row r="464" spans="1:15">
      <c r="A464" s="1" t="s">
        <v>476</v>
      </c>
      <c r="B464" t="s">
        <v>504</v>
      </c>
      <c r="C464" t="s">
        <v>509</v>
      </c>
      <c r="D464">
        <f>HYPERLINK("http://www.reserveamerica.com/camping/upper-little-truckee/r/facilityDetails.do?contractCode=NRSO&amp;parkId=71718", "UPPER LITTLE TRUCKEE")</f>
        <v>0</v>
      </c>
      <c r="E464">
        <v>39.4908333</v>
      </c>
      <c r="F464">
        <v>-120.2438889</v>
      </c>
      <c r="G464" t="s">
        <v>969</v>
      </c>
      <c r="I464" t="s">
        <v>505</v>
      </c>
      <c r="J464">
        <f>HYPERLINK("http://maps.google.com/maps?z=10&amp;t=m&amp;q=loc:39.4908333+-120.2438889", 280)</f>
        <v>0</v>
      </c>
      <c r="K464">
        <v>30</v>
      </c>
      <c r="L464">
        <v>17</v>
      </c>
      <c r="M464">
        <v>0</v>
      </c>
      <c r="N464">
        <v>17</v>
      </c>
      <c r="O464">
        <v>17</v>
      </c>
    </row>
    <row r="465" spans="1:15">
      <c r="A465" s="1" t="s">
        <v>477</v>
      </c>
      <c r="B465" t="s">
        <v>504</v>
      </c>
      <c r="C465" t="s">
        <v>509</v>
      </c>
      <c r="D465">
        <f>HYPERLINK("http://www.reserveamerica.com/camping/upper-oso-campground/r/facilityDetails.do?contractCode=NRSO&amp;parkId=70165", "UPPER OSO CAMPGROUND")</f>
        <v>0</v>
      </c>
      <c r="E465">
        <v>34.5558333</v>
      </c>
      <c r="F465">
        <v>-119.7538889</v>
      </c>
      <c r="G465" t="s">
        <v>970</v>
      </c>
      <c r="I465" t="s">
        <v>505</v>
      </c>
      <c r="J465">
        <f>HYPERLINK("http://maps.google.com/maps?z=10&amp;t=m&amp;q=loc:34.5558333+-119.7538889", 363)</f>
        <v>0</v>
      </c>
      <c r="K465">
        <v>147</v>
      </c>
      <c r="L465">
        <v>4</v>
      </c>
      <c r="M465">
        <v>0</v>
      </c>
      <c r="N465">
        <v>4</v>
      </c>
      <c r="O465">
        <v>4</v>
      </c>
    </row>
    <row r="466" spans="1:15">
      <c r="A466" s="1" t="s">
        <v>478</v>
      </c>
      <c r="B466" t="s">
        <v>504</v>
      </c>
      <c r="C466" t="s">
        <v>509</v>
      </c>
      <c r="D466">
        <f>HYPERLINK("http://www.reserveamerica.com/camping/upper-pines/r/facilityDetails.do?contractCode=NRSO&amp;parkId=70925", "UPPER PINES")</f>
        <v>0</v>
      </c>
      <c r="E466">
        <v>37.7361111</v>
      </c>
      <c r="F466">
        <v>-119.5625</v>
      </c>
      <c r="G466" t="s">
        <v>971</v>
      </c>
      <c r="I466" t="s">
        <v>505</v>
      </c>
      <c r="J466">
        <f>HYPERLINK("http://maps.google.com/maps?z=10&amp;t=m&amp;q=loc:37.7361111+-119.5625", 211)</f>
        <v>0</v>
      </c>
      <c r="K466">
        <v>76</v>
      </c>
      <c r="L466">
        <v>0</v>
      </c>
      <c r="M466">
        <v>0</v>
      </c>
      <c r="N466">
        <v>0</v>
      </c>
      <c r="O466">
        <v>0</v>
      </c>
    </row>
    <row r="467" spans="1:15">
      <c r="A467" s="1" t="s">
        <v>479</v>
      </c>
      <c r="B467" t="s">
        <v>504</v>
      </c>
      <c r="C467" t="s">
        <v>509</v>
      </c>
      <c r="D467">
        <f>HYPERLINK("http://www.reserveamerica.com/camping/upper-sage-flat/r/facilityDetails.do?contractCode=NRSO&amp;parkId=70524", "UPPER SAGE FLAT")</f>
        <v>0</v>
      </c>
      <c r="E467">
        <v>37.1258333</v>
      </c>
      <c r="F467">
        <v>-118.4338889</v>
      </c>
      <c r="G467" t="s">
        <v>972</v>
      </c>
      <c r="I467" t="s">
        <v>505</v>
      </c>
      <c r="J467">
        <f>HYPERLINK("http://maps.google.com/maps?z=10&amp;t=m&amp;q=loc:37.1258333+-118.4338889", 308)</f>
        <v>0</v>
      </c>
      <c r="K467">
        <v>93</v>
      </c>
      <c r="L467">
        <v>0</v>
      </c>
      <c r="M467">
        <v>0</v>
      </c>
      <c r="N467">
        <v>0</v>
      </c>
      <c r="O467">
        <v>0</v>
      </c>
    </row>
    <row r="468" spans="1:15">
      <c r="A468" s="1" t="s">
        <v>480</v>
      </c>
      <c r="B468" t="s">
        <v>504</v>
      </c>
      <c r="C468" t="s">
        <v>509</v>
      </c>
      <c r="D468">
        <f>HYPERLINK("http://www.reserveamerica.com/camping/upper-stony-creek-campground/r/facilityDetails.do?contractCode=NRSO&amp;parkId=94468", "UPPER STONY CREEK CAMPGROUND")</f>
        <v>0</v>
      </c>
      <c r="E468">
        <v>36.6647222</v>
      </c>
      <c r="F468">
        <v>-118.8316667</v>
      </c>
      <c r="G468" t="s">
        <v>973</v>
      </c>
      <c r="I468" t="s">
        <v>505</v>
      </c>
      <c r="J468">
        <f>HYPERLINK("http://maps.google.com/maps?z=10&amp;t=m&amp;q=loc:36.6647222+-118.8316667", 282)</f>
        <v>0</v>
      </c>
      <c r="K468">
        <v>104</v>
      </c>
      <c r="L468">
        <v>8</v>
      </c>
      <c r="M468">
        <v>0</v>
      </c>
      <c r="N468">
        <v>8</v>
      </c>
      <c r="O468">
        <v>8</v>
      </c>
    </row>
    <row r="469" spans="1:15">
      <c r="A469" s="1" t="s">
        <v>481</v>
      </c>
      <c r="B469" t="s">
        <v>505</v>
      </c>
      <c r="C469" t="s">
        <v>510</v>
      </c>
      <c r="D469">
        <f>HYPERLINK("http://www.reserveamerica.com/camping/vandamme-sp/r/facilityDetails.do?contractCode=CA&amp;parkId=120097", "VANDAMME SP")</f>
        <v>0</v>
      </c>
      <c r="E469">
        <v>39.2763889</v>
      </c>
      <c r="F469">
        <v>-123.7733333</v>
      </c>
      <c r="G469" t="s">
        <v>974</v>
      </c>
      <c r="I469" t="s">
        <v>505</v>
      </c>
      <c r="J469">
        <f>HYPERLINK("http://maps.google.com/maps?z=10&amp;t=m&amp;q=loc:39.2763889+-123.7733333", 270)</f>
        <v>0</v>
      </c>
      <c r="K469">
        <v>323</v>
      </c>
      <c r="L469">
        <v>0</v>
      </c>
      <c r="M469">
        <v>0</v>
      </c>
      <c r="N469">
        <v>0</v>
      </c>
      <c r="O469">
        <v>0</v>
      </c>
    </row>
    <row r="470" spans="1:15">
      <c r="A470" s="1" t="s">
        <v>482</v>
      </c>
      <c r="B470" t="s">
        <v>504</v>
      </c>
      <c r="C470" t="s">
        <v>509</v>
      </c>
      <c r="D470">
        <f>HYPERLINK("http://www.reserveamerica.com/camping/vermillion/r/facilityDetails.do?contractCode=NRSO&amp;parkId=71584", "VERMILLION")</f>
        <v>0</v>
      </c>
      <c r="E470">
        <v>37.3791667</v>
      </c>
      <c r="F470">
        <v>-119.0097222</v>
      </c>
      <c r="G470" t="s">
        <v>975</v>
      </c>
      <c r="H470" t="s">
        <v>998</v>
      </c>
      <c r="I470" t="s">
        <v>505</v>
      </c>
      <c r="J470">
        <f>HYPERLINK("http://maps.google.com/maps?z=10&amp;t=m&amp;q=loc:37.3791667+-119.0097222", 255)</f>
        <v>0</v>
      </c>
      <c r="K470">
        <v>87</v>
      </c>
      <c r="L470">
        <v>28</v>
      </c>
      <c r="M470">
        <v>0</v>
      </c>
      <c r="N470">
        <v>28</v>
      </c>
      <c r="O470">
        <v>28</v>
      </c>
    </row>
    <row r="471" spans="1:15">
      <c r="A471" s="1" t="s">
        <v>483</v>
      </c>
      <c r="B471" t="s">
        <v>504</v>
      </c>
      <c r="C471" t="s">
        <v>509</v>
      </c>
      <c r="D471">
        <f>HYPERLINK("http://www.reserveamerica.com/camping/wawona/r/facilityDetails.do?contractCode=NRSO&amp;parkId=70924", "WAWONA")</f>
        <v>0</v>
      </c>
      <c r="E471">
        <v>37.5730556</v>
      </c>
      <c r="F471">
        <v>-119.665</v>
      </c>
      <c r="G471" t="s">
        <v>976</v>
      </c>
      <c r="I471" t="s">
        <v>505</v>
      </c>
      <c r="J471">
        <f>HYPERLINK("http://maps.google.com/maps?z=10&amp;t=m&amp;q=loc:37.5730556+-119.665", 199)</f>
        <v>0</v>
      </c>
      <c r="K471">
        <v>81</v>
      </c>
      <c r="L471">
        <v>0</v>
      </c>
      <c r="M471">
        <v>0</v>
      </c>
      <c r="N471">
        <v>0</v>
      </c>
      <c r="O471">
        <v>0</v>
      </c>
    </row>
    <row r="472" spans="1:15">
      <c r="A472" s="1" t="s">
        <v>484</v>
      </c>
      <c r="B472" t="s">
        <v>504</v>
      </c>
      <c r="C472" t="s">
        <v>509</v>
      </c>
      <c r="D472">
        <f>HYPERLINK("http://www.reserveamerica.com/camping/wench-creek/r/facilityDetails.do?contractCode=NRSO&amp;parkId=70355", "WENCH CREEK")</f>
        <v>0</v>
      </c>
      <c r="E472">
        <v>38.8902778</v>
      </c>
      <c r="F472">
        <v>-120.3772222</v>
      </c>
      <c r="G472" t="s">
        <v>977</v>
      </c>
      <c r="I472" t="s">
        <v>505</v>
      </c>
      <c r="J472">
        <f>HYPERLINK("http://maps.google.com/maps?z=10&amp;t=m&amp;q=loc:38.8902778+-120.3772222", 219)</f>
        <v>0</v>
      </c>
      <c r="K472">
        <v>37</v>
      </c>
      <c r="L472">
        <v>0</v>
      </c>
      <c r="M472">
        <v>0</v>
      </c>
      <c r="N472">
        <v>0</v>
      </c>
      <c r="O472">
        <v>0</v>
      </c>
    </row>
    <row r="473" spans="1:15">
      <c r="A473" s="1" t="s">
        <v>485</v>
      </c>
      <c r="B473" t="s">
        <v>504</v>
      </c>
      <c r="C473" t="s">
        <v>509</v>
      </c>
      <c r="E473">
        <v>40.5486111</v>
      </c>
      <c r="F473">
        <v>-120.7813889</v>
      </c>
      <c r="G473" t="s">
        <v>978</v>
      </c>
      <c r="I473" t="s">
        <v>505</v>
      </c>
      <c r="J473">
        <f>HYPERLINK("http://maps.google.com/maps?z=10&amp;t=m&amp;q=loc:40.5486111+-120.7813889", 370)</f>
        <v>0</v>
      </c>
      <c r="K473">
        <v>14</v>
      </c>
      <c r="L473">
        <v>0</v>
      </c>
      <c r="M473">
        <v>0</v>
      </c>
      <c r="N473">
        <v>0</v>
      </c>
      <c r="O473">
        <v>0</v>
      </c>
    </row>
    <row r="474" spans="1:15">
      <c r="A474" s="1" t="s">
        <v>486</v>
      </c>
      <c r="B474" t="s">
        <v>504</v>
      </c>
      <c r="C474" t="s">
        <v>509</v>
      </c>
      <c r="D474">
        <f>HYPERLINK("http://www.reserveamerica.com/camping/wheeler-gorge/r/facilityDetails.do?contractCode=NRSO&amp;parkId=70392", "WHEELER GORGE")</f>
        <v>0</v>
      </c>
      <c r="E474">
        <v>34.5119444</v>
      </c>
      <c r="F474">
        <v>-119.2736111</v>
      </c>
      <c r="G474" t="s">
        <v>979</v>
      </c>
      <c r="I474" t="s">
        <v>505</v>
      </c>
      <c r="J474">
        <f>HYPERLINK("http://maps.google.com/maps?z=10&amp;t=m&amp;q=loc:34.5119444+-119.2736111", 392)</f>
        <v>0</v>
      </c>
      <c r="K474">
        <v>142</v>
      </c>
      <c r="L474">
        <v>32</v>
      </c>
      <c r="M474">
        <v>3</v>
      </c>
      <c r="N474">
        <v>29</v>
      </c>
      <c r="O474">
        <v>29</v>
      </c>
    </row>
    <row r="475" spans="1:15">
      <c r="A475" s="1" t="s">
        <v>487</v>
      </c>
      <c r="B475" t="s">
        <v>504</v>
      </c>
      <c r="C475" t="s">
        <v>509</v>
      </c>
      <c r="D475">
        <f>HYPERLINK("http://www.reserveamerica.com/camping/white-cloud/r/facilityDetails.do?contractCode=NRSO&amp;parkId=70647", "WHITE CLOUD")</f>
        <v>0</v>
      </c>
      <c r="E475">
        <v>39.3205556</v>
      </c>
      <c r="F475">
        <v>-120.8452778</v>
      </c>
      <c r="G475" t="s">
        <v>980</v>
      </c>
      <c r="I475" t="s">
        <v>505</v>
      </c>
      <c r="J475">
        <f>HYPERLINK("http://maps.google.com/maps?z=10&amp;t=m&amp;q=loc:39.3205556+-120.8452778", 239)</f>
        <v>0</v>
      </c>
      <c r="K475">
        <v>22</v>
      </c>
      <c r="L475">
        <v>26</v>
      </c>
      <c r="M475">
        <v>0</v>
      </c>
      <c r="N475">
        <v>26</v>
      </c>
      <c r="O475">
        <v>26</v>
      </c>
    </row>
    <row r="476" spans="1:15">
      <c r="A476" s="1" t="s">
        <v>488</v>
      </c>
      <c r="B476" t="s">
        <v>504</v>
      </c>
      <c r="C476" t="s">
        <v>509</v>
      </c>
      <c r="D476">
        <f>HYPERLINK("http://www.reserveamerica.com/camping/white-river/r/facilityDetails.do?contractCode=NRSO&amp;parkId=71539", "WHITE RIVER")</f>
        <v>0</v>
      </c>
      <c r="E476">
        <v>35.8458333</v>
      </c>
      <c r="F476">
        <v>-118.6347222</v>
      </c>
      <c r="G476" t="s">
        <v>981</v>
      </c>
      <c r="I476" t="s">
        <v>505</v>
      </c>
      <c r="J476">
        <f>HYPERLINK("http://maps.google.com/maps?z=10&amp;t=m&amp;q=loc:35.8458333+-118.6347222", 335)</f>
        <v>0</v>
      </c>
      <c r="K476">
        <v>118</v>
      </c>
      <c r="L476">
        <v>5</v>
      </c>
      <c r="M476">
        <v>0</v>
      </c>
      <c r="N476">
        <v>5</v>
      </c>
      <c r="O476">
        <v>5</v>
      </c>
    </row>
    <row r="477" spans="1:15">
      <c r="A477" s="1" t="s">
        <v>489</v>
      </c>
      <c r="B477" t="s">
        <v>504</v>
      </c>
      <c r="C477" t="s">
        <v>509</v>
      </c>
      <c r="D477">
        <f>HYPERLINK("http://www.reserveamerica.com/camping/whitehorse-campground/r/facilityDetails.do?contractCode=NRSO&amp;parkId=109333", "WHITEHORSE CAMPGROUND")</f>
        <v>0</v>
      </c>
      <c r="E477">
        <v>39.8880556</v>
      </c>
      <c r="F477">
        <v>-121.1411111</v>
      </c>
      <c r="G477" t="s">
        <v>982</v>
      </c>
      <c r="I477" t="s">
        <v>505</v>
      </c>
      <c r="J477">
        <f>HYPERLINK("http://maps.google.com/maps?z=10&amp;t=m&amp;q=loc:39.8880556+-121.1411111", 292)</f>
        <v>0</v>
      </c>
      <c r="K477">
        <v>12</v>
      </c>
      <c r="L477">
        <v>0</v>
      </c>
      <c r="M477">
        <v>0</v>
      </c>
      <c r="N477">
        <v>0</v>
      </c>
      <c r="O477">
        <v>0</v>
      </c>
    </row>
    <row r="478" spans="1:15">
      <c r="A478" s="1" t="s">
        <v>490</v>
      </c>
      <c r="B478" t="s">
        <v>504</v>
      </c>
      <c r="C478" t="s">
        <v>509</v>
      </c>
      <c r="D478">
        <f>HYPERLINK("http://www.reserveamerica.com/camping/whitney-portal/r/facilityDetails.do?contractCode=NRSO&amp;parkId=70357", "WHITNEY PORTAL")</f>
        <v>0</v>
      </c>
      <c r="E478">
        <v>36.5898611</v>
      </c>
      <c r="F478">
        <v>-118.2297778</v>
      </c>
      <c r="G478" t="s">
        <v>983</v>
      </c>
      <c r="I478" t="s">
        <v>505</v>
      </c>
      <c r="J478">
        <f>HYPERLINK("http://maps.google.com/maps?z=10&amp;t=m&amp;q=loc:36.5898611+-118.2297778", 336)</f>
        <v>0</v>
      </c>
      <c r="K478">
        <v>102</v>
      </c>
      <c r="L478">
        <v>0</v>
      </c>
      <c r="M478">
        <v>0</v>
      </c>
      <c r="N478">
        <v>0</v>
      </c>
      <c r="O478">
        <v>0</v>
      </c>
    </row>
    <row r="479" spans="1:15">
      <c r="A479" s="1" t="s">
        <v>491</v>
      </c>
      <c r="B479" t="s">
        <v>504</v>
      </c>
      <c r="C479" t="s">
        <v>509</v>
      </c>
      <c r="D479">
        <f>HYPERLINK("http://www.reserveamerica.com/camping/wild-horse-equestrian-family/r/facilityDetails.do?contractCode=NRSO&amp;parkId=73497", "WILD HORSE EQUESTRIAN FAMILY")</f>
        <v>0</v>
      </c>
      <c r="E479">
        <v>34.2019444</v>
      </c>
      <c r="F479">
        <v>-116.7672222</v>
      </c>
      <c r="G479" t="s">
        <v>984</v>
      </c>
      <c r="I479" t="s">
        <v>505</v>
      </c>
      <c r="J479">
        <f>HYPERLINK("http://maps.google.com/maps?z=10&amp;t=m&amp;q=loc:34.2019444+-116.7672222", 578)</f>
        <v>0</v>
      </c>
      <c r="K479">
        <v>125</v>
      </c>
      <c r="L479">
        <v>8</v>
      </c>
      <c r="M479">
        <v>0</v>
      </c>
      <c r="N479">
        <v>8</v>
      </c>
      <c r="O479">
        <v>8</v>
      </c>
    </row>
    <row r="480" spans="1:15">
      <c r="A480" s="1" t="s">
        <v>492</v>
      </c>
      <c r="B480" t="s">
        <v>504</v>
      </c>
      <c r="C480" t="s">
        <v>509</v>
      </c>
      <c r="D480">
        <f>HYPERLINK("http://www.reserveamerica.com/camping/wild-plum/r/facilityDetails.do?contractCode=NRSO&amp;parkId=75434", "WILD PLUM")</f>
        <v>0</v>
      </c>
      <c r="E480">
        <v>39.5663889</v>
      </c>
      <c r="F480">
        <v>-120.5991667</v>
      </c>
      <c r="G480" t="s">
        <v>985</v>
      </c>
      <c r="I480" t="s">
        <v>505</v>
      </c>
      <c r="J480">
        <f>HYPERLINK("http://maps.google.com/maps?z=10&amp;t=m&amp;q=loc:39.5663889+-120.5991667", 273)</f>
        <v>0</v>
      </c>
      <c r="K480">
        <v>24</v>
      </c>
      <c r="L480">
        <v>30</v>
      </c>
      <c r="M480">
        <v>0</v>
      </c>
      <c r="N480">
        <v>30</v>
      </c>
      <c r="O480">
        <v>30</v>
      </c>
    </row>
    <row r="481" spans="1:15">
      <c r="A481" s="1" t="s">
        <v>493</v>
      </c>
      <c r="B481" t="s">
        <v>504</v>
      </c>
      <c r="C481" t="s">
        <v>509</v>
      </c>
      <c r="D481">
        <f>HYPERLINK("http://www.reserveamerica.com/camping/wishon/r/facilityDetails.do?contractCode=NRSO&amp;parkId=71585", "WISHON")</f>
        <v>0</v>
      </c>
      <c r="E481">
        <v>36.1875</v>
      </c>
      <c r="F481">
        <v>-118.6625</v>
      </c>
      <c r="G481" t="s">
        <v>986</v>
      </c>
      <c r="I481" t="s">
        <v>505</v>
      </c>
      <c r="J481">
        <f>HYPERLINK("http://maps.google.com/maps?z=10&amp;t=m&amp;q=loc:36.1875+-118.6625", 315)</f>
        <v>0</v>
      </c>
      <c r="K481">
        <v>112</v>
      </c>
      <c r="L481">
        <v>14</v>
      </c>
      <c r="M481">
        <v>0</v>
      </c>
      <c r="N481">
        <v>14</v>
      </c>
      <c r="O481">
        <v>14</v>
      </c>
    </row>
    <row r="482" spans="1:15">
      <c r="A482" s="1" t="s">
        <v>494</v>
      </c>
      <c r="B482" t="s">
        <v>504</v>
      </c>
      <c r="C482" t="s">
        <v>509</v>
      </c>
      <c r="D482">
        <f>HYPERLINK("http://www.reserveamerica.com/camping/wishon-bass-lake/r/facilityDetails.do?contractCode=NRSO&amp;parkId=71721", "WISHON BASS LAKE")</f>
        <v>0</v>
      </c>
      <c r="E482">
        <v>37.2972222</v>
      </c>
      <c r="F482">
        <v>-119.5338889</v>
      </c>
      <c r="G482" t="s">
        <v>987</v>
      </c>
      <c r="I482" t="s">
        <v>505</v>
      </c>
      <c r="J482">
        <f>HYPERLINK("http://maps.google.com/maps?z=10&amp;t=m&amp;q=loc:37.2972222+-119.5338889", 209)</f>
        <v>0</v>
      </c>
      <c r="K482">
        <v>90</v>
      </c>
      <c r="L482">
        <v>24</v>
      </c>
      <c r="M482">
        <v>2</v>
      </c>
      <c r="N482">
        <v>22</v>
      </c>
      <c r="O482">
        <v>22</v>
      </c>
    </row>
    <row r="483" spans="1:15">
      <c r="A483" s="1" t="s">
        <v>495</v>
      </c>
      <c r="B483" t="s">
        <v>504</v>
      </c>
      <c r="C483" t="s">
        <v>509</v>
      </c>
      <c r="D483">
        <f>HYPERLINK("http://www.reserveamerica.com/camping/wolf-creek-california/r/facilityDetails.do?contractCode=NRSO&amp;parkId=70757", "WOLF CREEK CALIFORNIA")</f>
        <v>0</v>
      </c>
      <c r="E483">
        <v>38.8830556</v>
      </c>
      <c r="F483">
        <v>-120.4</v>
      </c>
      <c r="G483" t="s">
        <v>988</v>
      </c>
      <c r="I483" t="s">
        <v>505</v>
      </c>
      <c r="J483">
        <f>HYPERLINK("http://maps.google.com/maps?z=10&amp;t=m&amp;q=loc:38.8830556+-120.4", 217)</f>
        <v>0</v>
      </c>
      <c r="K483">
        <v>36</v>
      </c>
      <c r="L483">
        <v>0</v>
      </c>
      <c r="M483">
        <v>0</v>
      </c>
      <c r="N483">
        <v>0</v>
      </c>
      <c r="O483">
        <v>0</v>
      </c>
    </row>
    <row r="484" spans="1:15">
      <c r="A484" s="1" t="s">
        <v>496</v>
      </c>
      <c r="B484" t="s">
        <v>504</v>
      </c>
      <c r="C484" t="s">
        <v>509</v>
      </c>
      <c r="D484">
        <f>HYPERLINK("http://www.reserveamerica.com/camping/woodcamp-campground/r/facilityDetails.do?contractCode=NRSO&amp;parkId=71520", "WOODCAMP CAMPGROUND")</f>
        <v>0</v>
      </c>
      <c r="E484">
        <v>39.4855556</v>
      </c>
      <c r="F484">
        <v>-120.5477778</v>
      </c>
      <c r="G484" t="s">
        <v>989</v>
      </c>
      <c r="I484" t="s">
        <v>505</v>
      </c>
      <c r="J484">
        <f>HYPERLINK("http://maps.google.com/maps?z=10&amp;t=m&amp;q=loc:39.4855556+-120.5477778", 267)</f>
        <v>0</v>
      </c>
      <c r="K484">
        <v>25</v>
      </c>
      <c r="L484">
        <v>7</v>
      </c>
      <c r="M484">
        <v>0</v>
      </c>
      <c r="N484">
        <v>7</v>
      </c>
      <c r="O484">
        <v>7</v>
      </c>
    </row>
    <row r="485" spans="1:15">
      <c r="A485" s="1" t="s">
        <v>497</v>
      </c>
      <c r="B485" t="s">
        <v>504</v>
      </c>
      <c r="C485" t="s">
        <v>509</v>
      </c>
      <c r="D485">
        <f>HYPERLINK("http://www.reserveamerica.com/camping/wooded-hill-group/r/facilityDetails.do?contractCode=NRSO&amp;parkId=70150", "WOODED HILL GROUP")</f>
        <v>0</v>
      </c>
      <c r="E485">
        <v>32.8502778</v>
      </c>
      <c r="F485">
        <v>-116.42</v>
      </c>
      <c r="G485" t="s">
        <v>990</v>
      </c>
      <c r="I485" t="s">
        <v>505</v>
      </c>
      <c r="J485">
        <f>HYPERLINK("http://maps.google.com/maps?z=10&amp;t=m&amp;q=loc:32.8502778+-116.42", 704)</f>
        <v>0</v>
      </c>
      <c r="K485">
        <v>133</v>
      </c>
      <c r="L485">
        <v>0</v>
      </c>
      <c r="M485">
        <v>0</v>
      </c>
      <c r="N485">
        <v>0</v>
      </c>
      <c r="O485">
        <v>0</v>
      </c>
    </row>
    <row r="486" spans="1:15">
      <c r="A486" s="1" t="s">
        <v>498</v>
      </c>
      <c r="B486" t="s">
        <v>505</v>
      </c>
      <c r="C486" t="s">
        <v>510</v>
      </c>
      <c r="D486">
        <f>HYPERLINK("http://www.reserveamerica.com/camping/woodson-bridge-sra/r/facilityDetails.do?contractCode=CA&amp;parkId=120098", "WOODSON BRIDGE SRA")</f>
        <v>0</v>
      </c>
      <c r="E486">
        <v>39.9175</v>
      </c>
      <c r="F486">
        <v>-122.0902778</v>
      </c>
      <c r="G486" t="s">
        <v>991</v>
      </c>
      <c r="I486" t="s">
        <v>505</v>
      </c>
      <c r="J486">
        <f>HYPERLINK("http://maps.google.com/maps?z=10&amp;t=m&amp;q=loc:39.9175+-122.0902778", 288)</f>
        <v>0</v>
      </c>
      <c r="K486">
        <v>356</v>
      </c>
      <c r="L486">
        <v>34</v>
      </c>
      <c r="M486">
        <v>0</v>
      </c>
      <c r="N486">
        <v>34</v>
      </c>
      <c r="O486">
        <v>34</v>
      </c>
    </row>
    <row r="487" spans="1:15">
      <c r="A487" s="1" t="s">
        <v>499</v>
      </c>
      <c r="B487" t="s">
        <v>508</v>
      </c>
      <c r="C487" t="s">
        <v>511</v>
      </c>
      <c r="D487">
        <f>HYPERLINK("http://www.reserveamerica.com/camping/woodward-reservoir-regional-park/r/facilityDetails.do?contractCode=STAN&amp;parkId=1040012", "WOODWARD RESERVOIR REGIONAL PARK")</f>
        <v>0</v>
      </c>
      <c r="E487">
        <v>37.8469444</v>
      </c>
      <c r="F487">
        <v>-120.8770056</v>
      </c>
      <c r="G487" t="s">
        <v>991</v>
      </c>
      <c r="H487" t="s">
        <v>1002</v>
      </c>
      <c r="I487" t="s">
        <v>505</v>
      </c>
      <c r="J487">
        <f>HYPERLINK("http://maps.google.com/maps?z=10&amp;t=m&amp;q=loc:37.8469444+-120.8770056", 107)</f>
        <v>0</v>
      </c>
      <c r="K487">
        <v>57</v>
      </c>
      <c r="L487">
        <v>40</v>
      </c>
      <c r="M487">
        <v>2</v>
      </c>
      <c r="N487">
        <v>38</v>
      </c>
      <c r="O487">
        <v>38</v>
      </c>
    </row>
    <row r="488" spans="1:15">
      <c r="A488" s="1" t="s">
        <v>500</v>
      </c>
      <c r="B488" t="s">
        <v>504</v>
      </c>
      <c r="C488" t="s">
        <v>509</v>
      </c>
      <c r="D488">
        <f>HYPERLINK("http://www.reserveamerica.com/camping/wrights-lake/r/facilityDetails.do?contractCode=NRSO&amp;parkId=70152", "WRIGHTS LAKE")</f>
        <v>0</v>
      </c>
      <c r="E488">
        <v>38.8494444</v>
      </c>
      <c r="F488">
        <v>-120.2311111</v>
      </c>
      <c r="G488" t="s">
        <v>992</v>
      </c>
      <c r="I488" t="s">
        <v>505</v>
      </c>
      <c r="J488">
        <f>HYPERLINK("http://maps.google.com/maps?z=10&amp;t=m&amp;q=loc:38.8494444+-120.2311111", 223)</f>
        <v>0</v>
      </c>
      <c r="K488">
        <v>40</v>
      </c>
      <c r="L488">
        <v>0</v>
      </c>
      <c r="M488">
        <v>0</v>
      </c>
      <c r="N488">
        <v>0</v>
      </c>
      <c r="O488">
        <v>0</v>
      </c>
    </row>
    <row r="489" spans="1:15">
      <c r="A489" s="1" t="s">
        <v>501</v>
      </c>
      <c r="B489" t="s">
        <v>504</v>
      </c>
      <c r="C489" t="s">
        <v>509</v>
      </c>
      <c r="D489">
        <f>HYPERLINK("http://www.reserveamerica.com/camping/wyandotte-a-campground/r/facilityDetails.do?contractCode=NRSO&amp;parkId=72430", "WYANDOTTE A CAMPGROUND")</f>
        <v>0</v>
      </c>
      <c r="E489">
        <v>39.745</v>
      </c>
      <c r="F489">
        <v>-120.9875</v>
      </c>
      <c r="G489" t="s">
        <v>993</v>
      </c>
      <c r="H489" t="s">
        <v>998</v>
      </c>
      <c r="I489" t="s">
        <v>505</v>
      </c>
      <c r="J489">
        <f>HYPERLINK("http://maps.google.com/maps?z=10&amp;t=m&amp;q=loc:39.745+-120.9875", 280)</f>
        <v>0</v>
      </c>
      <c r="K489">
        <v>16</v>
      </c>
      <c r="L489">
        <v>12</v>
      </c>
      <c r="M489">
        <v>0</v>
      </c>
      <c r="N489">
        <v>12</v>
      </c>
      <c r="O489">
        <v>12</v>
      </c>
    </row>
    <row r="490" spans="1:15">
      <c r="A490" s="1" t="s">
        <v>502</v>
      </c>
      <c r="B490" t="s">
        <v>504</v>
      </c>
      <c r="C490" t="s">
        <v>509</v>
      </c>
      <c r="D490">
        <f>HYPERLINK("http://www.reserveamerica.com/camping/yellowjacket/r/facilityDetails.do?contractCode=NRSO&amp;parkId=70359", "YELLOWJACKET")</f>
        <v>0</v>
      </c>
      <c r="E490">
        <v>38.8916667</v>
      </c>
      <c r="F490">
        <v>-120.3916667</v>
      </c>
      <c r="G490" t="s">
        <v>994</v>
      </c>
      <c r="I490" t="s">
        <v>505</v>
      </c>
      <c r="J490">
        <f>HYPERLINK("http://maps.google.com/maps?z=10&amp;t=m&amp;q=loc:38.8916667+-120.3916667", 218)</f>
        <v>0</v>
      </c>
      <c r="K490">
        <v>36</v>
      </c>
      <c r="L490">
        <v>0</v>
      </c>
      <c r="M490">
        <v>0</v>
      </c>
      <c r="N490">
        <v>0</v>
      </c>
      <c r="O490">
        <v>0</v>
      </c>
    </row>
    <row r="491" spans="1:15">
      <c r="A491" s="1" t="s">
        <v>503</v>
      </c>
      <c r="B491" t="s">
        <v>504</v>
      </c>
      <c r="C491" t="s">
        <v>509</v>
      </c>
      <c r="E491">
        <v>39.6175</v>
      </c>
      <c r="F491">
        <v>-120.4994444</v>
      </c>
      <c r="G491" t="s">
        <v>995</v>
      </c>
      <c r="I491" t="s">
        <v>505</v>
      </c>
      <c r="J491">
        <f>HYPERLINK("http://maps.google.com/maps?z=10&amp;t=m&amp;q=loc:39.6175+-120.4994444", 282)</f>
        <v>0</v>
      </c>
      <c r="K491">
        <v>25</v>
      </c>
      <c r="L491">
        <v>0</v>
      </c>
      <c r="M491">
        <v>0</v>
      </c>
      <c r="N491">
        <v>0</v>
      </c>
      <c r="O49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491"/>
  <sheetViews>
    <sheetView workbookViewId="0"/>
  </sheetViews>
  <sheetFormatPr defaultRowHeight="15"/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1003</v>
      </c>
      <c r="O1" s="1" t="s">
        <v>1004</v>
      </c>
    </row>
    <row r="2" spans="1:15">
      <c r="A2" s="1" t="s">
        <v>14</v>
      </c>
      <c r="B2" t="s">
        <v>504</v>
      </c>
      <c r="C2" t="s">
        <v>509</v>
      </c>
      <c r="D2">
        <v>0</v>
      </c>
      <c r="E2">
        <v>40.7855556</v>
      </c>
      <c r="F2">
        <v>-122.7716667</v>
      </c>
      <c r="G2" t="s">
        <v>512</v>
      </c>
      <c r="I2" t="s">
        <v>505</v>
      </c>
      <c r="J2">
        <v>0</v>
      </c>
      <c r="K2">
        <v>349</v>
      </c>
      <c r="L2">
        <v>16</v>
      </c>
      <c r="M2">
        <v>0</v>
      </c>
      <c r="N2">
        <v>16</v>
      </c>
      <c r="O2">
        <v>16</v>
      </c>
    </row>
    <row r="3" spans="1:15">
      <c r="A3" s="1" t="s">
        <v>15</v>
      </c>
      <c r="B3" t="s">
        <v>504</v>
      </c>
      <c r="C3" t="s">
        <v>509</v>
      </c>
      <c r="D3">
        <v>0</v>
      </c>
      <c r="E3">
        <v>38.1762611</v>
      </c>
      <c r="F3">
        <v>-120.7997222</v>
      </c>
      <c r="G3" t="s">
        <v>513</v>
      </c>
      <c r="I3" t="s">
        <v>505</v>
      </c>
      <c r="J3">
        <v>0</v>
      </c>
      <c r="K3">
        <v>45</v>
      </c>
      <c r="L3">
        <v>120</v>
      </c>
      <c r="M3">
        <v>3</v>
      </c>
      <c r="N3">
        <v>117</v>
      </c>
      <c r="O3">
        <v>117</v>
      </c>
    </row>
    <row r="4" spans="1:15">
      <c r="A4" s="1" t="s">
        <v>16</v>
      </c>
      <c r="B4" t="s">
        <v>504</v>
      </c>
      <c r="C4" t="s">
        <v>509</v>
      </c>
      <c r="D4">
        <v>0</v>
      </c>
      <c r="E4">
        <v>37.6822222</v>
      </c>
      <c r="F4">
        <v>-119.0894444</v>
      </c>
      <c r="G4" t="s">
        <v>514</v>
      </c>
      <c r="I4" t="s">
        <v>505</v>
      </c>
      <c r="J4">
        <v>0</v>
      </c>
      <c r="K4">
        <v>80</v>
      </c>
      <c r="L4">
        <v>0</v>
      </c>
      <c r="M4">
        <v>0</v>
      </c>
      <c r="N4">
        <v>0</v>
      </c>
      <c r="O4">
        <v>0</v>
      </c>
    </row>
    <row r="5" spans="1:15">
      <c r="A5" s="1" t="s">
        <v>17</v>
      </c>
      <c r="B5" t="s">
        <v>504</v>
      </c>
      <c r="C5" t="s">
        <v>509</v>
      </c>
      <c r="D5">
        <v>0</v>
      </c>
      <c r="E5">
        <v>40.2169444</v>
      </c>
      <c r="F5">
        <v>-121.1677778</v>
      </c>
      <c r="G5" t="s">
        <v>515</v>
      </c>
      <c r="I5" t="s">
        <v>505</v>
      </c>
      <c r="J5">
        <v>0</v>
      </c>
      <c r="K5">
        <v>11</v>
      </c>
      <c r="L5">
        <v>0</v>
      </c>
      <c r="M5">
        <v>0</v>
      </c>
      <c r="N5">
        <v>0</v>
      </c>
      <c r="O5">
        <v>0</v>
      </c>
    </row>
    <row r="6" spans="1:15">
      <c r="A6" s="1" t="s">
        <v>18</v>
      </c>
      <c r="B6" t="s">
        <v>504</v>
      </c>
      <c r="C6" t="s">
        <v>509</v>
      </c>
      <c r="D6">
        <v>0</v>
      </c>
      <c r="E6">
        <v>40.8870639</v>
      </c>
      <c r="F6">
        <v>-122.7658139</v>
      </c>
      <c r="G6" t="s">
        <v>516</v>
      </c>
      <c r="I6" t="s">
        <v>505</v>
      </c>
      <c r="J6">
        <v>0</v>
      </c>
      <c r="K6">
        <v>349</v>
      </c>
      <c r="L6">
        <v>21</v>
      </c>
      <c r="M6">
        <v>21</v>
      </c>
      <c r="N6">
        <v>0</v>
      </c>
      <c r="O6">
        <v>0</v>
      </c>
    </row>
    <row r="7" spans="1:15">
      <c r="A7" s="1" t="s">
        <v>19</v>
      </c>
      <c r="B7" t="s">
        <v>504</v>
      </c>
      <c r="C7" t="s">
        <v>509</v>
      </c>
      <c r="D7">
        <v>0</v>
      </c>
      <c r="E7">
        <v>34.0141917</v>
      </c>
      <c r="F7">
        <v>-119.3677889</v>
      </c>
      <c r="G7" t="s">
        <v>517</v>
      </c>
      <c r="H7" t="s">
        <v>996</v>
      </c>
      <c r="I7" t="s">
        <v>505</v>
      </c>
      <c r="J7">
        <v>0</v>
      </c>
      <c r="K7">
        <v>147</v>
      </c>
      <c r="L7">
        <v>3</v>
      </c>
      <c r="M7">
        <v>0</v>
      </c>
      <c r="N7">
        <v>3</v>
      </c>
      <c r="O7">
        <v>3</v>
      </c>
    </row>
    <row r="8" spans="1:15">
      <c r="A8" s="1" t="s">
        <v>20</v>
      </c>
      <c r="B8" t="s">
        <v>505</v>
      </c>
      <c r="C8" t="s">
        <v>510</v>
      </c>
      <c r="D8">
        <v>0</v>
      </c>
      <c r="E8">
        <v>37.8641667</v>
      </c>
      <c r="F8">
        <v>-122.4308333</v>
      </c>
      <c r="G8" t="s">
        <v>518</v>
      </c>
      <c r="I8" t="s">
        <v>505</v>
      </c>
      <c r="J8">
        <v>0</v>
      </c>
      <c r="K8">
        <v>322</v>
      </c>
      <c r="L8">
        <v>0</v>
      </c>
      <c r="M8">
        <v>0</v>
      </c>
      <c r="N8">
        <v>0</v>
      </c>
      <c r="O8">
        <v>0</v>
      </c>
    </row>
    <row r="9" spans="1:15">
      <c r="A9" s="1" t="s">
        <v>21</v>
      </c>
      <c r="B9" t="s">
        <v>506</v>
      </c>
      <c r="C9" t="s">
        <v>511</v>
      </c>
      <c r="D9">
        <v>0</v>
      </c>
      <c r="E9">
        <v>37.7352778</v>
      </c>
      <c r="F9">
        <v>-122.0961111</v>
      </c>
      <c r="G9" t="s">
        <v>519</v>
      </c>
      <c r="I9" t="s">
        <v>505</v>
      </c>
      <c r="J9">
        <v>0</v>
      </c>
      <c r="K9">
        <v>339</v>
      </c>
      <c r="L9">
        <v>0</v>
      </c>
      <c r="M9">
        <v>0</v>
      </c>
      <c r="N9">
        <v>0</v>
      </c>
      <c r="O9">
        <v>0</v>
      </c>
    </row>
    <row r="10" spans="1:15">
      <c r="A10" s="1" t="s">
        <v>22</v>
      </c>
      <c r="B10" t="s">
        <v>504</v>
      </c>
      <c r="C10" t="s">
        <v>509</v>
      </c>
      <c r="D10">
        <v>0</v>
      </c>
      <c r="E10">
        <v>40.8875</v>
      </c>
      <c r="F10">
        <v>-122.3775</v>
      </c>
      <c r="G10" t="s">
        <v>520</v>
      </c>
      <c r="I10" t="s">
        <v>505</v>
      </c>
      <c r="J10">
        <v>0</v>
      </c>
      <c r="K10">
        <v>354</v>
      </c>
      <c r="L10">
        <v>45</v>
      </c>
      <c r="M10">
        <v>0</v>
      </c>
      <c r="N10">
        <v>45</v>
      </c>
      <c r="O10">
        <v>45</v>
      </c>
    </row>
    <row r="11" spans="1:15">
      <c r="A11" s="1" t="s">
        <v>23</v>
      </c>
      <c r="B11" t="s">
        <v>505</v>
      </c>
      <c r="C11" t="s">
        <v>510</v>
      </c>
      <c r="D11">
        <v>0</v>
      </c>
      <c r="E11">
        <v>33.2686111</v>
      </c>
      <c r="F11">
        <v>-116.4052778</v>
      </c>
      <c r="G11" t="s">
        <v>521</v>
      </c>
      <c r="I11" t="s">
        <v>505</v>
      </c>
      <c r="J11">
        <v>0</v>
      </c>
      <c r="K11">
        <v>130</v>
      </c>
      <c r="L11">
        <v>0</v>
      </c>
      <c r="M11">
        <v>0</v>
      </c>
      <c r="N11">
        <v>0</v>
      </c>
      <c r="O11">
        <v>0</v>
      </c>
    </row>
    <row r="12" spans="1:15">
      <c r="A12" s="1" t="s">
        <v>24</v>
      </c>
      <c r="B12" t="s">
        <v>504</v>
      </c>
      <c r="C12" t="s">
        <v>509</v>
      </c>
      <c r="D12">
        <v>0</v>
      </c>
      <c r="E12">
        <v>36.2397222</v>
      </c>
      <c r="F12">
        <v>-121.4786111</v>
      </c>
      <c r="G12" t="s">
        <v>522</v>
      </c>
      <c r="I12" t="s">
        <v>505</v>
      </c>
      <c r="J12">
        <v>0</v>
      </c>
      <c r="K12">
        <v>162</v>
      </c>
      <c r="L12">
        <v>4</v>
      </c>
      <c r="M12">
        <v>4</v>
      </c>
      <c r="N12">
        <v>0</v>
      </c>
      <c r="O12">
        <v>0</v>
      </c>
    </row>
    <row r="13" spans="1:15">
      <c r="A13" s="1" t="s">
        <v>25</v>
      </c>
      <c r="B13" t="s">
        <v>504</v>
      </c>
      <c r="C13" t="s">
        <v>509</v>
      </c>
      <c r="D13">
        <v>0</v>
      </c>
      <c r="E13">
        <v>37.5236111</v>
      </c>
      <c r="F13">
        <v>-118.7119444</v>
      </c>
      <c r="G13" t="s">
        <v>523</v>
      </c>
      <c r="I13" t="s">
        <v>505</v>
      </c>
      <c r="J13">
        <v>0</v>
      </c>
      <c r="K13">
        <v>84</v>
      </c>
      <c r="L13">
        <v>0</v>
      </c>
      <c r="M13">
        <v>0</v>
      </c>
      <c r="N13">
        <v>0</v>
      </c>
      <c r="O13">
        <v>0</v>
      </c>
    </row>
    <row r="14" spans="1:15">
      <c r="A14" s="1" t="s">
        <v>26</v>
      </c>
      <c r="B14" t="s">
        <v>504</v>
      </c>
      <c r="C14" t="s">
        <v>509</v>
      </c>
      <c r="D14">
        <v>0</v>
      </c>
      <c r="E14">
        <v>39.5072222</v>
      </c>
      <c r="F14">
        <v>-120.54</v>
      </c>
      <c r="G14" t="s">
        <v>524</v>
      </c>
      <c r="I14" t="s">
        <v>505</v>
      </c>
      <c r="J14">
        <v>0</v>
      </c>
      <c r="K14">
        <v>25</v>
      </c>
      <c r="L14">
        <v>0</v>
      </c>
      <c r="M14">
        <v>0</v>
      </c>
      <c r="N14">
        <v>0</v>
      </c>
      <c r="O14">
        <v>0</v>
      </c>
    </row>
    <row r="15" spans="1:15">
      <c r="A15" s="1" t="s">
        <v>27</v>
      </c>
      <c r="B15" t="s">
        <v>504</v>
      </c>
      <c r="C15" t="s">
        <v>509</v>
      </c>
      <c r="D15">
        <v>0</v>
      </c>
      <c r="E15">
        <v>36.7811111</v>
      </c>
      <c r="F15">
        <v>-118.9027778</v>
      </c>
      <c r="G15" t="s">
        <v>525</v>
      </c>
      <c r="I15" t="s">
        <v>505</v>
      </c>
      <c r="J15">
        <v>0</v>
      </c>
      <c r="K15">
        <v>101</v>
      </c>
      <c r="L15">
        <v>0</v>
      </c>
      <c r="M15">
        <v>0</v>
      </c>
      <c r="N15">
        <v>0</v>
      </c>
      <c r="O15">
        <v>0</v>
      </c>
    </row>
    <row r="16" spans="1:15">
      <c r="A16" s="1" t="s">
        <v>28</v>
      </c>
      <c r="B16" t="s">
        <v>504</v>
      </c>
      <c r="C16" t="s">
        <v>509</v>
      </c>
      <c r="D16">
        <v>0</v>
      </c>
      <c r="E16">
        <v>37.2694444</v>
      </c>
      <c r="F16">
        <v>-119.115</v>
      </c>
      <c r="G16" t="s">
        <v>526</v>
      </c>
      <c r="I16" t="s">
        <v>505</v>
      </c>
      <c r="J16">
        <v>0</v>
      </c>
      <c r="K16">
        <v>90</v>
      </c>
      <c r="L16">
        <v>0</v>
      </c>
      <c r="M16">
        <v>0</v>
      </c>
      <c r="N16">
        <v>0</v>
      </c>
      <c r="O16">
        <v>0</v>
      </c>
    </row>
    <row r="17" spans="1:15">
      <c r="A17" s="1" t="s">
        <v>29</v>
      </c>
      <c r="B17" t="s">
        <v>504</v>
      </c>
      <c r="C17" t="s">
        <v>509</v>
      </c>
      <c r="D17">
        <v>0</v>
      </c>
      <c r="E17">
        <v>40.8016667</v>
      </c>
      <c r="F17">
        <v>-122.2819444</v>
      </c>
      <c r="G17" t="s">
        <v>527</v>
      </c>
      <c r="I17" t="s">
        <v>505</v>
      </c>
      <c r="J17">
        <v>0</v>
      </c>
      <c r="K17">
        <v>355</v>
      </c>
      <c r="L17">
        <v>6</v>
      </c>
      <c r="M17">
        <v>0</v>
      </c>
      <c r="N17">
        <v>6</v>
      </c>
      <c r="O17">
        <v>6</v>
      </c>
    </row>
    <row r="18" spans="1:15">
      <c r="A18" s="1" t="s">
        <v>30</v>
      </c>
      <c r="B18" t="s">
        <v>504</v>
      </c>
      <c r="C18" t="s">
        <v>509</v>
      </c>
      <c r="D18">
        <v>0</v>
      </c>
      <c r="E18">
        <v>34.3452778</v>
      </c>
      <c r="F18">
        <v>-118.0047222</v>
      </c>
      <c r="G18" t="s">
        <v>528</v>
      </c>
      <c r="I18" t="s">
        <v>505</v>
      </c>
      <c r="J18">
        <v>0</v>
      </c>
      <c r="K18">
        <v>132</v>
      </c>
      <c r="L18">
        <v>0</v>
      </c>
      <c r="M18">
        <v>0</v>
      </c>
      <c r="N18">
        <v>0</v>
      </c>
      <c r="O18">
        <v>0</v>
      </c>
    </row>
    <row r="19" spans="1:15">
      <c r="A19" s="1" t="s">
        <v>31</v>
      </c>
      <c r="B19" t="s">
        <v>504</v>
      </c>
      <c r="C19" t="s">
        <v>509</v>
      </c>
      <c r="D19">
        <v>0</v>
      </c>
      <c r="E19">
        <v>34.1722222</v>
      </c>
      <c r="F19">
        <v>-116.8744444</v>
      </c>
      <c r="G19" t="s">
        <v>529</v>
      </c>
      <c r="I19" t="s">
        <v>505</v>
      </c>
      <c r="J19">
        <v>0</v>
      </c>
      <c r="K19">
        <v>126</v>
      </c>
      <c r="L19">
        <v>8</v>
      </c>
      <c r="M19">
        <v>0</v>
      </c>
      <c r="N19">
        <v>8</v>
      </c>
      <c r="O19">
        <v>8</v>
      </c>
    </row>
    <row r="20" spans="1:15">
      <c r="A20" s="1" t="s">
        <v>32</v>
      </c>
      <c r="B20" t="s">
        <v>504</v>
      </c>
      <c r="C20" t="s">
        <v>509</v>
      </c>
      <c r="D20">
        <v>0</v>
      </c>
      <c r="E20">
        <v>38.5338889</v>
      </c>
      <c r="F20">
        <v>-120.2188889</v>
      </c>
      <c r="G20" t="s">
        <v>530</v>
      </c>
      <c r="I20" t="s">
        <v>505</v>
      </c>
      <c r="J20">
        <v>0</v>
      </c>
      <c r="K20">
        <v>47</v>
      </c>
      <c r="L20">
        <v>3</v>
      </c>
      <c r="M20">
        <v>0</v>
      </c>
      <c r="N20">
        <v>3</v>
      </c>
      <c r="O20">
        <v>3</v>
      </c>
    </row>
    <row r="21" spans="1:15">
      <c r="A21" s="1" t="s">
        <v>33</v>
      </c>
      <c r="B21" t="s">
        <v>504</v>
      </c>
      <c r="C21" t="s">
        <v>509</v>
      </c>
      <c r="D21">
        <v>0</v>
      </c>
      <c r="E21">
        <v>36.1416667</v>
      </c>
      <c r="F21">
        <v>-118.5997222</v>
      </c>
      <c r="G21" t="s">
        <v>531</v>
      </c>
      <c r="I21" t="s">
        <v>505</v>
      </c>
      <c r="J21">
        <v>0</v>
      </c>
      <c r="K21">
        <v>113</v>
      </c>
      <c r="L21">
        <v>1</v>
      </c>
      <c r="M21">
        <v>0</v>
      </c>
      <c r="N21">
        <v>1</v>
      </c>
      <c r="O21">
        <v>1</v>
      </c>
    </row>
    <row r="22" spans="1:15">
      <c r="A22" s="1" t="s">
        <v>34</v>
      </c>
      <c r="B22" t="s">
        <v>504</v>
      </c>
      <c r="C22" t="s">
        <v>509</v>
      </c>
      <c r="D22">
        <v>0</v>
      </c>
      <c r="E22">
        <v>39.6277778</v>
      </c>
      <c r="F22">
        <v>-120.6447222</v>
      </c>
      <c r="G22" t="s">
        <v>532</v>
      </c>
      <c r="I22" t="s">
        <v>505</v>
      </c>
      <c r="J22">
        <v>0</v>
      </c>
      <c r="K22">
        <v>22</v>
      </c>
      <c r="L22">
        <v>4</v>
      </c>
      <c r="M22">
        <v>0</v>
      </c>
      <c r="N22">
        <v>4</v>
      </c>
      <c r="O22">
        <v>4</v>
      </c>
    </row>
    <row r="23" spans="1:15">
      <c r="A23" s="1" t="s">
        <v>35</v>
      </c>
      <c r="B23" t="s">
        <v>505</v>
      </c>
      <c r="C23" t="s">
        <v>510</v>
      </c>
      <c r="D23">
        <v>0</v>
      </c>
      <c r="E23">
        <v>37.1852778</v>
      </c>
      <c r="F23">
        <v>-122.2286111</v>
      </c>
      <c r="G23" t="s">
        <v>533</v>
      </c>
      <c r="I23" t="s">
        <v>505</v>
      </c>
      <c r="J23">
        <v>0</v>
      </c>
      <c r="K23">
        <v>241</v>
      </c>
      <c r="L23">
        <v>0</v>
      </c>
      <c r="M23">
        <v>0</v>
      </c>
      <c r="N23">
        <v>0</v>
      </c>
      <c r="O23">
        <v>0</v>
      </c>
    </row>
    <row r="24" spans="1:15">
      <c r="A24" s="1" t="s">
        <v>36</v>
      </c>
      <c r="B24" t="s">
        <v>504</v>
      </c>
      <c r="C24" t="s">
        <v>509</v>
      </c>
      <c r="D24">
        <v>0</v>
      </c>
      <c r="E24">
        <v>39.3063889</v>
      </c>
      <c r="F24">
        <v>-120.5194444</v>
      </c>
      <c r="G24" t="s">
        <v>534</v>
      </c>
      <c r="I24" t="s">
        <v>505</v>
      </c>
      <c r="J24">
        <v>0</v>
      </c>
      <c r="K24">
        <v>28</v>
      </c>
      <c r="L24">
        <v>1</v>
      </c>
      <c r="M24">
        <v>1</v>
      </c>
      <c r="N24">
        <v>0</v>
      </c>
      <c r="O24">
        <v>0</v>
      </c>
    </row>
    <row r="25" spans="1:15">
      <c r="A25" s="1" t="s">
        <v>37</v>
      </c>
      <c r="B25" t="s">
        <v>504</v>
      </c>
      <c r="C25" t="s">
        <v>509</v>
      </c>
      <c r="D25">
        <v>0</v>
      </c>
      <c r="E25">
        <v>39.9019444</v>
      </c>
      <c r="F25">
        <v>-120.1725</v>
      </c>
      <c r="G25" t="s">
        <v>535</v>
      </c>
      <c r="I25" t="s">
        <v>505</v>
      </c>
      <c r="J25">
        <v>0</v>
      </c>
      <c r="K25">
        <v>27</v>
      </c>
      <c r="L25">
        <v>0</v>
      </c>
      <c r="M25">
        <v>0</v>
      </c>
      <c r="N25">
        <v>0</v>
      </c>
      <c r="O25">
        <v>0</v>
      </c>
    </row>
    <row r="26" spans="1:15">
      <c r="A26" s="1" t="s">
        <v>38</v>
      </c>
      <c r="B26" t="s">
        <v>504</v>
      </c>
      <c r="C26" t="s">
        <v>509</v>
      </c>
      <c r="D26">
        <v>0</v>
      </c>
      <c r="E26">
        <v>38.4163889</v>
      </c>
      <c r="F26">
        <v>-120.105</v>
      </c>
      <c r="G26" t="s">
        <v>536</v>
      </c>
      <c r="I26" t="s">
        <v>505</v>
      </c>
      <c r="J26">
        <v>0</v>
      </c>
      <c r="K26">
        <v>52</v>
      </c>
      <c r="L26">
        <v>0</v>
      </c>
      <c r="M26">
        <v>0</v>
      </c>
      <c r="N26">
        <v>0</v>
      </c>
      <c r="O26">
        <v>0</v>
      </c>
    </row>
    <row r="27" spans="1:15">
      <c r="A27" s="1" t="s">
        <v>39</v>
      </c>
      <c r="B27" t="s">
        <v>504</v>
      </c>
      <c r="C27" t="s">
        <v>509</v>
      </c>
      <c r="D27">
        <v>0</v>
      </c>
      <c r="E27">
        <v>37.1283333</v>
      </c>
      <c r="F27">
        <v>-118.4222222</v>
      </c>
      <c r="G27" t="s">
        <v>537</v>
      </c>
      <c r="I27" t="s">
        <v>505</v>
      </c>
      <c r="J27">
        <v>0</v>
      </c>
      <c r="K27">
        <v>93</v>
      </c>
      <c r="L27">
        <v>0</v>
      </c>
      <c r="M27">
        <v>0</v>
      </c>
      <c r="N27">
        <v>0</v>
      </c>
      <c r="O27">
        <v>0</v>
      </c>
    </row>
    <row r="28" spans="1:15">
      <c r="A28" s="1" t="s">
        <v>40</v>
      </c>
      <c r="B28" t="s">
        <v>504</v>
      </c>
      <c r="C28" t="s">
        <v>509</v>
      </c>
      <c r="D28">
        <v>0</v>
      </c>
      <c r="E28">
        <v>37.1258333</v>
      </c>
      <c r="F28">
        <v>-118.4325</v>
      </c>
      <c r="G28" t="s">
        <v>538</v>
      </c>
      <c r="I28" t="s">
        <v>505</v>
      </c>
      <c r="J28">
        <v>0</v>
      </c>
      <c r="K28">
        <v>93</v>
      </c>
      <c r="L28">
        <v>0</v>
      </c>
      <c r="M28">
        <v>0</v>
      </c>
      <c r="N28">
        <v>0</v>
      </c>
      <c r="O28">
        <v>0</v>
      </c>
    </row>
    <row r="29" spans="1:15">
      <c r="A29" s="1" t="s">
        <v>41</v>
      </c>
      <c r="B29" t="s">
        <v>504</v>
      </c>
      <c r="C29" t="s">
        <v>509</v>
      </c>
      <c r="D29">
        <v>0</v>
      </c>
      <c r="E29">
        <v>38.8791667</v>
      </c>
      <c r="F29">
        <v>-120.3625</v>
      </c>
      <c r="G29" t="s">
        <v>539</v>
      </c>
      <c r="I29" t="s">
        <v>505</v>
      </c>
      <c r="J29">
        <v>0</v>
      </c>
      <c r="K29">
        <v>37</v>
      </c>
      <c r="L29">
        <v>0</v>
      </c>
      <c r="M29">
        <v>0</v>
      </c>
      <c r="N29">
        <v>0</v>
      </c>
      <c r="O29">
        <v>0</v>
      </c>
    </row>
    <row r="30" spans="1:15">
      <c r="A30" s="1" t="s">
        <v>42</v>
      </c>
      <c r="B30" t="s">
        <v>504</v>
      </c>
      <c r="C30" t="s">
        <v>509</v>
      </c>
      <c r="D30">
        <v>0</v>
      </c>
      <c r="E30">
        <v>37.2438889</v>
      </c>
      <c r="F30">
        <v>-118.5933333</v>
      </c>
      <c r="G30" t="s">
        <v>540</v>
      </c>
      <c r="I30" t="s">
        <v>505</v>
      </c>
      <c r="J30">
        <v>0</v>
      </c>
      <c r="K30">
        <v>90</v>
      </c>
      <c r="L30">
        <v>0</v>
      </c>
      <c r="M30">
        <v>0</v>
      </c>
      <c r="N30">
        <v>0</v>
      </c>
      <c r="O30">
        <v>0</v>
      </c>
    </row>
    <row r="31" spans="1:15">
      <c r="A31" s="1" t="s">
        <v>43</v>
      </c>
      <c r="B31" t="s">
        <v>506</v>
      </c>
      <c r="C31" t="s">
        <v>511</v>
      </c>
      <c r="D31">
        <v>0</v>
      </c>
      <c r="E31">
        <v>37.9583333</v>
      </c>
      <c r="F31">
        <v>-37121.8630556</v>
      </c>
      <c r="G31" t="s">
        <v>541</v>
      </c>
      <c r="I31" t="s">
        <v>505</v>
      </c>
      <c r="J31">
        <v>0</v>
      </c>
      <c r="K31">
        <v>62</v>
      </c>
      <c r="L31">
        <v>0</v>
      </c>
      <c r="M31">
        <v>0</v>
      </c>
      <c r="N31">
        <v>0</v>
      </c>
      <c r="O31">
        <v>0</v>
      </c>
    </row>
    <row r="32" spans="1:15">
      <c r="A32" s="1" t="s">
        <v>44</v>
      </c>
      <c r="B32" t="s">
        <v>507</v>
      </c>
      <c r="C32" t="s">
        <v>511</v>
      </c>
      <c r="D32">
        <v>0</v>
      </c>
      <c r="E32">
        <v>33.3858333</v>
      </c>
      <c r="F32">
        <v>-118.4061111</v>
      </c>
      <c r="G32" t="s">
        <v>542</v>
      </c>
      <c r="I32" t="s">
        <v>505</v>
      </c>
      <c r="J32">
        <v>0</v>
      </c>
      <c r="K32">
        <v>143</v>
      </c>
      <c r="L32">
        <v>7</v>
      </c>
      <c r="M32">
        <v>0</v>
      </c>
      <c r="N32">
        <v>7</v>
      </c>
      <c r="O32">
        <v>7</v>
      </c>
    </row>
    <row r="33" spans="1:15">
      <c r="A33" s="1" t="s">
        <v>45</v>
      </c>
      <c r="B33" t="s">
        <v>504</v>
      </c>
      <c r="C33" t="s">
        <v>509</v>
      </c>
      <c r="D33">
        <v>0</v>
      </c>
      <c r="E33">
        <v>33.8341667</v>
      </c>
      <c r="F33">
        <v>-116.7388889</v>
      </c>
      <c r="G33" t="s">
        <v>543</v>
      </c>
      <c r="I33" t="s">
        <v>505</v>
      </c>
      <c r="J33">
        <v>0</v>
      </c>
      <c r="K33">
        <v>128</v>
      </c>
      <c r="L33">
        <v>0</v>
      </c>
      <c r="M33">
        <v>0</v>
      </c>
      <c r="N33">
        <v>0</v>
      </c>
      <c r="O33">
        <v>0</v>
      </c>
    </row>
    <row r="34" spans="1:15">
      <c r="A34" s="1" t="s">
        <v>46</v>
      </c>
      <c r="B34" t="s">
        <v>504</v>
      </c>
      <c r="C34" t="s">
        <v>509</v>
      </c>
      <c r="D34">
        <v>0</v>
      </c>
      <c r="E34">
        <v>40.1152778</v>
      </c>
      <c r="F34">
        <v>-120.3211111</v>
      </c>
      <c r="G34" t="s">
        <v>544</v>
      </c>
      <c r="I34" t="s">
        <v>505</v>
      </c>
      <c r="J34">
        <v>0</v>
      </c>
      <c r="K34">
        <v>23</v>
      </c>
      <c r="L34">
        <v>0</v>
      </c>
      <c r="M34">
        <v>0</v>
      </c>
      <c r="N34">
        <v>0</v>
      </c>
      <c r="O34">
        <v>0</v>
      </c>
    </row>
    <row r="35" spans="1:15">
      <c r="A35" s="1" t="s">
        <v>47</v>
      </c>
      <c r="B35" t="s">
        <v>504</v>
      </c>
      <c r="C35" t="s">
        <v>509</v>
      </c>
      <c r="D35">
        <v>0</v>
      </c>
      <c r="E35">
        <v>38.9041667</v>
      </c>
      <c r="F35">
        <v>-120.5875</v>
      </c>
      <c r="G35" t="s">
        <v>545</v>
      </c>
      <c r="I35" t="s">
        <v>505</v>
      </c>
      <c r="J35">
        <v>0</v>
      </c>
      <c r="K35">
        <v>32</v>
      </c>
      <c r="L35">
        <v>2</v>
      </c>
      <c r="M35">
        <v>0</v>
      </c>
      <c r="N35">
        <v>2</v>
      </c>
      <c r="O35">
        <v>2</v>
      </c>
    </row>
    <row r="36" spans="1:15">
      <c r="A36" s="1" t="s">
        <v>48</v>
      </c>
      <c r="B36" t="s">
        <v>504</v>
      </c>
      <c r="C36" t="s">
        <v>509</v>
      </c>
      <c r="D36">
        <v>0</v>
      </c>
      <c r="E36">
        <v>34.0716667</v>
      </c>
      <c r="F36">
        <v>-116.3891667</v>
      </c>
      <c r="G36" t="s">
        <v>546</v>
      </c>
      <c r="I36" t="s">
        <v>505</v>
      </c>
      <c r="J36">
        <v>0</v>
      </c>
      <c r="K36">
        <v>124</v>
      </c>
      <c r="L36">
        <v>0</v>
      </c>
      <c r="M36">
        <v>0</v>
      </c>
      <c r="N36">
        <v>0</v>
      </c>
      <c r="O36">
        <v>0</v>
      </c>
    </row>
    <row r="37" spans="1:15">
      <c r="A37" s="1" t="s">
        <v>49</v>
      </c>
      <c r="B37" t="s">
        <v>504</v>
      </c>
      <c r="C37" t="s">
        <v>509</v>
      </c>
      <c r="D37">
        <v>0</v>
      </c>
      <c r="E37">
        <v>34.2233333</v>
      </c>
      <c r="F37">
        <v>-116.975</v>
      </c>
      <c r="G37" t="s">
        <v>547</v>
      </c>
      <c r="I37" t="s">
        <v>505</v>
      </c>
      <c r="J37">
        <v>0</v>
      </c>
      <c r="K37">
        <v>126</v>
      </c>
      <c r="L37">
        <v>0</v>
      </c>
      <c r="M37">
        <v>0</v>
      </c>
      <c r="N37">
        <v>0</v>
      </c>
      <c r="O37">
        <v>0</v>
      </c>
    </row>
    <row r="38" spans="1:15">
      <c r="A38" s="1" t="s">
        <v>50</v>
      </c>
      <c r="B38" t="s">
        <v>504</v>
      </c>
      <c r="C38" t="s">
        <v>509</v>
      </c>
      <c r="D38">
        <v>0</v>
      </c>
      <c r="E38">
        <v>38.7083333</v>
      </c>
      <c r="F38">
        <v>-123</v>
      </c>
      <c r="G38" t="s">
        <v>548</v>
      </c>
      <c r="I38" t="s">
        <v>505</v>
      </c>
      <c r="J38">
        <v>0</v>
      </c>
      <c r="K38">
        <v>328</v>
      </c>
      <c r="L38">
        <v>72</v>
      </c>
      <c r="M38">
        <v>0</v>
      </c>
      <c r="N38">
        <v>72</v>
      </c>
      <c r="O38">
        <v>72</v>
      </c>
    </row>
    <row r="39" spans="1:15">
      <c r="A39" s="1" t="s">
        <v>51</v>
      </c>
      <c r="B39" t="s">
        <v>504</v>
      </c>
      <c r="C39" t="s">
        <v>509</v>
      </c>
      <c r="D39">
        <v>0</v>
      </c>
      <c r="E39">
        <v>39.3941667</v>
      </c>
      <c r="F39">
        <v>-120.1055556</v>
      </c>
      <c r="G39" t="s">
        <v>549</v>
      </c>
      <c r="I39" t="s">
        <v>505</v>
      </c>
      <c r="J39">
        <v>0</v>
      </c>
      <c r="K39">
        <v>33</v>
      </c>
      <c r="L39">
        <v>19</v>
      </c>
      <c r="M39">
        <v>0</v>
      </c>
      <c r="N39">
        <v>19</v>
      </c>
      <c r="O39">
        <v>19</v>
      </c>
    </row>
    <row r="40" spans="1:15">
      <c r="A40" s="1" t="s">
        <v>52</v>
      </c>
      <c r="B40" t="s">
        <v>504</v>
      </c>
      <c r="C40" t="s">
        <v>509</v>
      </c>
      <c r="D40">
        <v>0</v>
      </c>
      <c r="E40">
        <v>39.4191667</v>
      </c>
      <c r="F40">
        <v>-120.0863889</v>
      </c>
      <c r="G40" t="s">
        <v>550</v>
      </c>
      <c r="I40" t="s">
        <v>505</v>
      </c>
      <c r="J40">
        <v>0</v>
      </c>
      <c r="K40">
        <v>33</v>
      </c>
      <c r="L40">
        <v>33</v>
      </c>
      <c r="M40">
        <v>0</v>
      </c>
      <c r="N40">
        <v>33</v>
      </c>
      <c r="O40">
        <v>33</v>
      </c>
    </row>
    <row r="41" spans="1:15">
      <c r="A41" s="1" t="s">
        <v>53</v>
      </c>
      <c r="B41" t="s">
        <v>504</v>
      </c>
      <c r="C41" t="s">
        <v>509</v>
      </c>
      <c r="D41">
        <v>0</v>
      </c>
      <c r="E41">
        <v>39.4225</v>
      </c>
      <c r="F41">
        <v>-120.0786111</v>
      </c>
      <c r="G41" t="s">
        <v>551</v>
      </c>
      <c r="I41" t="s">
        <v>505</v>
      </c>
      <c r="J41">
        <v>0</v>
      </c>
      <c r="K41">
        <v>33</v>
      </c>
      <c r="L41">
        <v>13</v>
      </c>
      <c r="M41">
        <v>0</v>
      </c>
      <c r="N41">
        <v>13</v>
      </c>
      <c r="O41">
        <v>13</v>
      </c>
    </row>
    <row r="42" spans="1:15">
      <c r="A42" s="1" t="s">
        <v>54</v>
      </c>
      <c r="B42" t="s">
        <v>505</v>
      </c>
      <c r="C42" t="s">
        <v>510</v>
      </c>
      <c r="D42">
        <v>0</v>
      </c>
      <c r="E42">
        <v>38.5458333</v>
      </c>
      <c r="F42">
        <v>-122.5344444</v>
      </c>
      <c r="G42" t="s">
        <v>552</v>
      </c>
      <c r="I42" t="s">
        <v>505</v>
      </c>
      <c r="J42">
        <v>0</v>
      </c>
      <c r="K42">
        <v>338</v>
      </c>
      <c r="L42">
        <v>0</v>
      </c>
      <c r="M42">
        <v>0</v>
      </c>
      <c r="N42">
        <v>0</v>
      </c>
      <c r="O42">
        <v>0</v>
      </c>
    </row>
    <row r="43" spans="1:15">
      <c r="A43" s="1" t="s">
        <v>55</v>
      </c>
      <c r="B43" t="s">
        <v>504</v>
      </c>
      <c r="C43" t="s">
        <v>509</v>
      </c>
      <c r="D43">
        <v>0</v>
      </c>
      <c r="E43">
        <v>33.8263889</v>
      </c>
      <c r="F43">
        <v>-116.7538889</v>
      </c>
      <c r="G43" t="s">
        <v>553</v>
      </c>
      <c r="I43" t="s">
        <v>505</v>
      </c>
      <c r="J43">
        <v>0</v>
      </c>
      <c r="K43">
        <v>128</v>
      </c>
      <c r="L43">
        <v>10</v>
      </c>
      <c r="M43">
        <v>0</v>
      </c>
      <c r="N43">
        <v>10</v>
      </c>
      <c r="O43">
        <v>10</v>
      </c>
    </row>
    <row r="44" spans="1:15">
      <c r="A44" s="1" t="s">
        <v>56</v>
      </c>
      <c r="B44" t="s">
        <v>504</v>
      </c>
      <c r="C44" t="s">
        <v>509</v>
      </c>
      <c r="D44">
        <v>0</v>
      </c>
      <c r="E44">
        <v>40.1833333</v>
      </c>
      <c r="F44">
        <v>-120.6119444</v>
      </c>
      <c r="G44" t="s">
        <v>554</v>
      </c>
      <c r="I44" t="s">
        <v>505</v>
      </c>
      <c r="J44">
        <v>0</v>
      </c>
      <c r="K44">
        <v>19</v>
      </c>
      <c r="L44">
        <v>0</v>
      </c>
      <c r="M44">
        <v>0</v>
      </c>
      <c r="N44">
        <v>0</v>
      </c>
      <c r="O44">
        <v>0</v>
      </c>
    </row>
    <row r="45" spans="1:15">
      <c r="A45" s="1" t="s">
        <v>57</v>
      </c>
      <c r="B45" t="s">
        <v>504</v>
      </c>
      <c r="C45" t="s">
        <v>509</v>
      </c>
      <c r="D45">
        <v>0</v>
      </c>
      <c r="E45">
        <v>34.2233333</v>
      </c>
      <c r="F45">
        <v>-116.975</v>
      </c>
      <c r="G45" t="s">
        <v>555</v>
      </c>
      <c r="I45" t="s">
        <v>505</v>
      </c>
      <c r="J45">
        <v>0</v>
      </c>
      <c r="K45">
        <v>126</v>
      </c>
      <c r="L45">
        <v>0</v>
      </c>
      <c r="M45">
        <v>0</v>
      </c>
      <c r="N45">
        <v>0</v>
      </c>
      <c r="O45">
        <v>0</v>
      </c>
    </row>
    <row r="46" spans="1:15">
      <c r="A46" s="1" t="s">
        <v>58</v>
      </c>
      <c r="B46" t="s">
        <v>504</v>
      </c>
      <c r="C46" t="s">
        <v>509</v>
      </c>
      <c r="D46">
        <v>0</v>
      </c>
      <c r="E46">
        <v>35.6725</v>
      </c>
      <c r="F46">
        <v>-118.4691667</v>
      </c>
      <c r="G46" t="s">
        <v>556</v>
      </c>
      <c r="I46" t="s">
        <v>505</v>
      </c>
      <c r="J46">
        <v>0</v>
      </c>
      <c r="K46">
        <v>119</v>
      </c>
      <c r="L46">
        <v>58</v>
      </c>
      <c r="M46">
        <v>0</v>
      </c>
      <c r="N46">
        <v>58</v>
      </c>
      <c r="O46">
        <v>58</v>
      </c>
    </row>
    <row r="47" spans="1:15">
      <c r="A47" s="1" t="s">
        <v>59</v>
      </c>
      <c r="B47" t="s">
        <v>504</v>
      </c>
      <c r="C47" t="s">
        <v>509</v>
      </c>
      <c r="D47">
        <v>0</v>
      </c>
      <c r="E47">
        <v>32.7302778</v>
      </c>
      <c r="F47">
        <v>-116.4825</v>
      </c>
      <c r="G47" t="s">
        <v>557</v>
      </c>
      <c r="I47" t="s">
        <v>505</v>
      </c>
      <c r="J47">
        <v>0</v>
      </c>
      <c r="K47">
        <v>134</v>
      </c>
      <c r="L47">
        <v>0</v>
      </c>
      <c r="M47">
        <v>0</v>
      </c>
      <c r="N47">
        <v>0</v>
      </c>
      <c r="O47">
        <v>0</v>
      </c>
    </row>
    <row r="48" spans="1:15">
      <c r="A48" s="1" t="s">
        <v>60</v>
      </c>
      <c r="B48" t="s">
        <v>504</v>
      </c>
      <c r="C48" t="s">
        <v>509</v>
      </c>
      <c r="D48">
        <v>0</v>
      </c>
      <c r="E48">
        <v>39.4375</v>
      </c>
      <c r="F48">
        <v>-120.0908333</v>
      </c>
      <c r="G48" t="s">
        <v>558</v>
      </c>
      <c r="I48" t="s">
        <v>505</v>
      </c>
      <c r="J48">
        <v>0</v>
      </c>
      <c r="K48">
        <v>33</v>
      </c>
      <c r="L48">
        <v>9</v>
      </c>
      <c r="M48">
        <v>0</v>
      </c>
      <c r="N48">
        <v>9</v>
      </c>
      <c r="O48">
        <v>9</v>
      </c>
    </row>
    <row r="49" spans="1:15">
      <c r="A49" s="1" t="s">
        <v>61</v>
      </c>
      <c r="B49" t="s">
        <v>505</v>
      </c>
      <c r="C49" t="s">
        <v>510</v>
      </c>
      <c r="D49">
        <v>0</v>
      </c>
      <c r="E49">
        <v>38.1104833</v>
      </c>
      <c r="F49">
        <v>-121.6970167</v>
      </c>
      <c r="G49" t="s">
        <v>559</v>
      </c>
      <c r="I49" t="s">
        <v>505</v>
      </c>
      <c r="J49">
        <v>0</v>
      </c>
      <c r="K49">
        <v>11</v>
      </c>
      <c r="L49">
        <v>99</v>
      </c>
      <c r="M49">
        <v>10</v>
      </c>
      <c r="N49">
        <v>89</v>
      </c>
      <c r="O49">
        <v>89</v>
      </c>
    </row>
    <row r="50" spans="1:15">
      <c r="A50" s="1" t="s">
        <v>62</v>
      </c>
      <c r="B50" t="s">
        <v>504</v>
      </c>
      <c r="C50" t="s">
        <v>509</v>
      </c>
      <c r="D50">
        <v>0</v>
      </c>
      <c r="E50">
        <v>36.5210556</v>
      </c>
      <c r="F50">
        <v>-118.7625972</v>
      </c>
      <c r="G50" t="s">
        <v>560</v>
      </c>
      <c r="H50" t="s">
        <v>997</v>
      </c>
      <c r="I50" t="s">
        <v>505</v>
      </c>
      <c r="J50">
        <v>0</v>
      </c>
      <c r="K50">
        <v>106</v>
      </c>
      <c r="L50">
        <v>0</v>
      </c>
      <c r="M50">
        <v>0</v>
      </c>
      <c r="N50">
        <v>0</v>
      </c>
      <c r="O50">
        <v>0</v>
      </c>
    </row>
    <row r="51" spans="1:15">
      <c r="A51" s="1" t="s">
        <v>63</v>
      </c>
      <c r="B51" t="s">
        <v>504</v>
      </c>
      <c r="C51" t="s">
        <v>509</v>
      </c>
      <c r="D51">
        <v>0</v>
      </c>
      <c r="E51">
        <v>39.8120972</v>
      </c>
      <c r="F51">
        <v>-122.3668389</v>
      </c>
      <c r="G51" t="s">
        <v>561</v>
      </c>
      <c r="I51" t="s">
        <v>505</v>
      </c>
      <c r="J51">
        <v>0</v>
      </c>
      <c r="K51">
        <v>351</v>
      </c>
      <c r="L51">
        <v>34</v>
      </c>
      <c r="M51">
        <v>0</v>
      </c>
      <c r="N51">
        <v>34</v>
      </c>
      <c r="O51">
        <v>34</v>
      </c>
    </row>
    <row r="52" spans="1:15">
      <c r="A52" s="1" t="s">
        <v>64</v>
      </c>
      <c r="B52" t="s">
        <v>504</v>
      </c>
      <c r="C52" t="s">
        <v>509</v>
      </c>
      <c r="D52">
        <v>0</v>
      </c>
      <c r="E52">
        <v>32.8613889</v>
      </c>
      <c r="F52">
        <v>-116.4161111</v>
      </c>
      <c r="G52" t="s">
        <v>562</v>
      </c>
      <c r="I52" t="s">
        <v>505</v>
      </c>
      <c r="J52">
        <v>0</v>
      </c>
      <c r="K52">
        <v>133</v>
      </c>
      <c r="L52">
        <v>36</v>
      </c>
      <c r="M52">
        <v>1</v>
      </c>
      <c r="N52">
        <v>35</v>
      </c>
      <c r="O52">
        <v>35</v>
      </c>
    </row>
    <row r="53" spans="1:15">
      <c r="A53" s="1" t="s">
        <v>65</v>
      </c>
      <c r="B53" t="s">
        <v>504</v>
      </c>
      <c r="C53" t="s">
        <v>509</v>
      </c>
      <c r="D53">
        <v>0</v>
      </c>
      <c r="E53">
        <v>39.2350056</v>
      </c>
      <c r="F53">
        <v>-123.1659333</v>
      </c>
      <c r="G53" t="s">
        <v>563</v>
      </c>
      <c r="H53" t="s">
        <v>998</v>
      </c>
      <c r="I53" t="s">
        <v>505</v>
      </c>
      <c r="J53">
        <v>0</v>
      </c>
      <c r="K53">
        <v>332</v>
      </c>
      <c r="L53">
        <v>100</v>
      </c>
      <c r="M53">
        <v>4</v>
      </c>
      <c r="N53">
        <v>96</v>
      </c>
      <c r="O53">
        <v>96</v>
      </c>
    </row>
    <row r="54" spans="1:15">
      <c r="A54" s="1" t="s">
        <v>66</v>
      </c>
      <c r="B54" t="s">
        <v>504</v>
      </c>
      <c r="C54" t="s">
        <v>509</v>
      </c>
      <c r="D54">
        <v>0</v>
      </c>
      <c r="E54">
        <v>40.855</v>
      </c>
      <c r="F54">
        <v>-122.8188889</v>
      </c>
      <c r="G54" t="s">
        <v>564</v>
      </c>
      <c r="I54" t="s">
        <v>505</v>
      </c>
      <c r="J54">
        <v>0</v>
      </c>
      <c r="K54">
        <v>348</v>
      </c>
      <c r="L54">
        <v>10</v>
      </c>
      <c r="M54">
        <v>0</v>
      </c>
      <c r="N54">
        <v>10</v>
      </c>
      <c r="O54">
        <v>10</v>
      </c>
    </row>
    <row r="55" spans="1:15">
      <c r="A55" s="1" t="s">
        <v>67</v>
      </c>
      <c r="B55" t="s">
        <v>505</v>
      </c>
      <c r="C55" t="s">
        <v>510</v>
      </c>
      <c r="D55">
        <v>0</v>
      </c>
      <c r="E55">
        <v>37.2227778</v>
      </c>
      <c r="F55">
        <v>-122.3022222</v>
      </c>
      <c r="G55" t="s">
        <v>565</v>
      </c>
      <c r="I55" t="s">
        <v>505</v>
      </c>
      <c r="J55">
        <v>0</v>
      </c>
      <c r="K55">
        <v>251</v>
      </c>
      <c r="L55">
        <v>0</v>
      </c>
      <c r="M55">
        <v>0</v>
      </c>
      <c r="N55">
        <v>0</v>
      </c>
      <c r="O55">
        <v>0</v>
      </c>
    </row>
    <row r="56" spans="1:15">
      <c r="A56" s="1" t="s">
        <v>68</v>
      </c>
      <c r="B56" t="s">
        <v>504</v>
      </c>
      <c r="C56" t="s">
        <v>509</v>
      </c>
      <c r="D56">
        <v>0</v>
      </c>
      <c r="E56">
        <v>40.565</v>
      </c>
      <c r="F56">
        <v>-121.3052778</v>
      </c>
      <c r="G56" t="s">
        <v>566</v>
      </c>
      <c r="I56" t="s">
        <v>505</v>
      </c>
      <c r="J56">
        <v>0</v>
      </c>
      <c r="K56">
        <v>8</v>
      </c>
      <c r="L56">
        <v>37</v>
      </c>
      <c r="M56">
        <v>0</v>
      </c>
      <c r="N56">
        <v>37</v>
      </c>
      <c r="O56">
        <v>37</v>
      </c>
    </row>
    <row r="57" spans="1:15">
      <c r="A57" s="1" t="s">
        <v>69</v>
      </c>
      <c r="B57" t="s">
        <v>504</v>
      </c>
      <c r="C57" t="s">
        <v>509</v>
      </c>
      <c r="E57">
        <v>40.565</v>
      </c>
      <c r="F57">
        <v>-121.3052778</v>
      </c>
      <c r="G57" t="s">
        <v>567</v>
      </c>
      <c r="I57" t="s">
        <v>505</v>
      </c>
      <c r="J57">
        <v>0</v>
      </c>
      <c r="K57">
        <v>8</v>
      </c>
      <c r="L57">
        <v>0</v>
      </c>
      <c r="M57">
        <v>0</v>
      </c>
      <c r="N57">
        <v>0</v>
      </c>
      <c r="O57">
        <v>0</v>
      </c>
    </row>
    <row r="58" spans="1:15">
      <c r="A58" s="1" t="s">
        <v>70</v>
      </c>
      <c r="B58" t="s">
        <v>504</v>
      </c>
      <c r="C58" t="s">
        <v>509</v>
      </c>
      <c r="D58">
        <v>0</v>
      </c>
      <c r="E58">
        <v>34.2352778</v>
      </c>
      <c r="F58">
        <v>-116.8802778</v>
      </c>
      <c r="G58" t="s">
        <v>568</v>
      </c>
      <c r="I58" t="s">
        <v>505</v>
      </c>
      <c r="J58">
        <v>0</v>
      </c>
      <c r="K58">
        <v>125</v>
      </c>
      <c r="L58">
        <v>0</v>
      </c>
      <c r="M58">
        <v>0</v>
      </c>
      <c r="N58">
        <v>0</v>
      </c>
      <c r="O58">
        <v>0</v>
      </c>
    </row>
    <row r="59" spans="1:15">
      <c r="A59" s="1" t="s">
        <v>71</v>
      </c>
      <c r="B59" t="s">
        <v>504</v>
      </c>
      <c r="C59" t="s">
        <v>509</v>
      </c>
      <c r="D59">
        <v>0</v>
      </c>
      <c r="E59">
        <v>39.52</v>
      </c>
      <c r="F59">
        <v>-120.9966667</v>
      </c>
      <c r="G59" t="s">
        <v>569</v>
      </c>
      <c r="I59" t="s">
        <v>505</v>
      </c>
      <c r="J59">
        <v>0</v>
      </c>
      <c r="K59">
        <v>17</v>
      </c>
      <c r="L59">
        <v>10</v>
      </c>
      <c r="M59">
        <v>0</v>
      </c>
      <c r="N59">
        <v>10</v>
      </c>
      <c r="O59">
        <v>10</v>
      </c>
    </row>
    <row r="60" spans="1:15">
      <c r="A60" s="1" t="s">
        <v>72</v>
      </c>
      <c r="B60" t="s">
        <v>505</v>
      </c>
      <c r="C60" t="s">
        <v>510</v>
      </c>
      <c r="D60">
        <v>0</v>
      </c>
      <c r="E60">
        <v>38.2719444</v>
      </c>
      <c r="F60">
        <v>-120.2866667</v>
      </c>
      <c r="G60" t="s">
        <v>570</v>
      </c>
      <c r="I60" t="s">
        <v>505</v>
      </c>
      <c r="J60">
        <v>0</v>
      </c>
      <c r="K60">
        <v>53</v>
      </c>
      <c r="L60">
        <v>7</v>
      </c>
      <c r="M60">
        <v>6</v>
      </c>
      <c r="N60">
        <v>1</v>
      </c>
      <c r="O60">
        <v>1</v>
      </c>
    </row>
    <row r="61" spans="1:15">
      <c r="A61" s="1" t="s">
        <v>73</v>
      </c>
      <c r="B61" t="s">
        <v>504</v>
      </c>
      <c r="C61" t="s">
        <v>509</v>
      </c>
      <c r="D61">
        <v>0</v>
      </c>
      <c r="E61">
        <v>41.2338889</v>
      </c>
      <c r="F61">
        <v>-121.9838889</v>
      </c>
      <c r="G61" t="s">
        <v>571</v>
      </c>
      <c r="H61" t="s">
        <v>997</v>
      </c>
      <c r="I61" t="s">
        <v>505</v>
      </c>
      <c r="J61">
        <v>0</v>
      </c>
      <c r="K61">
        <v>359</v>
      </c>
      <c r="L61">
        <v>0</v>
      </c>
      <c r="M61">
        <v>0</v>
      </c>
      <c r="N61">
        <v>0</v>
      </c>
      <c r="O61">
        <v>0</v>
      </c>
    </row>
    <row r="62" spans="1:15">
      <c r="A62" s="1" t="s">
        <v>74</v>
      </c>
      <c r="B62" t="s">
        <v>504</v>
      </c>
      <c r="C62" t="s">
        <v>509</v>
      </c>
      <c r="D62">
        <v>0</v>
      </c>
      <c r="E62">
        <v>35.6983333</v>
      </c>
      <c r="F62">
        <v>-118.4291667</v>
      </c>
      <c r="G62" t="s">
        <v>572</v>
      </c>
      <c r="I62" t="s">
        <v>505</v>
      </c>
      <c r="J62">
        <v>0</v>
      </c>
      <c r="K62">
        <v>119</v>
      </c>
      <c r="L62">
        <v>11</v>
      </c>
      <c r="M62">
        <v>0</v>
      </c>
      <c r="N62">
        <v>11</v>
      </c>
      <c r="O62">
        <v>11</v>
      </c>
    </row>
    <row r="63" spans="1:15">
      <c r="A63" s="1" t="s">
        <v>75</v>
      </c>
      <c r="B63" t="s">
        <v>504</v>
      </c>
      <c r="C63" t="s">
        <v>509</v>
      </c>
      <c r="D63">
        <v>0</v>
      </c>
      <c r="E63">
        <v>35.8066667</v>
      </c>
      <c r="F63">
        <v>-118.4527778</v>
      </c>
      <c r="G63" t="s">
        <v>573</v>
      </c>
      <c r="I63" t="s">
        <v>505</v>
      </c>
      <c r="J63">
        <v>0</v>
      </c>
      <c r="K63">
        <v>117</v>
      </c>
      <c r="L63">
        <v>31</v>
      </c>
      <c r="M63">
        <v>0</v>
      </c>
      <c r="N63">
        <v>31</v>
      </c>
      <c r="O63">
        <v>31</v>
      </c>
    </row>
    <row r="64" spans="1:15">
      <c r="A64" s="1" t="s">
        <v>76</v>
      </c>
      <c r="B64" t="s">
        <v>504</v>
      </c>
      <c r="C64" t="s">
        <v>509</v>
      </c>
      <c r="E64">
        <v>36.7872222</v>
      </c>
      <c r="F64">
        <v>-118.6652778</v>
      </c>
      <c r="G64" t="s">
        <v>574</v>
      </c>
      <c r="I64" t="s">
        <v>505</v>
      </c>
      <c r="J64">
        <v>0</v>
      </c>
      <c r="K64">
        <v>100</v>
      </c>
      <c r="L64">
        <v>0</v>
      </c>
      <c r="M64">
        <v>0</v>
      </c>
      <c r="N64">
        <v>0</v>
      </c>
      <c r="O64">
        <v>0</v>
      </c>
    </row>
    <row r="65" spans="1:15">
      <c r="A65" s="1" t="s">
        <v>77</v>
      </c>
      <c r="B65" t="s">
        <v>504</v>
      </c>
      <c r="C65" t="s">
        <v>509</v>
      </c>
      <c r="D65">
        <v>0</v>
      </c>
      <c r="E65">
        <v>38.6511111</v>
      </c>
      <c r="F65">
        <v>-120.4061111</v>
      </c>
      <c r="G65" t="s">
        <v>575</v>
      </c>
      <c r="I65" t="s">
        <v>505</v>
      </c>
      <c r="J65">
        <v>0</v>
      </c>
      <c r="K65">
        <v>41</v>
      </c>
      <c r="L65">
        <v>0</v>
      </c>
      <c r="M65">
        <v>0</v>
      </c>
      <c r="N65">
        <v>0</v>
      </c>
      <c r="O65">
        <v>0</v>
      </c>
    </row>
    <row r="66" spans="1:15">
      <c r="A66" s="1" t="s">
        <v>78</v>
      </c>
      <c r="B66" t="s">
        <v>504</v>
      </c>
      <c r="C66" t="s">
        <v>509</v>
      </c>
      <c r="D66">
        <v>0</v>
      </c>
      <c r="E66">
        <v>39.5191667</v>
      </c>
      <c r="F66">
        <v>-120.9997222</v>
      </c>
      <c r="G66" t="s">
        <v>576</v>
      </c>
      <c r="I66" t="s">
        <v>505</v>
      </c>
      <c r="J66">
        <v>0</v>
      </c>
      <c r="K66">
        <v>17</v>
      </c>
      <c r="L66">
        <v>6</v>
      </c>
      <c r="M66">
        <v>0</v>
      </c>
      <c r="N66">
        <v>6</v>
      </c>
      <c r="O66">
        <v>6</v>
      </c>
    </row>
    <row r="67" spans="1:15">
      <c r="A67" s="1" t="s">
        <v>79</v>
      </c>
      <c r="B67" t="s">
        <v>505</v>
      </c>
      <c r="C67" t="s">
        <v>510</v>
      </c>
      <c r="D67">
        <v>0</v>
      </c>
      <c r="E67">
        <v>34.3919444</v>
      </c>
      <c r="F67">
        <v>-119.5202778</v>
      </c>
      <c r="G67" t="s">
        <v>577</v>
      </c>
      <c r="I67" t="s">
        <v>505</v>
      </c>
      <c r="J67">
        <v>0</v>
      </c>
      <c r="K67">
        <v>145</v>
      </c>
      <c r="L67">
        <v>0</v>
      </c>
      <c r="M67">
        <v>0</v>
      </c>
      <c r="N67">
        <v>0</v>
      </c>
      <c r="O67">
        <v>0</v>
      </c>
    </row>
    <row r="68" spans="1:15">
      <c r="A68" s="1" t="s">
        <v>80</v>
      </c>
      <c r="B68" t="s">
        <v>505</v>
      </c>
      <c r="C68" t="s">
        <v>510</v>
      </c>
      <c r="D68">
        <v>0</v>
      </c>
      <c r="E68">
        <v>41.1711111</v>
      </c>
      <c r="F68">
        <v>-122.3505556</v>
      </c>
      <c r="G68" t="s">
        <v>578</v>
      </c>
      <c r="I68" t="s">
        <v>505</v>
      </c>
      <c r="J68">
        <v>0</v>
      </c>
      <c r="K68">
        <v>355</v>
      </c>
      <c r="L68">
        <v>60</v>
      </c>
      <c r="M68">
        <v>1</v>
      </c>
      <c r="N68">
        <v>59</v>
      </c>
      <c r="O68">
        <v>59</v>
      </c>
    </row>
    <row r="69" spans="1:15">
      <c r="A69" s="1" t="s">
        <v>81</v>
      </c>
      <c r="B69" t="s">
        <v>505</v>
      </c>
      <c r="C69" t="s">
        <v>510</v>
      </c>
      <c r="D69">
        <v>0</v>
      </c>
      <c r="E69">
        <v>37.6933333</v>
      </c>
      <c r="F69">
        <v>-121.1866667</v>
      </c>
      <c r="G69" t="s">
        <v>579</v>
      </c>
      <c r="I69" t="s">
        <v>505</v>
      </c>
      <c r="J69">
        <v>0</v>
      </c>
      <c r="K69">
        <v>57</v>
      </c>
      <c r="L69">
        <v>60</v>
      </c>
      <c r="M69">
        <v>4</v>
      </c>
      <c r="N69">
        <v>56</v>
      </c>
      <c r="O69">
        <v>56</v>
      </c>
    </row>
    <row r="70" spans="1:15">
      <c r="A70" s="1" t="s">
        <v>82</v>
      </c>
      <c r="B70" t="s">
        <v>504</v>
      </c>
      <c r="C70" t="s">
        <v>509</v>
      </c>
      <c r="D70">
        <v>0</v>
      </c>
      <c r="E70">
        <v>37.2525</v>
      </c>
      <c r="F70">
        <v>-119.1769444</v>
      </c>
      <c r="G70" t="s">
        <v>580</v>
      </c>
      <c r="I70" t="s">
        <v>505</v>
      </c>
      <c r="J70">
        <v>0</v>
      </c>
      <c r="K70">
        <v>91</v>
      </c>
      <c r="L70">
        <v>0</v>
      </c>
      <c r="M70">
        <v>0</v>
      </c>
      <c r="N70">
        <v>0</v>
      </c>
      <c r="O70">
        <v>0</v>
      </c>
    </row>
    <row r="71" spans="1:15">
      <c r="A71" s="1" t="s">
        <v>83</v>
      </c>
      <c r="B71" t="s">
        <v>504</v>
      </c>
      <c r="C71" t="s">
        <v>509</v>
      </c>
      <c r="D71">
        <v>0</v>
      </c>
      <c r="E71">
        <v>37.3077778</v>
      </c>
      <c r="F71">
        <v>-119.5441667</v>
      </c>
      <c r="G71" t="s">
        <v>581</v>
      </c>
      <c r="I71" t="s">
        <v>505</v>
      </c>
      <c r="J71">
        <v>0</v>
      </c>
      <c r="K71">
        <v>89</v>
      </c>
      <c r="L71">
        <v>19</v>
      </c>
      <c r="M71">
        <v>0</v>
      </c>
      <c r="N71">
        <v>19</v>
      </c>
      <c r="O71">
        <v>19</v>
      </c>
    </row>
    <row r="72" spans="1:15">
      <c r="A72" s="1" t="s">
        <v>84</v>
      </c>
      <c r="B72" t="s">
        <v>504</v>
      </c>
      <c r="C72" t="s">
        <v>509</v>
      </c>
      <c r="D72">
        <v>0</v>
      </c>
      <c r="E72">
        <v>35.4275</v>
      </c>
      <c r="F72">
        <v>-120.7383333</v>
      </c>
      <c r="G72" t="s">
        <v>582</v>
      </c>
      <c r="I72" t="s">
        <v>505</v>
      </c>
      <c r="J72">
        <v>0</v>
      </c>
      <c r="K72">
        <v>153</v>
      </c>
      <c r="L72">
        <v>6</v>
      </c>
      <c r="M72">
        <v>0</v>
      </c>
      <c r="N72">
        <v>6</v>
      </c>
      <c r="O72">
        <v>6</v>
      </c>
    </row>
    <row r="73" spans="1:15">
      <c r="A73" s="1" t="s">
        <v>85</v>
      </c>
      <c r="B73" t="s">
        <v>504</v>
      </c>
      <c r="C73" t="s">
        <v>509</v>
      </c>
      <c r="D73">
        <v>0</v>
      </c>
      <c r="E73">
        <v>39.6294444</v>
      </c>
      <c r="F73">
        <v>-120.5447222</v>
      </c>
      <c r="G73" t="s">
        <v>583</v>
      </c>
      <c r="I73" t="s">
        <v>505</v>
      </c>
      <c r="J73">
        <v>0</v>
      </c>
      <c r="K73">
        <v>24</v>
      </c>
      <c r="L73">
        <v>17</v>
      </c>
      <c r="M73">
        <v>0</v>
      </c>
      <c r="N73">
        <v>17</v>
      </c>
      <c r="O73">
        <v>17</v>
      </c>
    </row>
    <row r="74" spans="1:15">
      <c r="A74" s="1" t="s">
        <v>86</v>
      </c>
      <c r="B74" t="s">
        <v>504</v>
      </c>
      <c r="C74" t="s">
        <v>509</v>
      </c>
      <c r="D74">
        <v>0</v>
      </c>
      <c r="E74">
        <v>39.2030556</v>
      </c>
      <c r="F74">
        <v>-123.1863889</v>
      </c>
      <c r="G74" t="s">
        <v>584</v>
      </c>
      <c r="I74" t="s">
        <v>505</v>
      </c>
      <c r="J74">
        <v>0</v>
      </c>
      <c r="K74">
        <v>332</v>
      </c>
      <c r="L74">
        <v>0</v>
      </c>
      <c r="M74">
        <v>0</v>
      </c>
      <c r="N74">
        <v>0</v>
      </c>
      <c r="O74">
        <v>0</v>
      </c>
    </row>
    <row r="75" spans="1:15">
      <c r="A75" s="1" t="s">
        <v>87</v>
      </c>
      <c r="B75" t="s">
        <v>504</v>
      </c>
      <c r="C75" t="s">
        <v>509</v>
      </c>
      <c r="D75">
        <v>0</v>
      </c>
      <c r="E75">
        <v>37.9855556</v>
      </c>
      <c r="F75">
        <v>-119.9169444</v>
      </c>
      <c r="G75" t="s">
        <v>585</v>
      </c>
      <c r="I75" t="s">
        <v>505</v>
      </c>
      <c r="J75">
        <v>0</v>
      </c>
      <c r="K75">
        <v>66</v>
      </c>
      <c r="L75">
        <v>27</v>
      </c>
      <c r="M75">
        <v>0</v>
      </c>
      <c r="N75">
        <v>27</v>
      </c>
      <c r="O75">
        <v>27</v>
      </c>
    </row>
    <row r="76" spans="1:15">
      <c r="A76" s="1" t="s">
        <v>88</v>
      </c>
      <c r="B76" t="s">
        <v>504</v>
      </c>
      <c r="C76" t="s">
        <v>509</v>
      </c>
      <c r="D76">
        <v>0</v>
      </c>
      <c r="E76">
        <v>39.8655556</v>
      </c>
      <c r="F76">
        <v>-120.1661111</v>
      </c>
      <c r="G76" t="s">
        <v>586</v>
      </c>
      <c r="I76" t="s">
        <v>505</v>
      </c>
      <c r="J76">
        <v>0</v>
      </c>
      <c r="K76">
        <v>27</v>
      </c>
      <c r="L76">
        <v>0</v>
      </c>
      <c r="M76">
        <v>0</v>
      </c>
      <c r="N76">
        <v>0</v>
      </c>
      <c r="O76">
        <v>0</v>
      </c>
    </row>
    <row r="77" spans="1:15">
      <c r="A77" s="1" t="s">
        <v>89</v>
      </c>
      <c r="B77" t="s">
        <v>504</v>
      </c>
      <c r="C77" t="s">
        <v>509</v>
      </c>
      <c r="D77">
        <v>0</v>
      </c>
      <c r="E77">
        <v>37.3627778</v>
      </c>
      <c r="F77">
        <v>-119.5386111</v>
      </c>
      <c r="G77" t="s">
        <v>587</v>
      </c>
      <c r="I77" t="s">
        <v>505</v>
      </c>
      <c r="J77">
        <v>0</v>
      </c>
      <c r="K77">
        <v>88</v>
      </c>
      <c r="L77">
        <v>11</v>
      </c>
      <c r="M77">
        <v>0</v>
      </c>
      <c r="N77">
        <v>11</v>
      </c>
      <c r="O77">
        <v>11</v>
      </c>
    </row>
    <row r="78" spans="1:15">
      <c r="A78" s="1" t="s">
        <v>90</v>
      </c>
      <c r="B78" t="s">
        <v>505</v>
      </c>
      <c r="C78" t="s">
        <v>510</v>
      </c>
      <c r="D78">
        <v>0</v>
      </c>
      <c r="E78">
        <v>38.0008333</v>
      </c>
      <c r="F78">
        <v>-122.4605556</v>
      </c>
      <c r="G78" t="s">
        <v>588</v>
      </c>
      <c r="H78" t="s">
        <v>999</v>
      </c>
      <c r="I78" t="s">
        <v>505</v>
      </c>
      <c r="J78">
        <v>0</v>
      </c>
      <c r="K78">
        <v>327</v>
      </c>
      <c r="L78">
        <v>1</v>
      </c>
      <c r="M78">
        <v>1</v>
      </c>
      <c r="N78">
        <v>0</v>
      </c>
      <c r="O78">
        <v>0</v>
      </c>
    </row>
    <row r="79" spans="1:15">
      <c r="A79" s="1" t="s">
        <v>91</v>
      </c>
      <c r="B79" t="s">
        <v>505</v>
      </c>
      <c r="C79" t="s">
        <v>510</v>
      </c>
      <c r="D79">
        <v>0</v>
      </c>
      <c r="G79" t="s">
        <v>589</v>
      </c>
      <c r="I79" t="s">
        <v>505</v>
      </c>
      <c r="J79">
        <v>0</v>
      </c>
      <c r="K79">
        <v>0</v>
      </c>
      <c r="L79">
        <v>19</v>
      </c>
      <c r="M79">
        <v>2</v>
      </c>
      <c r="N79">
        <v>17</v>
      </c>
      <c r="O79">
        <v>17</v>
      </c>
    </row>
    <row r="80" spans="1:15">
      <c r="A80" s="1" t="s">
        <v>92</v>
      </c>
      <c r="B80" t="s">
        <v>504</v>
      </c>
      <c r="C80" t="s">
        <v>509</v>
      </c>
      <c r="D80">
        <v>0</v>
      </c>
      <c r="E80">
        <v>40.5663889</v>
      </c>
      <c r="F80">
        <v>-120.8387833</v>
      </c>
      <c r="G80" t="s">
        <v>590</v>
      </c>
      <c r="I80" t="s">
        <v>505</v>
      </c>
      <c r="J80">
        <v>0</v>
      </c>
      <c r="K80">
        <v>14</v>
      </c>
      <c r="L80">
        <v>0</v>
      </c>
      <c r="M80">
        <v>0</v>
      </c>
      <c r="N80">
        <v>0</v>
      </c>
      <c r="O80">
        <v>0</v>
      </c>
    </row>
    <row r="81" spans="1:15">
      <c r="A81" s="1" t="s">
        <v>93</v>
      </c>
      <c r="B81" t="s">
        <v>505</v>
      </c>
      <c r="C81" t="s">
        <v>510</v>
      </c>
      <c r="D81">
        <v>0</v>
      </c>
      <c r="E81">
        <v>39.0066667</v>
      </c>
      <c r="F81">
        <v>-122.8141667</v>
      </c>
      <c r="G81" t="s">
        <v>591</v>
      </c>
      <c r="I81" t="s">
        <v>505</v>
      </c>
      <c r="J81">
        <v>0</v>
      </c>
      <c r="K81">
        <v>337</v>
      </c>
      <c r="L81">
        <v>118</v>
      </c>
      <c r="M81">
        <v>7</v>
      </c>
      <c r="N81">
        <v>111</v>
      </c>
      <c r="O81">
        <v>111</v>
      </c>
    </row>
    <row r="82" spans="1:15">
      <c r="A82" s="1" t="s">
        <v>94</v>
      </c>
      <c r="B82" t="s">
        <v>504</v>
      </c>
      <c r="C82" t="s">
        <v>509</v>
      </c>
      <c r="D82">
        <v>0</v>
      </c>
      <c r="E82">
        <v>37.2158333</v>
      </c>
      <c r="F82">
        <v>-119.9686111</v>
      </c>
      <c r="G82" t="s">
        <v>592</v>
      </c>
      <c r="I82" t="s">
        <v>505</v>
      </c>
      <c r="J82">
        <v>0</v>
      </c>
      <c r="K82">
        <v>93</v>
      </c>
      <c r="L82">
        <v>80</v>
      </c>
      <c r="M82">
        <v>2</v>
      </c>
      <c r="N82">
        <v>78</v>
      </c>
      <c r="O82">
        <v>78</v>
      </c>
    </row>
    <row r="83" spans="1:15">
      <c r="A83" s="1" t="s">
        <v>95</v>
      </c>
      <c r="B83" t="s">
        <v>505</v>
      </c>
      <c r="C83" t="s">
        <v>510</v>
      </c>
      <c r="D83">
        <v>0</v>
      </c>
      <c r="E83">
        <v>35.8636111</v>
      </c>
      <c r="F83">
        <v>-119.3869444</v>
      </c>
      <c r="G83" t="s">
        <v>593</v>
      </c>
      <c r="I83" t="s">
        <v>505</v>
      </c>
      <c r="J83">
        <v>0</v>
      </c>
      <c r="K83">
        <v>125</v>
      </c>
      <c r="L83">
        <v>115</v>
      </c>
      <c r="M83">
        <v>2</v>
      </c>
      <c r="N83">
        <v>113</v>
      </c>
      <c r="O83">
        <v>113</v>
      </c>
    </row>
    <row r="84" spans="1:15">
      <c r="A84" s="1" t="s">
        <v>96</v>
      </c>
      <c r="B84" t="s">
        <v>504</v>
      </c>
      <c r="C84" t="s">
        <v>509</v>
      </c>
      <c r="D84">
        <v>0</v>
      </c>
      <c r="E84">
        <v>39.5427778</v>
      </c>
      <c r="F84">
        <v>-120.3147222</v>
      </c>
      <c r="G84" t="s">
        <v>594</v>
      </c>
      <c r="I84" t="s">
        <v>505</v>
      </c>
      <c r="J84">
        <v>0</v>
      </c>
      <c r="K84">
        <v>28</v>
      </c>
      <c r="L84">
        <v>6</v>
      </c>
      <c r="M84">
        <v>0</v>
      </c>
      <c r="N84">
        <v>6</v>
      </c>
      <c r="O84">
        <v>6</v>
      </c>
    </row>
    <row r="85" spans="1:15">
      <c r="A85" s="1" t="s">
        <v>97</v>
      </c>
      <c r="B85" t="s">
        <v>504</v>
      </c>
      <c r="C85" t="s">
        <v>509</v>
      </c>
      <c r="D85">
        <v>0</v>
      </c>
      <c r="E85">
        <v>37.5991667</v>
      </c>
      <c r="F85">
        <v>-118.9969444</v>
      </c>
      <c r="G85" t="s">
        <v>595</v>
      </c>
      <c r="I85" t="s">
        <v>505</v>
      </c>
      <c r="J85">
        <v>0</v>
      </c>
      <c r="K85">
        <v>82</v>
      </c>
      <c r="L85">
        <v>16</v>
      </c>
      <c r="M85">
        <v>0</v>
      </c>
      <c r="N85">
        <v>16</v>
      </c>
      <c r="O85">
        <v>16</v>
      </c>
    </row>
    <row r="86" spans="1:15">
      <c r="A86" s="1" t="s">
        <v>98</v>
      </c>
      <c r="B86" t="s">
        <v>504</v>
      </c>
      <c r="C86" t="s">
        <v>509</v>
      </c>
      <c r="D86">
        <v>0</v>
      </c>
      <c r="E86">
        <v>37.2519444</v>
      </c>
      <c r="F86">
        <v>-119.1688889</v>
      </c>
      <c r="G86" t="s">
        <v>596</v>
      </c>
      <c r="H86" t="s">
        <v>998</v>
      </c>
      <c r="I86" t="s">
        <v>505</v>
      </c>
      <c r="J86">
        <v>0</v>
      </c>
      <c r="K86">
        <v>91</v>
      </c>
      <c r="L86">
        <v>8</v>
      </c>
      <c r="M86">
        <v>2</v>
      </c>
      <c r="N86">
        <v>6</v>
      </c>
      <c r="O86">
        <v>6</v>
      </c>
    </row>
    <row r="87" spans="1:15">
      <c r="A87" s="1" t="s">
        <v>99</v>
      </c>
      <c r="B87" t="s">
        <v>505</v>
      </c>
      <c r="C87" t="s">
        <v>510</v>
      </c>
      <c r="D87">
        <v>0</v>
      </c>
      <c r="E87">
        <v>39.2211111</v>
      </c>
      <c r="F87">
        <v>-122.0130556</v>
      </c>
      <c r="G87" t="s">
        <v>597</v>
      </c>
      <c r="I87" t="s">
        <v>505</v>
      </c>
      <c r="J87">
        <v>0</v>
      </c>
      <c r="K87">
        <v>357</v>
      </c>
      <c r="L87">
        <v>7</v>
      </c>
      <c r="M87">
        <v>0</v>
      </c>
      <c r="N87">
        <v>7</v>
      </c>
      <c r="O87">
        <v>7</v>
      </c>
    </row>
    <row r="88" spans="1:15">
      <c r="A88" s="1" t="s">
        <v>100</v>
      </c>
      <c r="B88" t="s">
        <v>504</v>
      </c>
      <c r="C88" t="s">
        <v>509</v>
      </c>
      <c r="D88">
        <v>0</v>
      </c>
      <c r="E88">
        <v>37.5988889</v>
      </c>
      <c r="F88">
        <v>-118.8508333</v>
      </c>
      <c r="G88" t="s">
        <v>598</v>
      </c>
      <c r="H88" t="s">
        <v>998</v>
      </c>
      <c r="I88" t="s">
        <v>505</v>
      </c>
      <c r="J88">
        <v>0</v>
      </c>
      <c r="K88">
        <v>82</v>
      </c>
      <c r="L88">
        <v>0</v>
      </c>
      <c r="M88">
        <v>0</v>
      </c>
      <c r="N88">
        <v>0</v>
      </c>
      <c r="O88">
        <v>0</v>
      </c>
    </row>
    <row r="89" spans="1:15">
      <c r="A89" s="1" t="s">
        <v>101</v>
      </c>
      <c r="B89" t="s">
        <v>504</v>
      </c>
      <c r="C89" t="s">
        <v>509</v>
      </c>
      <c r="D89">
        <v>0</v>
      </c>
      <c r="E89">
        <v>34.1488889</v>
      </c>
      <c r="F89">
        <v>-116.7094444</v>
      </c>
      <c r="G89" t="s">
        <v>599</v>
      </c>
      <c r="I89" t="s">
        <v>505</v>
      </c>
      <c r="J89">
        <v>0</v>
      </c>
      <c r="K89">
        <v>125</v>
      </c>
      <c r="L89">
        <v>1</v>
      </c>
      <c r="M89">
        <v>0</v>
      </c>
      <c r="N89">
        <v>1</v>
      </c>
      <c r="O89">
        <v>1</v>
      </c>
    </row>
    <row r="90" spans="1:15">
      <c r="A90" s="1" t="s">
        <v>102</v>
      </c>
      <c r="B90" t="s">
        <v>504</v>
      </c>
      <c r="C90" t="s">
        <v>509</v>
      </c>
      <c r="D90">
        <v>0</v>
      </c>
      <c r="E90">
        <v>39.8847222</v>
      </c>
      <c r="F90">
        <v>-120.2366667</v>
      </c>
      <c r="G90" t="s">
        <v>600</v>
      </c>
      <c r="I90" t="s">
        <v>505</v>
      </c>
      <c r="J90">
        <v>0</v>
      </c>
      <c r="K90">
        <v>26</v>
      </c>
      <c r="L90">
        <v>0</v>
      </c>
      <c r="M90">
        <v>0</v>
      </c>
      <c r="N90">
        <v>0</v>
      </c>
      <c r="O90">
        <v>0</v>
      </c>
    </row>
    <row r="91" spans="1:15">
      <c r="A91" s="1" t="s">
        <v>103</v>
      </c>
      <c r="B91" t="s">
        <v>504</v>
      </c>
      <c r="C91" t="s">
        <v>509</v>
      </c>
      <c r="D91">
        <v>0</v>
      </c>
      <c r="E91">
        <v>39.5494444</v>
      </c>
      <c r="F91">
        <v>-120.3163889</v>
      </c>
      <c r="G91" t="s">
        <v>601</v>
      </c>
      <c r="I91" t="s">
        <v>505</v>
      </c>
      <c r="J91">
        <v>0</v>
      </c>
      <c r="K91">
        <v>28</v>
      </c>
      <c r="L91">
        <v>40</v>
      </c>
      <c r="M91">
        <v>0</v>
      </c>
      <c r="N91">
        <v>40</v>
      </c>
      <c r="O91">
        <v>40</v>
      </c>
    </row>
    <row r="92" spans="1:15">
      <c r="A92" s="1" t="s">
        <v>104</v>
      </c>
      <c r="B92" t="s">
        <v>504</v>
      </c>
      <c r="C92" t="s">
        <v>509</v>
      </c>
      <c r="E92">
        <v>33.75</v>
      </c>
      <c r="F92">
        <v>-115.825</v>
      </c>
      <c r="G92" t="s">
        <v>602</v>
      </c>
      <c r="I92" t="s">
        <v>505</v>
      </c>
      <c r="J92">
        <v>0</v>
      </c>
      <c r="K92">
        <v>124</v>
      </c>
      <c r="L92">
        <v>0</v>
      </c>
      <c r="M92">
        <v>0</v>
      </c>
      <c r="N92">
        <v>0</v>
      </c>
      <c r="O92">
        <v>0</v>
      </c>
    </row>
    <row r="93" spans="1:15">
      <c r="A93" s="1" t="s">
        <v>105</v>
      </c>
      <c r="B93" t="s">
        <v>504</v>
      </c>
      <c r="C93" t="s">
        <v>509</v>
      </c>
      <c r="D93">
        <v>0</v>
      </c>
      <c r="E93">
        <v>34.3227778</v>
      </c>
      <c r="F93">
        <v>-118.0177778</v>
      </c>
      <c r="G93" t="s">
        <v>603</v>
      </c>
      <c r="I93" t="s">
        <v>505</v>
      </c>
      <c r="J93">
        <v>0</v>
      </c>
      <c r="K93">
        <v>132</v>
      </c>
      <c r="L93">
        <v>0</v>
      </c>
      <c r="M93">
        <v>0</v>
      </c>
      <c r="N93">
        <v>0</v>
      </c>
      <c r="O93">
        <v>0</v>
      </c>
    </row>
    <row r="94" spans="1:15">
      <c r="A94" s="1" t="s">
        <v>106</v>
      </c>
      <c r="B94" t="s">
        <v>504</v>
      </c>
      <c r="C94" t="s">
        <v>509</v>
      </c>
      <c r="D94">
        <v>0</v>
      </c>
      <c r="E94">
        <v>34.1713889</v>
      </c>
      <c r="F94">
        <v>-116.8816667</v>
      </c>
      <c r="G94" t="s">
        <v>604</v>
      </c>
      <c r="I94" t="s">
        <v>505</v>
      </c>
      <c r="J94">
        <v>0</v>
      </c>
      <c r="K94">
        <v>126</v>
      </c>
      <c r="L94">
        <v>0</v>
      </c>
      <c r="M94">
        <v>0</v>
      </c>
      <c r="N94">
        <v>0</v>
      </c>
      <c r="O94">
        <v>0</v>
      </c>
    </row>
    <row r="95" spans="1:15">
      <c r="A95" s="1" t="s">
        <v>107</v>
      </c>
      <c r="B95" t="s">
        <v>504</v>
      </c>
      <c r="C95" t="s">
        <v>509</v>
      </c>
      <c r="D95">
        <v>0</v>
      </c>
      <c r="E95">
        <v>36.665</v>
      </c>
      <c r="F95">
        <v>-118.8380556</v>
      </c>
      <c r="G95" t="s">
        <v>605</v>
      </c>
      <c r="I95" t="s">
        <v>505</v>
      </c>
      <c r="J95">
        <v>0</v>
      </c>
      <c r="K95">
        <v>104</v>
      </c>
      <c r="L95">
        <v>0</v>
      </c>
      <c r="M95">
        <v>0</v>
      </c>
      <c r="N95">
        <v>0</v>
      </c>
      <c r="O95">
        <v>0</v>
      </c>
    </row>
    <row r="96" spans="1:15">
      <c r="A96" s="1" t="s">
        <v>108</v>
      </c>
      <c r="B96" t="s">
        <v>504</v>
      </c>
      <c r="C96" t="s">
        <v>509</v>
      </c>
      <c r="D96">
        <v>0</v>
      </c>
      <c r="E96">
        <v>36.1291667</v>
      </c>
      <c r="F96">
        <v>-118.6180556</v>
      </c>
      <c r="G96" t="s">
        <v>606</v>
      </c>
      <c r="I96" t="s">
        <v>505</v>
      </c>
      <c r="J96">
        <v>0</v>
      </c>
      <c r="K96">
        <v>113</v>
      </c>
      <c r="L96">
        <v>18</v>
      </c>
      <c r="M96">
        <v>0</v>
      </c>
      <c r="N96">
        <v>18</v>
      </c>
      <c r="O96">
        <v>18</v>
      </c>
    </row>
    <row r="97" spans="1:15">
      <c r="A97" s="1" t="s">
        <v>109</v>
      </c>
      <c r="B97" t="s">
        <v>504</v>
      </c>
      <c r="C97" t="s">
        <v>509</v>
      </c>
      <c r="D97">
        <v>0</v>
      </c>
      <c r="E97">
        <v>39.1355556</v>
      </c>
      <c r="F97">
        <v>-120.4105556</v>
      </c>
      <c r="G97" t="s">
        <v>607</v>
      </c>
      <c r="I97" t="s">
        <v>505</v>
      </c>
      <c r="J97">
        <v>0</v>
      </c>
      <c r="K97">
        <v>32</v>
      </c>
      <c r="L97">
        <v>4</v>
      </c>
      <c r="M97">
        <v>1</v>
      </c>
      <c r="N97">
        <v>3</v>
      </c>
      <c r="O97">
        <v>3</v>
      </c>
    </row>
    <row r="98" spans="1:15">
      <c r="A98" s="1" t="s">
        <v>110</v>
      </c>
      <c r="B98" t="s">
        <v>504</v>
      </c>
      <c r="C98" t="s">
        <v>509</v>
      </c>
      <c r="E98">
        <v>37.9844444</v>
      </c>
      <c r="F98">
        <v>-120.8447222</v>
      </c>
      <c r="G98" t="s">
        <v>608</v>
      </c>
      <c r="H98" t="s">
        <v>998</v>
      </c>
      <c r="I98" t="s">
        <v>505</v>
      </c>
      <c r="J98">
        <v>0</v>
      </c>
      <c r="K98">
        <v>51</v>
      </c>
      <c r="L98">
        <v>0</v>
      </c>
      <c r="M98">
        <v>0</v>
      </c>
      <c r="N98">
        <v>0</v>
      </c>
      <c r="O98">
        <v>0</v>
      </c>
    </row>
    <row r="99" spans="1:15">
      <c r="A99" s="1" t="s">
        <v>111</v>
      </c>
      <c r="B99" t="s">
        <v>504</v>
      </c>
      <c r="C99" t="s">
        <v>509</v>
      </c>
      <c r="D99">
        <v>0</v>
      </c>
      <c r="E99">
        <v>34.2616667</v>
      </c>
      <c r="F99">
        <v>-117.0833333</v>
      </c>
      <c r="G99" t="s">
        <v>609</v>
      </c>
      <c r="I99" t="s">
        <v>505</v>
      </c>
      <c r="J99">
        <v>0</v>
      </c>
      <c r="K99">
        <v>126</v>
      </c>
      <c r="L99">
        <v>23</v>
      </c>
      <c r="M99">
        <v>0</v>
      </c>
      <c r="N99">
        <v>23</v>
      </c>
      <c r="O99">
        <v>23</v>
      </c>
    </row>
    <row r="100" spans="1:15">
      <c r="A100" s="1" t="s">
        <v>112</v>
      </c>
      <c r="B100" t="s">
        <v>504</v>
      </c>
      <c r="C100" t="s">
        <v>509</v>
      </c>
      <c r="D100">
        <v>0</v>
      </c>
      <c r="E100">
        <v>38.1736111</v>
      </c>
      <c r="F100">
        <v>-119.3041667</v>
      </c>
      <c r="G100" t="s">
        <v>610</v>
      </c>
      <c r="I100" t="s">
        <v>505</v>
      </c>
      <c r="J100">
        <v>0</v>
      </c>
      <c r="K100">
        <v>66</v>
      </c>
      <c r="L100">
        <v>0</v>
      </c>
      <c r="M100">
        <v>0</v>
      </c>
      <c r="N100">
        <v>0</v>
      </c>
      <c r="O100">
        <v>0</v>
      </c>
    </row>
    <row r="101" spans="1:15">
      <c r="A101" s="1" t="s">
        <v>113</v>
      </c>
      <c r="B101" t="s">
        <v>504</v>
      </c>
      <c r="C101" t="s">
        <v>509</v>
      </c>
      <c r="D101">
        <v>0</v>
      </c>
      <c r="E101">
        <v>37.7638889</v>
      </c>
      <c r="F101">
        <v>-119.8444444</v>
      </c>
      <c r="G101" t="s">
        <v>611</v>
      </c>
      <c r="I101" t="s">
        <v>505</v>
      </c>
      <c r="J101">
        <v>0</v>
      </c>
      <c r="K101">
        <v>74</v>
      </c>
      <c r="L101">
        <v>0</v>
      </c>
      <c r="M101">
        <v>0</v>
      </c>
      <c r="N101">
        <v>0</v>
      </c>
      <c r="O101">
        <v>0</v>
      </c>
    </row>
    <row r="102" spans="1:15">
      <c r="A102" s="1" t="s">
        <v>114</v>
      </c>
      <c r="B102" t="s">
        <v>504</v>
      </c>
      <c r="C102" t="s">
        <v>509</v>
      </c>
      <c r="D102">
        <v>0</v>
      </c>
      <c r="E102">
        <v>37.3330556</v>
      </c>
      <c r="F102">
        <v>-119.5852778</v>
      </c>
      <c r="G102" t="s">
        <v>612</v>
      </c>
      <c r="I102" t="s">
        <v>505</v>
      </c>
      <c r="J102">
        <v>0</v>
      </c>
      <c r="K102">
        <v>89</v>
      </c>
      <c r="L102">
        <v>0</v>
      </c>
      <c r="M102">
        <v>0</v>
      </c>
      <c r="N102">
        <v>0</v>
      </c>
      <c r="O102">
        <v>0</v>
      </c>
    </row>
    <row r="103" spans="1:15">
      <c r="A103" s="1" t="s">
        <v>115</v>
      </c>
      <c r="B103" t="s">
        <v>504</v>
      </c>
      <c r="C103" t="s">
        <v>509</v>
      </c>
      <c r="D103">
        <v>0</v>
      </c>
      <c r="E103">
        <v>33.3127778</v>
      </c>
      <c r="F103">
        <v>-116.8647222</v>
      </c>
      <c r="G103" t="s">
        <v>613</v>
      </c>
      <c r="I103" t="s">
        <v>505</v>
      </c>
      <c r="J103">
        <v>0</v>
      </c>
      <c r="K103">
        <v>132</v>
      </c>
      <c r="L103">
        <v>0</v>
      </c>
      <c r="M103">
        <v>0</v>
      </c>
      <c r="N103">
        <v>0</v>
      </c>
      <c r="O103">
        <v>0</v>
      </c>
    </row>
    <row r="104" spans="1:15">
      <c r="A104" s="1" t="s">
        <v>116</v>
      </c>
      <c r="B104" t="s">
        <v>505</v>
      </c>
      <c r="C104" t="s">
        <v>510</v>
      </c>
      <c r="D104">
        <v>0</v>
      </c>
      <c r="E104">
        <v>33.5631417</v>
      </c>
      <c r="F104">
        <v>-117.8220556</v>
      </c>
      <c r="G104" t="s">
        <v>614</v>
      </c>
      <c r="I104" t="s">
        <v>505</v>
      </c>
      <c r="J104">
        <v>0</v>
      </c>
      <c r="K104">
        <v>137</v>
      </c>
      <c r="L104">
        <v>0</v>
      </c>
      <c r="M104">
        <v>0</v>
      </c>
      <c r="N104">
        <v>0</v>
      </c>
      <c r="O104">
        <v>0</v>
      </c>
    </row>
    <row r="105" spans="1:15">
      <c r="A105" s="1" t="s">
        <v>117</v>
      </c>
      <c r="B105" t="s">
        <v>505</v>
      </c>
      <c r="C105" t="s">
        <v>510</v>
      </c>
      <c r="D105">
        <v>0</v>
      </c>
      <c r="E105">
        <v>33.5705556</v>
      </c>
      <c r="F105">
        <v>-117.81</v>
      </c>
      <c r="G105" t="s">
        <v>615</v>
      </c>
      <c r="I105" t="s">
        <v>505</v>
      </c>
      <c r="J105">
        <v>0</v>
      </c>
      <c r="K105">
        <v>137</v>
      </c>
      <c r="L105">
        <v>32</v>
      </c>
      <c r="M105">
        <v>0</v>
      </c>
      <c r="N105">
        <v>32</v>
      </c>
      <c r="O105">
        <v>32</v>
      </c>
    </row>
    <row r="106" spans="1:15">
      <c r="A106" s="1" t="s">
        <v>118</v>
      </c>
      <c r="B106" t="s">
        <v>504</v>
      </c>
      <c r="C106" t="s">
        <v>509</v>
      </c>
      <c r="D106">
        <v>0</v>
      </c>
      <c r="E106">
        <v>34.3255556</v>
      </c>
      <c r="F106">
        <v>-117.8372222</v>
      </c>
      <c r="G106" t="s">
        <v>615</v>
      </c>
      <c r="I106" t="s">
        <v>505</v>
      </c>
      <c r="J106">
        <v>0</v>
      </c>
      <c r="K106">
        <v>131</v>
      </c>
      <c r="L106">
        <v>0</v>
      </c>
      <c r="M106">
        <v>0</v>
      </c>
      <c r="N106">
        <v>0</v>
      </c>
      <c r="O106">
        <v>0</v>
      </c>
    </row>
    <row r="107" spans="1:15">
      <c r="A107" s="1" t="s">
        <v>119</v>
      </c>
      <c r="B107" t="s">
        <v>504</v>
      </c>
      <c r="C107" t="s">
        <v>509</v>
      </c>
      <c r="D107">
        <v>0</v>
      </c>
      <c r="E107">
        <v>41.7936111</v>
      </c>
      <c r="F107">
        <v>-123.3827778</v>
      </c>
      <c r="G107" t="s">
        <v>616</v>
      </c>
      <c r="I107" t="s">
        <v>505</v>
      </c>
      <c r="J107">
        <v>0</v>
      </c>
      <c r="K107">
        <v>346</v>
      </c>
      <c r="L107">
        <v>4</v>
      </c>
      <c r="M107">
        <v>0</v>
      </c>
      <c r="N107">
        <v>4</v>
      </c>
      <c r="O107">
        <v>4</v>
      </c>
    </row>
    <row r="108" spans="1:15">
      <c r="A108" s="1" t="s">
        <v>120</v>
      </c>
      <c r="B108" t="s">
        <v>505</v>
      </c>
      <c r="C108" t="s">
        <v>510</v>
      </c>
      <c r="D108">
        <v>0</v>
      </c>
      <c r="E108">
        <v>32.9358333</v>
      </c>
      <c r="F108">
        <v>-116.5616667</v>
      </c>
      <c r="G108" t="s">
        <v>617</v>
      </c>
      <c r="I108" t="s">
        <v>505</v>
      </c>
      <c r="J108">
        <v>0</v>
      </c>
      <c r="K108">
        <v>133</v>
      </c>
      <c r="L108">
        <v>100</v>
      </c>
      <c r="M108">
        <v>5</v>
      </c>
      <c r="N108">
        <v>95</v>
      </c>
      <c r="O108">
        <v>95</v>
      </c>
    </row>
    <row r="109" spans="1:15">
      <c r="A109" s="1" t="s">
        <v>121</v>
      </c>
      <c r="B109" t="s">
        <v>505</v>
      </c>
      <c r="C109" t="s">
        <v>510</v>
      </c>
      <c r="D109">
        <v>0</v>
      </c>
      <c r="E109">
        <v>38.9822222</v>
      </c>
      <c r="F109">
        <v>-120.095</v>
      </c>
      <c r="G109" t="s">
        <v>618</v>
      </c>
      <c r="I109" t="s">
        <v>505</v>
      </c>
      <c r="J109">
        <v>0</v>
      </c>
      <c r="K109">
        <v>40</v>
      </c>
      <c r="L109">
        <v>0</v>
      </c>
      <c r="M109">
        <v>0</v>
      </c>
      <c r="N109">
        <v>0</v>
      </c>
      <c r="O109">
        <v>0</v>
      </c>
    </row>
    <row r="110" spans="1:15">
      <c r="A110" s="1" t="s">
        <v>122</v>
      </c>
      <c r="B110" t="s">
        <v>504</v>
      </c>
      <c r="C110" t="s">
        <v>509</v>
      </c>
      <c r="D110">
        <v>0</v>
      </c>
      <c r="E110">
        <v>37.2519444</v>
      </c>
      <c r="F110">
        <v>-119.1769444</v>
      </c>
      <c r="G110" t="s">
        <v>619</v>
      </c>
      <c r="H110" t="s">
        <v>998</v>
      </c>
      <c r="I110" t="s">
        <v>505</v>
      </c>
      <c r="J110">
        <v>0</v>
      </c>
      <c r="K110">
        <v>91</v>
      </c>
      <c r="L110">
        <v>9</v>
      </c>
      <c r="M110">
        <v>0</v>
      </c>
      <c r="N110">
        <v>9</v>
      </c>
      <c r="O110">
        <v>9</v>
      </c>
    </row>
    <row r="111" spans="1:15">
      <c r="A111" s="1" t="s">
        <v>123</v>
      </c>
      <c r="B111" t="s">
        <v>504</v>
      </c>
      <c r="C111" t="s">
        <v>509</v>
      </c>
      <c r="D111">
        <v>0</v>
      </c>
      <c r="E111">
        <v>34.225</v>
      </c>
      <c r="F111">
        <v>-116.9141667</v>
      </c>
      <c r="G111" t="s">
        <v>620</v>
      </c>
      <c r="I111" t="s">
        <v>505</v>
      </c>
      <c r="J111">
        <v>0</v>
      </c>
      <c r="K111">
        <v>125</v>
      </c>
      <c r="L111">
        <v>0</v>
      </c>
      <c r="M111">
        <v>0</v>
      </c>
      <c r="N111">
        <v>0</v>
      </c>
      <c r="O111">
        <v>0</v>
      </c>
    </row>
    <row r="112" spans="1:15">
      <c r="A112" s="1" t="s">
        <v>124</v>
      </c>
      <c r="B112" t="s">
        <v>504</v>
      </c>
      <c r="C112" t="s">
        <v>509</v>
      </c>
      <c r="D112">
        <v>0</v>
      </c>
      <c r="E112">
        <v>40.8747222</v>
      </c>
      <c r="F112">
        <v>-122.2375</v>
      </c>
      <c r="G112" t="s">
        <v>621</v>
      </c>
      <c r="I112" t="s">
        <v>505</v>
      </c>
      <c r="J112">
        <v>0</v>
      </c>
      <c r="K112">
        <v>355</v>
      </c>
      <c r="L112">
        <v>0</v>
      </c>
      <c r="M112">
        <v>0</v>
      </c>
      <c r="N112">
        <v>0</v>
      </c>
      <c r="O112">
        <v>0</v>
      </c>
    </row>
    <row r="113" spans="1:15">
      <c r="A113" s="1" t="s">
        <v>125</v>
      </c>
      <c r="B113" t="s">
        <v>505</v>
      </c>
      <c r="C113" t="s">
        <v>510</v>
      </c>
      <c r="D113">
        <v>0</v>
      </c>
      <c r="E113">
        <v>41.6708333</v>
      </c>
      <c r="F113">
        <v>-124.1172222</v>
      </c>
      <c r="G113" t="s">
        <v>622</v>
      </c>
      <c r="I113" t="s">
        <v>505</v>
      </c>
      <c r="J113">
        <v>0</v>
      </c>
      <c r="K113">
        <v>339</v>
      </c>
      <c r="L113">
        <v>73</v>
      </c>
      <c r="M113">
        <v>5</v>
      </c>
      <c r="N113">
        <v>68</v>
      </c>
      <c r="O113">
        <v>68</v>
      </c>
    </row>
    <row r="114" spans="1:15">
      <c r="A114" s="1" t="s">
        <v>126</v>
      </c>
      <c r="B114" t="s">
        <v>506</v>
      </c>
      <c r="C114" t="s">
        <v>511</v>
      </c>
      <c r="D114">
        <v>0</v>
      </c>
      <c r="E114">
        <v>37.5691667</v>
      </c>
      <c r="F114">
        <v>-121.6872222</v>
      </c>
      <c r="G114" t="s">
        <v>623</v>
      </c>
      <c r="I114" t="s">
        <v>505</v>
      </c>
      <c r="J114">
        <v>0</v>
      </c>
      <c r="K114">
        <v>35</v>
      </c>
      <c r="L114">
        <v>0</v>
      </c>
      <c r="M114">
        <v>0</v>
      </c>
      <c r="N114">
        <v>0</v>
      </c>
      <c r="O114">
        <v>0</v>
      </c>
    </row>
    <row r="115" spans="1:15">
      <c r="A115" s="1" t="s">
        <v>127</v>
      </c>
      <c r="B115" t="s">
        <v>504</v>
      </c>
      <c r="C115" t="s">
        <v>509</v>
      </c>
      <c r="D115">
        <v>0</v>
      </c>
      <c r="E115">
        <v>39.6330556</v>
      </c>
      <c r="F115">
        <v>-120.6377778</v>
      </c>
      <c r="G115" t="s">
        <v>624</v>
      </c>
      <c r="I115" t="s">
        <v>505</v>
      </c>
      <c r="J115">
        <v>0</v>
      </c>
      <c r="K115">
        <v>22</v>
      </c>
      <c r="L115">
        <v>15</v>
      </c>
      <c r="M115">
        <v>0</v>
      </c>
      <c r="N115">
        <v>15</v>
      </c>
      <c r="O115">
        <v>15</v>
      </c>
    </row>
    <row r="116" spans="1:15">
      <c r="A116" s="1" t="s">
        <v>128</v>
      </c>
      <c r="B116" t="s">
        <v>504</v>
      </c>
      <c r="C116" t="s">
        <v>509</v>
      </c>
      <c r="D116">
        <v>0</v>
      </c>
      <c r="E116">
        <v>41.5733333</v>
      </c>
      <c r="F116">
        <v>-123.5430556</v>
      </c>
      <c r="G116" t="s">
        <v>625</v>
      </c>
      <c r="I116" t="s">
        <v>505</v>
      </c>
      <c r="J116">
        <v>0</v>
      </c>
      <c r="K116">
        <v>343</v>
      </c>
      <c r="L116">
        <v>10</v>
      </c>
      <c r="M116">
        <v>0</v>
      </c>
      <c r="N116">
        <v>10</v>
      </c>
      <c r="O116">
        <v>10</v>
      </c>
    </row>
    <row r="117" spans="1:15">
      <c r="A117" s="1" t="s">
        <v>129</v>
      </c>
      <c r="B117" t="s">
        <v>504</v>
      </c>
      <c r="C117" t="s">
        <v>509</v>
      </c>
      <c r="D117">
        <v>0</v>
      </c>
      <c r="E117">
        <v>37.825</v>
      </c>
      <c r="F117">
        <v>-119.8611111</v>
      </c>
      <c r="G117" t="s">
        <v>626</v>
      </c>
      <c r="H117" t="s">
        <v>997</v>
      </c>
      <c r="I117" t="s">
        <v>505</v>
      </c>
      <c r="J117">
        <v>0</v>
      </c>
      <c r="K117">
        <v>72</v>
      </c>
      <c r="L117">
        <v>0</v>
      </c>
      <c r="M117">
        <v>0</v>
      </c>
      <c r="N117">
        <v>0</v>
      </c>
      <c r="O117">
        <v>0</v>
      </c>
    </row>
    <row r="118" spans="1:15">
      <c r="A118" s="1" t="s">
        <v>130</v>
      </c>
      <c r="B118" t="s">
        <v>504</v>
      </c>
      <c r="C118" t="s">
        <v>509</v>
      </c>
      <c r="D118">
        <v>0</v>
      </c>
      <c r="E118">
        <v>37.0730556</v>
      </c>
      <c r="F118">
        <v>-119.1538889</v>
      </c>
      <c r="G118" t="s">
        <v>627</v>
      </c>
      <c r="I118" t="s">
        <v>505</v>
      </c>
      <c r="J118">
        <v>0</v>
      </c>
      <c r="K118">
        <v>95</v>
      </c>
      <c r="L118">
        <v>79</v>
      </c>
      <c r="M118">
        <v>22</v>
      </c>
      <c r="N118">
        <v>57</v>
      </c>
      <c r="O118">
        <v>57</v>
      </c>
    </row>
    <row r="119" spans="1:15">
      <c r="A119" s="1" t="s">
        <v>131</v>
      </c>
      <c r="B119" t="s">
        <v>504</v>
      </c>
      <c r="C119" t="s">
        <v>509</v>
      </c>
      <c r="D119">
        <v>0</v>
      </c>
      <c r="E119">
        <v>37.6633333</v>
      </c>
      <c r="F119">
        <v>-119.8444444</v>
      </c>
      <c r="G119" t="s">
        <v>628</v>
      </c>
      <c r="I119" t="s">
        <v>505</v>
      </c>
      <c r="J119">
        <v>0</v>
      </c>
      <c r="K119">
        <v>77</v>
      </c>
      <c r="L119">
        <v>0</v>
      </c>
      <c r="M119">
        <v>0</v>
      </c>
      <c r="N119">
        <v>0</v>
      </c>
      <c r="O119">
        <v>0</v>
      </c>
    </row>
    <row r="120" spans="1:15">
      <c r="A120" s="1" t="s">
        <v>132</v>
      </c>
      <c r="B120" t="s">
        <v>504</v>
      </c>
      <c r="C120" t="s">
        <v>509</v>
      </c>
      <c r="D120">
        <v>0</v>
      </c>
      <c r="E120">
        <v>34.2352778</v>
      </c>
      <c r="F120">
        <v>-117.2091667</v>
      </c>
      <c r="G120" t="s">
        <v>629</v>
      </c>
      <c r="I120" t="s">
        <v>505</v>
      </c>
      <c r="J120">
        <v>0</v>
      </c>
      <c r="K120">
        <v>127</v>
      </c>
      <c r="L120">
        <v>1</v>
      </c>
      <c r="M120">
        <v>0</v>
      </c>
      <c r="N120">
        <v>1</v>
      </c>
      <c r="O120">
        <v>1</v>
      </c>
    </row>
    <row r="121" spans="1:15">
      <c r="A121" s="1" t="s">
        <v>133</v>
      </c>
      <c r="B121" t="s">
        <v>505</v>
      </c>
      <c r="C121" t="s">
        <v>510</v>
      </c>
      <c r="D121">
        <v>0</v>
      </c>
      <c r="E121">
        <v>33.4622222</v>
      </c>
      <c r="F121">
        <v>-117.68</v>
      </c>
      <c r="G121" t="s">
        <v>630</v>
      </c>
      <c r="H121" t="s">
        <v>999</v>
      </c>
      <c r="I121" t="s">
        <v>505</v>
      </c>
      <c r="J121">
        <v>0</v>
      </c>
      <c r="K121">
        <v>137</v>
      </c>
      <c r="L121">
        <v>0</v>
      </c>
      <c r="M121">
        <v>0</v>
      </c>
      <c r="N121">
        <v>0</v>
      </c>
      <c r="O121">
        <v>0</v>
      </c>
    </row>
    <row r="122" spans="1:15">
      <c r="A122" s="1" t="s">
        <v>134</v>
      </c>
      <c r="B122" t="s">
        <v>505</v>
      </c>
      <c r="C122" t="s">
        <v>510</v>
      </c>
      <c r="D122">
        <v>0</v>
      </c>
      <c r="E122">
        <v>39.32</v>
      </c>
      <c r="F122">
        <v>-120.2419444</v>
      </c>
      <c r="G122" t="s">
        <v>631</v>
      </c>
      <c r="I122" t="s">
        <v>505</v>
      </c>
      <c r="J122">
        <v>0</v>
      </c>
      <c r="K122">
        <v>32</v>
      </c>
      <c r="L122">
        <v>0</v>
      </c>
      <c r="M122">
        <v>0</v>
      </c>
      <c r="N122">
        <v>0</v>
      </c>
      <c r="O122">
        <v>0</v>
      </c>
    </row>
    <row r="123" spans="1:15">
      <c r="A123" s="1" t="s">
        <v>135</v>
      </c>
      <c r="B123" t="s">
        <v>504</v>
      </c>
      <c r="C123" t="s">
        <v>509</v>
      </c>
      <c r="D123">
        <v>0</v>
      </c>
      <c r="E123">
        <v>37.1138889</v>
      </c>
      <c r="F123">
        <v>-119.3097222</v>
      </c>
      <c r="G123" t="s">
        <v>632</v>
      </c>
      <c r="I123" t="s">
        <v>505</v>
      </c>
      <c r="J123">
        <v>0</v>
      </c>
      <c r="K123">
        <v>95</v>
      </c>
      <c r="L123">
        <v>53</v>
      </c>
      <c r="M123">
        <v>15</v>
      </c>
      <c r="N123">
        <v>38</v>
      </c>
      <c r="O123">
        <v>38</v>
      </c>
    </row>
    <row r="124" spans="1:15">
      <c r="A124" s="1" t="s">
        <v>136</v>
      </c>
      <c r="B124" t="s">
        <v>504</v>
      </c>
      <c r="C124" t="s">
        <v>509</v>
      </c>
      <c r="D124">
        <v>0</v>
      </c>
      <c r="E124">
        <v>36.6361111</v>
      </c>
      <c r="F124">
        <v>-118.8097222</v>
      </c>
      <c r="G124" t="s">
        <v>633</v>
      </c>
      <c r="I124" t="s">
        <v>505</v>
      </c>
      <c r="J124">
        <v>0</v>
      </c>
      <c r="K124">
        <v>104</v>
      </c>
      <c r="L124">
        <v>0</v>
      </c>
      <c r="M124">
        <v>0</v>
      </c>
      <c r="N124">
        <v>0</v>
      </c>
      <c r="O124">
        <v>0</v>
      </c>
    </row>
    <row r="125" spans="1:15">
      <c r="A125" s="1" t="s">
        <v>137</v>
      </c>
      <c r="B125" t="s">
        <v>504</v>
      </c>
      <c r="C125" t="s">
        <v>509</v>
      </c>
      <c r="D125">
        <v>0</v>
      </c>
      <c r="E125">
        <v>33.4638889</v>
      </c>
      <c r="F125">
        <v>-116.9708333</v>
      </c>
      <c r="G125" t="s">
        <v>634</v>
      </c>
      <c r="I125" t="s">
        <v>505</v>
      </c>
      <c r="J125">
        <v>0</v>
      </c>
      <c r="K125">
        <v>132</v>
      </c>
      <c r="L125">
        <v>14</v>
      </c>
      <c r="M125">
        <v>0</v>
      </c>
      <c r="N125">
        <v>14</v>
      </c>
      <c r="O125">
        <v>14</v>
      </c>
    </row>
    <row r="126" spans="1:15">
      <c r="A126" s="1" t="s">
        <v>138</v>
      </c>
      <c r="B126" t="s">
        <v>504</v>
      </c>
      <c r="C126" t="s">
        <v>509</v>
      </c>
      <c r="E126">
        <v>40.6255556</v>
      </c>
      <c r="F126">
        <v>-122.5808333</v>
      </c>
      <c r="G126" t="s">
        <v>635</v>
      </c>
      <c r="H126" t="s">
        <v>998</v>
      </c>
      <c r="I126" t="s">
        <v>505</v>
      </c>
      <c r="J126">
        <v>0</v>
      </c>
      <c r="K126">
        <v>351</v>
      </c>
      <c r="L126">
        <v>0</v>
      </c>
      <c r="M126">
        <v>0</v>
      </c>
      <c r="N126">
        <v>0</v>
      </c>
      <c r="O126">
        <v>0</v>
      </c>
    </row>
    <row r="127" spans="1:15">
      <c r="A127" s="1" t="s">
        <v>139</v>
      </c>
      <c r="B127" t="s">
        <v>504</v>
      </c>
      <c r="C127" t="s">
        <v>509</v>
      </c>
      <c r="D127">
        <v>0</v>
      </c>
      <c r="E127">
        <v>37.6633333</v>
      </c>
      <c r="F127">
        <v>-119.8444444</v>
      </c>
      <c r="G127" t="s">
        <v>636</v>
      </c>
      <c r="I127" t="s">
        <v>505</v>
      </c>
      <c r="J127">
        <v>0</v>
      </c>
      <c r="K127">
        <v>77</v>
      </c>
      <c r="L127">
        <v>0</v>
      </c>
      <c r="M127">
        <v>0</v>
      </c>
      <c r="N127">
        <v>0</v>
      </c>
      <c r="O127">
        <v>0</v>
      </c>
    </row>
    <row r="128" spans="1:15">
      <c r="A128" s="1" t="s">
        <v>140</v>
      </c>
      <c r="B128" t="s">
        <v>504</v>
      </c>
      <c r="C128" t="s">
        <v>509</v>
      </c>
      <c r="D128">
        <v>0</v>
      </c>
      <c r="E128">
        <v>40.54785</v>
      </c>
      <c r="F128">
        <v>-120.7830556</v>
      </c>
      <c r="G128" t="s">
        <v>637</v>
      </c>
      <c r="I128" t="s">
        <v>505</v>
      </c>
      <c r="J128">
        <v>0</v>
      </c>
      <c r="K128">
        <v>14</v>
      </c>
      <c r="L128">
        <v>0</v>
      </c>
      <c r="M128">
        <v>0</v>
      </c>
      <c r="N128">
        <v>0</v>
      </c>
      <c r="O128">
        <v>0</v>
      </c>
    </row>
    <row r="129" spans="1:15">
      <c r="A129" s="1" t="s">
        <v>141</v>
      </c>
      <c r="B129" t="s">
        <v>504</v>
      </c>
      <c r="C129" t="s">
        <v>509</v>
      </c>
      <c r="D129">
        <v>0</v>
      </c>
      <c r="E129">
        <v>37.4836111</v>
      </c>
      <c r="F129">
        <v>-118.7175</v>
      </c>
      <c r="G129" t="s">
        <v>638</v>
      </c>
      <c r="I129" t="s">
        <v>505</v>
      </c>
      <c r="J129">
        <v>0</v>
      </c>
      <c r="K129">
        <v>85</v>
      </c>
      <c r="L129">
        <v>32</v>
      </c>
      <c r="M129">
        <v>0</v>
      </c>
      <c r="N129">
        <v>32</v>
      </c>
      <c r="O129">
        <v>32</v>
      </c>
    </row>
    <row r="130" spans="1:15">
      <c r="A130" s="1" t="s">
        <v>142</v>
      </c>
      <c r="B130" t="s">
        <v>504</v>
      </c>
      <c r="C130" t="s">
        <v>509</v>
      </c>
      <c r="D130">
        <v>0</v>
      </c>
      <c r="E130">
        <v>39.5008333</v>
      </c>
      <c r="F130">
        <v>-120.5325</v>
      </c>
      <c r="G130" t="s">
        <v>639</v>
      </c>
      <c r="I130" t="s">
        <v>505</v>
      </c>
      <c r="J130">
        <v>0</v>
      </c>
      <c r="K130">
        <v>25</v>
      </c>
      <c r="L130">
        <v>29</v>
      </c>
      <c r="M130">
        <v>0</v>
      </c>
      <c r="N130">
        <v>29</v>
      </c>
      <c r="O130">
        <v>29</v>
      </c>
    </row>
    <row r="131" spans="1:15">
      <c r="A131" s="1" t="s">
        <v>143</v>
      </c>
      <c r="B131" t="s">
        <v>505</v>
      </c>
      <c r="C131" t="s">
        <v>510</v>
      </c>
      <c r="D131">
        <v>0</v>
      </c>
      <c r="E131">
        <v>34.46</v>
      </c>
      <c r="F131">
        <v>-120.0202778</v>
      </c>
      <c r="G131" t="s">
        <v>640</v>
      </c>
      <c r="I131" t="s">
        <v>505</v>
      </c>
      <c r="J131">
        <v>0</v>
      </c>
      <c r="K131">
        <v>151</v>
      </c>
      <c r="L131">
        <v>0</v>
      </c>
      <c r="M131">
        <v>0</v>
      </c>
      <c r="N131">
        <v>0</v>
      </c>
      <c r="O131">
        <v>0</v>
      </c>
    </row>
    <row r="132" spans="1:15">
      <c r="A132" s="1" t="s">
        <v>144</v>
      </c>
      <c r="B132" t="s">
        <v>504</v>
      </c>
      <c r="C132" t="s">
        <v>509</v>
      </c>
      <c r="D132">
        <v>0</v>
      </c>
      <c r="E132">
        <v>32.8869444</v>
      </c>
      <c r="F132">
        <v>-116.4555556</v>
      </c>
      <c r="G132" t="s">
        <v>641</v>
      </c>
      <c r="I132" t="s">
        <v>505</v>
      </c>
      <c r="J132">
        <v>0</v>
      </c>
      <c r="K132">
        <v>133</v>
      </c>
      <c r="L132">
        <v>0</v>
      </c>
      <c r="M132">
        <v>0</v>
      </c>
      <c r="N132">
        <v>0</v>
      </c>
      <c r="O132">
        <v>0</v>
      </c>
    </row>
    <row r="133" spans="1:15">
      <c r="A133" s="1" t="s">
        <v>145</v>
      </c>
      <c r="B133" t="s">
        <v>504</v>
      </c>
      <c r="C133" t="s">
        <v>509</v>
      </c>
      <c r="D133">
        <v>0</v>
      </c>
      <c r="E133">
        <v>40.9158333</v>
      </c>
      <c r="F133">
        <v>-122.2408333</v>
      </c>
      <c r="G133" t="s">
        <v>642</v>
      </c>
      <c r="I133" t="s">
        <v>505</v>
      </c>
      <c r="J133">
        <v>0</v>
      </c>
      <c r="K133">
        <v>355</v>
      </c>
      <c r="L133">
        <v>12</v>
      </c>
      <c r="M133">
        <v>0</v>
      </c>
      <c r="N133">
        <v>12</v>
      </c>
      <c r="O133">
        <v>12</v>
      </c>
    </row>
    <row r="134" spans="1:15">
      <c r="A134" s="1" t="s">
        <v>146</v>
      </c>
      <c r="B134" t="s">
        <v>505</v>
      </c>
      <c r="C134" t="s">
        <v>510</v>
      </c>
      <c r="D134">
        <v>0</v>
      </c>
      <c r="E134">
        <v>38.9544444</v>
      </c>
      <c r="F134">
        <v>-120.0930556</v>
      </c>
      <c r="G134" t="s">
        <v>643</v>
      </c>
      <c r="I134" t="s">
        <v>505</v>
      </c>
      <c r="J134">
        <v>0</v>
      </c>
      <c r="K134">
        <v>40</v>
      </c>
      <c r="L134">
        <v>0</v>
      </c>
      <c r="M134">
        <v>0</v>
      </c>
      <c r="N134">
        <v>0</v>
      </c>
      <c r="O134">
        <v>0</v>
      </c>
    </row>
    <row r="135" spans="1:15">
      <c r="A135" s="1" t="s">
        <v>147</v>
      </c>
      <c r="B135" t="s">
        <v>504</v>
      </c>
      <c r="C135" t="s">
        <v>509</v>
      </c>
      <c r="D135">
        <v>0</v>
      </c>
      <c r="E135">
        <v>39.4705556</v>
      </c>
      <c r="F135">
        <v>-120.1163889</v>
      </c>
      <c r="G135" t="s">
        <v>644</v>
      </c>
      <c r="I135" t="s">
        <v>505</v>
      </c>
      <c r="J135">
        <v>0</v>
      </c>
      <c r="K135">
        <v>32</v>
      </c>
      <c r="L135">
        <v>0</v>
      </c>
      <c r="M135">
        <v>0</v>
      </c>
      <c r="N135">
        <v>0</v>
      </c>
      <c r="O135">
        <v>0</v>
      </c>
    </row>
    <row r="136" spans="1:15">
      <c r="A136" s="1" t="s">
        <v>148</v>
      </c>
      <c r="B136" t="s">
        <v>505</v>
      </c>
      <c r="C136" t="s">
        <v>510</v>
      </c>
      <c r="E136">
        <v>34.2852778</v>
      </c>
      <c r="F136">
        <v>-119.3247222</v>
      </c>
      <c r="G136" t="s">
        <v>645</v>
      </c>
      <c r="I136" t="s">
        <v>505</v>
      </c>
      <c r="J136">
        <v>0</v>
      </c>
      <c r="K136">
        <v>144</v>
      </c>
      <c r="L136">
        <v>0</v>
      </c>
      <c r="M136">
        <v>0</v>
      </c>
      <c r="N136">
        <v>0</v>
      </c>
      <c r="O136">
        <v>0</v>
      </c>
    </row>
    <row r="137" spans="1:15">
      <c r="A137" s="1" t="s">
        <v>149</v>
      </c>
      <c r="B137" t="s">
        <v>504</v>
      </c>
      <c r="C137" t="s">
        <v>509</v>
      </c>
      <c r="D137">
        <v>0</v>
      </c>
      <c r="E137">
        <v>36.6891</v>
      </c>
      <c r="F137">
        <v>-118.9504</v>
      </c>
      <c r="G137" t="s">
        <v>646</v>
      </c>
      <c r="I137" t="s">
        <v>505</v>
      </c>
      <c r="J137">
        <v>0</v>
      </c>
      <c r="K137">
        <v>104</v>
      </c>
      <c r="L137">
        <v>13</v>
      </c>
      <c r="M137">
        <v>0</v>
      </c>
      <c r="N137">
        <v>13</v>
      </c>
      <c r="O137">
        <v>13</v>
      </c>
    </row>
    <row r="138" spans="1:15">
      <c r="A138" s="1" t="s">
        <v>150</v>
      </c>
      <c r="B138" t="s">
        <v>504</v>
      </c>
      <c r="C138" t="s">
        <v>509</v>
      </c>
      <c r="D138">
        <v>0</v>
      </c>
      <c r="E138">
        <v>35.9288889</v>
      </c>
      <c r="F138">
        <v>-118.4922222</v>
      </c>
      <c r="G138" t="s">
        <v>647</v>
      </c>
      <c r="H138" t="s">
        <v>997</v>
      </c>
      <c r="I138" t="s">
        <v>505</v>
      </c>
      <c r="J138">
        <v>0</v>
      </c>
      <c r="K138">
        <v>116</v>
      </c>
      <c r="L138">
        <v>13</v>
      </c>
      <c r="M138">
        <v>0</v>
      </c>
      <c r="N138">
        <v>13</v>
      </c>
      <c r="O138">
        <v>13</v>
      </c>
    </row>
    <row r="139" spans="1:15">
      <c r="A139" s="1" t="s">
        <v>151</v>
      </c>
      <c r="B139" t="s">
        <v>504</v>
      </c>
      <c r="C139" t="s">
        <v>509</v>
      </c>
      <c r="D139">
        <v>0</v>
      </c>
      <c r="E139">
        <v>33.6558333</v>
      </c>
      <c r="F139">
        <v>-117.4602778</v>
      </c>
      <c r="G139" t="s">
        <v>648</v>
      </c>
      <c r="I139" t="s">
        <v>505</v>
      </c>
      <c r="J139">
        <v>0</v>
      </c>
      <c r="K139">
        <v>134</v>
      </c>
      <c r="L139">
        <v>0</v>
      </c>
      <c r="M139">
        <v>0</v>
      </c>
      <c r="N139">
        <v>0</v>
      </c>
      <c r="O139">
        <v>0</v>
      </c>
    </row>
    <row r="140" spans="1:15">
      <c r="A140" s="1" t="s">
        <v>152</v>
      </c>
      <c r="B140" t="s">
        <v>504</v>
      </c>
      <c r="C140" t="s">
        <v>509</v>
      </c>
      <c r="D140">
        <v>0</v>
      </c>
      <c r="E140">
        <v>38.9263889</v>
      </c>
      <c r="F140">
        <v>-120.05</v>
      </c>
      <c r="G140" t="s">
        <v>649</v>
      </c>
      <c r="I140" t="s">
        <v>505</v>
      </c>
      <c r="J140">
        <v>0</v>
      </c>
      <c r="K140">
        <v>41</v>
      </c>
      <c r="L140">
        <v>0</v>
      </c>
      <c r="M140">
        <v>0</v>
      </c>
      <c r="N140">
        <v>0</v>
      </c>
      <c r="O140">
        <v>0</v>
      </c>
    </row>
    <row r="141" spans="1:15">
      <c r="A141" s="1" t="s">
        <v>153</v>
      </c>
      <c r="B141" t="s">
        <v>504</v>
      </c>
      <c r="C141" t="s">
        <v>509</v>
      </c>
      <c r="D141">
        <v>0</v>
      </c>
      <c r="E141">
        <v>38.8682</v>
      </c>
      <c r="F141">
        <v>-120.3974611</v>
      </c>
      <c r="G141" t="s">
        <v>650</v>
      </c>
      <c r="I141" t="s">
        <v>505</v>
      </c>
      <c r="J141">
        <v>0</v>
      </c>
      <c r="K141">
        <v>37</v>
      </c>
      <c r="L141">
        <v>0</v>
      </c>
      <c r="M141">
        <v>0</v>
      </c>
      <c r="N141">
        <v>0</v>
      </c>
      <c r="O141">
        <v>0</v>
      </c>
    </row>
    <row r="142" spans="1:15">
      <c r="A142" s="1" t="s">
        <v>154</v>
      </c>
      <c r="B142" t="s">
        <v>504</v>
      </c>
      <c r="C142" t="s">
        <v>509</v>
      </c>
      <c r="D142">
        <v>0</v>
      </c>
      <c r="E142">
        <v>39.4166667</v>
      </c>
      <c r="F142">
        <v>-120.5997222</v>
      </c>
      <c r="G142" t="s">
        <v>651</v>
      </c>
      <c r="I142" t="s">
        <v>505</v>
      </c>
      <c r="J142">
        <v>0</v>
      </c>
      <c r="K142">
        <v>25</v>
      </c>
      <c r="L142">
        <v>0</v>
      </c>
      <c r="M142">
        <v>0</v>
      </c>
      <c r="N142">
        <v>0</v>
      </c>
      <c r="O142">
        <v>0</v>
      </c>
    </row>
    <row r="143" spans="1:15">
      <c r="A143" s="1" t="s">
        <v>155</v>
      </c>
      <c r="B143" t="s">
        <v>504</v>
      </c>
      <c r="C143" t="s">
        <v>509</v>
      </c>
      <c r="D143">
        <v>0</v>
      </c>
      <c r="E143">
        <v>40.8444444</v>
      </c>
      <c r="F143">
        <v>-122.8433333</v>
      </c>
      <c r="G143" t="s">
        <v>652</v>
      </c>
      <c r="I143" t="s">
        <v>505</v>
      </c>
      <c r="J143">
        <v>0</v>
      </c>
      <c r="K143">
        <v>348</v>
      </c>
      <c r="L143">
        <v>2</v>
      </c>
      <c r="M143">
        <v>0</v>
      </c>
      <c r="N143">
        <v>2</v>
      </c>
      <c r="O143">
        <v>2</v>
      </c>
    </row>
    <row r="144" spans="1:15">
      <c r="A144" s="1" t="s">
        <v>156</v>
      </c>
      <c r="B144" t="s">
        <v>504</v>
      </c>
      <c r="C144" t="s">
        <v>509</v>
      </c>
      <c r="D144">
        <v>0</v>
      </c>
      <c r="E144">
        <v>33.7886111</v>
      </c>
      <c r="F144">
        <v>-116.7377778</v>
      </c>
      <c r="G144" t="s">
        <v>653</v>
      </c>
      <c r="I144" t="s">
        <v>505</v>
      </c>
      <c r="J144">
        <v>0</v>
      </c>
      <c r="K144">
        <v>128</v>
      </c>
      <c r="L144">
        <v>11</v>
      </c>
      <c r="M144">
        <v>0</v>
      </c>
      <c r="N144">
        <v>11</v>
      </c>
      <c r="O144">
        <v>11</v>
      </c>
    </row>
    <row r="145" spans="1:15">
      <c r="A145" s="1" t="s">
        <v>157</v>
      </c>
      <c r="B145" t="s">
        <v>504</v>
      </c>
      <c r="C145" t="s">
        <v>509</v>
      </c>
      <c r="D145">
        <v>0</v>
      </c>
      <c r="E145">
        <v>39.5183333</v>
      </c>
      <c r="F145">
        <v>-120.9925</v>
      </c>
      <c r="G145" t="s">
        <v>654</v>
      </c>
      <c r="I145" t="s">
        <v>505</v>
      </c>
      <c r="J145">
        <v>0</v>
      </c>
      <c r="K145">
        <v>17</v>
      </c>
      <c r="L145">
        <v>7</v>
      </c>
      <c r="M145">
        <v>0</v>
      </c>
      <c r="N145">
        <v>7</v>
      </c>
      <c r="O145">
        <v>7</v>
      </c>
    </row>
    <row r="146" spans="1:15">
      <c r="A146" s="1" t="s">
        <v>158</v>
      </c>
      <c r="B146" t="s">
        <v>504</v>
      </c>
      <c r="C146" t="s">
        <v>509</v>
      </c>
      <c r="D146">
        <v>0</v>
      </c>
      <c r="E146">
        <v>39.4847222</v>
      </c>
      <c r="F146">
        <v>-120.5530556</v>
      </c>
      <c r="G146" t="s">
        <v>655</v>
      </c>
      <c r="I146" t="s">
        <v>505</v>
      </c>
      <c r="J146">
        <v>0</v>
      </c>
      <c r="K146">
        <v>25</v>
      </c>
      <c r="L146">
        <v>11</v>
      </c>
      <c r="M146">
        <v>0</v>
      </c>
      <c r="N146">
        <v>11</v>
      </c>
      <c r="O146">
        <v>11</v>
      </c>
    </row>
    <row r="147" spans="1:15">
      <c r="A147" s="1" t="s">
        <v>159</v>
      </c>
      <c r="B147" t="s">
        <v>504</v>
      </c>
      <c r="C147" t="s">
        <v>509</v>
      </c>
      <c r="D147">
        <v>0</v>
      </c>
      <c r="E147">
        <v>40.3441667</v>
      </c>
      <c r="F147">
        <v>-123.4030556</v>
      </c>
      <c r="G147" t="s">
        <v>656</v>
      </c>
      <c r="H147" t="s">
        <v>998</v>
      </c>
      <c r="I147" t="s">
        <v>505</v>
      </c>
      <c r="J147">
        <v>0</v>
      </c>
      <c r="K147">
        <v>339</v>
      </c>
      <c r="L147">
        <v>8</v>
      </c>
      <c r="M147">
        <v>3</v>
      </c>
      <c r="N147">
        <v>5</v>
      </c>
      <c r="O147">
        <v>5</v>
      </c>
    </row>
    <row r="148" spans="1:15">
      <c r="A148" s="1" t="s">
        <v>160</v>
      </c>
      <c r="B148" t="s">
        <v>504</v>
      </c>
      <c r="C148" t="s">
        <v>509</v>
      </c>
      <c r="D148">
        <v>0</v>
      </c>
      <c r="E148">
        <v>36.6641667</v>
      </c>
      <c r="F148">
        <v>-118.8416667</v>
      </c>
      <c r="G148" t="s">
        <v>657</v>
      </c>
      <c r="I148" t="s">
        <v>505</v>
      </c>
      <c r="J148">
        <v>0</v>
      </c>
      <c r="K148">
        <v>104</v>
      </c>
      <c r="L148">
        <v>1</v>
      </c>
      <c r="M148">
        <v>0</v>
      </c>
      <c r="N148">
        <v>1</v>
      </c>
      <c r="O148">
        <v>1</v>
      </c>
    </row>
    <row r="149" spans="1:15">
      <c r="A149" s="1" t="s">
        <v>161</v>
      </c>
      <c r="B149" t="s">
        <v>504</v>
      </c>
      <c r="C149" t="s">
        <v>509</v>
      </c>
      <c r="D149">
        <v>0</v>
      </c>
      <c r="E149">
        <v>39.4855556</v>
      </c>
      <c r="F149">
        <v>-120.5502778</v>
      </c>
      <c r="G149" t="s">
        <v>658</v>
      </c>
      <c r="I149" t="s">
        <v>505</v>
      </c>
      <c r="J149">
        <v>0</v>
      </c>
      <c r="K149">
        <v>25</v>
      </c>
      <c r="L149">
        <v>10</v>
      </c>
      <c r="M149">
        <v>0</v>
      </c>
      <c r="N149">
        <v>10</v>
      </c>
      <c r="O149">
        <v>10</v>
      </c>
    </row>
    <row r="150" spans="1:15">
      <c r="A150" s="1" t="s">
        <v>162</v>
      </c>
      <c r="B150" t="s">
        <v>504</v>
      </c>
      <c r="C150" t="s">
        <v>509</v>
      </c>
      <c r="D150">
        <v>0</v>
      </c>
      <c r="E150">
        <v>37.2602778</v>
      </c>
      <c r="F150">
        <v>-119.3527778</v>
      </c>
      <c r="G150" t="s">
        <v>659</v>
      </c>
      <c r="I150" t="s">
        <v>505</v>
      </c>
      <c r="J150">
        <v>0</v>
      </c>
      <c r="K150">
        <v>91</v>
      </c>
      <c r="L150">
        <v>0</v>
      </c>
      <c r="M150">
        <v>0</v>
      </c>
      <c r="N150">
        <v>0</v>
      </c>
      <c r="O150">
        <v>0</v>
      </c>
    </row>
    <row r="151" spans="1:15">
      <c r="A151" s="1" t="s">
        <v>163</v>
      </c>
      <c r="B151" t="s">
        <v>504</v>
      </c>
      <c r="C151" t="s">
        <v>509</v>
      </c>
      <c r="D151">
        <v>0</v>
      </c>
      <c r="E151">
        <v>41.2641667</v>
      </c>
      <c r="F151">
        <v>-123.6844444</v>
      </c>
      <c r="G151" t="s">
        <v>660</v>
      </c>
      <c r="H151" t="s">
        <v>998</v>
      </c>
      <c r="I151" t="s">
        <v>505</v>
      </c>
      <c r="J151">
        <v>0</v>
      </c>
      <c r="K151">
        <v>341</v>
      </c>
      <c r="L151">
        <v>11</v>
      </c>
      <c r="M151">
        <v>2</v>
      </c>
      <c r="N151">
        <v>9</v>
      </c>
      <c r="O151">
        <v>9</v>
      </c>
    </row>
    <row r="152" spans="1:15">
      <c r="A152" s="1" t="s">
        <v>164</v>
      </c>
      <c r="B152" t="s">
        <v>504</v>
      </c>
      <c r="C152" t="s">
        <v>509</v>
      </c>
      <c r="D152">
        <v>0</v>
      </c>
      <c r="E152">
        <v>34.2467083</v>
      </c>
      <c r="F152">
        <v>-117.1108222</v>
      </c>
      <c r="G152" t="s">
        <v>661</v>
      </c>
      <c r="I152" t="s">
        <v>505</v>
      </c>
      <c r="J152">
        <v>0</v>
      </c>
      <c r="K152">
        <v>126</v>
      </c>
      <c r="L152">
        <v>2</v>
      </c>
      <c r="M152">
        <v>0</v>
      </c>
      <c r="N152">
        <v>2</v>
      </c>
      <c r="O152">
        <v>2</v>
      </c>
    </row>
    <row r="153" spans="1:15">
      <c r="A153" s="1" t="s">
        <v>165</v>
      </c>
      <c r="B153" t="s">
        <v>505</v>
      </c>
      <c r="C153" t="s">
        <v>510</v>
      </c>
      <c r="D153">
        <v>0</v>
      </c>
      <c r="E153">
        <v>38.7316667</v>
      </c>
      <c r="F153">
        <v>-121.1319444</v>
      </c>
      <c r="G153" t="s">
        <v>662</v>
      </c>
      <c r="I153" t="s">
        <v>505</v>
      </c>
      <c r="J153">
        <v>0</v>
      </c>
      <c r="K153">
        <v>23</v>
      </c>
      <c r="L153">
        <v>41</v>
      </c>
      <c r="M153">
        <v>4</v>
      </c>
      <c r="N153">
        <v>37</v>
      </c>
      <c r="O153">
        <v>37</v>
      </c>
    </row>
    <row r="154" spans="1:15">
      <c r="A154" s="1" t="s">
        <v>166</v>
      </c>
      <c r="B154" t="s">
        <v>504</v>
      </c>
      <c r="C154" t="s">
        <v>509</v>
      </c>
      <c r="D154">
        <v>0</v>
      </c>
      <c r="E154">
        <v>39.1311111</v>
      </c>
      <c r="F154">
        <v>-120.7819444</v>
      </c>
      <c r="G154" t="s">
        <v>663</v>
      </c>
      <c r="I154" t="s">
        <v>505</v>
      </c>
      <c r="J154">
        <v>0</v>
      </c>
      <c r="K154">
        <v>25</v>
      </c>
      <c r="L154">
        <v>0</v>
      </c>
      <c r="M154">
        <v>0</v>
      </c>
      <c r="N154">
        <v>0</v>
      </c>
      <c r="O154">
        <v>0</v>
      </c>
    </row>
    <row r="155" spans="1:15">
      <c r="A155" s="1" t="s">
        <v>167</v>
      </c>
      <c r="B155" t="s">
        <v>504</v>
      </c>
      <c r="C155" t="s">
        <v>509</v>
      </c>
      <c r="D155">
        <v>0</v>
      </c>
      <c r="E155">
        <v>37.3130556</v>
      </c>
      <c r="F155">
        <v>-119.57</v>
      </c>
      <c r="G155" t="s">
        <v>664</v>
      </c>
      <c r="I155" t="s">
        <v>505</v>
      </c>
      <c r="J155">
        <v>0</v>
      </c>
      <c r="K155">
        <v>89</v>
      </c>
      <c r="L155">
        <v>20</v>
      </c>
      <c r="M155">
        <v>2</v>
      </c>
      <c r="N155">
        <v>18</v>
      </c>
      <c r="O155">
        <v>18</v>
      </c>
    </row>
    <row r="156" spans="1:15">
      <c r="A156" s="1" t="s">
        <v>168</v>
      </c>
      <c r="B156" t="s">
        <v>505</v>
      </c>
      <c r="C156" t="s">
        <v>510</v>
      </c>
      <c r="E156">
        <v>34.8727778</v>
      </c>
      <c r="F156">
        <v>-118.8991667</v>
      </c>
      <c r="G156" t="s">
        <v>665</v>
      </c>
      <c r="I156" t="s">
        <v>505</v>
      </c>
      <c r="J156">
        <v>0</v>
      </c>
      <c r="K156">
        <v>134</v>
      </c>
      <c r="L156">
        <v>0</v>
      </c>
      <c r="M156">
        <v>0</v>
      </c>
      <c r="N156">
        <v>0</v>
      </c>
      <c r="O156">
        <v>0</v>
      </c>
    </row>
    <row r="157" spans="1:15">
      <c r="A157" s="1" t="s">
        <v>169</v>
      </c>
      <c r="B157" t="s">
        <v>504</v>
      </c>
      <c r="C157" t="s">
        <v>509</v>
      </c>
      <c r="D157">
        <v>0</v>
      </c>
      <c r="E157">
        <v>37.25</v>
      </c>
      <c r="F157">
        <v>-118.55</v>
      </c>
      <c r="G157" t="s">
        <v>666</v>
      </c>
      <c r="I157" t="s">
        <v>505</v>
      </c>
      <c r="J157">
        <v>0</v>
      </c>
      <c r="K157">
        <v>90</v>
      </c>
      <c r="L157">
        <v>0</v>
      </c>
      <c r="M157">
        <v>0</v>
      </c>
      <c r="N157">
        <v>0</v>
      </c>
      <c r="O157">
        <v>0</v>
      </c>
    </row>
    <row r="158" spans="1:15">
      <c r="A158" s="1" t="s">
        <v>170</v>
      </c>
      <c r="B158" t="s">
        <v>508</v>
      </c>
      <c r="C158" t="s">
        <v>511</v>
      </c>
      <c r="D158">
        <v>0</v>
      </c>
      <c r="E158">
        <v>37.4222222</v>
      </c>
      <c r="F158">
        <v>-121.3752778</v>
      </c>
      <c r="G158" t="s">
        <v>667</v>
      </c>
      <c r="I158" t="s">
        <v>505</v>
      </c>
      <c r="J158">
        <v>0</v>
      </c>
      <c r="K158">
        <v>77</v>
      </c>
      <c r="L158">
        <v>29</v>
      </c>
      <c r="M158">
        <v>0</v>
      </c>
      <c r="N158">
        <v>29</v>
      </c>
      <c r="O158">
        <v>29</v>
      </c>
    </row>
    <row r="159" spans="1:15">
      <c r="A159" s="1" t="s">
        <v>171</v>
      </c>
      <c r="B159" t="s">
        <v>504</v>
      </c>
      <c r="C159" t="s">
        <v>509</v>
      </c>
      <c r="D159">
        <v>0</v>
      </c>
      <c r="E159">
        <v>34.5430556</v>
      </c>
      <c r="F159">
        <v>-119.8202778</v>
      </c>
      <c r="G159" t="s">
        <v>668</v>
      </c>
      <c r="I159" t="s">
        <v>505</v>
      </c>
      <c r="J159">
        <v>0</v>
      </c>
      <c r="K159">
        <v>148</v>
      </c>
      <c r="L159">
        <v>9</v>
      </c>
      <c r="M159">
        <v>0</v>
      </c>
      <c r="N159">
        <v>9</v>
      </c>
      <c r="O159">
        <v>9</v>
      </c>
    </row>
    <row r="160" spans="1:15">
      <c r="A160" s="1" t="s">
        <v>172</v>
      </c>
      <c r="B160" t="s">
        <v>505</v>
      </c>
      <c r="C160" t="s">
        <v>510</v>
      </c>
      <c r="D160">
        <v>0</v>
      </c>
      <c r="E160">
        <v>36.7608333</v>
      </c>
      <c r="F160">
        <v>-121.5013889</v>
      </c>
      <c r="G160" t="s">
        <v>669</v>
      </c>
      <c r="I160" t="s">
        <v>505</v>
      </c>
      <c r="J160">
        <v>0</v>
      </c>
      <c r="K160">
        <v>150</v>
      </c>
      <c r="L160">
        <v>7</v>
      </c>
      <c r="M160">
        <v>3</v>
      </c>
      <c r="N160">
        <v>4</v>
      </c>
      <c r="O160">
        <v>4</v>
      </c>
    </row>
    <row r="161" spans="1:15">
      <c r="A161" s="1" t="s">
        <v>173</v>
      </c>
      <c r="B161" t="s">
        <v>504</v>
      </c>
      <c r="C161" t="s">
        <v>509</v>
      </c>
      <c r="D161">
        <v>0</v>
      </c>
      <c r="E161">
        <v>37.5525</v>
      </c>
      <c r="F161">
        <v>-118.6791667</v>
      </c>
      <c r="G161" t="s">
        <v>670</v>
      </c>
      <c r="I161" t="s">
        <v>505</v>
      </c>
      <c r="J161">
        <v>0</v>
      </c>
      <c r="K161">
        <v>84</v>
      </c>
      <c r="L161">
        <v>37</v>
      </c>
      <c r="M161">
        <v>0</v>
      </c>
      <c r="N161">
        <v>37</v>
      </c>
      <c r="O161">
        <v>37</v>
      </c>
    </row>
    <row r="162" spans="1:15">
      <c r="A162" s="1" t="s">
        <v>174</v>
      </c>
      <c r="B162" t="s">
        <v>504</v>
      </c>
      <c r="C162" t="s">
        <v>509</v>
      </c>
      <c r="D162">
        <v>0</v>
      </c>
      <c r="E162">
        <v>35.6708333</v>
      </c>
      <c r="F162">
        <v>-118.4722222</v>
      </c>
      <c r="G162" t="s">
        <v>671</v>
      </c>
      <c r="I162" t="s">
        <v>505</v>
      </c>
      <c r="J162">
        <v>0</v>
      </c>
      <c r="K162">
        <v>119</v>
      </c>
      <c r="L162">
        <v>1</v>
      </c>
      <c r="M162">
        <v>0</v>
      </c>
      <c r="N162">
        <v>1</v>
      </c>
      <c r="O162">
        <v>1</v>
      </c>
    </row>
    <row r="163" spans="1:15">
      <c r="A163" s="1" t="s">
        <v>175</v>
      </c>
      <c r="B163" t="s">
        <v>504</v>
      </c>
      <c r="C163" t="s">
        <v>509</v>
      </c>
      <c r="D163">
        <v>0</v>
      </c>
      <c r="E163">
        <v>39.1138889</v>
      </c>
      <c r="F163">
        <v>-120.4238889</v>
      </c>
      <c r="G163" t="s">
        <v>669</v>
      </c>
      <c r="I163" t="s">
        <v>505</v>
      </c>
      <c r="J163">
        <v>0</v>
      </c>
      <c r="K163">
        <v>32</v>
      </c>
      <c r="L163">
        <v>45</v>
      </c>
      <c r="M163">
        <v>3</v>
      </c>
      <c r="N163">
        <v>42</v>
      </c>
      <c r="O163">
        <v>42</v>
      </c>
    </row>
    <row r="164" spans="1:15">
      <c r="A164" s="1" t="s">
        <v>176</v>
      </c>
      <c r="B164" t="s">
        <v>504</v>
      </c>
      <c r="C164" t="s">
        <v>509</v>
      </c>
      <c r="D164">
        <v>0</v>
      </c>
      <c r="E164">
        <v>39.8997222</v>
      </c>
      <c r="F164">
        <v>-120.1866667</v>
      </c>
      <c r="G164" t="s">
        <v>672</v>
      </c>
      <c r="I164" t="s">
        <v>505</v>
      </c>
      <c r="J164">
        <v>0</v>
      </c>
      <c r="K164">
        <v>27</v>
      </c>
      <c r="L164">
        <v>0</v>
      </c>
      <c r="M164">
        <v>0</v>
      </c>
      <c r="N164">
        <v>0</v>
      </c>
      <c r="O164">
        <v>0</v>
      </c>
    </row>
    <row r="165" spans="1:15">
      <c r="A165" s="1" t="s">
        <v>177</v>
      </c>
      <c r="B165" t="s">
        <v>504</v>
      </c>
      <c r="C165" t="s">
        <v>509</v>
      </c>
      <c r="D165">
        <v>0</v>
      </c>
      <c r="E165">
        <v>33.345</v>
      </c>
      <c r="F165">
        <v>-116.88</v>
      </c>
      <c r="G165" t="s">
        <v>673</v>
      </c>
      <c r="I165" t="s">
        <v>505</v>
      </c>
      <c r="J165">
        <v>0</v>
      </c>
      <c r="K165">
        <v>132</v>
      </c>
      <c r="L165">
        <v>8</v>
      </c>
      <c r="M165">
        <v>0</v>
      </c>
      <c r="N165">
        <v>8</v>
      </c>
      <c r="O165">
        <v>8</v>
      </c>
    </row>
    <row r="166" spans="1:15">
      <c r="A166" s="1" t="s">
        <v>178</v>
      </c>
      <c r="B166" t="s">
        <v>504</v>
      </c>
      <c r="C166" t="s">
        <v>509</v>
      </c>
      <c r="D166">
        <v>0</v>
      </c>
      <c r="E166">
        <v>36.4630556</v>
      </c>
      <c r="F166">
        <v>-116.8677778</v>
      </c>
      <c r="G166" t="s">
        <v>674</v>
      </c>
      <c r="I166" t="s">
        <v>505</v>
      </c>
      <c r="J166">
        <v>0</v>
      </c>
      <c r="K166">
        <v>100</v>
      </c>
      <c r="L166">
        <v>0</v>
      </c>
      <c r="M166">
        <v>0</v>
      </c>
      <c r="N166">
        <v>0</v>
      </c>
      <c r="O166">
        <v>0</v>
      </c>
    </row>
    <row r="167" spans="1:15">
      <c r="A167" s="1" t="s">
        <v>179</v>
      </c>
      <c r="B167" t="s">
        <v>504</v>
      </c>
      <c r="C167" t="s">
        <v>509</v>
      </c>
      <c r="D167">
        <v>0</v>
      </c>
      <c r="E167">
        <v>39.1413889</v>
      </c>
      <c r="F167">
        <v>-120.4091667</v>
      </c>
      <c r="G167" t="s">
        <v>675</v>
      </c>
      <c r="I167" t="s">
        <v>505</v>
      </c>
      <c r="J167">
        <v>0</v>
      </c>
      <c r="K167">
        <v>32</v>
      </c>
      <c r="L167">
        <v>3</v>
      </c>
      <c r="M167">
        <v>0</v>
      </c>
      <c r="N167">
        <v>3</v>
      </c>
      <c r="O167">
        <v>3</v>
      </c>
    </row>
    <row r="168" spans="1:15">
      <c r="A168" s="1" t="s">
        <v>180</v>
      </c>
      <c r="B168" t="s">
        <v>505</v>
      </c>
      <c r="C168" t="s">
        <v>510</v>
      </c>
      <c r="E168">
        <v>37.3577778</v>
      </c>
      <c r="F168">
        <v>-120.9594444</v>
      </c>
      <c r="G168" t="s">
        <v>676</v>
      </c>
      <c r="I168" t="s">
        <v>505</v>
      </c>
      <c r="J168">
        <v>0</v>
      </c>
      <c r="K168">
        <v>87</v>
      </c>
      <c r="L168">
        <v>0</v>
      </c>
      <c r="M168">
        <v>0</v>
      </c>
      <c r="N168">
        <v>0</v>
      </c>
      <c r="O168">
        <v>0</v>
      </c>
    </row>
    <row r="169" spans="1:15">
      <c r="A169" s="1" t="s">
        <v>181</v>
      </c>
      <c r="B169" t="s">
        <v>504</v>
      </c>
      <c r="C169" t="s">
        <v>509</v>
      </c>
      <c r="D169">
        <v>0</v>
      </c>
      <c r="E169">
        <v>38.975</v>
      </c>
      <c r="F169">
        <v>-120.3916667</v>
      </c>
      <c r="G169" t="s">
        <v>677</v>
      </c>
      <c r="H169" t="s">
        <v>997</v>
      </c>
      <c r="I169" t="s">
        <v>505</v>
      </c>
      <c r="J169">
        <v>0</v>
      </c>
      <c r="K169">
        <v>35</v>
      </c>
      <c r="L169">
        <v>0</v>
      </c>
      <c r="M169">
        <v>0</v>
      </c>
      <c r="N169">
        <v>0</v>
      </c>
      <c r="O169">
        <v>0</v>
      </c>
    </row>
    <row r="170" spans="1:15">
      <c r="A170" s="1" t="s">
        <v>182</v>
      </c>
      <c r="B170" t="s">
        <v>504</v>
      </c>
      <c r="C170" t="s">
        <v>509</v>
      </c>
      <c r="D170">
        <v>0</v>
      </c>
      <c r="E170">
        <v>39.1388889</v>
      </c>
      <c r="F170">
        <v>-120.7922222</v>
      </c>
      <c r="G170" t="s">
        <v>678</v>
      </c>
      <c r="I170" t="s">
        <v>505</v>
      </c>
      <c r="J170">
        <v>0</v>
      </c>
      <c r="K170">
        <v>25</v>
      </c>
      <c r="L170">
        <v>4</v>
      </c>
      <c r="M170">
        <v>2</v>
      </c>
      <c r="N170">
        <v>2</v>
      </c>
      <c r="O170">
        <v>2</v>
      </c>
    </row>
    <row r="171" spans="1:15">
      <c r="A171" s="1" t="s">
        <v>183</v>
      </c>
      <c r="B171" t="s">
        <v>504</v>
      </c>
      <c r="C171" t="s">
        <v>509</v>
      </c>
      <c r="D171">
        <v>0</v>
      </c>
      <c r="E171">
        <v>38.0075</v>
      </c>
      <c r="F171">
        <v>-120.5402778</v>
      </c>
      <c r="G171" t="s">
        <v>679</v>
      </c>
      <c r="I171" t="s">
        <v>505</v>
      </c>
      <c r="J171">
        <v>0</v>
      </c>
      <c r="K171">
        <v>57</v>
      </c>
      <c r="L171">
        <v>7</v>
      </c>
      <c r="M171">
        <v>5</v>
      </c>
      <c r="N171">
        <v>2</v>
      </c>
      <c r="O171">
        <v>2</v>
      </c>
    </row>
    <row r="172" spans="1:15">
      <c r="A172" s="1" t="s">
        <v>184</v>
      </c>
      <c r="B172" t="s">
        <v>504</v>
      </c>
      <c r="C172" t="s">
        <v>509</v>
      </c>
      <c r="D172">
        <v>0</v>
      </c>
      <c r="E172">
        <v>35.8777778</v>
      </c>
      <c r="F172">
        <v>-118.4563889</v>
      </c>
      <c r="G172" t="s">
        <v>680</v>
      </c>
      <c r="I172" t="s">
        <v>505</v>
      </c>
      <c r="J172">
        <v>0</v>
      </c>
      <c r="K172">
        <v>116</v>
      </c>
      <c r="L172">
        <v>23</v>
      </c>
      <c r="M172">
        <v>0</v>
      </c>
      <c r="N172">
        <v>23</v>
      </c>
      <c r="O172">
        <v>23</v>
      </c>
    </row>
    <row r="173" spans="1:15">
      <c r="A173" s="1" t="s">
        <v>185</v>
      </c>
      <c r="B173" t="s">
        <v>504</v>
      </c>
      <c r="C173" t="s">
        <v>509</v>
      </c>
      <c r="D173">
        <v>0</v>
      </c>
      <c r="E173">
        <v>39.2575</v>
      </c>
      <c r="F173">
        <v>-120.2091667</v>
      </c>
      <c r="G173" t="s">
        <v>681</v>
      </c>
      <c r="I173" t="s">
        <v>505</v>
      </c>
      <c r="J173">
        <v>0</v>
      </c>
      <c r="K173">
        <v>34</v>
      </c>
      <c r="L173">
        <v>14</v>
      </c>
      <c r="M173">
        <v>0</v>
      </c>
      <c r="N173">
        <v>14</v>
      </c>
      <c r="O173">
        <v>14</v>
      </c>
    </row>
    <row r="174" spans="1:15">
      <c r="A174" s="1" t="s">
        <v>186</v>
      </c>
      <c r="B174" t="s">
        <v>504</v>
      </c>
      <c r="C174" t="s">
        <v>509</v>
      </c>
      <c r="D174">
        <v>0</v>
      </c>
      <c r="E174">
        <v>39.2991667</v>
      </c>
      <c r="F174">
        <v>-120.2036111</v>
      </c>
      <c r="G174" t="s">
        <v>682</v>
      </c>
      <c r="I174" t="s">
        <v>505</v>
      </c>
      <c r="J174">
        <v>0</v>
      </c>
      <c r="K174">
        <v>33</v>
      </c>
      <c r="L174">
        <v>43</v>
      </c>
      <c r="M174">
        <v>7</v>
      </c>
      <c r="N174">
        <v>36</v>
      </c>
      <c r="O174">
        <v>36</v>
      </c>
    </row>
    <row r="175" spans="1:15">
      <c r="A175" s="1" t="s">
        <v>187</v>
      </c>
      <c r="B175" t="s">
        <v>504</v>
      </c>
      <c r="C175" t="s">
        <v>509</v>
      </c>
      <c r="D175">
        <v>0</v>
      </c>
      <c r="E175">
        <v>39.8905556</v>
      </c>
      <c r="F175">
        <v>-120.4769444</v>
      </c>
      <c r="G175" t="s">
        <v>683</v>
      </c>
      <c r="I175" t="s">
        <v>505</v>
      </c>
      <c r="J175">
        <v>0</v>
      </c>
      <c r="K175">
        <v>23</v>
      </c>
      <c r="L175">
        <v>0</v>
      </c>
      <c r="M175">
        <v>0</v>
      </c>
      <c r="N175">
        <v>0</v>
      </c>
      <c r="O175">
        <v>0</v>
      </c>
    </row>
    <row r="176" spans="1:15">
      <c r="A176" s="1" t="s">
        <v>188</v>
      </c>
      <c r="B176" t="s">
        <v>504</v>
      </c>
      <c r="C176" t="s">
        <v>509</v>
      </c>
      <c r="D176">
        <v>0</v>
      </c>
      <c r="E176">
        <v>41.8563889</v>
      </c>
      <c r="F176">
        <v>-123.8888889</v>
      </c>
      <c r="G176" t="s">
        <v>684</v>
      </c>
      <c r="I176" t="s">
        <v>505</v>
      </c>
      <c r="J176">
        <v>0</v>
      </c>
      <c r="K176">
        <v>341</v>
      </c>
      <c r="L176">
        <v>10</v>
      </c>
      <c r="M176">
        <v>0</v>
      </c>
      <c r="N176">
        <v>10</v>
      </c>
      <c r="O176">
        <v>10</v>
      </c>
    </row>
    <row r="177" spans="1:15">
      <c r="A177" s="1" t="s">
        <v>189</v>
      </c>
      <c r="B177" t="s">
        <v>504</v>
      </c>
      <c r="C177" t="s">
        <v>509</v>
      </c>
      <c r="D177">
        <v>0</v>
      </c>
      <c r="E177">
        <v>36.7688889</v>
      </c>
      <c r="F177">
        <v>-118.295</v>
      </c>
      <c r="G177" t="s">
        <v>685</v>
      </c>
      <c r="I177" t="s">
        <v>505</v>
      </c>
      <c r="J177">
        <v>0</v>
      </c>
      <c r="K177">
        <v>99</v>
      </c>
      <c r="L177">
        <v>25</v>
      </c>
      <c r="M177">
        <v>2</v>
      </c>
      <c r="N177">
        <v>23</v>
      </c>
      <c r="O177">
        <v>23</v>
      </c>
    </row>
    <row r="178" spans="1:15">
      <c r="A178" s="1" t="s">
        <v>190</v>
      </c>
      <c r="B178" t="s">
        <v>504</v>
      </c>
      <c r="C178" t="s">
        <v>509</v>
      </c>
      <c r="D178">
        <v>0</v>
      </c>
      <c r="E178">
        <v>34.2733333</v>
      </c>
      <c r="F178">
        <v>-116.9705556</v>
      </c>
      <c r="G178" t="s">
        <v>686</v>
      </c>
      <c r="I178" t="s">
        <v>505</v>
      </c>
      <c r="J178">
        <v>0</v>
      </c>
      <c r="K178">
        <v>125</v>
      </c>
      <c r="L178">
        <v>0</v>
      </c>
      <c r="M178">
        <v>0</v>
      </c>
      <c r="N178">
        <v>0</v>
      </c>
      <c r="O178">
        <v>0</v>
      </c>
    </row>
    <row r="179" spans="1:15">
      <c r="A179" s="1" t="s">
        <v>191</v>
      </c>
      <c r="B179" t="s">
        <v>504</v>
      </c>
      <c r="C179" t="s">
        <v>509</v>
      </c>
      <c r="D179">
        <v>0</v>
      </c>
      <c r="E179">
        <v>38.1108333</v>
      </c>
      <c r="F179">
        <v>-119.2761111</v>
      </c>
      <c r="G179" t="s">
        <v>687</v>
      </c>
      <c r="I179" t="s">
        <v>505</v>
      </c>
      <c r="J179">
        <v>0</v>
      </c>
      <c r="K179">
        <v>68</v>
      </c>
      <c r="L179">
        <v>0</v>
      </c>
      <c r="M179">
        <v>0</v>
      </c>
      <c r="N179">
        <v>0</v>
      </c>
      <c r="O179">
        <v>0</v>
      </c>
    </row>
    <row r="180" spans="1:15">
      <c r="A180" s="1" t="s">
        <v>192</v>
      </c>
      <c r="B180" t="s">
        <v>504</v>
      </c>
      <c r="C180" t="s">
        <v>509</v>
      </c>
      <c r="D180">
        <v>0</v>
      </c>
      <c r="E180">
        <v>34.2233333</v>
      </c>
      <c r="F180">
        <v>-116.8061111</v>
      </c>
      <c r="G180" t="s">
        <v>688</v>
      </c>
      <c r="I180" t="s">
        <v>505</v>
      </c>
      <c r="J180">
        <v>0</v>
      </c>
      <c r="K180">
        <v>125</v>
      </c>
      <c r="L180">
        <v>0</v>
      </c>
      <c r="M180">
        <v>0</v>
      </c>
      <c r="N180">
        <v>0</v>
      </c>
      <c r="O180">
        <v>0</v>
      </c>
    </row>
    <row r="181" spans="1:15">
      <c r="A181" s="1" t="s">
        <v>193</v>
      </c>
      <c r="B181" t="s">
        <v>504</v>
      </c>
      <c r="C181" t="s">
        <v>509</v>
      </c>
      <c r="D181">
        <v>0</v>
      </c>
      <c r="E181">
        <v>34.2447222</v>
      </c>
      <c r="F181">
        <v>-117.0619444</v>
      </c>
      <c r="G181" t="s">
        <v>689</v>
      </c>
      <c r="I181" t="s">
        <v>505</v>
      </c>
      <c r="J181">
        <v>0</v>
      </c>
      <c r="K181">
        <v>126</v>
      </c>
      <c r="L181">
        <v>10</v>
      </c>
      <c r="M181">
        <v>0</v>
      </c>
      <c r="N181">
        <v>10</v>
      </c>
      <c r="O181">
        <v>10</v>
      </c>
    </row>
    <row r="182" spans="1:15">
      <c r="A182" s="1" t="s">
        <v>194</v>
      </c>
      <c r="B182" t="s">
        <v>504</v>
      </c>
      <c r="C182" t="s">
        <v>509</v>
      </c>
      <c r="D182">
        <v>0</v>
      </c>
      <c r="E182">
        <v>39.8872222</v>
      </c>
      <c r="F182">
        <v>-120.4725</v>
      </c>
      <c r="G182" t="s">
        <v>690</v>
      </c>
      <c r="I182" t="s">
        <v>505</v>
      </c>
      <c r="J182">
        <v>0</v>
      </c>
      <c r="K182">
        <v>23</v>
      </c>
      <c r="L182">
        <v>0</v>
      </c>
      <c r="M182">
        <v>0</v>
      </c>
      <c r="N182">
        <v>0</v>
      </c>
      <c r="O182">
        <v>0</v>
      </c>
    </row>
    <row r="183" spans="1:15">
      <c r="A183" s="1" t="s">
        <v>195</v>
      </c>
      <c r="B183" t="s">
        <v>505</v>
      </c>
      <c r="C183" t="s">
        <v>510</v>
      </c>
      <c r="D183">
        <v>0</v>
      </c>
      <c r="E183">
        <v>40.4841667</v>
      </c>
      <c r="F183">
        <v>-123.9055556</v>
      </c>
      <c r="G183" t="s">
        <v>690</v>
      </c>
      <c r="I183" t="s">
        <v>505</v>
      </c>
      <c r="J183">
        <v>0</v>
      </c>
      <c r="K183">
        <v>334</v>
      </c>
      <c r="L183">
        <v>0</v>
      </c>
      <c r="M183">
        <v>0</v>
      </c>
      <c r="N183">
        <v>0</v>
      </c>
      <c r="O183">
        <v>0</v>
      </c>
    </row>
    <row r="184" spans="1:15">
      <c r="A184" s="1" t="s">
        <v>196</v>
      </c>
      <c r="B184" t="s">
        <v>505</v>
      </c>
      <c r="C184" t="s">
        <v>510</v>
      </c>
      <c r="D184">
        <v>0</v>
      </c>
      <c r="E184">
        <v>38.7005556</v>
      </c>
      <c r="F184">
        <v>-119.8366667</v>
      </c>
      <c r="G184" t="s">
        <v>691</v>
      </c>
      <c r="I184" t="s">
        <v>505</v>
      </c>
      <c r="J184">
        <v>0</v>
      </c>
      <c r="K184">
        <v>49</v>
      </c>
      <c r="L184">
        <v>0</v>
      </c>
      <c r="M184">
        <v>0</v>
      </c>
      <c r="N184">
        <v>0</v>
      </c>
      <c r="O184">
        <v>0</v>
      </c>
    </row>
    <row r="185" spans="1:15">
      <c r="A185" s="1" t="s">
        <v>197</v>
      </c>
      <c r="B185" t="s">
        <v>504</v>
      </c>
      <c r="C185" t="s">
        <v>509</v>
      </c>
      <c r="D185">
        <v>0</v>
      </c>
      <c r="E185">
        <v>40.3088889</v>
      </c>
      <c r="F185">
        <v>-121.4266667</v>
      </c>
      <c r="G185" t="s">
        <v>692</v>
      </c>
      <c r="I185" t="s">
        <v>505</v>
      </c>
      <c r="J185">
        <v>0</v>
      </c>
      <c r="K185">
        <v>6</v>
      </c>
      <c r="L185">
        <v>2</v>
      </c>
      <c r="M185">
        <v>0</v>
      </c>
      <c r="N185">
        <v>2</v>
      </c>
      <c r="O185">
        <v>2</v>
      </c>
    </row>
    <row r="186" spans="1:15">
      <c r="A186" s="1" t="s">
        <v>198</v>
      </c>
      <c r="B186" t="s">
        <v>505</v>
      </c>
      <c r="C186" t="s">
        <v>510</v>
      </c>
      <c r="D186">
        <v>0</v>
      </c>
      <c r="E186">
        <v>37.4597222</v>
      </c>
      <c r="F186">
        <v>-122.4441667</v>
      </c>
      <c r="G186" t="s">
        <v>693</v>
      </c>
      <c r="I186" t="s">
        <v>505</v>
      </c>
      <c r="J186">
        <v>0</v>
      </c>
      <c r="K186">
        <v>287</v>
      </c>
      <c r="L186">
        <v>0</v>
      </c>
      <c r="M186">
        <v>0</v>
      </c>
      <c r="N186">
        <v>0</v>
      </c>
      <c r="O186">
        <v>0</v>
      </c>
    </row>
    <row r="187" spans="1:15">
      <c r="A187" s="1" t="s">
        <v>199</v>
      </c>
      <c r="B187" t="s">
        <v>504</v>
      </c>
      <c r="C187" t="s">
        <v>509</v>
      </c>
      <c r="D187">
        <v>0</v>
      </c>
      <c r="E187">
        <v>40.0175</v>
      </c>
      <c r="F187">
        <v>-121.0730556</v>
      </c>
      <c r="G187" t="s">
        <v>694</v>
      </c>
      <c r="H187" t="s">
        <v>997</v>
      </c>
      <c r="I187" t="s">
        <v>505</v>
      </c>
      <c r="J187">
        <v>0</v>
      </c>
      <c r="K187">
        <v>13</v>
      </c>
      <c r="L187">
        <v>0</v>
      </c>
      <c r="M187">
        <v>0</v>
      </c>
      <c r="N187">
        <v>0</v>
      </c>
      <c r="O187">
        <v>0</v>
      </c>
    </row>
    <row r="188" spans="1:15">
      <c r="A188" s="1" t="s">
        <v>200</v>
      </c>
      <c r="B188" t="s">
        <v>504</v>
      </c>
      <c r="C188" t="s">
        <v>509</v>
      </c>
      <c r="D188">
        <v>0</v>
      </c>
      <c r="E188">
        <v>39.3105556</v>
      </c>
      <c r="F188">
        <v>-120.4966667</v>
      </c>
      <c r="G188" t="s">
        <v>695</v>
      </c>
      <c r="I188" t="s">
        <v>505</v>
      </c>
      <c r="J188">
        <v>0</v>
      </c>
      <c r="K188">
        <v>28</v>
      </c>
      <c r="L188">
        <v>18</v>
      </c>
      <c r="M188">
        <v>0</v>
      </c>
      <c r="N188">
        <v>18</v>
      </c>
      <c r="O188">
        <v>18</v>
      </c>
    </row>
    <row r="189" spans="1:15">
      <c r="A189" s="1" t="s">
        <v>201</v>
      </c>
      <c r="B189" t="s">
        <v>504</v>
      </c>
      <c r="C189" t="s">
        <v>509</v>
      </c>
      <c r="D189">
        <v>0</v>
      </c>
      <c r="E189">
        <v>34.2877778</v>
      </c>
      <c r="F189">
        <v>-116.9744444</v>
      </c>
      <c r="G189" t="s">
        <v>696</v>
      </c>
      <c r="I189" t="s">
        <v>505</v>
      </c>
      <c r="J189">
        <v>0</v>
      </c>
      <c r="K189">
        <v>125</v>
      </c>
      <c r="L189">
        <v>24</v>
      </c>
      <c r="M189">
        <v>0</v>
      </c>
      <c r="N189">
        <v>24</v>
      </c>
      <c r="O189">
        <v>24</v>
      </c>
    </row>
    <row r="190" spans="1:15">
      <c r="A190" s="1" t="s">
        <v>202</v>
      </c>
      <c r="B190" t="s">
        <v>504</v>
      </c>
      <c r="C190" t="s">
        <v>509</v>
      </c>
      <c r="D190">
        <v>0</v>
      </c>
      <c r="E190">
        <v>40.6677778</v>
      </c>
      <c r="F190">
        <v>-121.4455556</v>
      </c>
      <c r="G190" t="s">
        <v>697</v>
      </c>
      <c r="I190" t="s">
        <v>505</v>
      </c>
      <c r="J190">
        <v>0</v>
      </c>
      <c r="K190">
        <v>5</v>
      </c>
      <c r="L190">
        <v>3</v>
      </c>
      <c r="M190">
        <v>0</v>
      </c>
      <c r="N190">
        <v>3</v>
      </c>
      <c r="O190">
        <v>3</v>
      </c>
    </row>
    <row r="191" spans="1:15">
      <c r="A191" s="1" t="s">
        <v>203</v>
      </c>
      <c r="B191" t="s">
        <v>504</v>
      </c>
      <c r="C191" t="s">
        <v>509</v>
      </c>
      <c r="D191">
        <v>0</v>
      </c>
      <c r="E191">
        <v>40.8744444</v>
      </c>
      <c r="F191">
        <v>-122.7691667</v>
      </c>
      <c r="G191" t="s">
        <v>698</v>
      </c>
      <c r="I191" t="s">
        <v>505</v>
      </c>
      <c r="J191">
        <v>0</v>
      </c>
      <c r="K191">
        <v>349</v>
      </c>
      <c r="L191">
        <v>67</v>
      </c>
      <c r="M191">
        <v>0</v>
      </c>
      <c r="N191">
        <v>67</v>
      </c>
      <c r="O191">
        <v>67</v>
      </c>
    </row>
    <row r="192" spans="1:15">
      <c r="A192" s="1" t="s">
        <v>204</v>
      </c>
      <c r="B192" t="s">
        <v>504</v>
      </c>
      <c r="C192" t="s">
        <v>509</v>
      </c>
      <c r="D192">
        <v>0</v>
      </c>
      <c r="E192">
        <v>35.7958333</v>
      </c>
      <c r="F192">
        <v>-118.4511111</v>
      </c>
      <c r="G192" t="s">
        <v>699</v>
      </c>
      <c r="I192" t="s">
        <v>505</v>
      </c>
      <c r="J192">
        <v>0</v>
      </c>
      <c r="K192">
        <v>117</v>
      </c>
      <c r="L192">
        <v>11</v>
      </c>
      <c r="M192">
        <v>0</v>
      </c>
      <c r="N192">
        <v>11</v>
      </c>
      <c r="O192">
        <v>11</v>
      </c>
    </row>
    <row r="193" spans="1:15">
      <c r="A193" s="1" t="s">
        <v>205</v>
      </c>
      <c r="B193" t="s">
        <v>504</v>
      </c>
      <c r="C193" t="s">
        <v>509</v>
      </c>
      <c r="D193">
        <v>0</v>
      </c>
      <c r="E193">
        <v>34.1586111</v>
      </c>
      <c r="F193">
        <v>-116.7858333</v>
      </c>
      <c r="G193" t="s">
        <v>700</v>
      </c>
      <c r="I193" t="s">
        <v>505</v>
      </c>
      <c r="J193">
        <v>0</v>
      </c>
      <c r="K193">
        <v>125</v>
      </c>
      <c r="L193">
        <v>51</v>
      </c>
      <c r="M193">
        <v>2</v>
      </c>
      <c r="N193">
        <v>49</v>
      </c>
      <c r="O193">
        <v>49</v>
      </c>
    </row>
    <row r="194" spans="1:15">
      <c r="A194" s="1" t="s">
        <v>206</v>
      </c>
      <c r="B194" t="s">
        <v>504</v>
      </c>
      <c r="C194" t="s">
        <v>509</v>
      </c>
      <c r="D194">
        <v>0</v>
      </c>
      <c r="E194">
        <v>34.1586111</v>
      </c>
      <c r="F194">
        <v>-116.7858333</v>
      </c>
      <c r="G194" t="s">
        <v>701</v>
      </c>
      <c r="I194" t="s">
        <v>505</v>
      </c>
      <c r="J194">
        <v>0</v>
      </c>
      <c r="K194">
        <v>125</v>
      </c>
      <c r="L194">
        <v>1</v>
      </c>
      <c r="M194">
        <v>0</v>
      </c>
      <c r="N194">
        <v>1</v>
      </c>
      <c r="O194">
        <v>1</v>
      </c>
    </row>
    <row r="195" spans="1:15">
      <c r="A195" s="1" t="s">
        <v>207</v>
      </c>
      <c r="B195" t="s">
        <v>505</v>
      </c>
      <c r="C195" t="s">
        <v>510</v>
      </c>
      <c r="D195">
        <v>0</v>
      </c>
      <c r="E195">
        <v>37.0236111</v>
      </c>
      <c r="F195">
        <v>-122.0519444</v>
      </c>
      <c r="G195" t="s">
        <v>702</v>
      </c>
      <c r="I195" t="s">
        <v>505</v>
      </c>
      <c r="J195">
        <v>0</v>
      </c>
      <c r="K195">
        <v>200</v>
      </c>
      <c r="L195">
        <v>0</v>
      </c>
      <c r="M195">
        <v>0</v>
      </c>
      <c r="N195">
        <v>0</v>
      </c>
      <c r="O195">
        <v>0</v>
      </c>
    </row>
    <row r="196" spans="1:15">
      <c r="A196" s="1" t="s">
        <v>208</v>
      </c>
      <c r="B196" t="s">
        <v>505</v>
      </c>
      <c r="C196" t="s">
        <v>510</v>
      </c>
      <c r="D196">
        <v>0</v>
      </c>
      <c r="E196">
        <v>37.18</v>
      </c>
      <c r="F196">
        <v>-121.55</v>
      </c>
      <c r="G196" t="s">
        <v>703</v>
      </c>
      <c r="I196" t="s">
        <v>505</v>
      </c>
      <c r="J196">
        <v>0</v>
      </c>
      <c r="K196">
        <v>117</v>
      </c>
      <c r="L196">
        <v>5</v>
      </c>
      <c r="M196">
        <v>1</v>
      </c>
      <c r="N196">
        <v>4</v>
      </c>
      <c r="O196">
        <v>4</v>
      </c>
    </row>
    <row r="197" spans="1:15">
      <c r="A197" s="1" t="s">
        <v>209</v>
      </c>
      <c r="B197" t="s">
        <v>507</v>
      </c>
      <c r="C197" t="s">
        <v>511</v>
      </c>
      <c r="D197">
        <v>0</v>
      </c>
      <c r="E197">
        <v>33.3311111</v>
      </c>
      <c r="F197">
        <v>-118.3488889</v>
      </c>
      <c r="G197" t="s">
        <v>704</v>
      </c>
      <c r="I197" t="s">
        <v>505</v>
      </c>
      <c r="J197">
        <v>0</v>
      </c>
      <c r="K197">
        <v>142</v>
      </c>
      <c r="L197">
        <v>39</v>
      </c>
      <c r="M197">
        <v>0</v>
      </c>
      <c r="N197">
        <v>39</v>
      </c>
      <c r="O197">
        <v>39</v>
      </c>
    </row>
    <row r="198" spans="1:15">
      <c r="A198" s="1" t="s">
        <v>210</v>
      </c>
      <c r="B198" t="s">
        <v>504</v>
      </c>
      <c r="C198" t="s">
        <v>509</v>
      </c>
      <c r="D198">
        <v>0</v>
      </c>
      <c r="E198">
        <v>37.1247222</v>
      </c>
      <c r="F198">
        <v>-119.8972222</v>
      </c>
      <c r="G198" t="s">
        <v>705</v>
      </c>
      <c r="I198" t="s">
        <v>505</v>
      </c>
      <c r="J198">
        <v>0</v>
      </c>
      <c r="K198">
        <v>96</v>
      </c>
      <c r="L198">
        <v>52</v>
      </c>
      <c r="M198">
        <v>1</v>
      </c>
      <c r="N198">
        <v>51</v>
      </c>
      <c r="O198">
        <v>51</v>
      </c>
    </row>
    <row r="199" spans="1:15">
      <c r="A199" s="1" t="s">
        <v>211</v>
      </c>
      <c r="B199" t="s">
        <v>504</v>
      </c>
      <c r="C199" t="s">
        <v>509</v>
      </c>
      <c r="D199">
        <v>0</v>
      </c>
      <c r="E199">
        <v>40.8666667</v>
      </c>
      <c r="F199">
        <v>-122.2530556</v>
      </c>
      <c r="G199" t="s">
        <v>706</v>
      </c>
      <c r="I199" t="s">
        <v>505</v>
      </c>
      <c r="J199">
        <v>0</v>
      </c>
      <c r="K199">
        <v>355</v>
      </c>
      <c r="L199">
        <v>30</v>
      </c>
      <c r="M199">
        <v>0</v>
      </c>
      <c r="N199">
        <v>30</v>
      </c>
      <c r="O199">
        <v>30</v>
      </c>
    </row>
    <row r="200" spans="1:15">
      <c r="A200" s="1" t="s">
        <v>212</v>
      </c>
      <c r="B200" t="s">
        <v>504</v>
      </c>
      <c r="C200" t="s">
        <v>509</v>
      </c>
      <c r="D200">
        <v>0</v>
      </c>
      <c r="E200">
        <v>40.8666667</v>
      </c>
      <c r="F200">
        <v>-122.2530556</v>
      </c>
      <c r="G200" t="s">
        <v>707</v>
      </c>
      <c r="I200" t="s">
        <v>505</v>
      </c>
      <c r="J200">
        <v>0</v>
      </c>
      <c r="K200">
        <v>355</v>
      </c>
      <c r="L200">
        <v>1</v>
      </c>
      <c r="M200">
        <v>0</v>
      </c>
      <c r="N200">
        <v>1</v>
      </c>
      <c r="O200">
        <v>1</v>
      </c>
    </row>
    <row r="201" spans="1:15">
      <c r="A201" s="1" t="s">
        <v>213</v>
      </c>
      <c r="B201" t="s">
        <v>504</v>
      </c>
      <c r="C201" t="s">
        <v>509</v>
      </c>
      <c r="D201">
        <v>0</v>
      </c>
      <c r="E201">
        <v>40.8666667</v>
      </c>
      <c r="F201">
        <v>-122.2530556</v>
      </c>
      <c r="G201" t="s">
        <v>708</v>
      </c>
      <c r="I201" t="s">
        <v>505</v>
      </c>
      <c r="J201">
        <v>0</v>
      </c>
      <c r="K201">
        <v>355</v>
      </c>
      <c r="L201">
        <v>1</v>
      </c>
      <c r="M201">
        <v>0</v>
      </c>
      <c r="N201">
        <v>1</v>
      </c>
      <c r="O201">
        <v>1</v>
      </c>
    </row>
    <row r="202" spans="1:15">
      <c r="A202" s="1" t="s">
        <v>214</v>
      </c>
      <c r="B202" t="s">
        <v>504</v>
      </c>
      <c r="C202" t="s">
        <v>509</v>
      </c>
      <c r="D202">
        <v>0</v>
      </c>
      <c r="E202">
        <v>37.7988889</v>
      </c>
      <c r="F202">
        <v>-119.8658333</v>
      </c>
      <c r="G202" t="s">
        <v>709</v>
      </c>
      <c r="I202" t="s">
        <v>505</v>
      </c>
      <c r="J202">
        <v>0</v>
      </c>
      <c r="K202">
        <v>73</v>
      </c>
      <c r="L202">
        <v>0</v>
      </c>
      <c r="M202">
        <v>0</v>
      </c>
      <c r="N202">
        <v>0</v>
      </c>
      <c r="O202">
        <v>0</v>
      </c>
    </row>
    <row r="203" spans="1:15">
      <c r="A203" s="1" t="s">
        <v>215</v>
      </c>
      <c r="B203" t="s">
        <v>504</v>
      </c>
      <c r="C203" t="s">
        <v>509</v>
      </c>
      <c r="D203">
        <v>0</v>
      </c>
      <c r="E203">
        <v>35.9541667</v>
      </c>
      <c r="F203">
        <v>-118.6180556</v>
      </c>
      <c r="G203" t="s">
        <v>710</v>
      </c>
      <c r="I203" t="s">
        <v>505</v>
      </c>
      <c r="J203">
        <v>0</v>
      </c>
      <c r="K203">
        <v>116</v>
      </c>
      <c r="L203">
        <v>9</v>
      </c>
      <c r="M203">
        <v>0</v>
      </c>
      <c r="N203">
        <v>9</v>
      </c>
      <c r="O203">
        <v>9</v>
      </c>
    </row>
    <row r="204" spans="1:15">
      <c r="A204" s="1" t="s">
        <v>216</v>
      </c>
      <c r="B204" t="s">
        <v>504</v>
      </c>
      <c r="C204" t="s">
        <v>509</v>
      </c>
      <c r="D204">
        <v>0</v>
      </c>
      <c r="E204">
        <v>34.5172222</v>
      </c>
      <c r="F204">
        <v>-119.2769444</v>
      </c>
      <c r="G204" t="s">
        <v>711</v>
      </c>
      <c r="I204" t="s">
        <v>505</v>
      </c>
      <c r="J204">
        <v>0</v>
      </c>
      <c r="K204">
        <v>142</v>
      </c>
      <c r="L204">
        <v>0</v>
      </c>
      <c r="M204">
        <v>0</v>
      </c>
      <c r="N204">
        <v>0</v>
      </c>
      <c r="O204">
        <v>0</v>
      </c>
    </row>
    <row r="205" spans="1:15">
      <c r="A205" s="1" t="s">
        <v>217</v>
      </c>
      <c r="B205" t="s">
        <v>504</v>
      </c>
      <c r="C205" t="s">
        <v>509</v>
      </c>
      <c r="D205">
        <v>0</v>
      </c>
      <c r="E205">
        <v>38.2013889</v>
      </c>
      <c r="F205">
        <v>-119.32</v>
      </c>
      <c r="G205" t="s">
        <v>712</v>
      </c>
      <c r="I205" t="s">
        <v>505</v>
      </c>
      <c r="J205">
        <v>0</v>
      </c>
      <c r="K205">
        <v>66</v>
      </c>
      <c r="L205">
        <v>0</v>
      </c>
      <c r="M205">
        <v>0</v>
      </c>
      <c r="N205">
        <v>0</v>
      </c>
      <c r="O205">
        <v>0</v>
      </c>
    </row>
    <row r="206" spans="1:15">
      <c r="A206" s="1" t="s">
        <v>218</v>
      </c>
      <c r="B206" t="s">
        <v>504</v>
      </c>
      <c r="C206" t="s">
        <v>509</v>
      </c>
      <c r="D206">
        <v>0</v>
      </c>
      <c r="E206">
        <v>38.8972778</v>
      </c>
      <c r="F206">
        <v>-119.930125</v>
      </c>
      <c r="G206" t="s">
        <v>713</v>
      </c>
      <c r="H206" t="s">
        <v>997</v>
      </c>
      <c r="I206" t="s">
        <v>505</v>
      </c>
      <c r="J206">
        <v>0</v>
      </c>
      <c r="K206">
        <v>44</v>
      </c>
      <c r="L206">
        <v>0</v>
      </c>
      <c r="M206">
        <v>0</v>
      </c>
      <c r="N206">
        <v>0</v>
      </c>
      <c r="O206">
        <v>0</v>
      </c>
    </row>
    <row r="207" spans="1:15">
      <c r="A207" s="1" t="s">
        <v>219</v>
      </c>
      <c r="B207" t="s">
        <v>504</v>
      </c>
      <c r="C207" t="s">
        <v>509</v>
      </c>
      <c r="D207">
        <v>0</v>
      </c>
      <c r="E207">
        <v>36.3905556</v>
      </c>
      <c r="F207">
        <v>-118.9547222</v>
      </c>
      <c r="G207" t="s">
        <v>714</v>
      </c>
      <c r="I207" t="s">
        <v>505</v>
      </c>
      <c r="J207">
        <v>0</v>
      </c>
      <c r="K207">
        <v>110</v>
      </c>
      <c r="L207">
        <v>64</v>
      </c>
      <c r="M207">
        <v>1</v>
      </c>
      <c r="N207">
        <v>63</v>
      </c>
      <c r="O207">
        <v>63</v>
      </c>
    </row>
    <row r="208" spans="1:15">
      <c r="A208" s="1" t="s">
        <v>220</v>
      </c>
      <c r="B208" t="s">
        <v>504</v>
      </c>
      <c r="C208" t="s">
        <v>509</v>
      </c>
      <c r="D208">
        <v>0</v>
      </c>
      <c r="E208">
        <v>32.8875</v>
      </c>
      <c r="F208">
        <v>-116.4408333</v>
      </c>
      <c r="G208" t="s">
        <v>715</v>
      </c>
      <c r="I208" t="s">
        <v>505</v>
      </c>
      <c r="J208">
        <v>0</v>
      </c>
      <c r="K208">
        <v>133</v>
      </c>
      <c r="L208">
        <v>0</v>
      </c>
      <c r="M208">
        <v>0</v>
      </c>
      <c r="N208">
        <v>0</v>
      </c>
      <c r="O208">
        <v>0</v>
      </c>
    </row>
    <row r="209" spans="1:15">
      <c r="A209" s="1" t="s">
        <v>221</v>
      </c>
      <c r="B209" t="s">
        <v>504</v>
      </c>
      <c r="C209" t="s">
        <v>509</v>
      </c>
      <c r="D209">
        <v>0</v>
      </c>
      <c r="E209">
        <v>35.8286111</v>
      </c>
      <c r="F209">
        <v>-118.4577778</v>
      </c>
      <c r="G209" t="s">
        <v>716</v>
      </c>
      <c r="I209" t="s">
        <v>505</v>
      </c>
      <c r="J209">
        <v>0</v>
      </c>
      <c r="K209">
        <v>117</v>
      </c>
      <c r="L209">
        <v>24</v>
      </c>
      <c r="M209">
        <v>0</v>
      </c>
      <c r="N209">
        <v>24</v>
      </c>
      <c r="O209">
        <v>24</v>
      </c>
    </row>
    <row r="210" spans="1:15">
      <c r="A210" s="1" t="s">
        <v>222</v>
      </c>
      <c r="B210" t="s">
        <v>505</v>
      </c>
      <c r="C210" t="s">
        <v>510</v>
      </c>
      <c r="D210">
        <v>0</v>
      </c>
      <c r="E210">
        <v>40.3144444</v>
      </c>
      <c r="F210">
        <v>-123.915</v>
      </c>
      <c r="G210" t="s">
        <v>717</v>
      </c>
      <c r="I210" t="s">
        <v>505</v>
      </c>
      <c r="J210">
        <v>0</v>
      </c>
      <c r="K210">
        <v>332</v>
      </c>
      <c r="L210">
        <v>11</v>
      </c>
      <c r="M210">
        <v>2</v>
      </c>
      <c r="N210">
        <v>9</v>
      </c>
      <c r="O210">
        <v>9</v>
      </c>
    </row>
    <row r="211" spans="1:15">
      <c r="A211" s="1" t="s">
        <v>223</v>
      </c>
      <c r="B211" t="s">
        <v>504</v>
      </c>
      <c r="C211" t="s">
        <v>509</v>
      </c>
      <c r="D211">
        <v>0</v>
      </c>
      <c r="E211">
        <v>36.7947222</v>
      </c>
      <c r="F211">
        <v>-118.9047222</v>
      </c>
      <c r="G211" t="s">
        <v>718</v>
      </c>
      <c r="I211" t="s">
        <v>505</v>
      </c>
      <c r="J211">
        <v>0</v>
      </c>
      <c r="K211">
        <v>101</v>
      </c>
      <c r="L211">
        <v>22</v>
      </c>
      <c r="M211">
        <v>0</v>
      </c>
      <c r="N211">
        <v>22</v>
      </c>
      <c r="O211">
        <v>22</v>
      </c>
    </row>
    <row r="212" spans="1:15">
      <c r="A212" s="1" t="s">
        <v>224</v>
      </c>
      <c r="B212" t="s">
        <v>504</v>
      </c>
      <c r="C212" t="s">
        <v>509</v>
      </c>
      <c r="D212">
        <v>0</v>
      </c>
      <c r="E212">
        <v>35.6719444</v>
      </c>
      <c r="F212">
        <v>-118.4722222</v>
      </c>
      <c r="G212" t="s">
        <v>719</v>
      </c>
      <c r="I212" t="s">
        <v>505</v>
      </c>
      <c r="J212">
        <v>0</v>
      </c>
      <c r="K212">
        <v>119</v>
      </c>
      <c r="L212">
        <v>74</v>
      </c>
      <c r="M212">
        <v>0</v>
      </c>
      <c r="N212">
        <v>74</v>
      </c>
      <c r="O212">
        <v>74</v>
      </c>
    </row>
    <row r="213" spans="1:15">
      <c r="A213" s="1" t="s">
        <v>225</v>
      </c>
      <c r="B213" t="s">
        <v>504</v>
      </c>
      <c r="C213" t="s">
        <v>509</v>
      </c>
      <c r="D213">
        <v>0</v>
      </c>
      <c r="E213">
        <v>39.8830556</v>
      </c>
      <c r="F213">
        <v>-121.1991667</v>
      </c>
      <c r="G213" t="s">
        <v>720</v>
      </c>
      <c r="I213" t="s">
        <v>505</v>
      </c>
      <c r="J213">
        <v>0</v>
      </c>
      <c r="K213">
        <v>11</v>
      </c>
      <c r="L213">
        <v>0</v>
      </c>
      <c r="M213">
        <v>0</v>
      </c>
      <c r="N213">
        <v>0</v>
      </c>
      <c r="O213">
        <v>0</v>
      </c>
    </row>
    <row r="214" spans="1:15">
      <c r="A214" s="1" t="s">
        <v>226</v>
      </c>
      <c r="B214" t="s">
        <v>504</v>
      </c>
      <c r="C214" t="s">
        <v>509</v>
      </c>
      <c r="D214">
        <v>0</v>
      </c>
      <c r="E214">
        <v>38.8233333</v>
      </c>
      <c r="F214">
        <v>-120.3588889</v>
      </c>
      <c r="G214" t="s">
        <v>721</v>
      </c>
      <c r="I214" t="s">
        <v>505</v>
      </c>
      <c r="J214">
        <v>0</v>
      </c>
      <c r="K214">
        <v>38</v>
      </c>
      <c r="L214">
        <v>0</v>
      </c>
      <c r="M214">
        <v>0</v>
      </c>
      <c r="N214">
        <v>0</v>
      </c>
      <c r="O214">
        <v>0</v>
      </c>
    </row>
    <row r="215" spans="1:15">
      <c r="A215" s="1" t="s">
        <v>227</v>
      </c>
      <c r="B215" t="s">
        <v>504</v>
      </c>
      <c r="C215" t="s">
        <v>509</v>
      </c>
      <c r="D215">
        <v>0</v>
      </c>
      <c r="E215">
        <v>34.12</v>
      </c>
      <c r="F215">
        <v>-116.1558333</v>
      </c>
      <c r="G215" t="s">
        <v>722</v>
      </c>
      <c r="I215" t="s">
        <v>505</v>
      </c>
      <c r="J215">
        <v>0</v>
      </c>
      <c r="K215">
        <v>122</v>
      </c>
      <c r="L215">
        <v>0</v>
      </c>
      <c r="M215">
        <v>0</v>
      </c>
      <c r="N215">
        <v>0</v>
      </c>
      <c r="O215">
        <v>0</v>
      </c>
    </row>
    <row r="216" spans="1:15">
      <c r="A216" s="1" t="s">
        <v>228</v>
      </c>
      <c r="B216" t="s">
        <v>505</v>
      </c>
      <c r="C216" t="s">
        <v>510</v>
      </c>
      <c r="D216">
        <v>0</v>
      </c>
      <c r="G216" t="s">
        <v>723</v>
      </c>
      <c r="I216" t="s">
        <v>505</v>
      </c>
      <c r="J216">
        <v>0</v>
      </c>
      <c r="K216">
        <v>0</v>
      </c>
      <c r="L216">
        <v>22</v>
      </c>
      <c r="M216">
        <v>0</v>
      </c>
      <c r="N216">
        <v>22</v>
      </c>
      <c r="O216">
        <v>22</v>
      </c>
    </row>
    <row r="217" spans="1:15">
      <c r="A217" s="1" t="s">
        <v>229</v>
      </c>
      <c r="B217" t="s">
        <v>504</v>
      </c>
      <c r="C217" t="s">
        <v>509</v>
      </c>
      <c r="D217">
        <v>0</v>
      </c>
      <c r="E217">
        <v>41.6322222</v>
      </c>
      <c r="F217">
        <v>-123.0819444</v>
      </c>
      <c r="G217" t="s">
        <v>724</v>
      </c>
      <c r="H217" t="s">
        <v>997</v>
      </c>
      <c r="I217" t="s">
        <v>505</v>
      </c>
      <c r="J217">
        <v>0</v>
      </c>
      <c r="K217">
        <v>348</v>
      </c>
      <c r="L217">
        <v>1</v>
      </c>
      <c r="M217">
        <v>0</v>
      </c>
      <c r="N217">
        <v>1</v>
      </c>
      <c r="O217">
        <v>1</v>
      </c>
    </row>
    <row r="218" spans="1:15">
      <c r="A218" s="1" t="s">
        <v>230</v>
      </c>
      <c r="B218" t="s">
        <v>504</v>
      </c>
      <c r="C218" t="s">
        <v>509</v>
      </c>
      <c r="D218">
        <v>0</v>
      </c>
      <c r="E218">
        <v>39.3293389</v>
      </c>
      <c r="F218">
        <v>-120.5694306</v>
      </c>
      <c r="G218" t="s">
        <v>725</v>
      </c>
      <c r="I218" t="s">
        <v>505</v>
      </c>
      <c r="J218">
        <v>0</v>
      </c>
      <c r="K218">
        <v>27</v>
      </c>
      <c r="L218">
        <v>24</v>
      </c>
      <c r="M218">
        <v>0</v>
      </c>
      <c r="N218">
        <v>24</v>
      </c>
      <c r="O218">
        <v>24</v>
      </c>
    </row>
    <row r="219" spans="1:15">
      <c r="A219" s="1" t="s">
        <v>231</v>
      </c>
      <c r="B219" t="s">
        <v>504</v>
      </c>
      <c r="C219" t="s">
        <v>509</v>
      </c>
      <c r="D219">
        <v>0</v>
      </c>
      <c r="E219">
        <v>39.5133333</v>
      </c>
      <c r="F219">
        <v>-120.9833333</v>
      </c>
      <c r="G219" t="s">
        <v>726</v>
      </c>
      <c r="I219" t="s">
        <v>505</v>
      </c>
      <c r="J219">
        <v>0</v>
      </c>
      <c r="K219">
        <v>18</v>
      </c>
      <c r="L219">
        <v>0</v>
      </c>
      <c r="M219">
        <v>0</v>
      </c>
      <c r="N219">
        <v>0</v>
      </c>
      <c r="O219">
        <v>0</v>
      </c>
    </row>
    <row r="220" spans="1:15">
      <c r="A220" s="1" t="s">
        <v>232</v>
      </c>
      <c r="B220" t="s">
        <v>504</v>
      </c>
      <c r="C220" t="s">
        <v>509</v>
      </c>
      <c r="D220">
        <v>0</v>
      </c>
      <c r="E220">
        <v>34.3038889</v>
      </c>
      <c r="F220">
        <v>-117.0119444</v>
      </c>
      <c r="G220" t="s">
        <v>727</v>
      </c>
      <c r="I220" t="s">
        <v>505</v>
      </c>
      <c r="J220">
        <v>0</v>
      </c>
      <c r="K220">
        <v>125</v>
      </c>
      <c r="L220">
        <v>1</v>
      </c>
      <c r="M220">
        <v>0</v>
      </c>
      <c r="N220">
        <v>1</v>
      </c>
      <c r="O220">
        <v>1</v>
      </c>
    </row>
    <row r="221" spans="1:15">
      <c r="A221" s="1" t="s">
        <v>233</v>
      </c>
      <c r="B221" t="s">
        <v>504</v>
      </c>
      <c r="C221" t="s">
        <v>509</v>
      </c>
      <c r="D221">
        <v>0</v>
      </c>
      <c r="E221">
        <v>36.8646444</v>
      </c>
      <c r="F221">
        <v>-119.3157278</v>
      </c>
      <c r="G221" t="s">
        <v>728</v>
      </c>
      <c r="I221" t="s">
        <v>505</v>
      </c>
      <c r="J221">
        <v>0</v>
      </c>
      <c r="K221">
        <v>101</v>
      </c>
      <c r="L221">
        <v>83</v>
      </c>
      <c r="M221">
        <v>0</v>
      </c>
      <c r="N221">
        <v>83</v>
      </c>
      <c r="O221">
        <v>83</v>
      </c>
    </row>
    <row r="222" spans="1:15">
      <c r="A222" s="1" t="s">
        <v>234</v>
      </c>
      <c r="B222" t="s">
        <v>504</v>
      </c>
      <c r="C222" t="s">
        <v>509</v>
      </c>
      <c r="D222">
        <v>0</v>
      </c>
      <c r="E222">
        <v>37.2797222</v>
      </c>
      <c r="F222">
        <v>-118.9636111</v>
      </c>
      <c r="G222" t="s">
        <v>729</v>
      </c>
      <c r="I222" t="s">
        <v>505</v>
      </c>
      <c r="J222">
        <v>0</v>
      </c>
      <c r="K222">
        <v>90</v>
      </c>
      <c r="L222">
        <v>34</v>
      </c>
      <c r="M222">
        <v>0</v>
      </c>
      <c r="N222">
        <v>34</v>
      </c>
      <c r="O222">
        <v>34</v>
      </c>
    </row>
    <row r="223" spans="1:15">
      <c r="A223" s="1" t="s">
        <v>235</v>
      </c>
      <c r="B223" t="s">
        <v>504</v>
      </c>
      <c r="C223" t="s">
        <v>509</v>
      </c>
      <c r="D223">
        <v>0</v>
      </c>
      <c r="E223">
        <v>34.3608333</v>
      </c>
      <c r="F223">
        <v>-117.7991667</v>
      </c>
      <c r="G223" t="s">
        <v>730</v>
      </c>
      <c r="I223" t="s">
        <v>505</v>
      </c>
      <c r="J223">
        <v>0</v>
      </c>
      <c r="K223">
        <v>130</v>
      </c>
      <c r="L223">
        <v>3</v>
      </c>
      <c r="M223">
        <v>0</v>
      </c>
      <c r="N223">
        <v>3</v>
      </c>
      <c r="O223">
        <v>3</v>
      </c>
    </row>
    <row r="224" spans="1:15">
      <c r="A224" s="1" t="s">
        <v>236</v>
      </c>
      <c r="B224" t="s">
        <v>505</v>
      </c>
      <c r="C224" t="s">
        <v>510</v>
      </c>
      <c r="D224">
        <v>0</v>
      </c>
      <c r="E224">
        <v>41.7816667</v>
      </c>
      <c r="F224">
        <v>-124.1008333</v>
      </c>
      <c r="G224" t="s">
        <v>731</v>
      </c>
      <c r="I224" t="s">
        <v>505</v>
      </c>
      <c r="J224">
        <v>0</v>
      </c>
      <c r="K224">
        <v>339</v>
      </c>
      <c r="L224">
        <v>1</v>
      </c>
      <c r="M224">
        <v>1</v>
      </c>
      <c r="N224">
        <v>0</v>
      </c>
      <c r="O224">
        <v>0</v>
      </c>
    </row>
    <row r="225" spans="1:15">
      <c r="A225" s="1" t="s">
        <v>237</v>
      </c>
      <c r="B225" t="s">
        <v>504</v>
      </c>
      <c r="C225" t="s">
        <v>509</v>
      </c>
      <c r="E225">
        <v>41.8161111</v>
      </c>
      <c r="F225">
        <v>-122.1216667</v>
      </c>
      <c r="G225" t="s">
        <v>732</v>
      </c>
      <c r="H225" t="s">
        <v>998</v>
      </c>
      <c r="I225" t="s">
        <v>505</v>
      </c>
      <c r="J225">
        <v>0</v>
      </c>
      <c r="K225">
        <v>357</v>
      </c>
      <c r="L225">
        <v>0</v>
      </c>
      <c r="M225">
        <v>0</v>
      </c>
      <c r="N225">
        <v>0</v>
      </c>
      <c r="O225">
        <v>0</v>
      </c>
    </row>
    <row r="226" spans="1:15">
      <c r="A226" s="1" t="s">
        <v>238</v>
      </c>
      <c r="B226" t="s">
        <v>505</v>
      </c>
      <c r="C226" t="s">
        <v>510</v>
      </c>
      <c r="D226">
        <v>0</v>
      </c>
      <c r="E226">
        <v>36.1711111</v>
      </c>
      <c r="F226">
        <v>-121.6722222</v>
      </c>
      <c r="G226" t="s">
        <v>733</v>
      </c>
      <c r="I226" t="s">
        <v>505</v>
      </c>
      <c r="J226">
        <v>0</v>
      </c>
      <c r="K226">
        <v>170</v>
      </c>
      <c r="L226">
        <v>0</v>
      </c>
      <c r="M226">
        <v>0</v>
      </c>
      <c r="N226">
        <v>0</v>
      </c>
      <c r="O226">
        <v>0</v>
      </c>
    </row>
    <row r="227" spans="1:15">
      <c r="A227" s="1" t="s">
        <v>239</v>
      </c>
      <c r="B227" t="s">
        <v>504</v>
      </c>
      <c r="C227" t="s">
        <v>509</v>
      </c>
      <c r="D227">
        <v>0</v>
      </c>
      <c r="E227">
        <v>37.7819444</v>
      </c>
      <c r="F227">
        <v>-119.0738889</v>
      </c>
      <c r="G227" t="s">
        <v>734</v>
      </c>
      <c r="I227" t="s">
        <v>505</v>
      </c>
      <c r="J227">
        <v>0</v>
      </c>
      <c r="K227">
        <v>77</v>
      </c>
      <c r="L227">
        <v>0</v>
      </c>
      <c r="M227">
        <v>0</v>
      </c>
      <c r="N227">
        <v>0</v>
      </c>
      <c r="O227">
        <v>0</v>
      </c>
    </row>
    <row r="228" spans="1:15">
      <c r="A228" s="1" t="s">
        <v>240</v>
      </c>
      <c r="B228" t="s">
        <v>504</v>
      </c>
      <c r="C228" t="s">
        <v>509</v>
      </c>
      <c r="E228">
        <v>40.4511111</v>
      </c>
      <c r="F228">
        <v>-121.2958333</v>
      </c>
      <c r="G228" t="s">
        <v>735</v>
      </c>
      <c r="I228" t="s">
        <v>505</v>
      </c>
      <c r="J228">
        <v>0</v>
      </c>
      <c r="K228">
        <v>8</v>
      </c>
      <c r="L228">
        <v>0</v>
      </c>
      <c r="M228">
        <v>0</v>
      </c>
      <c r="N228">
        <v>0</v>
      </c>
      <c r="O228">
        <v>0</v>
      </c>
    </row>
    <row r="229" spans="1:15">
      <c r="A229" s="1" t="s">
        <v>241</v>
      </c>
      <c r="B229" t="s">
        <v>504</v>
      </c>
      <c r="C229" t="s">
        <v>509</v>
      </c>
      <c r="D229">
        <v>0</v>
      </c>
      <c r="E229">
        <v>34.2197222</v>
      </c>
      <c r="F229">
        <v>-116.7163889</v>
      </c>
      <c r="G229" t="s">
        <v>736</v>
      </c>
      <c r="I229" t="s">
        <v>505</v>
      </c>
      <c r="J229">
        <v>0</v>
      </c>
      <c r="K229">
        <v>124</v>
      </c>
      <c r="L229">
        <v>1</v>
      </c>
      <c r="M229">
        <v>0</v>
      </c>
      <c r="N229">
        <v>1</v>
      </c>
      <c r="O229">
        <v>1</v>
      </c>
    </row>
    <row r="230" spans="1:15">
      <c r="A230" s="1" t="s">
        <v>242</v>
      </c>
      <c r="B230" t="s">
        <v>504</v>
      </c>
      <c r="C230" t="s">
        <v>509</v>
      </c>
      <c r="D230">
        <v>0</v>
      </c>
      <c r="E230">
        <v>39.1144444</v>
      </c>
      <c r="F230">
        <v>-120.1586111</v>
      </c>
      <c r="G230" t="s">
        <v>737</v>
      </c>
      <c r="I230" t="s">
        <v>505</v>
      </c>
      <c r="J230">
        <v>0</v>
      </c>
      <c r="K230">
        <v>37</v>
      </c>
      <c r="L230">
        <v>0</v>
      </c>
      <c r="M230">
        <v>0</v>
      </c>
      <c r="N230">
        <v>0</v>
      </c>
      <c r="O230">
        <v>0</v>
      </c>
    </row>
    <row r="231" spans="1:15">
      <c r="A231" s="1" t="s">
        <v>243</v>
      </c>
      <c r="B231" t="s">
        <v>504</v>
      </c>
      <c r="C231" t="s">
        <v>509</v>
      </c>
      <c r="D231">
        <v>0</v>
      </c>
      <c r="E231">
        <v>37.4402778</v>
      </c>
      <c r="F231">
        <v>-119.5438889</v>
      </c>
      <c r="G231" t="s">
        <v>738</v>
      </c>
      <c r="I231" t="s">
        <v>505</v>
      </c>
      <c r="J231">
        <v>0</v>
      </c>
      <c r="K231">
        <v>85</v>
      </c>
      <c r="L231">
        <v>7</v>
      </c>
      <c r="M231">
        <v>0</v>
      </c>
      <c r="N231">
        <v>7</v>
      </c>
      <c r="O231">
        <v>7</v>
      </c>
    </row>
    <row r="232" spans="1:15">
      <c r="A232" s="1" t="s">
        <v>244</v>
      </c>
      <c r="B232" t="s">
        <v>504</v>
      </c>
      <c r="C232" t="s">
        <v>509</v>
      </c>
      <c r="D232">
        <v>0</v>
      </c>
      <c r="E232">
        <v>37.2527778</v>
      </c>
      <c r="F232">
        <v>-119.1777778</v>
      </c>
      <c r="G232" t="s">
        <v>739</v>
      </c>
      <c r="I232" t="s">
        <v>505</v>
      </c>
      <c r="J232">
        <v>0</v>
      </c>
      <c r="K232">
        <v>91</v>
      </c>
      <c r="L232">
        <v>0</v>
      </c>
      <c r="M232">
        <v>0</v>
      </c>
      <c r="N232">
        <v>0</v>
      </c>
      <c r="O232">
        <v>0</v>
      </c>
    </row>
    <row r="233" spans="1:15">
      <c r="A233" s="1" t="s">
        <v>245</v>
      </c>
      <c r="B233" t="s">
        <v>504</v>
      </c>
      <c r="C233" t="s">
        <v>509</v>
      </c>
      <c r="D233">
        <v>0</v>
      </c>
      <c r="E233">
        <v>37.84035</v>
      </c>
      <c r="F233">
        <v>-122.4888889</v>
      </c>
      <c r="G233" t="s">
        <v>740</v>
      </c>
      <c r="H233" t="s">
        <v>999</v>
      </c>
      <c r="I233" t="s">
        <v>505</v>
      </c>
      <c r="J233">
        <v>0</v>
      </c>
      <c r="K233">
        <v>318</v>
      </c>
      <c r="L233">
        <v>0</v>
      </c>
      <c r="M233">
        <v>0</v>
      </c>
      <c r="N233">
        <v>0</v>
      </c>
      <c r="O233">
        <v>0</v>
      </c>
    </row>
    <row r="234" spans="1:15">
      <c r="A234" s="1" t="s">
        <v>246</v>
      </c>
      <c r="B234" t="s">
        <v>504</v>
      </c>
      <c r="C234" t="s">
        <v>509</v>
      </c>
      <c r="D234">
        <v>0</v>
      </c>
      <c r="E234">
        <v>35.9916667</v>
      </c>
      <c r="F234">
        <v>-121.4941667</v>
      </c>
      <c r="G234" t="s">
        <v>741</v>
      </c>
      <c r="I234" t="s">
        <v>505</v>
      </c>
      <c r="J234">
        <v>0</v>
      </c>
      <c r="K234">
        <v>165</v>
      </c>
      <c r="L234">
        <v>0</v>
      </c>
      <c r="M234">
        <v>0</v>
      </c>
      <c r="N234">
        <v>0</v>
      </c>
      <c r="O234">
        <v>0</v>
      </c>
    </row>
    <row r="235" spans="1:15">
      <c r="A235" s="1" t="s">
        <v>247</v>
      </c>
      <c r="B235" t="s">
        <v>504</v>
      </c>
      <c r="C235" t="s">
        <v>509</v>
      </c>
      <c r="D235">
        <v>0</v>
      </c>
      <c r="E235">
        <v>38.7767778</v>
      </c>
      <c r="F235">
        <v>-119.8946111</v>
      </c>
      <c r="G235" t="s">
        <v>742</v>
      </c>
      <c r="H235" t="s">
        <v>997</v>
      </c>
      <c r="I235" t="s">
        <v>505</v>
      </c>
      <c r="J235">
        <v>0</v>
      </c>
      <c r="K235">
        <v>46</v>
      </c>
      <c r="L235">
        <v>0</v>
      </c>
      <c r="M235">
        <v>0</v>
      </c>
      <c r="N235">
        <v>0</v>
      </c>
      <c r="O235">
        <v>0</v>
      </c>
    </row>
    <row r="236" spans="1:15">
      <c r="A236" s="1" t="s">
        <v>248</v>
      </c>
      <c r="B236" t="s">
        <v>504</v>
      </c>
      <c r="C236" t="s">
        <v>509</v>
      </c>
      <c r="D236">
        <v>0</v>
      </c>
      <c r="E236">
        <v>39.2366667</v>
      </c>
      <c r="F236">
        <v>-123.1777778</v>
      </c>
      <c r="G236" t="s">
        <v>743</v>
      </c>
      <c r="I236" t="s">
        <v>505</v>
      </c>
      <c r="J236">
        <v>0</v>
      </c>
      <c r="K236">
        <v>332</v>
      </c>
      <c r="L236">
        <v>56</v>
      </c>
      <c r="M236">
        <v>1</v>
      </c>
      <c r="N236">
        <v>55</v>
      </c>
      <c r="O236">
        <v>55</v>
      </c>
    </row>
    <row r="237" spans="1:15">
      <c r="A237" s="1" t="s">
        <v>249</v>
      </c>
      <c r="B237" t="s">
        <v>504</v>
      </c>
      <c r="C237" t="s">
        <v>509</v>
      </c>
      <c r="D237">
        <v>0</v>
      </c>
      <c r="E237">
        <v>32.8872222</v>
      </c>
      <c r="F237">
        <v>-116.4463889</v>
      </c>
      <c r="G237" t="s">
        <v>744</v>
      </c>
      <c r="I237" t="s">
        <v>505</v>
      </c>
      <c r="J237">
        <v>0</v>
      </c>
      <c r="K237">
        <v>133</v>
      </c>
      <c r="L237">
        <v>19</v>
      </c>
      <c r="M237">
        <v>0</v>
      </c>
      <c r="N237">
        <v>19</v>
      </c>
      <c r="O237">
        <v>19</v>
      </c>
    </row>
    <row r="238" spans="1:15">
      <c r="A238" s="1" t="s">
        <v>250</v>
      </c>
      <c r="B238" t="s">
        <v>504</v>
      </c>
      <c r="C238" t="s">
        <v>509</v>
      </c>
      <c r="D238">
        <v>0</v>
      </c>
      <c r="E238">
        <v>34.3905556</v>
      </c>
      <c r="F238">
        <v>-117.7233333</v>
      </c>
      <c r="G238" t="s">
        <v>745</v>
      </c>
      <c r="I238" t="s">
        <v>505</v>
      </c>
      <c r="J238">
        <v>0</v>
      </c>
      <c r="K238">
        <v>129</v>
      </c>
      <c r="L238">
        <v>1</v>
      </c>
      <c r="M238">
        <v>0</v>
      </c>
      <c r="N238">
        <v>1</v>
      </c>
      <c r="O238">
        <v>1</v>
      </c>
    </row>
    <row r="239" spans="1:15">
      <c r="A239" s="1" t="s">
        <v>251</v>
      </c>
      <c r="B239" t="s">
        <v>504</v>
      </c>
      <c r="C239" t="s">
        <v>509</v>
      </c>
      <c r="D239">
        <v>0</v>
      </c>
      <c r="E239">
        <v>37.6069444</v>
      </c>
      <c r="F239">
        <v>-119.0075</v>
      </c>
      <c r="G239" t="s">
        <v>746</v>
      </c>
      <c r="I239" t="s">
        <v>505</v>
      </c>
      <c r="J239">
        <v>0</v>
      </c>
      <c r="K239">
        <v>82</v>
      </c>
      <c r="L239">
        <v>0</v>
      </c>
      <c r="M239">
        <v>0</v>
      </c>
      <c r="N239">
        <v>0</v>
      </c>
      <c r="O239">
        <v>0</v>
      </c>
    </row>
    <row r="240" spans="1:15">
      <c r="A240" s="1" t="s">
        <v>252</v>
      </c>
      <c r="B240" t="s">
        <v>505</v>
      </c>
      <c r="C240" t="s">
        <v>510</v>
      </c>
      <c r="D240">
        <v>0</v>
      </c>
      <c r="E240">
        <v>39.528225</v>
      </c>
      <c r="F240">
        <v>-121.4455222</v>
      </c>
      <c r="G240" t="s">
        <v>747</v>
      </c>
      <c r="H240" t="s">
        <v>998</v>
      </c>
      <c r="I240" t="s">
        <v>505</v>
      </c>
      <c r="J240">
        <v>0</v>
      </c>
      <c r="K240">
        <v>9</v>
      </c>
      <c r="L240">
        <v>201</v>
      </c>
      <c r="M240">
        <v>10</v>
      </c>
      <c r="N240">
        <v>191</v>
      </c>
      <c r="O240">
        <v>191</v>
      </c>
    </row>
    <row r="241" spans="1:15">
      <c r="A241" s="1" t="s">
        <v>253</v>
      </c>
      <c r="B241" t="s">
        <v>505</v>
      </c>
      <c r="C241" t="s">
        <v>510</v>
      </c>
      <c r="D241">
        <v>0</v>
      </c>
      <c r="E241">
        <v>33.8491667</v>
      </c>
      <c r="F241">
        <v>-117.1886111</v>
      </c>
      <c r="G241" t="s">
        <v>748</v>
      </c>
      <c r="I241" t="s">
        <v>505</v>
      </c>
      <c r="J241">
        <v>0</v>
      </c>
      <c r="K241">
        <v>130</v>
      </c>
      <c r="L241">
        <v>401</v>
      </c>
      <c r="M241">
        <v>19</v>
      </c>
      <c r="N241">
        <v>382</v>
      </c>
      <c r="O241">
        <v>382</v>
      </c>
    </row>
    <row r="242" spans="1:15">
      <c r="A242" s="1" t="s">
        <v>254</v>
      </c>
      <c r="B242" t="s">
        <v>504</v>
      </c>
      <c r="C242" t="s">
        <v>509</v>
      </c>
      <c r="D242">
        <v>0</v>
      </c>
      <c r="E242">
        <v>39.6666667</v>
      </c>
      <c r="F242">
        <v>-120.6577778</v>
      </c>
      <c r="G242" t="s">
        <v>749</v>
      </c>
      <c r="I242" t="s">
        <v>505</v>
      </c>
      <c r="J242">
        <v>0</v>
      </c>
      <c r="K242">
        <v>22</v>
      </c>
      <c r="L242">
        <v>0</v>
      </c>
      <c r="M242">
        <v>0</v>
      </c>
      <c r="N242">
        <v>0</v>
      </c>
      <c r="O242">
        <v>0</v>
      </c>
    </row>
    <row r="243" spans="1:15">
      <c r="A243" s="1" t="s">
        <v>255</v>
      </c>
      <c r="B243" t="s">
        <v>504</v>
      </c>
      <c r="C243" t="s">
        <v>509</v>
      </c>
      <c r="D243">
        <v>0</v>
      </c>
      <c r="E243">
        <v>40.8719444</v>
      </c>
      <c r="F243">
        <v>-122.3880556</v>
      </c>
      <c r="G243" t="s">
        <v>750</v>
      </c>
      <c r="I243" t="s">
        <v>505</v>
      </c>
      <c r="J243">
        <v>0</v>
      </c>
      <c r="K243">
        <v>354</v>
      </c>
      <c r="L243">
        <v>17</v>
      </c>
      <c r="M243">
        <v>1</v>
      </c>
      <c r="N243">
        <v>16</v>
      </c>
      <c r="O243">
        <v>16</v>
      </c>
    </row>
    <row r="244" spans="1:15">
      <c r="A244" s="1" t="s">
        <v>256</v>
      </c>
      <c r="B244" t="s">
        <v>504</v>
      </c>
      <c r="C244" t="s">
        <v>509</v>
      </c>
      <c r="D244">
        <v>0</v>
      </c>
      <c r="E244">
        <v>39.3844444</v>
      </c>
      <c r="F244">
        <v>-120.1722222</v>
      </c>
      <c r="G244" t="s">
        <v>751</v>
      </c>
      <c r="I244" t="s">
        <v>505</v>
      </c>
      <c r="J244">
        <v>0</v>
      </c>
      <c r="K244">
        <v>32</v>
      </c>
      <c r="L244">
        <v>27</v>
      </c>
      <c r="M244">
        <v>0</v>
      </c>
      <c r="N244">
        <v>27</v>
      </c>
      <c r="O244">
        <v>27</v>
      </c>
    </row>
    <row r="245" spans="1:15">
      <c r="A245" s="1" t="s">
        <v>257</v>
      </c>
      <c r="B245" t="s">
        <v>505</v>
      </c>
      <c r="C245" t="s">
        <v>510</v>
      </c>
      <c r="D245">
        <v>0</v>
      </c>
      <c r="E245">
        <v>34.0441667</v>
      </c>
      <c r="F245">
        <v>-118.9383333</v>
      </c>
      <c r="G245" t="s">
        <v>752</v>
      </c>
      <c r="I245" t="s">
        <v>505</v>
      </c>
      <c r="J245">
        <v>0</v>
      </c>
      <c r="K245">
        <v>142</v>
      </c>
      <c r="L245">
        <v>0</v>
      </c>
      <c r="M245">
        <v>0</v>
      </c>
      <c r="N245">
        <v>0</v>
      </c>
      <c r="O245">
        <v>0</v>
      </c>
    </row>
    <row r="246" spans="1:15">
      <c r="A246" s="1" t="s">
        <v>258</v>
      </c>
      <c r="B246" t="s">
        <v>504</v>
      </c>
      <c r="C246" t="s">
        <v>509</v>
      </c>
      <c r="D246">
        <v>0</v>
      </c>
      <c r="E246">
        <v>39.1302778</v>
      </c>
      <c r="F246">
        <v>-120.4169444</v>
      </c>
      <c r="G246" t="s">
        <v>753</v>
      </c>
      <c r="I246" t="s">
        <v>505</v>
      </c>
      <c r="J246">
        <v>0</v>
      </c>
      <c r="K246">
        <v>32</v>
      </c>
      <c r="L246">
        <v>30</v>
      </c>
      <c r="M246">
        <v>1</v>
      </c>
      <c r="N246">
        <v>29</v>
      </c>
      <c r="O246">
        <v>29</v>
      </c>
    </row>
    <row r="247" spans="1:15">
      <c r="A247" s="1" t="s">
        <v>259</v>
      </c>
      <c r="B247" t="s">
        <v>504</v>
      </c>
      <c r="C247" t="s">
        <v>509</v>
      </c>
      <c r="D247">
        <v>0</v>
      </c>
      <c r="E247">
        <v>38.7136111</v>
      </c>
      <c r="F247">
        <v>-123.0563889</v>
      </c>
      <c r="G247" t="s">
        <v>754</v>
      </c>
      <c r="I247" t="s">
        <v>505</v>
      </c>
      <c r="J247">
        <v>0</v>
      </c>
      <c r="K247">
        <v>327</v>
      </c>
      <c r="L247">
        <v>97</v>
      </c>
      <c r="M247">
        <v>3</v>
      </c>
      <c r="N247">
        <v>94</v>
      </c>
      <c r="O247">
        <v>94</v>
      </c>
    </row>
    <row r="248" spans="1:15">
      <c r="A248" s="1" t="s">
        <v>260</v>
      </c>
      <c r="B248" t="s">
        <v>504</v>
      </c>
      <c r="C248" t="s">
        <v>509</v>
      </c>
      <c r="D248">
        <v>0</v>
      </c>
      <c r="E248">
        <v>34.3719444</v>
      </c>
      <c r="F248">
        <v>-118.1830556</v>
      </c>
      <c r="G248" t="s">
        <v>755</v>
      </c>
      <c r="I248" t="s">
        <v>505</v>
      </c>
      <c r="J248">
        <v>0</v>
      </c>
      <c r="K248">
        <v>133</v>
      </c>
      <c r="L248">
        <v>0</v>
      </c>
      <c r="M248">
        <v>0</v>
      </c>
      <c r="N248">
        <v>0</v>
      </c>
      <c r="O248">
        <v>0</v>
      </c>
    </row>
    <row r="249" spans="1:15">
      <c r="A249" s="1" t="s">
        <v>261</v>
      </c>
      <c r="B249" t="s">
        <v>504</v>
      </c>
      <c r="C249" t="s">
        <v>509</v>
      </c>
      <c r="D249">
        <v>0</v>
      </c>
      <c r="E249">
        <v>39.9254556</v>
      </c>
      <c r="F249">
        <v>-120.5104944</v>
      </c>
      <c r="G249" t="s">
        <v>756</v>
      </c>
      <c r="I249" t="s">
        <v>505</v>
      </c>
      <c r="J249">
        <v>0</v>
      </c>
      <c r="K249">
        <v>22</v>
      </c>
      <c r="L249">
        <v>0</v>
      </c>
      <c r="M249">
        <v>0</v>
      </c>
      <c r="N249">
        <v>0</v>
      </c>
      <c r="O249">
        <v>0</v>
      </c>
    </row>
    <row r="250" spans="1:15">
      <c r="A250" s="1" t="s">
        <v>262</v>
      </c>
      <c r="B250" t="s">
        <v>505</v>
      </c>
      <c r="C250" t="s">
        <v>510</v>
      </c>
      <c r="D250">
        <v>0</v>
      </c>
      <c r="E250">
        <v>36.0530556</v>
      </c>
      <c r="F250">
        <v>-121.5694444</v>
      </c>
      <c r="G250" t="s">
        <v>757</v>
      </c>
      <c r="H250" t="s">
        <v>997</v>
      </c>
      <c r="I250" t="s">
        <v>505</v>
      </c>
      <c r="J250">
        <v>0</v>
      </c>
      <c r="K250">
        <v>167</v>
      </c>
      <c r="L250">
        <v>0</v>
      </c>
      <c r="M250">
        <v>0</v>
      </c>
      <c r="N250">
        <v>0</v>
      </c>
      <c r="O250">
        <v>0</v>
      </c>
    </row>
    <row r="251" spans="1:15">
      <c r="A251" s="1" t="s">
        <v>263</v>
      </c>
      <c r="B251" t="s">
        <v>504</v>
      </c>
      <c r="C251" t="s">
        <v>509</v>
      </c>
      <c r="D251">
        <v>0</v>
      </c>
      <c r="E251">
        <v>35.9633333</v>
      </c>
      <c r="F251">
        <v>-118.4788889</v>
      </c>
      <c r="G251" t="s">
        <v>758</v>
      </c>
      <c r="I251" t="s">
        <v>505</v>
      </c>
      <c r="J251">
        <v>0</v>
      </c>
      <c r="K251">
        <v>115</v>
      </c>
      <c r="L251">
        <v>2</v>
      </c>
      <c r="M251">
        <v>0</v>
      </c>
      <c r="N251">
        <v>2</v>
      </c>
      <c r="O251">
        <v>2</v>
      </c>
    </row>
    <row r="252" spans="1:15">
      <c r="A252" s="1" t="s">
        <v>264</v>
      </c>
      <c r="B252" t="s">
        <v>505</v>
      </c>
      <c r="C252" t="s">
        <v>510</v>
      </c>
      <c r="E252">
        <v>37.1553333</v>
      </c>
      <c r="F252">
        <v>-122.2031667</v>
      </c>
      <c r="G252" t="s">
        <v>759</v>
      </c>
      <c r="I252" t="s">
        <v>505</v>
      </c>
      <c r="J252">
        <v>0</v>
      </c>
      <c r="K252">
        <v>234</v>
      </c>
      <c r="L252">
        <v>0</v>
      </c>
      <c r="M252">
        <v>0</v>
      </c>
      <c r="N252">
        <v>0</v>
      </c>
      <c r="O252">
        <v>0</v>
      </c>
    </row>
    <row r="253" spans="1:15">
      <c r="A253" s="1" t="s">
        <v>265</v>
      </c>
      <c r="B253" t="s">
        <v>504</v>
      </c>
      <c r="C253" t="s">
        <v>509</v>
      </c>
      <c r="D253">
        <v>0</v>
      </c>
      <c r="E253">
        <v>39.745</v>
      </c>
      <c r="F253">
        <v>-120.9875</v>
      </c>
      <c r="G253" t="s">
        <v>760</v>
      </c>
      <c r="H253" t="s">
        <v>997</v>
      </c>
      <c r="I253" t="s">
        <v>505</v>
      </c>
      <c r="J253">
        <v>0</v>
      </c>
      <c r="K253">
        <v>16</v>
      </c>
      <c r="L253">
        <v>27</v>
      </c>
      <c r="M253">
        <v>0</v>
      </c>
      <c r="N253">
        <v>27</v>
      </c>
      <c r="O253">
        <v>27</v>
      </c>
    </row>
    <row r="254" spans="1:15">
      <c r="A254" s="1" t="s">
        <v>266</v>
      </c>
      <c r="B254" t="s">
        <v>507</v>
      </c>
      <c r="C254" t="s">
        <v>511</v>
      </c>
      <c r="D254">
        <v>0</v>
      </c>
      <c r="E254">
        <v>33.3866667</v>
      </c>
      <c r="F254">
        <v>-118.4730556</v>
      </c>
      <c r="G254" t="s">
        <v>761</v>
      </c>
      <c r="I254" t="s">
        <v>505</v>
      </c>
      <c r="J254">
        <v>0</v>
      </c>
      <c r="K254">
        <v>143</v>
      </c>
      <c r="L254">
        <v>5</v>
      </c>
      <c r="M254">
        <v>0</v>
      </c>
      <c r="N254">
        <v>5</v>
      </c>
      <c r="O254">
        <v>5</v>
      </c>
    </row>
    <row r="255" spans="1:15">
      <c r="A255" s="1" t="s">
        <v>267</v>
      </c>
      <c r="B255" t="s">
        <v>504</v>
      </c>
      <c r="C255" t="s">
        <v>509</v>
      </c>
      <c r="D255">
        <v>0</v>
      </c>
      <c r="E255">
        <v>35.7027778</v>
      </c>
      <c r="F255">
        <v>-118.4611111</v>
      </c>
      <c r="G255" t="s">
        <v>762</v>
      </c>
      <c r="I255" t="s">
        <v>505</v>
      </c>
      <c r="J255">
        <v>0</v>
      </c>
      <c r="K255">
        <v>119</v>
      </c>
      <c r="L255">
        <v>0</v>
      </c>
      <c r="M255">
        <v>0</v>
      </c>
      <c r="N255">
        <v>0</v>
      </c>
      <c r="O255">
        <v>0</v>
      </c>
    </row>
    <row r="256" spans="1:15">
      <c r="A256" s="1" t="s">
        <v>268</v>
      </c>
      <c r="B256" t="s">
        <v>504</v>
      </c>
      <c r="C256" t="s">
        <v>509</v>
      </c>
      <c r="D256">
        <v>0</v>
      </c>
      <c r="E256">
        <v>35.7027778</v>
      </c>
      <c r="F256">
        <v>-118.4611111</v>
      </c>
      <c r="G256" t="s">
        <v>763</v>
      </c>
      <c r="I256" t="s">
        <v>505</v>
      </c>
      <c r="J256">
        <v>0</v>
      </c>
      <c r="K256">
        <v>119</v>
      </c>
      <c r="L256">
        <v>0</v>
      </c>
      <c r="M256">
        <v>0</v>
      </c>
      <c r="N256">
        <v>0</v>
      </c>
      <c r="O256">
        <v>0</v>
      </c>
    </row>
    <row r="257" spans="1:15">
      <c r="A257" s="1" t="s">
        <v>269</v>
      </c>
      <c r="B257" t="s">
        <v>504</v>
      </c>
      <c r="C257" t="s">
        <v>509</v>
      </c>
      <c r="D257">
        <v>0</v>
      </c>
      <c r="E257">
        <v>34.1755556</v>
      </c>
      <c r="F257">
        <v>-116.8625</v>
      </c>
      <c r="G257" t="s">
        <v>764</v>
      </c>
      <c r="I257" t="s">
        <v>505</v>
      </c>
      <c r="J257">
        <v>0</v>
      </c>
      <c r="K257">
        <v>126</v>
      </c>
      <c r="L257">
        <v>0</v>
      </c>
      <c r="M257">
        <v>0</v>
      </c>
      <c r="N257">
        <v>0</v>
      </c>
      <c r="O257">
        <v>0</v>
      </c>
    </row>
    <row r="258" spans="1:15">
      <c r="A258" s="1" t="s">
        <v>270</v>
      </c>
      <c r="B258" t="s">
        <v>504</v>
      </c>
      <c r="C258" t="s">
        <v>509</v>
      </c>
      <c r="D258">
        <v>0</v>
      </c>
      <c r="E258">
        <v>36.6067111</v>
      </c>
      <c r="F258">
        <v>-118.7258</v>
      </c>
      <c r="G258" t="s">
        <v>765</v>
      </c>
      <c r="H258" t="s">
        <v>997</v>
      </c>
      <c r="I258" t="s">
        <v>505</v>
      </c>
      <c r="J258">
        <v>0</v>
      </c>
      <c r="K258">
        <v>104</v>
      </c>
      <c r="L258">
        <v>0</v>
      </c>
      <c r="M258">
        <v>0</v>
      </c>
      <c r="N258">
        <v>0</v>
      </c>
      <c r="O258">
        <v>0</v>
      </c>
    </row>
    <row r="259" spans="1:15">
      <c r="A259" s="1" t="s">
        <v>271</v>
      </c>
      <c r="B259" t="s">
        <v>504</v>
      </c>
      <c r="C259" t="s">
        <v>509</v>
      </c>
      <c r="D259">
        <v>0</v>
      </c>
      <c r="E259">
        <v>38.4163889</v>
      </c>
      <c r="F259">
        <v>-120.105</v>
      </c>
      <c r="G259" t="s">
        <v>766</v>
      </c>
      <c r="I259" t="s">
        <v>505</v>
      </c>
      <c r="J259">
        <v>0</v>
      </c>
      <c r="K259">
        <v>52</v>
      </c>
      <c r="L259">
        <v>2</v>
      </c>
      <c r="M259">
        <v>0</v>
      </c>
      <c r="N259">
        <v>2</v>
      </c>
      <c r="O259">
        <v>2</v>
      </c>
    </row>
    <row r="260" spans="1:15">
      <c r="A260" s="1" t="s">
        <v>272</v>
      </c>
      <c r="B260" t="s">
        <v>504</v>
      </c>
      <c r="C260" t="s">
        <v>509</v>
      </c>
      <c r="D260">
        <v>0</v>
      </c>
      <c r="E260">
        <v>39.5647222</v>
      </c>
      <c r="F260">
        <v>-120.6611111</v>
      </c>
      <c r="G260" t="s">
        <v>767</v>
      </c>
      <c r="I260" t="s">
        <v>505</v>
      </c>
      <c r="J260">
        <v>0</v>
      </c>
      <c r="K260">
        <v>23</v>
      </c>
      <c r="L260">
        <v>15</v>
      </c>
      <c r="M260">
        <v>0</v>
      </c>
      <c r="N260">
        <v>15</v>
      </c>
      <c r="O260">
        <v>15</v>
      </c>
    </row>
    <row r="261" spans="1:15">
      <c r="A261" s="1" t="s">
        <v>273</v>
      </c>
      <c r="B261" t="s">
        <v>504</v>
      </c>
      <c r="C261" t="s">
        <v>509</v>
      </c>
      <c r="D261">
        <v>0</v>
      </c>
      <c r="E261">
        <v>39.4663889</v>
      </c>
      <c r="F261">
        <v>-120.1286111</v>
      </c>
      <c r="G261" t="s">
        <v>768</v>
      </c>
      <c r="I261" t="s">
        <v>505</v>
      </c>
      <c r="J261">
        <v>0</v>
      </c>
      <c r="K261">
        <v>32</v>
      </c>
      <c r="L261">
        <v>172</v>
      </c>
      <c r="M261">
        <v>0</v>
      </c>
      <c r="N261">
        <v>172</v>
      </c>
      <c r="O261">
        <v>172</v>
      </c>
    </row>
    <row r="262" spans="1:15">
      <c r="A262" s="1" t="s">
        <v>274</v>
      </c>
      <c r="B262" t="s">
        <v>504</v>
      </c>
      <c r="C262" t="s">
        <v>509</v>
      </c>
      <c r="D262">
        <v>0</v>
      </c>
      <c r="E262">
        <v>36.7755556</v>
      </c>
      <c r="F262">
        <v>-118.8936111</v>
      </c>
      <c r="G262" t="s">
        <v>769</v>
      </c>
      <c r="I262" t="s">
        <v>505</v>
      </c>
      <c r="J262">
        <v>0</v>
      </c>
      <c r="K262">
        <v>102</v>
      </c>
      <c r="L262">
        <v>1</v>
      </c>
      <c r="M262">
        <v>0</v>
      </c>
      <c r="N262">
        <v>1</v>
      </c>
      <c r="O262">
        <v>1</v>
      </c>
    </row>
    <row r="263" spans="1:15">
      <c r="A263" s="1" t="s">
        <v>275</v>
      </c>
      <c r="B263" t="s">
        <v>504</v>
      </c>
      <c r="C263" t="s">
        <v>509</v>
      </c>
      <c r="D263">
        <v>0</v>
      </c>
      <c r="E263">
        <v>36.5976111</v>
      </c>
      <c r="F263">
        <v>-118.1848056</v>
      </c>
      <c r="G263" t="s">
        <v>770</v>
      </c>
      <c r="I263" t="s">
        <v>505</v>
      </c>
      <c r="J263">
        <v>0</v>
      </c>
      <c r="K263">
        <v>102</v>
      </c>
      <c r="L263">
        <v>7</v>
      </c>
      <c r="M263">
        <v>0</v>
      </c>
      <c r="N263">
        <v>7</v>
      </c>
      <c r="O263">
        <v>7</v>
      </c>
    </row>
    <row r="264" spans="1:15">
      <c r="A264" s="1" t="s">
        <v>276</v>
      </c>
      <c r="B264" t="s">
        <v>504</v>
      </c>
      <c r="C264" t="s">
        <v>509</v>
      </c>
      <c r="D264">
        <v>0</v>
      </c>
      <c r="E264">
        <v>40.1952778</v>
      </c>
      <c r="F264">
        <v>-120.6172222</v>
      </c>
      <c r="G264" t="s">
        <v>771</v>
      </c>
      <c r="H264" t="s">
        <v>998</v>
      </c>
      <c r="I264" t="s">
        <v>505</v>
      </c>
      <c r="J264">
        <v>0</v>
      </c>
      <c r="K264">
        <v>18</v>
      </c>
      <c r="L264">
        <v>0</v>
      </c>
      <c r="M264">
        <v>0</v>
      </c>
      <c r="N264">
        <v>0</v>
      </c>
      <c r="O264">
        <v>0</v>
      </c>
    </row>
    <row r="265" spans="1:15">
      <c r="A265" s="1" t="s">
        <v>277</v>
      </c>
      <c r="B265" t="s">
        <v>504</v>
      </c>
      <c r="C265" t="s">
        <v>509</v>
      </c>
      <c r="D265">
        <v>0</v>
      </c>
      <c r="E265">
        <v>35.9791667</v>
      </c>
      <c r="F265">
        <v>-118.5805556</v>
      </c>
      <c r="G265" t="s">
        <v>772</v>
      </c>
      <c r="I265" t="s">
        <v>505</v>
      </c>
      <c r="J265">
        <v>0</v>
      </c>
      <c r="K265">
        <v>115</v>
      </c>
      <c r="L265">
        <v>1</v>
      </c>
      <c r="M265">
        <v>0</v>
      </c>
      <c r="N265">
        <v>1</v>
      </c>
      <c r="O265">
        <v>1</v>
      </c>
    </row>
    <row r="266" spans="1:15">
      <c r="A266" s="1" t="s">
        <v>278</v>
      </c>
      <c r="B266" t="s">
        <v>504</v>
      </c>
      <c r="C266" t="s">
        <v>509</v>
      </c>
      <c r="D266">
        <v>0</v>
      </c>
      <c r="E266">
        <v>40.1783333</v>
      </c>
      <c r="F266">
        <v>-120.5783333</v>
      </c>
      <c r="G266" t="s">
        <v>773</v>
      </c>
      <c r="H266" t="s">
        <v>998</v>
      </c>
      <c r="I266" t="s">
        <v>505</v>
      </c>
      <c r="J266">
        <v>0</v>
      </c>
      <c r="K266">
        <v>19</v>
      </c>
      <c r="L266">
        <v>0</v>
      </c>
      <c r="M266">
        <v>0</v>
      </c>
      <c r="N266">
        <v>0</v>
      </c>
      <c r="O266">
        <v>0</v>
      </c>
    </row>
    <row r="267" spans="1:15">
      <c r="A267" s="1" t="s">
        <v>279</v>
      </c>
      <c r="B267" t="s">
        <v>504</v>
      </c>
      <c r="C267" t="s">
        <v>509</v>
      </c>
      <c r="D267">
        <v>0</v>
      </c>
      <c r="E267">
        <v>39.5888972</v>
      </c>
      <c r="F267">
        <v>-120.0736111</v>
      </c>
      <c r="G267" t="s">
        <v>774</v>
      </c>
      <c r="I267" t="s">
        <v>505</v>
      </c>
      <c r="J267">
        <v>0</v>
      </c>
      <c r="K267">
        <v>31</v>
      </c>
      <c r="L267">
        <v>0</v>
      </c>
      <c r="M267">
        <v>0</v>
      </c>
      <c r="N267">
        <v>0</v>
      </c>
      <c r="O267">
        <v>0</v>
      </c>
    </row>
    <row r="268" spans="1:15">
      <c r="A268" s="1" t="s">
        <v>280</v>
      </c>
      <c r="B268" t="s">
        <v>504</v>
      </c>
      <c r="C268" t="s">
        <v>509</v>
      </c>
      <c r="D268">
        <v>0</v>
      </c>
      <c r="E268">
        <v>38.9833333</v>
      </c>
      <c r="F268">
        <v>-120.33</v>
      </c>
      <c r="G268" t="s">
        <v>775</v>
      </c>
      <c r="I268" t="s">
        <v>505</v>
      </c>
      <c r="J268">
        <v>0</v>
      </c>
      <c r="K268">
        <v>36</v>
      </c>
      <c r="L268">
        <v>0</v>
      </c>
      <c r="M268">
        <v>0</v>
      </c>
      <c r="N268">
        <v>0</v>
      </c>
      <c r="O268">
        <v>0</v>
      </c>
    </row>
    <row r="269" spans="1:15">
      <c r="A269" s="1" t="s">
        <v>281</v>
      </c>
      <c r="B269" t="s">
        <v>504</v>
      </c>
      <c r="C269" t="s">
        <v>509</v>
      </c>
      <c r="D269">
        <v>0</v>
      </c>
      <c r="E269">
        <v>34.5416667</v>
      </c>
      <c r="F269">
        <v>-119.8091667</v>
      </c>
      <c r="G269" t="s">
        <v>776</v>
      </c>
      <c r="I269" t="s">
        <v>505</v>
      </c>
      <c r="J269">
        <v>0</v>
      </c>
      <c r="K269">
        <v>148</v>
      </c>
      <c r="L269">
        <v>15</v>
      </c>
      <c r="M269">
        <v>0</v>
      </c>
      <c r="N269">
        <v>15</v>
      </c>
      <c r="O269">
        <v>15</v>
      </c>
    </row>
    <row r="270" spans="1:15">
      <c r="A270" s="1" t="s">
        <v>282</v>
      </c>
      <c r="B270" t="s">
        <v>504</v>
      </c>
      <c r="C270" t="s">
        <v>509</v>
      </c>
      <c r="D270">
        <v>0</v>
      </c>
      <c r="E270">
        <v>37.8211111</v>
      </c>
      <c r="F270">
        <v>-120.0486111</v>
      </c>
      <c r="G270" t="s">
        <v>777</v>
      </c>
      <c r="I270" t="s">
        <v>505</v>
      </c>
      <c r="J270">
        <v>0</v>
      </c>
      <c r="K270">
        <v>70</v>
      </c>
      <c r="L270">
        <v>8</v>
      </c>
      <c r="M270">
        <v>0</v>
      </c>
      <c r="N270">
        <v>8</v>
      </c>
      <c r="O270">
        <v>8</v>
      </c>
    </row>
    <row r="271" spans="1:15">
      <c r="A271" s="1" t="s">
        <v>283</v>
      </c>
      <c r="B271" t="s">
        <v>504</v>
      </c>
      <c r="C271" t="s">
        <v>509</v>
      </c>
      <c r="E271">
        <v>40.5625</v>
      </c>
      <c r="F271">
        <v>-121.5166667</v>
      </c>
      <c r="G271" t="s">
        <v>778</v>
      </c>
      <c r="I271" t="s">
        <v>505</v>
      </c>
      <c r="J271">
        <v>0</v>
      </c>
      <c r="K271">
        <v>5</v>
      </c>
      <c r="L271">
        <v>0</v>
      </c>
      <c r="M271">
        <v>0</v>
      </c>
      <c r="N271">
        <v>0</v>
      </c>
      <c r="O271">
        <v>0</v>
      </c>
    </row>
    <row r="272" spans="1:15">
      <c r="A272" s="1" t="s">
        <v>284</v>
      </c>
      <c r="B272" t="s">
        <v>504</v>
      </c>
      <c r="C272" t="s">
        <v>509</v>
      </c>
      <c r="D272">
        <v>0</v>
      </c>
      <c r="E272">
        <v>37.2380556</v>
      </c>
      <c r="F272">
        <v>-119.2277778</v>
      </c>
      <c r="G272" t="s">
        <v>779</v>
      </c>
      <c r="H272" t="s">
        <v>998</v>
      </c>
      <c r="I272" t="s">
        <v>505</v>
      </c>
      <c r="J272">
        <v>0</v>
      </c>
      <c r="K272">
        <v>91</v>
      </c>
      <c r="L272">
        <v>1</v>
      </c>
      <c r="M272">
        <v>0</v>
      </c>
      <c r="N272">
        <v>1</v>
      </c>
      <c r="O272">
        <v>1</v>
      </c>
    </row>
    <row r="273" spans="1:15">
      <c r="A273" s="1" t="s">
        <v>285</v>
      </c>
      <c r="B273" t="s">
        <v>504</v>
      </c>
      <c r="C273" t="s">
        <v>509</v>
      </c>
      <c r="D273">
        <v>0</v>
      </c>
      <c r="E273">
        <v>39.4855556</v>
      </c>
      <c r="F273">
        <v>-120.2363889</v>
      </c>
      <c r="G273" t="s">
        <v>780</v>
      </c>
      <c r="I273" t="s">
        <v>505</v>
      </c>
      <c r="J273">
        <v>0</v>
      </c>
      <c r="K273">
        <v>30</v>
      </c>
      <c r="L273">
        <v>14</v>
      </c>
      <c r="M273">
        <v>0</v>
      </c>
      <c r="N273">
        <v>14</v>
      </c>
      <c r="O273">
        <v>14</v>
      </c>
    </row>
    <row r="274" spans="1:15">
      <c r="A274" s="1" t="s">
        <v>286</v>
      </c>
      <c r="B274" t="s">
        <v>504</v>
      </c>
      <c r="C274" t="s">
        <v>509</v>
      </c>
      <c r="D274">
        <v>0</v>
      </c>
      <c r="E274">
        <v>37.7408333</v>
      </c>
      <c r="F274">
        <v>-119.5666667</v>
      </c>
      <c r="G274" t="s">
        <v>781</v>
      </c>
      <c r="I274" t="s">
        <v>505</v>
      </c>
      <c r="J274">
        <v>0</v>
      </c>
      <c r="K274">
        <v>76</v>
      </c>
      <c r="L274">
        <v>0</v>
      </c>
      <c r="M274">
        <v>0</v>
      </c>
      <c r="N274">
        <v>0</v>
      </c>
      <c r="O274">
        <v>0</v>
      </c>
    </row>
    <row r="275" spans="1:15">
      <c r="A275" s="1" t="s">
        <v>287</v>
      </c>
      <c r="B275" t="s">
        <v>504</v>
      </c>
      <c r="C275" t="s">
        <v>509</v>
      </c>
      <c r="D275">
        <v>0</v>
      </c>
      <c r="E275">
        <v>38.1727778</v>
      </c>
      <c r="F275">
        <v>-119.3311111</v>
      </c>
      <c r="G275" t="s">
        <v>782</v>
      </c>
      <c r="I275" t="s">
        <v>505</v>
      </c>
      <c r="J275">
        <v>0</v>
      </c>
      <c r="K275">
        <v>66</v>
      </c>
      <c r="L275">
        <v>0</v>
      </c>
      <c r="M275">
        <v>0</v>
      </c>
      <c r="N275">
        <v>0</v>
      </c>
      <c r="O275">
        <v>0</v>
      </c>
    </row>
    <row r="276" spans="1:15">
      <c r="A276" s="1" t="s">
        <v>288</v>
      </c>
      <c r="B276" t="s">
        <v>504</v>
      </c>
      <c r="C276" t="s">
        <v>509</v>
      </c>
      <c r="D276">
        <v>0</v>
      </c>
      <c r="E276">
        <v>37.3077778</v>
      </c>
      <c r="F276">
        <v>-119.5441667</v>
      </c>
      <c r="G276" t="s">
        <v>783</v>
      </c>
      <c r="I276" t="s">
        <v>505</v>
      </c>
      <c r="J276">
        <v>0</v>
      </c>
      <c r="K276">
        <v>89</v>
      </c>
      <c r="L276">
        <v>33</v>
      </c>
      <c r="M276">
        <v>0</v>
      </c>
      <c r="N276">
        <v>33</v>
      </c>
      <c r="O276">
        <v>33</v>
      </c>
    </row>
    <row r="277" spans="1:15">
      <c r="A277" s="1" t="s">
        <v>289</v>
      </c>
      <c r="B277" t="s">
        <v>505</v>
      </c>
      <c r="C277" t="s">
        <v>510</v>
      </c>
      <c r="D277">
        <v>0</v>
      </c>
      <c r="E277">
        <v>39.4933333</v>
      </c>
      <c r="F277">
        <v>-123.7925</v>
      </c>
      <c r="G277" t="s">
        <v>784</v>
      </c>
      <c r="I277" t="s">
        <v>505</v>
      </c>
      <c r="J277">
        <v>0</v>
      </c>
      <c r="K277">
        <v>326</v>
      </c>
      <c r="L277">
        <v>0</v>
      </c>
      <c r="M277">
        <v>0</v>
      </c>
      <c r="N277">
        <v>0</v>
      </c>
      <c r="O277">
        <v>0</v>
      </c>
    </row>
    <row r="278" spans="1:15">
      <c r="A278" s="1" t="s">
        <v>290</v>
      </c>
      <c r="B278" t="s">
        <v>505</v>
      </c>
      <c r="C278" t="s">
        <v>510</v>
      </c>
      <c r="D278">
        <v>0</v>
      </c>
      <c r="E278">
        <v>39.3738889</v>
      </c>
      <c r="F278">
        <v>-120.9136111</v>
      </c>
      <c r="G278" t="s">
        <v>785</v>
      </c>
      <c r="I278" t="s">
        <v>505</v>
      </c>
      <c r="J278">
        <v>0</v>
      </c>
      <c r="K278">
        <v>20</v>
      </c>
      <c r="L278">
        <v>28</v>
      </c>
      <c r="M278">
        <v>0</v>
      </c>
      <c r="N278">
        <v>28</v>
      </c>
      <c r="O278">
        <v>28</v>
      </c>
    </row>
    <row r="279" spans="1:15">
      <c r="A279" s="1" t="s">
        <v>291</v>
      </c>
      <c r="B279" t="s">
        <v>505</v>
      </c>
      <c r="C279" t="s">
        <v>510</v>
      </c>
      <c r="D279">
        <v>0</v>
      </c>
      <c r="E279">
        <v>34.1033333</v>
      </c>
      <c r="F279">
        <v>-118.7330556</v>
      </c>
      <c r="G279" t="s">
        <v>786</v>
      </c>
      <c r="I279" t="s">
        <v>505</v>
      </c>
      <c r="J279">
        <v>0</v>
      </c>
      <c r="K279">
        <v>140</v>
      </c>
      <c r="L279">
        <v>27</v>
      </c>
      <c r="M279">
        <v>0</v>
      </c>
      <c r="N279">
        <v>27</v>
      </c>
      <c r="O279">
        <v>13</v>
      </c>
    </row>
    <row r="280" spans="1:15">
      <c r="A280" s="1" t="s">
        <v>292</v>
      </c>
      <c r="B280" t="s">
        <v>504</v>
      </c>
      <c r="C280" t="s">
        <v>509</v>
      </c>
      <c r="D280">
        <v>0</v>
      </c>
      <c r="E280">
        <v>37.3441667</v>
      </c>
      <c r="F280">
        <v>-119.3311111</v>
      </c>
      <c r="G280" t="s">
        <v>787</v>
      </c>
      <c r="I280" t="s">
        <v>505</v>
      </c>
      <c r="J280">
        <v>0</v>
      </c>
      <c r="K280">
        <v>88</v>
      </c>
      <c r="L280">
        <v>0</v>
      </c>
      <c r="M280">
        <v>0</v>
      </c>
      <c r="N280">
        <v>0</v>
      </c>
      <c r="O280">
        <v>0</v>
      </c>
    </row>
    <row r="281" spans="1:15">
      <c r="A281" s="1" t="s">
        <v>293</v>
      </c>
      <c r="B281" t="s">
        <v>505</v>
      </c>
      <c r="C281" t="s">
        <v>510</v>
      </c>
      <c r="E281">
        <v>38.9738889</v>
      </c>
      <c r="F281">
        <v>-123.7113889</v>
      </c>
      <c r="G281" t="s">
        <v>788</v>
      </c>
      <c r="I281" t="s">
        <v>505</v>
      </c>
      <c r="J281">
        <v>0</v>
      </c>
      <c r="K281">
        <v>319</v>
      </c>
      <c r="L281">
        <v>0</v>
      </c>
      <c r="M281">
        <v>0</v>
      </c>
      <c r="N281">
        <v>0</v>
      </c>
      <c r="O281">
        <v>0</v>
      </c>
    </row>
    <row r="282" spans="1:15">
      <c r="A282" s="1" t="s">
        <v>294</v>
      </c>
      <c r="B282" t="s">
        <v>505</v>
      </c>
      <c r="C282" t="s">
        <v>510</v>
      </c>
      <c r="D282">
        <v>0</v>
      </c>
      <c r="E282">
        <v>36.9241667</v>
      </c>
      <c r="F282">
        <v>-121.8555556</v>
      </c>
      <c r="G282" t="s">
        <v>789</v>
      </c>
      <c r="I282" t="s">
        <v>505</v>
      </c>
      <c r="J282">
        <v>0</v>
      </c>
      <c r="K282">
        <v>174</v>
      </c>
      <c r="L282">
        <v>0</v>
      </c>
      <c r="M282">
        <v>0</v>
      </c>
      <c r="N282">
        <v>0</v>
      </c>
      <c r="O282">
        <v>0</v>
      </c>
    </row>
    <row r="283" spans="1:15">
      <c r="A283" s="1" t="s">
        <v>295</v>
      </c>
      <c r="B283" t="s">
        <v>504</v>
      </c>
      <c r="C283" t="s">
        <v>509</v>
      </c>
      <c r="D283">
        <v>0</v>
      </c>
      <c r="E283">
        <v>40.5291667</v>
      </c>
      <c r="F283">
        <v>-121.5638889</v>
      </c>
      <c r="G283" t="s">
        <v>790</v>
      </c>
      <c r="I283" t="s">
        <v>505</v>
      </c>
      <c r="J283">
        <v>0</v>
      </c>
      <c r="K283">
        <v>4</v>
      </c>
      <c r="L283">
        <v>1</v>
      </c>
      <c r="M283">
        <v>0</v>
      </c>
      <c r="N283">
        <v>1</v>
      </c>
      <c r="O283">
        <v>1</v>
      </c>
    </row>
    <row r="284" spans="1:15">
      <c r="A284" s="1" t="s">
        <v>296</v>
      </c>
      <c r="B284" t="s">
        <v>504</v>
      </c>
      <c r="C284" t="s">
        <v>509</v>
      </c>
      <c r="D284">
        <v>0</v>
      </c>
      <c r="E284">
        <v>33.7916667</v>
      </c>
      <c r="F284">
        <v>-116.7319444</v>
      </c>
      <c r="G284" t="s">
        <v>791</v>
      </c>
      <c r="I284" t="s">
        <v>505</v>
      </c>
      <c r="J284">
        <v>0</v>
      </c>
      <c r="K284">
        <v>128</v>
      </c>
      <c r="L284">
        <v>0</v>
      </c>
      <c r="M284">
        <v>0</v>
      </c>
      <c r="N284">
        <v>0</v>
      </c>
      <c r="O284">
        <v>0</v>
      </c>
    </row>
    <row r="285" spans="1:15">
      <c r="A285" s="1" t="s">
        <v>297</v>
      </c>
      <c r="B285" t="s">
        <v>504</v>
      </c>
      <c r="C285" t="s">
        <v>509</v>
      </c>
      <c r="D285">
        <v>0</v>
      </c>
      <c r="E285">
        <v>40.9261111</v>
      </c>
      <c r="F285">
        <v>-122.9152778</v>
      </c>
      <c r="G285" t="s">
        <v>792</v>
      </c>
      <c r="I285" t="s">
        <v>505</v>
      </c>
      <c r="J285">
        <v>0</v>
      </c>
      <c r="K285">
        <v>348</v>
      </c>
      <c r="L285">
        <v>8</v>
      </c>
      <c r="M285">
        <v>0</v>
      </c>
      <c r="N285">
        <v>8</v>
      </c>
      <c r="O285">
        <v>8</v>
      </c>
    </row>
    <row r="286" spans="1:15">
      <c r="A286" s="1" t="s">
        <v>298</v>
      </c>
      <c r="B286" t="s">
        <v>505</v>
      </c>
      <c r="C286" t="s">
        <v>510</v>
      </c>
      <c r="D286">
        <v>0</v>
      </c>
      <c r="E286">
        <v>41.0188889</v>
      </c>
      <c r="F286">
        <v>-121.6502778</v>
      </c>
      <c r="G286" t="s">
        <v>793</v>
      </c>
      <c r="I286" t="s">
        <v>505</v>
      </c>
      <c r="J286">
        <v>0</v>
      </c>
      <c r="K286">
        <v>2</v>
      </c>
      <c r="L286">
        <v>1</v>
      </c>
      <c r="M286">
        <v>1</v>
      </c>
      <c r="N286">
        <v>0</v>
      </c>
      <c r="O286">
        <v>0</v>
      </c>
    </row>
    <row r="287" spans="1:15">
      <c r="A287" s="1" t="s">
        <v>299</v>
      </c>
      <c r="B287" t="s">
        <v>505</v>
      </c>
      <c r="C287" t="s">
        <v>510</v>
      </c>
      <c r="D287">
        <v>0</v>
      </c>
      <c r="E287">
        <v>37.4152778</v>
      </c>
      <c r="F287">
        <v>-120.71</v>
      </c>
      <c r="G287" t="s">
        <v>794</v>
      </c>
      <c r="I287" t="s">
        <v>505</v>
      </c>
      <c r="J287">
        <v>0</v>
      </c>
      <c r="K287">
        <v>84</v>
      </c>
      <c r="L287">
        <v>17</v>
      </c>
      <c r="M287">
        <v>1</v>
      </c>
      <c r="N287">
        <v>16</v>
      </c>
      <c r="O287">
        <v>16</v>
      </c>
    </row>
    <row r="288" spans="1:15">
      <c r="A288" s="1" t="s">
        <v>300</v>
      </c>
      <c r="B288" t="s">
        <v>504</v>
      </c>
      <c r="C288" t="s">
        <v>509</v>
      </c>
      <c r="D288">
        <v>0</v>
      </c>
      <c r="E288">
        <v>37.5644444</v>
      </c>
      <c r="F288">
        <v>-118.7847222</v>
      </c>
      <c r="G288" t="s">
        <v>795</v>
      </c>
      <c r="I288" t="s">
        <v>505</v>
      </c>
      <c r="J288">
        <v>0</v>
      </c>
      <c r="K288">
        <v>83</v>
      </c>
      <c r="L288">
        <v>12</v>
      </c>
      <c r="M288">
        <v>0</v>
      </c>
      <c r="N288">
        <v>12</v>
      </c>
      <c r="O288">
        <v>12</v>
      </c>
    </row>
    <row r="289" spans="1:15">
      <c r="A289" s="1" t="s">
        <v>301</v>
      </c>
      <c r="B289" t="s">
        <v>504</v>
      </c>
      <c r="C289" t="s">
        <v>509</v>
      </c>
      <c r="D289">
        <v>0</v>
      </c>
      <c r="E289">
        <v>34.8155556</v>
      </c>
      <c r="F289">
        <v>-119.0983333</v>
      </c>
      <c r="G289" t="s">
        <v>796</v>
      </c>
      <c r="I289" t="s">
        <v>505</v>
      </c>
      <c r="J289">
        <v>0</v>
      </c>
      <c r="K289">
        <v>137</v>
      </c>
      <c r="L289">
        <v>0</v>
      </c>
      <c r="M289">
        <v>0</v>
      </c>
      <c r="N289">
        <v>0</v>
      </c>
      <c r="O289">
        <v>0</v>
      </c>
    </row>
    <row r="290" spans="1:15">
      <c r="A290" s="1" t="s">
        <v>302</v>
      </c>
      <c r="B290" t="s">
        <v>505</v>
      </c>
      <c r="C290" t="s">
        <v>510</v>
      </c>
      <c r="D290">
        <v>0</v>
      </c>
      <c r="E290">
        <v>34.2263889</v>
      </c>
      <c r="F290">
        <v>-119.2613889</v>
      </c>
      <c r="G290" t="s">
        <v>797</v>
      </c>
      <c r="I290" t="s">
        <v>505</v>
      </c>
      <c r="J290">
        <v>0</v>
      </c>
      <c r="K290">
        <v>144</v>
      </c>
      <c r="L290">
        <v>0</v>
      </c>
      <c r="M290">
        <v>0</v>
      </c>
      <c r="N290">
        <v>0</v>
      </c>
      <c r="O290">
        <v>0</v>
      </c>
    </row>
    <row r="291" spans="1:15">
      <c r="A291" s="1" t="s">
        <v>303</v>
      </c>
      <c r="B291" t="s">
        <v>504</v>
      </c>
      <c r="C291" t="s">
        <v>509</v>
      </c>
      <c r="D291">
        <v>0</v>
      </c>
      <c r="E291">
        <v>39.0377778</v>
      </c>
      <c r="F291">
        <v>-120.1236111</v>
      </c>
      <c r="G291" t="s">
        <v>798</v>
      </c>
      <c r="I291" t="s">
        <v>505</v>
      </c>
      <c r="J291">
        <v>0</v>
      </c>
      <c r="K291">
        <v>38</v>
      </c>
      <c r="L291">
        <v>1</v>
      </c>
      <c r="M291">
        <v>0</v>
      </c>
      <c r="N291">
        <v>1</v>
      </c>
      <c r="O291">
        <v>1</v>
      </c>
    </row>
    <row r="292" spans="1:15">
      <c r="A292" s="1" t="s">
        <v>304</v>
      </c>
      <c r="B292" t="s">
        <v>504</v>
      </c>
      <c r="C292" t="s">
        <v>509</v>
      </c>
      <c r="D292">
        <v>0</v>
      </c>
      <c r="E292">
        <v>40.5481194</v>
      </c>
      <c r="F292">
        <v>-120.8120056</v>
      </c>
      <c r="G292" t="s">
        <v>799</v>
      </c>
      <c r="I292" t="s">
        <v>505</v>
      </c>
      <c r="J292">
        <v>0</v>
      </c>
      <c r="K292">
        <v>14</v>
      </c>
      <c r="L292">
        <v>0</v>
      </c>
      <c r="M292">
        <v>0</v>
      </c>
      <c r="N292">
        <v>0</v>
      </c>
      <c r="O292">
        <v>0</v>
      </c>
    </row>
    <row r="293" spans="1:15">
      <c r="A293" s="1" t="s">
        <v>305</v>
      </c>
      <c r="B293" t="s">
        <v>504</v>
      </c>
      <c r="C293" t="s">
        <v>509</v>
      </c>
      <c r="D293">
        <v>0</v>
      </c>
      <c r="E293">
        <v>39.0511111</v>
      </c>
      <c r="F293">
        <v>-120.4661111</v>
      </c>
      <c r="G293" t="s">
        <v>800</v>
      </c>
      <c r="I293" t="s">
        <v>505</v>
      </c>
      <c r="J293">
        <v>0</v>
      </c>
      <c r="K293">
        <v>32</v>
      </c>
      <c r="L293">
        <v>1</v>
      </c>
      <c r="M293">
        <v>0</v>
      </c>
      <c r="N293">
        <v>1</v>
      </c>
      <c r="O293">
        <v>1</v>
      </c>
    </row>
    <row r="294" spans="1:15">
      <c r="A294" s="1" t="s">
        <v>306</v>
      </c>
      <c r="B294" t="s">
        <v>505</v>
      </c>
      <c r="C294" t="s">
        <v>510</v>
      </c>
      <c r="D294">
        <v>0</v>
      </c>
      <c r="E294">
        <v>37.0202778</v>
      </c>
      <c r="F294">
        <v>-119.6669444</v>
      </c>
      <c r="G294" t="s">
        <v>801</v>
      </c>
      <c r="I294" t="s">
        <v>505</v>
      </c>
      <c r="J294">
        <v>0</v>
      </c>
      <c r="K294">
        <v>99</v>
      </c>
      <c r="L294">
        <v>133</v>
      </c>
      <c r="M294">
        <v>7</v>
      </c>
      <c r="N294">
        <v>126</v>
      </c>
      <c r="O294">
        <v>126</v>
      </c>
    </row>
    <row r="295" spans="1:15">
      <c r="A295" s="1" t="s">
        <v>307</v>
      </c>
      <c r="B295" t="s">
        <v>504</v>
      </c>
      <c r="C295" t="s">
        <v>509</v>
      </c>
      <c r="D295">
        <v>0</v>
      </c>
      <c r="E295">
        <v>40.8516667</v>
      </c>
      <c r="F295">
        <v>-122.8113889</v>
      </c>
      <c r="G295" t="s">
        <v>802</v>
      </c>
      <c r="I295" t="s">
        <v>505</v>
      </c>
      <c r="J295">
        <v>0</v>
      </c>
      <c r="K295">
        <v>349</v>
      </c>
      <c r="L295">
        <v>8</v>
      </c>
      <c r="M295">
        <v>0</v>
      </c>
      <c r="N295">
        <v>8</v>
      </c>
      <c r="O295">
        <v>8</v>
      </c>
    </row>
    <row r="296" spans="1:15">
      <c r="A296" s="1" t="s">
        <v>308</v>
      </c>
      <c r="B296" t="s">
        <v>508</v>
      </c>
      <c r="C296" t="s">
        <v>511</v>
      </c>
      <c r="D296">
        <v>0</v>
      </c>
      <c r="E296">
        <v>37.6597222</v>
      </c>
      <c r="F296">
        <v>-120.6555556</v>
      </c>
      <c r="G296" t="s">
        <v>803</v>
      </c>
      <c r="H296" t="s">
        <v>1000</v>
      </c>
      <c r="I296" t="s">
        <v>505</v>
      </c>
      <c r="J296">
        <v>0</v>
      </c>
      <c r="K296">
        <v>71</v>
      </c>
      <c r="L296">
        <v>101</v>
      </c>
      <c r="M296">
        <v>4</v>
      </c>
      <c r="N296">
        <v>97</v>
      </c>
      <c r="O296">
        <v>97</v>
      </c>
    </row>
    <row r="297" spans="1:15">
      <c r="A297" s="1" t="s">
        <v>309</v>
      </c>
      <c r="B297" t="s">
        <v>504</v>
      </c>
      <c r="C297" t="s">
        <v>509</v>
      </c>
      <c r="D297">
        <v>0</v>
      </c>
      <c r="E297">
        <v>37.3586111</v>
      </c>
      <c r="F297">
        <v>-118.9975</v>
      </c>
      <c r="G297" t="s">
        <v>804</v>
      </c>
      <c r="I297" t="s">
        <v>505</v>
      </c>
      <c r="J297">
        <v>0</v>
      </c>
      <c r="K297">
        <v>88</v>
      </c>
      <c r="L297">
        <v>11</v>
      </c>
      <c r="M297">
        <v>0</v>
      </c>
      <c r="N297">
        <v>11</v>
      </c>
      <c r="O297">
        <v>11</v>
      </c>
    </row>
    <row r="298" spans="1:15">
      <c r="A298" s="1" t="s">
        <v>310</v>
      </c>
      <c r="B298" t="s">
        <v>504</v>
      </c>
      <c r="C298" t="s">
        <v>509</v>
      </c>
      <c r="D298">
        <v>0</v>
      </c>
      <c r="E298">
        <v>37.3263889</v>
      </c>
      <c r="F298">
        <v>-119.0177778</v>
      </c>
      <c r="G298" t="s">
        <v>805</v>
      </c>
      <c r="I298" t="s">
        <v>505</v>
      </c>
      <c r="J298">
        <v>0</v>
      </c>
      <c r="K298">
        <v>89</v>
      </c>
      <c r="L298">
        <v>0</v>
      </c>
      <c r="M298">
        <v>0</v>
      </c>
      <c r="N298">
        <v>0</v>
      </c>
      <c r="O298">
        <v>0</v>
      </c>
    </row>
    <row r="299" spans="1:15">
      <c r="A299" s="1" t="s">
        <v>311</v>
      </c>
      <c r="B299" t="s">
        <v>505</v>
      </c>
      <c r="C299" t="s">
        <v>510</v>
      </c>
      <c r="D299">
        <v>0</v>
      </c>
      <c r="E299">
        <v>35.2638889</v>
      </c>
      <c r="F299">
        <v>-120.8622222</v>
      </c>
      <c r="G299" t="s">
        <v>806</v>
      </c>
      <c r="I299" t="s">
        <v>505</v>
      </c>
      <c r="J299">
        <v>0</v>
      </c>
      <c r="K299">
        <v>157</v>
      </c>
      <c r="L299">
        <v>1</v>
      </c>
      <c r="M299">
        <v>1</v>
      </c>
      <c r="N299">
        <v>0</v>
      </c>
      <c r="O299">
        <v>0</v>
      </c>
    </row>
    <row r="300" spans="1:15">
      <c r="A300" s="1" t="s">
        <v>312</v>
      </c>
      <c r="B300" t="s">
        <v>504</v>
      </c>
      <c r="C300" t="s">
        <v>509</v>
      </c>
      <c r="D300">
        <v>0</v>
      </c>
      <c r="E300">
        <v>40.8838889</v>
      </c>
      <c r="F300">
        <v>-122.2177778</v>
      </c>
      <c r="G300" t="s">
        <v>807</v>
      </c>
      <c r="I300" t="s">
        <v>505</v>
      </c>
      <c r="J300">
        <v>0</v>
      </c>
      <c r="K300">
        <v>356</v>
      </c>
      <c r="L300">
        <v>1</v>
      </c>
      <c r="M300">
        <v>0</v>
      </c>
      <c r="N300">
        <v>1</v>
      </c>
      <c r="O300">
        <v>1</v>
      </c>
    </row>
    <row r="301" spans="1:15">
      <c r="A301" s="1" t="s">
        <v>313</v>
      </c>
      <c r="B301" t="s">
        <v>506</v>
      </c>
      <c r="C301" t="s">
        <v>511</v>
      </c>
      <c r="D301">
        <v>0</v>
      </c>
      <c r="E301">
        <v>37.8191667</v>
      </c>
      <c r="F301">
        <v>-121.7955556</v>
      </c>
      <c r="G301" t="s">
        <v>808</v>
      </c>
      <c r="I301" t="s">
        <v>505</v>
      </c>
      <c r="J301">
        <v>0</v>
      </c>
      <c r="K301">
        <v>10</v>
      </c>
      <c r="L301">
        <v>0</v>
      </c>
      <c r="M301">
        <v>0</v>
      </c>
      <c r="N301">
        <v>0</v>
      </c>
      <c r="O301">
        <v>0</v>
      </c>
    </row>
    <row r="302" spans="1:15">
      <c r="A302" s="1" t="s">
        <v>314</v>
      </c>
      <c r="B302" t="s">
        <v>505</v>
      </c>
      <c r="C302" t="s">
        <v>510</v>
      </c>
      <c r="D302">
        <v>0</v>
      </c>
      <c r="E302">
        <v>35.3538889</v>
      </c>
      <c r="F302">
        <v>-120.8316667</v>
      </c>
      <c r="G302" t="s">
        <v>809</v>
      </c>
      <c r="I302" t="s">
        <v>505</v>
      </c>
      <c r="J302">
        <v>0</v>
      </c>
      <c r="K302">
        <v>156</v>
      </c>
      <c r="L302">
        <v>0</v>
      </c>
      <c r="M302">
        <v>0</v>
      </c>
      <c r="N302">
        <v>0</v>
      </c>
      <c r="O302">
        <v>0</v>
      </c>
    </row>
    <row r="303" spans="1:15">
      <c r="A303" s="1" t="s">
        <v>315</v>
      </c>
      <c r="B303" t="s">
        <v>505</v>
      </c>
      <c r="C303" t="s">
        <v>510</v>
      </c>
      <c r="D303">
        <v>0</v>
      </c>
      <c r="E303">
        <v>35.4277778</v>
      </c>
      <c r="F303">
        <v>-120.8819444</v>
      </c>
      <c r="G303" t="s">
        <v>810</v>
      </c>
      <c r="I303" t="s">
        <v>505</v>
      </c>
      <c r="J303">
        <v>0</v>
      </c>
      <c r="K303">
        <v>156</v>
      </c>
      <c r="L303">
        <v>1</v>
      </c>
      <c r="M303">
        <v>0</v>
      </c>
      <c r="N303">
        <v>1</v>
      </c>
      <c r="O303">
        <v>1</v>
      </c>
    </row>
    <row r="304" spans="1:15">
      <c r="A304" s="1" t="s">
        <v>316</v>
      </c>
      <c r="B304" t="s">
        <v>504</v>
      </c>
      <c r="C304" t="s">
        <v>509</v>
      </c>
      <c r="D304">
        <v>0</v>
      </c>
      <c r="E304">
        <v>39.3122778</v>
      </c>
      <c r="F304">
        <v>-119.8973611</v>
      </c>
      <c r="G304" t="s">
        <v>811</v>
      </c>
      <c r="I304" t="s">
        <v>505</v>
      </c>
      <c r="J304">
        <v>0</v>
      </c>
      <c r="K304">
        <v>37</v>
      </c>
      <c r="L304">
        <v>0</v>
      </c>
      <c r="M304">
        <v>0</v>
      </c>
      <c r="N304">
        <v>0</v>
      </c>
      <c r="O304">
        <v>0</v>
      </c>
    </row>
    <row r="305" spans="1:15">
      <c r="A305" s="1" t="s">
        <v>317</v>
      </c>
      <c r="B305" t="s">
        <v>505</v>
      </c>
      <c r="C305" t="s">
        <v>510</v>
      </c>
      <c r="D305">
        <v>0</v>
      </c>
      <c r="E305">
        <v>37.9038889</v>
      </c>
      <c r="F305">
        <v>-122.595</v>
      </c>
      <c r="G305" t="s">
        <v>812</v>
      </c>
      <c r="I305" t="s">
        <v>505</v>
      </c>
      <c r="J305">
        <v>0</v>
      </c>
      <c r="K305">
        <v>316</v>
      </c>
      <c r="L305">
        <v>0</v>
      </c>
      <c r="M305">
        <v>0</v>
      </c>
      <c r="N305">
        <v>0</v>
      </c>
      <c r="O305">
        <v>0</v>
      </c>
    </row>
    <row r="306" spans="1:15">
      <c r="A306" s="1" t="s">
        <v>318</v>
      </c>
      <c r="B306" t="s">
        <v>504</v>
      </c>
      <c r="C306" t="s">
        <v>509</v>
      </c>
      <c r="D306">
        <v>0</v>
      </c>
      <c r="E306">
        <v>34.3947222</v>
      </c>
      <c r="F306">
        <v>-117.7294444</v>
      </c>
      <c r="G306" t="s">
        <v>813</v>
      </c>
      <c r="I306" t="s">
        <v>505</v>
      </c>
      <c r="J306">
        <v>0</v>
      </c>
      <c r="K306">
        <v>129</v>
      </c>
      <c r="L306">
        <v>1</v>
      </c>
      <c r="M306">
        <v>0</v>
      </c>
      <c r="N306">
        <v>1</v>
      </c>
      <c r="O306">
        <v>1</v>
      </c>
    </row>
    <row r="307" spans="1:15">
      <c r="A307" s="1" t="s">
        <v>319</v>
      </c>
      <c r="B307" t="s">
        <v>505</v>
      </c>
      <c r="C307" t="s">
        <v>510</v>
      </c>
      <c r="D307">
        <v>0</v>
      </c>
      <c r="E307">
        <v>37.8627778</v>
      </c>
      <c r="F307">
        <v>-121.93</v>
      </c>
      <c r="G307" t="s">
        <v>814</v>
      </c>
      <c r="I307" t="s">
        <v>505</v>
      </c>
      <c r="J307">
        <v>0</v>
      </c>
      <c r="K307">
        <v>357</v>
      </c>
      <c r="L307">
        <v>51</v>
      </c>
      <c r="M307">
        <v>0</v>
      </c>
      <c r="N307">
        <v>51</v>
      </c>
      <c r="O307">
        <v>51</v>
      </c>
    </row>
    <row r="308" spans="1:15">
      <c r="A308" s="1" t="s">
        <v>320</v>
      </c>
      <c r="B308" t="s">
        <v>505</v>
      </c>
      <c r="C308" t="s">
        <v>510</v>
      </c>
      <c r="D308">
        <v>0</v>
      </c>
      <c r="E308">
        <v>33.8102778</v>
      </c>
      <c r="F308">
        <v>-116.675</v>
      </c>
      <c r="G308" t="s">
        <v>815</v>
      </c>
      <c r="I308" t="s">
        <v>505</v>
      </c>
      <c r="J308">
        <v>0</v>
      </c>
      <c r="K308">
        <v>128</v>
      </c>
      <c r="L308">
        <v>24</v>
      </c>
      <c r="M308">
        <v>4</v>
      </c>
      <c r="N308">
        <v>20</v>
      </c>
      <c r="O308">
        <v>20</v>
      </c>
    </row>
    <row r="309" spans="1:15">
      <c r="A309" s="1" t="s">
        <v>321</v>
      </c>
      <c r="B309" t="s">
        <v>504</v>
      </c>
      <c r="C309" t="s">
        <v>509</v>
      </c>
      <c r="D309">
        <v>0</v>
      </c>
      <c r="E309">
        <v>40.8483333</v>
      </c>
      <c r="F309">
        <v>-122.3458333</v>
      </c>
      <c r="G309" t="s">
        <v>816</v>
      </c>
      <c r="I309" t="s">
        <v>505</v>
      </c>
      <c r="J309">
        <v>0</v>
      </c>
      <c r="K309">
        <v>354</v>
      </c>
      <c r="L309">
        <v>1</v>
      </c>
      <c r="M309">
        <v>0</v>
      </c>
      <c r="N309">
        <v>1</v>
      </c>
      <c r="O309">
        <v>1</v>
      </c>
    </row>
    <row r="310" spans="1:15">
      <c r="A310" s="1" t="s">
        <v>322</v>
      </c>
      <c r="B310" t="s">
        <v>504</v>
      </c>
      <c r="C310" t="s">
        <v>509</v>
      </c>
      <c r="D310">
        <v>0</v>
      </c>
      <c r="E310">
        <v>38.9819444</v>
      </c>
      <c r="F310">
        <v>-119.9486111</v>
      </c>
      <c r="G310" t="s">
        <v>817</v>
      </c>
      <c r="H310" t="s">
        <v>998</v>
      </c>
      <c r="I310" t="s">
        <v>505</v>
      </c>
      <c r="J310">
        <v>0</v>
      </c>
      <c r="K310">
        <v>42</v>
      </c>
      <c r="L310">
        <v>0</v>
      </c>
      <c r="M310">
        <v>0</v>
      </c>
      <c r="N310">
        <v>0</v>
      </c>
      <c r="O310">
        <v>0</v>
      </c>
    </row>
    <row r="311" spans="1:15">
      <c r="A311" s="1" t="s">
        <v>323</v>
      </c>
      <c r="B311" t="s">
        <v>505</v>
      </c>
      <c r="C311" t="s">
        <v>510</v>
      </c>
      <c r="D311">
        <v>0</v>
      </c>
      <c r="E311">
        <v>36.9786111</v>
      </c>
      <c r="F311">
        <v>-121.9347222</v>
      </c>
      <c r="G311" t="s">
        <v>818</v>
      </c>
      <c r="I311" t="s">
        <v>505</v>
      </c>
      <c r="J311">
        <v>0</v>
      </c>
      <c r="K311">
        <v>183</v>
      </c>
      <c r="L311">
        <v>0</v>
      </c>
      <c r="M311">
        <v>0</v>
      </c>
      <c r="N311">
        <v>0</v>
      </c>
      <c r="O311">
        <v>0</v>
      </c>
    </row>
    <row r="312" spans="1:15">
      <c r="A312" s="1" t="s">
        <v>324</v>
      </c>
      <c r="B312" t="s">
        <v>504</v>
      </c>
      <c r="C312" t="s">
        <v>509</v>
      </c>
      <c r="D312">
        <v>0</v>
      </c>
      <c r="E312">
        <v>37.65</v>
      </c>
      <c r="F312">
        <v>-118.9591667</v>
      </c>
      <c r="G312" t="s">
        <v>819</v>
      </c>
      <c r="I312" t="s">
        <v>505</v>
      </c>
      <c r="J312">
        <v>0</v>
      </c>
      <c r="K312">
        <v>81</v>
      </c>
      <c r="L312">
        <v>50</v>
      </c>
      <c r="M312">
        <v>0</v>
      </c>
      <c r="N312">
        <v>50</v>
      </c>
      <c r="O312">
        <v>50</v>
      </c>
    </row>
    <row r="313" spans="1:15">
      <c r="A313" s="1" t="s">
        <v>325</v>
      </c>
      <c r="B313" t="s">
        <v>504</v>
      </c>
      <c r="C313" t="s">
        <v>509</v>
      </c>
      <c r="D313">
        <v>0</v>
      </c>
      <c r="E313">
        <v>41.2986111</v>
      </c>
      <c r="F313">
        <v>-123.3638889</v>
      </c>
      <c r="G313" t="s">
        <v>820</v>
      </c>
      <c r="I313" t="s">
        <v>505</v>
      </c>
      <c r="J313">
        <v>0</v>
      </c>
      <c r="K313">
        <v>344</v>
      </c>
      <c r="L313">
        <v>4</v>
      </c>
      <c r="M313">
        <v>0</v>
      </c>
      <c r="N313">
        <v>4</v>
      </c>
      <c r="O313">
        <v>4</v>
      </c>
    </row>
    <row r="314" spans="1:15">
      <c r="A314" s="1" t="s">
        <v>326</v>
      </c>
      <c r="B314" t="s">
        <v>504</v>
      </c>
      <c r="C314" t="s">
        <v>509</v>
      </c>
      <c r="D314">
        <v>0</v>
      </c>
      <c r="E314">
        <v>39.2705556</v>
      </c>
      <c r="F314">
        <v>-120.6588889</v>
      </c>
      <c r="G314" t="s">
        <v>821</v>
      </c>
      <c r="I314" t="s">
        <v>505</v>
      </c>
      <c r="J314">
        <v>0</v>
      </c>
      <c r="K314">
        <v>26</v>
      </c>
      <c r="L314">
        <v>10</v>
      </c>
      <c r="M314">
        <v>0</v>
      </c>
      <c r="N314">
        <v>10</v>
      </c>
      <c r="O314">
        <v>10</v>
      </c>
    </row>
    <row r="315" spans="1:15">
      <c r="A315" s="1" t="s">
        <v>327</v>
      </c>
      <c r="B315" t="s">
        <v>504</v>
      </c>
      <c r="C315" t="s">
        <v>509</v>
      </c>
      <c r="D315">
        <v>0</v>
      </c>
      <c r="E315">
        <v>37.7419444</v>
      </c>
      <c r="F315">
        <v>-119.5655556</v>
      </c>
      <c r="G315" t="s">
        <v>822</v>
      </c>
      <c r="I315" t="s">
        <v>505</v>
      </c>
      <c r="J315">
        <v>0</v>
      </c>
      <c r="K315">
        <v>76</v>
      </c>
      <c r="L315">
        <v>0</v>
      </c>
      <c r="M315">
        <v>0</v>
      </c>
      <c r="N315">
        <v>0</v>
      </c>
      <c r="O315">
        <v>0</v>
      </c>
    </row>
    <row r="316" spans="1:15">
      <c r="A316" s="1" t="s">
        <v>328</v>
      </c>
      <c r="B316" t="s">
        <v>504</v>
      </c>
      <c r="C316" t="s">
        <v>509</v>
      </c>
      <c r="D316">
        <v>0</v>
      </c>
      <c r="E316">
        <v>34.2672222</v>
      </c>
      <c r="F316">
        <v>-117.1633333</v>
      </c>
      <c r="G316" t="s">
        <v>823</v>
      </c>
      <c r="I316" t="s">
        <v>505</v>
      </c>
      <c r="J316">
        <v>0</v>
      </c>
      <c r="K316">
        <v>127</v>
      </c>
      <c r="L316">
        <v>15</v>
      </c>
      <c r="M316">
        <v>0</v>
      </c>
      <c r="N316">
        <v>15</v>
      </c>
      <c r="O316">
        <v>15</v>
      </c>
    </row>
    <row r="317" spans="1:15">
      <c r="A317" s="1" t="s">
        <v>329</v>
      </c>
      <c r="B317" t="s">
        <v>504</v>
      </c>
      <c r="C317" t="s">
        <v>509</v>
      </c>
      <c r="D317">
        <v>0</v>
      </c>
      <c r="E317">
        <v>41.3772222</v>
      </c>
      <c r="F317">
        <v>-123.4513889</v>
      </c>
      <c r="G317" t="s">
        <v>824</v>
      </c>
      <c r="I317" t="s">
        <v>505</v>
      </c>
      <c r="J317">
        <v>0</v>
      </c>
      <c r="K317">
        <v>344</v>
      </c>
      <c r="L317">
        <v>13</v>
      </c>
      <c r="M317">
        <v>0</v>
      </c>
      <c r="N317">
        <v>13</v>
      </c>
      <c r="O317">
        <v>13</v>
      </c>
    </row>
    <row r="318" spans="1:15">
      <c r="A318" s="1" t="s">
        <v>330</v>
      </c>
      <c r="B318" t="s">
        <v>504</v>
      </c>
      <c r="C318" t="s">
        <v>509</v>
      </c>
      <c r="D318">
        <v>0</v>
      </c>
      <c r="E318">
        <v>33.386525</v>
      </c>
      <c r="F318">
        <v>-116.7913694</v>
      </c>
      <c r="G318" t="s">
        <v>825</v>
      </c>
      <c r="I318" t="s">
        <v>505</v>
      </c>
      <c r="J318">
        <v>0</v>
      </c>
      <c r="K318">
        <v>131</v>
      </c>
      <c r="L318">
        <v>54</v>
      </c>
      <c r="M318">
        <v>0</v>
      </c>
      <c r="N318">
        <v>54</v>
      </c>
      <c r="O318">
        <v>54</v>
      </c>
    </row>
    <row r="319" spans="1:15">
      <c r="A319" s="1" t="s">
        <v>331</v>
      </c>
      <c r="B319" t="s">
        <v>504</v>
      </c>
      <c r="C319" t="s">
        <v>509</v>
      </c>
      <c r="D319">
        <v>0</v>
      </c>
      <c r="E319">
        <v>38.18265</v>
      </c>
      <c r="F319">
        <v>-120.8030556</v>
      </c>
      <c r="G319" t="s">
        <v>826</v>
      </c>
      <c r="I319" t="s">
        <v>505</v>
      </c>
      <c r="J319">
        <v>0</v>
      </c>
      <c r="K319">
        <v>45</v>
      </c>
      <c r="L319">
        <v>0</v>
      </c>
      <c r="M319">
        <v>0</v>
      </c>
      <c r="N319">
        <v>0</v>
      </c>
      <c r="O319">
        <v>0</v>
      </c>
    </row>
    <row r="320" spans="1:15">
      <c r="A320" s="1" t="s">
        <v>332</v>
      </c>
      <c r="B320" t="s">
        <v>504</v>
      </c>
      <c r="C320" t="s">
        <v>509</v>
      </c>
      <c r="D320">
        <v>0</v>
      </c>
      <c r="E320">
        <v>33.3416667</v>
      </c>
      <c r="F320">
        <v>-116.8786111</v>
      </c>
      <c r="G320" t="s">
        <v>827</v>
      </c>
      <c r="I320" t="s">
        <v>505</v>
      </c>
      <c r="J320">
        <v>0</v>
      </c>
      <c r="K320">
        <v>132</v>
      </c>
      <c r="L320">
        <v>1</v>
      </c>
      <c r="M320">
        <v>1</v>
      </c>
      <c r="N320">
        <v>0</v>
      </c>
      <c r="O320">
        <v>0</v>
      </c>
    </row>
    <row r="321" spans="1:15">
      <c r="A321" s="1" t="s">
        <v>333</v>
      </c>
      <c r="B321" t="s">
        <v>504</v>
      </c>
      <c r="C321" t="s">
        <v>509</v>
      </c>
      <c r="D321">
        <v>0</v>
      </c>
      <c r="E321">
        <v>37.7333333</v>
      </c>
      <c r="F321">
        <v>-119.0166667</v>
      </c>
      <c r="G321" t="s">
        <v>828</v>
      </c>
      <c r="I321" t="s">
        <v>505</v>
      </c>
      <c r="J321">
        <v>0</v>
      </c>
      <c r="K321">
        <v>79</v>
      </c>
      <c r="L321">
        <v>0</v>
      </c>
      <c r="M321">
        <v>0</v>
      </c>
      <c r="N321">
        <v>0</v>
      </c>
      <c r="O321">
        <v>0</v>
      </c>
    </row>
    <row r="322" spans="1:15">
      <c r="A322" s="1" t="s">
        <v>334</v>
      </c>
      <c r="B322" t="s">
        <v>505</v>
      </c>
      <c r="C322" t="s">
        <v>510</v>
      </c>
      <c r="D322">
        <v>0</v>
      </c>
      <c r="E322">
        <v>35.1055556</v>
      </c>
      <c r="F322">
        <v>-120.6291667</v>
      </c>
      <c r="G322" t="s">
        <v>829</v>
      </c>
      <c r="I322" t="s">
        <v>505</v>
      </c>
      <c r="J322">
        <v>0</v>
      </c>
      <c r="K322">
        <v>154</v>
      </c>
      <c r="L322">
        <v>999</v>
      </c>
      <c r="M322">
        <v>0</v>
      </c>
      <c r="N322">
        <v>999</v>
      </c>
      <c r="O322">
        <v>999</v>
      </c>
    </row>
    <row r="323" spans="1:15">
      <c r="A323" s="1" t="s">
        <v>335</v>
      </c>
      <c r="B323" t="s">
        <v>504</v>
      </c>
      <c r="C323" t="s">
        <v>509</v>
      </c>
      <c r="D323">
        <v>0</v>
      </c>
      <c r="E323">
        <v>37.7969444</v>
      </c>
      <c r="F323">
        <v>-119.0616667</v>
      </c>
      <c r="G323" t="s">
        <v>830</v>
      </c>
      <c r="I323" t="s">
        <v>505</v>
      </c>
      <c r="J323">
        <v>0</v>
      </c>
      <c r="K323">
        <v>77</v>
      </c>
      <c r="L323">
        <v>92</v>
      </c>
      <c r="M323">
        <v>0</v>
      </c>
      <c r="N323">
        <v>92</v>
      </c>
      <c r="O323">
        <v>92</v>
      </c>
    </row>
    <row r="324" spans="1:15">
      <c r="A324" s="1" t="s">
        <v>336</v>
      </c>
      <c r="B324" t="s">
        <v>504</v>
      </c>
      <c r="C324" t="s">
        <v>509</v>
      </c>
      <c r="D324">
        <v>0</v>
      </c>
      <c r="E324">
        <v>37.65</v>
      </c>
      <c r="F324">
        <v>-118.9616667</v>
      </c>
      <c r="G324" t="s">
        <v>831</v>
      </c>
      <c r="I324" t="s">
        <v>505</v>
      </c>
      <c r="J324">
        <v>0</v>
      </c>
      <c r="K324">
        <v>81</v>
      </c>
      <c r="L324">
        <v>31</v>
      </c>
      <c r="M324">
        <v>0</v>
      </c>
      <c r="N324">
        <v>31</v>
      </c>
      <c r="O324">
        <v>31</v>
      </c>
    </row>
    <row r="325" spans="1:15">
      <c r="A325" s="1" t="s">
        <v>337</v>
      </c>
      <c r="B325" t="s">
        <v>504</v>
      </c>
      <c r="C325" t="s">
        <v>509</v>
      </c>
      <c r="D325">
        <v>0</v>
      </c>
      <c r="E325">
        <v>36.7747222</v>
      </c>
      <c r="F325">
        <v>-118.3455556</v>
      </c>
      <c r="G325" t="s">
        <v>832</v>
      </c>
      <c r="I325" t="s">
        <v>505</v>
      </c>
      <c r="J325">
        <v>0</v>
      </c>
      <c r="K325">
        <v>99</v>
      </c>
      <c r="L325">
        <v>0</v>
      </c>
      <c r="M325">
        <v>0</v>
      </c>
      <c r="N325">
        <v>0</v>
      </c>
      <c r="O325">
        <v>0</v>
      </c>
    </row>
    <row r="326" spans="1:15">
      <c r="A326" s="1" t="s">
        <v>338</v>
      </c>
      <c r="B326" t="s">
        <v>504</v>
      </c>
      <c r="C326" t="s">
        <v>509</v>
      </c>
      <c r="D326">
        <v>0</v>
      </c>
      <c r="E326">
        <v>39.7721972</v>
      </c>
      <c r="F326">
        <v>-122.3528472</v>
      </c>
      <c r="G326" t="s">
        <v>833</v>
      </c>
      <c r="I326" t="s">
        <v>505</v>
      </c>
      <c r="J326">
        <v>0</v>
      </c>
      <c r="K326">
        <v>352</v>
      </c>
      <c r="L326">
        <v>31</v>
      </c>
      <c r="M326">
        <v>0</v>
      </c>
      <c r="N326">
        <v>31</v>
      </c>
      <c r="O326">
        <v>31</v>
      </c>
    </row>
    <row r="327" spans="1:15">
      <c r="A327" s="1" t="s">
        <v>339</v>
      </c>
      <c r="B327" t="s">
        <v>504</v>
      </c>
      <c r="C327" t="s">
        <v>509</v>
      </c>
      <c r="D327">
        <v>0</v>
      </c>
      <c r="E327">
        <v>34.1755556</v>
      </c>
      <c r="F327">
        <v>-116.8625</v>
      </c>
      <c r="G327" t="s">
        <v>834</v>
      </c>
      <c r="I327" t="s">
        <v>505</v>
      </c>
      <c r="J327">
        <v>0</v>
      </c>
      <c r="K327">
        <v>126</v>
      </c>
      <c r="L327">
        <v>0</v>
      </c>
      <c r="M327">
        <v>0</v>
      </c>
      <c r="N327">
        <v>0</v>
      </c>
      <c r="O327">
        <v>0</v>
      </c>
    </row>
    <row r="328" spans="1:15">
      <c r="A328" s="1" t="s">
        <v>340</v>
      </c>
      <c r="B328" t="s">
        <v>504</v>
      </c>
      <c r="C328" t="s">
        <v>509</v>
      </c>
      <c r="D328">
        <v>0</v>
      </c>
      <c r="E328">
        <v>39.6238889</v>
      </c>
      <c r="F328">
        <v>-120.6497222</v>
      </c>
      <c r="G328" t="s">
        <v>835</v>
      </c>
      <c r="I328" t="s">
        <v>505</v>
      </c>
      <c r="J328">
        <v>0</v>
      </c>
      <c r="K328">
        <v>22</v>
      </c>
      <c r="L328">
        <v>2</v>
      </c>
      <c r="M328">
        <v>0</v>
      </c>
      <c r="N328">
        <v>2</v>
      </c>
      <c r="O328">
        <v>2</v>
      </c>
    </row>
    <row r="329" spans="1:15">
      <c r="A329" s="1" t="s">
        <v>341</v>
      </c>
      <c r="B329" t="s">
        <v>504</v>
      </c>
      <c r="C329" t="s">
        <v>509</v>
      </c>
      <c r="D329">
        <v>0</v>
      </c>
      <c r="E329">
        <v>38.1791667</v>
      </c>
      <c r="F329">
        <v>-119.325</v>
      </c>
      <c r="G329" t="s">
        <v>836</v>
      </c>
      <c r="I329" t="s">
        <v>505</v>
      </c>
      <c r="J329">
        <v>0</v>
      </c>
      <c r="K329">
        <v>66</v>
      </c>
      <c r="L329">
        <v>0</v>
      </c>
      <c r="M329">
        <v>0</v>
      </c>
      <c r="N329">
        <v>0</v>
      </c>
      <c r="O329">
        <v>0</v>
      </c>
    </row>
    <row r="330" spans="1:15">
      <c r="A330" s="1" t="s">
        <v>342</v>
      </c>
      <c r="B330" t="s">
        <v>505</v>
      </c>
      <c r="C330" t="s">
        <v>510</v>
      </c>
      <c r="D330">
        <v>0</v>
      </c>
      <c r="E330">
        <v>33.3375</v>
      </c>
      <c r="F330">
        <v>-116.9094444</v>
      </c>
      <c r="G330" t="s">
        <v>837</v>
      </c>
      <c r="I330" t="s">
        <v>505</v>
      </c>
      <c r="J330">
        <v>0</v>
      </c>
      <c r="K330">
        <v>132</v>
      </c>
      <c r="L330">
        <v>1</v>
      </c>
      <c r="M330">
        <v>1</v>
      </c>
      <c r="N330">
        <v>0</v>
      </c>
      <c r="O330">
        <v>0</v>
      </c>
    </row>
    <row r="331" spans="1:15">
      <c r="A331" s="1" t="s">
        <v>343</v>
      </c>
      <c r="B331" t="s">
        <v>504</v>
      </c>
      <c r="C331" t="s">
        <v>509</v>
      </c>
      <c r="D331">
        <v>0</v>
      </c>
      <c r="E331">
        <v>41.8430556</v>
      </c>
      <c r="F331">
        <v>-123.9305556</v>
      </c>
      <c r="G331" t="s">
        <v>838</v>
      </c>
      <c r="I331" t="s">
        <v>505</v>
      </c>
      <c r="J331">
        <v>0</v>
      </c>
      <c r="K331">
        <v>341</v>
      </c>
      <c r="L331">
        <v>23</v>
      </c>
      <c r="M331">
        <v>0</v>
      </c>
      <c r="N331">
        <v>23</v>
      </c>
      <c r="O331">
        <v>23</v>
      </c>
    </row>
    <row r="332" spans="1:15">
      <c r="A332" s="1" t="s">
        <v>344</v>
      </c>
      <c r="B332" t="s">
        <v>504</v>
      </c>
      <c r="C332" t="s">
        <v>509</v>
      </c>
      <c r="D332">
        <v>0</v>
      </c>
      <c r="E332">
        <v>34.5422222</v>
      </c>
      <c r="F332">
        <v>-119.8127778</v>
      </c>
      <c r="G332" t="s">
        <v>839</v>
      </c>
      <c r="I332" t="s">
        <v>505</v>
      </c>
      <c r="J332">
        <v>0</v>
      </c>
      <c r="K332">
        <v>148</v>
      </c>
      <c r="L332">
        <v>9</v>
      </c>
      <c r="M332">
        <v>0</v>
      </c>
      <c r="N332">
        <v>9</v>
      </c>
      <c r="O332">
        <v>9</v>
      </c>
    </row>
    <row r="333" spans="1:15">
      <c r="A333" s="1" t="s">
        <v>345</v>
      </c>
      <c r="B333" t="s">
        <v>504</v>
      </c>
      <c r="C333" t="s">
        <v>509</v>
      </c>
      <c r="D333">
        <v>0</v>
      </c>
      <c r="E333">
        <v>35.6491667</v>
      </c>
      <c r="F333">
        <v>-118.425</v>
      </c>
      <c r="G333" t="s">
        <v>840</v>
      </c>
      <c r="I333" t="s">
        <v>505</v>
      </c>
      <c r="J333">
        <v>0</v>
      </c>
      <c r="K333">
        <v>119</v>
      </c>
      <c r="L333">
        <v>50</v>
      </c>
      <c r="M333">
        <v>0</v>
      </c>
      <c r="N333">
        <v>50</v>
      </c>
      <c r="O333">
        <v>50</v>
      </c>
    </row>
    <row r="334" spans="1:15">
      <c r="A334" s="1" t="s">
        <v>346</v>
      </c>
      <c r="B334" t="s">
        <v>507</v>
      </c>
      <c r="C334" t="s">
        <v>511</v>
      </c>
      <c r="D334">
        <v>0</v>
      </c>
      <c r="E334">
        <v>33.4722222</v>
      </c>
      <c r="F334">
        <v>-118.5502778</v>
      </c>
      <c r="G334" t="s">
        <v>841</v>
      </c>
      <c r="I334" t="s">
        <v>505</v>
      </c>
      <c r="J334">
        <v>0</v>
      </c>
      <c r="K334">
        <v>143</v>
      </c>
      <c r="L334">
        <v>1</v>
      </c>
      <c r="M334">
        <v>0</v>
      </c>
      <c r="N334">
        <v>1</v>
      </c>
      <c r="O334">
        <v>1</v>
      </c>
    </row>
    <row r="335" spans="1:15">
      <c r="A335" s="1" t="s">
        <v>347</v>
      </c>
      <c r="B335" t="s">
        <v>504</v>
      </c>
      <c r="C335" t="s">
        <v>509</v>
      </c>
      <c r="D335">
        <v>0</v>
      </c>
      <c r="E335">
        <v>39.5040667</v>
      </c>
      <c r="F335">
        <v>-120.5343778</v>
      </c>
      <c r="G335" t="s">
        <v>842</v>
      </c>
      <c r="I335" t="s">
        <v>505</v>
      </c>
      <c r="J335">
        <v>0</v>
      </c>
      <c r="K335">
        <v>25</v>
      </c>
      <c r="L335">
        <v>15</v>
      </c>
      <c r="M335">
        <v>0</v>
      </c>
      <c r="N335">
        <v>15</v>
      </c>
      <c r="O335">
        <v>15</v>
      </c>
    </row>
    <row r="336" spans="1:15">
      <c r="A336" s="1" t="s">
        <v>348</v>
      </c>
      <c r="B336" t="s">
        <v>504</v>
      </c>
      <c r="C336" t="s">
        <v>509</v>
      </c>
      <c r="D336">
        <v>0</v>
      </c>
      <c r="E336">
        <v>41.8719444</v>
      </c>
      <c r="F336">
        <v>-123.8466667</v>
      </c>
      <c r="G336" t="s">
        <v>843</v>
      </c>
      <c r="I336" t="s">
        <v>505</v>
      </c>
      <c r="J336">
        <v>0</v>
      </c>
      <c r="K336">
        <v>342</v>
      </c>
      <c r="L336">
        <v>7</v>
      </c>
      <c r="M336">
        <v>0</v>
      </c>
      <c r="N336">
        <v>7</v>
      </c>
      <c r="O336">
        <v>7</v>
      </c>
    </row>
    <row r="337" spans="1:15">
      <c r="A337" s="1" t="s">
        <v>349</v>
      </c>
      <c r="B337" t="s">
        <v>505</v>
      </c>
      <c r="C337" t="s">
        <v>510</v>
      </c>
      <c r="D337">
        <v>0</v>
      </c>
      <c r="E337">
        <v>41.1361111</v>
      </c>
      <c r="F337">
        <v>-124.1602778</v>
      </c>
      <c r="G337" t="s">
        <v>843</v>
      </c>
      <c r="H337" t="s">
        <v>999</v>
      </c>
      <c r="I337" t="s">
        <v>505</v>
      </c>
      <c r="J337">
        <v>0</v>
      </c>
      <c r="K337">
        <v>336</v>
      </c>
      <c r="L337">
        <v>0</v>
      </c>
      <c r="M337">
        <v>0</v>
      </c>
      <c r="N337">
        <v>0</v>
      </c>
      <c r="O337">
        <v>0</v>
      </c>
    </row>
    <row r="338" spans="1:15">
      <c r="A338" s="1" t="s">
        <v>350</v>
      </c>
      <c r="B338" t="s">
        <v>504</v>
      </c>
      <c r="C338" t="s">
        <v>509</v>
      </c>
      <c r="D338">
        <v>0</v>
      </c>
      <c r="E338">
        <v>41.3088889</v>
      </c>
      <c r="F338">
        <v>-123.5208333</v>
      </c>
      <c r="G338" t="s">
        <v>844</v>
      </c>
      <c r="I338" t="s">
        <v>505</v>
      </c>
      <c r="J338">
        <v>0</v>
      </c>
      <c r="K338">
        <v>343</v>
      </c>
      <c r="L338">
        <v>4</v>
      </c>
      <c r="M338">
        <v>0</v>
      </c>
      <c r="N338">
        <v>4</v>
      </c>
      <c r="O338">
        <v>4</v>
      </c>
    </row>
    <row r="339" spans="1:15">
      <c r="A339" s="1" t="s">
        <v>351</v>
      </c>
      <c r="B339" t="s">
        <v>505</v>
      </c>
      <c r="C339" t="s">
        <v>510</v>
      </c>
      <c r="D339">
        <v>0</v>
      </c>
      <c r="E339">
        <v>36.2530556</v>
      </c>
      <c r="F339">
        <v>-121.7811111</v>
      </c>
      <c r="G339" t="s">
        <v>845</v>
      </c>
      <c r="H339" t="s">
        <v>997</v>
      </c>
      <c r="I339" t="s">
        <v>505</v>
      </c>
      <c r="J339">
        <v>0</v>
      </c>
      <c r="K339">
        <v>174</v>
      </c>
      <c r="L339">
        <v>0</v>
      </c>
      <c r="M339">
        <v>0</v>
      </c>
      <c r="N339">
        <v>0</v>
      </c>
      <c r="O339">
        <v>0</v>
      </c>
    </row>
    <row r="340" spans="1:15">
      <c r="A340" s="1" t="s">
        <v>352</v>
      </c>
      <c r="B340" t="s">
        <v>504</v>
      </c>
      <c r="C340" t="s">
        <v>509</v>
      </c>
      <c r="D340">
        <v>0</v>
      </c>
      <c r="E340">
        <v>37.6491667</v>
      </c>
      <c r="F340">
        <v>-118.9552778</v>
      </c>
      <c r="G340" t="s">
        <v>846</v>
      </c>
      <c r="I340" t="s">
        <v>505</v>
      </c>
      <c r="J340">
        <v>0</v>
      </c>
      <c r="K340">
        <v>81</v>
      </c>
      <c r="L340">
        <v>2</v>
      </c>
      <c r="M340">
        <v>0</v>
      </c>
      <c r="N340">
        <v>2</v>
      </c>
      <c r="O340">
        <v>2</v>
      </c>
    </row>
    <row r="341" spans="1:15">
      <c r="A341" s="1" t="s">
        <v>353</v>
      </c>
      <c r="B341" t="s">
        <v>504</v>
      </c>
      <c r="C341" t="s">
        <v>509</v>
      </c>
      <c r="D341">
        <v>0</v>
      </c>
      <c r="E341">
        <v>40.9272222</v>
      </c>
      <c r="F341">
        <v>-122.2480556</v>
      </c>
      <c r="G341" t="s">
        <v>847</v>
      </c>
      <c r="I341" t="s">
        <v>505</v>
      </c>
      <c r="J341">
        <v>0</v>
      </c>
      <c r="K341">
        <v>355</v>
      </c>
      <c r="L341">
        <v>1</v>
      </c>
      <c r="M341">
        <v>0</v>
      </c>
      <c r="N341">
        <v>1</v>
      </c>
      <c r="O341">
        <v>1</v>
      </c>
    </row>
    <row r="342" spans="1:15">
      <c r="A342" s="1" t="s">
        <v>354</v>
      </c>
      <c r="B342" t="s">
        <v>504</v>
      </c>
      <c r="C342" t="s">
        <v>509</v>
      </c>
      <c r="D342">
        <v>0</v>
      </c>
      <c r="E342">
        <v>38.1908333</v>
      </c>
      <c r="F342">
        <v>-119.9972222</v>
      </c>
      <c r="G342" t="s">
        <v>848</v>
      </c>
      <c r="I342" t="s">
        <v>505</v>
      </c>
      <c r="J342">
        <v>0</v>
      </c>
      <c r="K342">
        <v>59</v>
      </c>
      <c r="L342">
        <v>0</v>
      </c>
      <c r="M342">
        <v>0</v>
      </c>
      <c r="N342">
        <v>0</v>
      </c>
      <c r="O342">
        <v>0</v>
      </c>
    </row>
    <row r="343" spans="1:15">
      <c r="A343" s="1" t="s">
        <v>355</v>
      </c>
      <c r="B343" t="s">
        <v>504</v>
      </c>
      <c r="C343" t="s">
        <v>509</v>
      </c>
      <c r="D343">
        <v>0</v>
      </c>
      <c r="E343">
        <v>34.2352778</v>
      </c>
      <c r="F343">
        <v>-116.8830556</v>
      </c>
      <c r="G343" t="s">
        <v>849</v>
      </c>
      <c r="I343" t="s">
        <v>505</v>
      </c>
      <c r="J343">
        <v>0</v>
      </c>
      <c r="K343">
        <v>125</v>
      </c>
      <c r="L343">
        <v>1</v>
      </c>
      <c r="M343">
        <v>0</v>
      </c>
      <c r="N343">
        <v>1</v>
      </c>
      <c r="O343">
        <v>1</v>
      </c>
    </row>
    <row r="344" spans="1:15">
      <c r="A344" s="1" t="s">
        <v>356</v>
      </c>
      <c r="B344" t="s">
        <v>504</v>
      </c>
      <c r="C344" t="s">
        <v>509</v>
      </c>
      <c r="D344">
        <v>0</v>
      </c>
      <c r="E344">
        <v>37.8166667</v>
      </c>
      <c r="F344">
        <v>-120.0833333</v>
      </c>
      <c r="G344" t="s">
        <v>850</v>
      </c>
      <c r="I344" t="s">
        <v>505</v>
      </c>
      <c r="J344">
        <v>0</v>
      </c>
      <c r="K344">
        <v>70</v>
      </c>
      <c r="L344">
        <v>0</v>
      </c>
      <c r="M344">
        <v>0</v>
      </c>
      <c r="N344">
        <v>0</v>
      </c>
      <c r="O344">
        <v>0</v>
      </c>
    </row>
    <row r="345" spans="1:15">
      <c r="A345" s="1" t="s">
        <v>357</v>
      </c>
      <c r="B345" t="s">
        <v>504</v>
      </c>
      <c r="C345" t="s">
        <v>509</v>
      </c>
      <c r="D345">
        <v>0</v>
      </c>
      <c r="E345">
        <v>36.4663889</v>
      </c>
      <c r="F345">
        <v>-121.1761111</v>
      </c>
      <c r="G345" t="s">
        <v>851</v>
      </c>
      <c r="H345" t="s">
        <v>999</v>
      </c>
      <c r="I345" t="s">
        <v>505</v>
      </c>
      <c r="J345">
        <v>0</v>
      </c>
      <c r="K345">
        <v>145</v>
      </c>
      <c r="L345">
        <v>65</v>
      </c>
      <c r="M345">
        <v>0</v>
      </c>
      <c r="N345">
        <v>65</v>
      </c>
      <c r="O345">
        <v>65</v>
      </c>
    </row>
    <row r="346" spans="1:15">
      <c r="A346" s="1" t="s">
        <v>358</v>
      </c>
      <c r="B346" t="s">
        <v>504</v>
      </c>
      <c r="C346" t="s">
        <v>509</v>
      </c>
      <c r="D346">
        <v>0</v>
      </c>
      <c r="E346">
        <v>35.6516667</v>
      </c>
      <c r="F346">
        <v>-118.4861111</v>
      </c>
      <c r="G346" t="s">
        <v>852</v>
      </c>
      <c r="I346" t="s">
        <v>505</v>
      </c>
      <c r="J346">
        <v>0</v>
      </c>
      <c r="K346">
        <v>120</v>
      </c>
      <c r="L346">
        <v>73</v>
      </c>
      <c r="M346">
        <v>0</v>
      </c>
      <c r="N346">
        <v>73</v>
      </c>
      <c r="O346">
        <v>73</v>
      </c>
    </row>
    <row r="347" spans="1:15">
      <c r="A347" s="1" t="s">
        <v>359</v>
      </c>
      <c r="B347" t="s">
        <v>504</v>
      </c>
      <c r="C347" t="s">
        <v>509</v>
      </c>
      <c r="D347">
        <v>0</v>
      </c>
      <c r="E347">
        <v>38.1875</v>
      </c>
      <c r="F347">
        <v>-119.9875</v>
      </c>
      <c r="G347" t="s">
        <v>853</v>
      </c>
      <c r="I347" t="s">
        <v>505</v>
      </c>
      <c r="J347">
        <v>0</v>
      </c>
      <c r="K347">
        <v>59</v>
      </c>
      <c r="L347">
        <v>1</v>
      </c>
      <c r="M347">
        <v>0</v>
      </c>
      <c r="N347">
        <v>1</v>
      </c>
      <c r="O347">
        <v>1</v>
      </c>
    </row>
    <row r="348" spans="1:15">
      <c r="A348" s="1" t="s">
        <v>360</v>
      </c>
      <c r="B348" t="s">
        <v>504</v>
      </c>
      <c r="C348" t="s">
        <v>509</v>
      </c>
      <c r="D348">
        <v>0</v>
      </c>
      <c r="E348">
        <v>38.5736111</v>
      </c>
      <c r="F348">
        <v>-120.4375</v>
      </c>
      <c r="G348" t="s">
        <v>854</v>
      </c>
      <c r="I348" t="s">
        <v>505</v>
      </c>
      <c r="J348">
        <v>0</v>
      </c>
      <c r="K348">
        <v>42</v>
      </c>
      <c r="L348">
        <v>7</v>
      </c>
      <c r="M348">
        <v>0</v>
      </c>
      <c r="N348">
        <v>7</v>
      </c>
      <c r="O348">
        <v>7</v>
      </c>
    </row>
    <row r="349" spans="1:15">
      <c r="A349" s="1" t="s">
        <v>361</v>
      </c>
      <c r="B349" t="s">
        <v>505</v>
      </c>
      <c r="C349" t="s">
        <v>510</v>
      </c>
      <c r="D349">
        <v>0</v>
      </c>
      <c r="E349">
        <v>35.1077778</v>
      </c>
      <c r="F349">
        <v>-120.6297222</v>
      </c>
      <c r="G349" t="s">
        <v>855</v>
      </c>
      <c r="I349" t="s">
        <v>505</v>
      </c>
      <c r="J349">
        <v>0</v>
      </c>
      <c r="K349">
        <v>154</v>
      </c>
      <c r="L349">
        <v>1</v>
      </c>
      <c r="M349">
        <v>1</v>
      </c>
      <c r="N349">
        <v>0</v>
      </c>
      <c r="O349">
        <v>0</v>
      </c>
    </row>
    <row r="350" spans="1:15">
      <c r="A350" s="1" t="s">
        <v>362</v>
      </c>
      <c r="B350" t="s">
        <v>504</v>
      </c>
      <c r="C350" t="s">
        <v>509</v>
      </c>
      <c r="D350">
        <v>0</v>
      </c>
      <c r="E350">
        <v>35.9172222</v>
      </c>
      <c r="F350">
        <v>-121.465</v>
      </c>
      <c r="G350" t="s">
        <v>856</v>
      </c>
      <c r="I350" t="s">
        <v>505</v>
      </c>
      <c r="J350">
        <v>0</v>
      </c>
      <c r="K350">
        <v>165</v>
      </c>
      <c r="L350">
        <v>0</v>
      </c>
      <c r="M350">
        <v>0</v>
      </c>
      <c r="N350">
        <v>0</v>
      </c>
      <c r="O350">
        <v>0</v>
      </c>
    </row>
    <row r="351" spans="1:15">
      <c r="A351" s="1" t="s">
        <v>363</v>
      </c>
      <c r="B351" t="s">
        <v>505</v>
      </c>
      <c r="C351" t="s">
        <v>510</v>
      </c>
      <c r="D351">
        <v>0</v>
      </c>
      <c r="E351">
        <v>39.7780556</v>
      </c>
      <c r="F351">
        <v>-120.6955556</v>
      </c>
      <c r="G351" t="s">
        <v>857</v>
      </c>
      <c r="I351" t="s">
        <v>505</v>
      </c>
      <c r="J351">
        <v>0</v>
      </c>
      <c r="K351">
        <v>20</v>
      </c>
      <c r="L351">
        <v>0</v>
      </c>
      <c r="M351">
        <v>0</v>
      </c>
      <c r="N351">
        <v>0</v>
      </c>
      <c r="O351">
        <v>0</v>
      </c>
    </row>
    <row r="352" spans="1:15">
      <c r="A352" s="1" t="s">
        <v>364</v>
      </c>
      <c r="B352" t="s">
        <v>505</v>
      </c>
      <c r="C352" t="s">
        <v>510</v>
      </c>
      <c r="D352">
        <v>0</v>
      </c>
      <c r="E352">
        <v>34.0855556</v>
      </c>
      <c r="F352">
        <v>-119.06</v>
      </c>
      <c r="G352" t="s">
        <v>858</v>
      </c>
      <c r="I352" t="s">
        <v>505</v>
      </c>
      <c r="J352">
        <v>0</v>
      </c>
      <c r="K352">
        <v>143</v>
      </c>
      <c r="L352">
        <v>0</v>
      </c>
      <c r="M352">
        <v>0</v>
      </c>
      <c r="N352">
        <v>0</v>
      </c>
      <c r="O352">
        <v>0</v>
      </c>
    </row>
    <row r="353" spans="1:15">
      <c r="A353" s="1" t="s">
        <v>365</v>
      </c>
      <c r="B353" t="s">
        <v>504</v>
      </c>
      <c r="C353" t="s">
        <v>509</v>
      </c>
      <c r="D353">
        <v>0</v>
      </c>
      <c r="E353">
        <v>37.9966667</v>
      </c>
      <c r="F353">
        <v>-122.975</v>
      </c>
      <c r="G353" t="s">
        <v>859</v>
      </c>
      <c r="H353" t="s">
        <v>999</v>
      </c>
      <c r="I353" t="s">
        <v>505</v>
      </c>
      <c r="J353">
        <v>0</v>
      </c>
      <c r="K353">
        <v>308</v>
      </c>
      <c r="L353">
        <v>0</v>
      </c>
      <c r="M353">
        <v>0</v>
      </c>
      <c r="N353">
        <v>0</v>
      </c>
      <c r="O353">
        <v>0</v>
      </c>
    </row>
    <row r="354" spans="1:15">
      <c r="A354" s="1" t="s">
        <v>366</v>
      </c>
      <c r="B354" t="s">
        <v>504</v>
      </c>
      <c r="C354" t="s">
        <v>509</v>
      </c>
      <c r="D354">
        <v>0</v>
      </c>
      <c r="E354">
        <v>36.005</v>
      </c>
      <c r="F354">
        <v>-121.3763889</v>
      </c>
      <c r="G354" t="s">
        <v>860</v>
      </c>
      <c r="I354" t="s">
        <v>505</v>
      </c>
      <c r="J354">
        <v>0</v>
      </c>
      <c r="K354">
        <v>162</v>
      </c>
      <c r="L354">
        <v>7</v>
      </c>
      <c r="M354">
        <v>0</v>
      </c>
      <c r="N354">
        <v>7</v>
      </c>
      <c r="O354">
        <v>7</v>
      </c>
    </row>
    <row r="355" spans="1:15">
      <c r="A355" s="1" t="s">
        <v>367</v>
      </c>
      <c r="B355" t="s">
        <v>504</v>
      </c>
      <c r="C355" t="s">
        <v>509</v>
      </c>
      <c r="D355">
        <v>0</v>
      </c>
      <c r="E355">
        <v>38.8741667</v>
      </c>
      <c r="F355">
        <v>-120.6027778</v>
      </c>
      <c r="G355" t="s">
        <v>861</v>
      </c>
      <c r="I355" t="s">
        <v>505</v>
      </c>
      <c r="J355">
        <v>0</v>
      </c>
      <c r="K355">
        <v>33</v>
      </c>
      <c r="L355">
        <v>0</v>
      </c>
      <c r="M355">
        <v>0</v>
      </c>
      <c r="N355">
        <v>0</v>
      </c>
      <c r="O355">
        <v>0</v>
      </c>
    </row>
    <row r="356" spans="1:15">
      <c r="A356" s="1" t="s">
        <v>368</v>
      </c>
      <c r="B356" t="s">
        <v>505</v>
      </c>
      <c r="C356" t="s">
        <v>510</v>
      </c>
      <c r="D356">
        <v>0</v>
      </c>
      <c r="E356">
        <v>37.2511111</v>
      </c>
      <c r="F356">
        <v>-122.2041667</v>
      </c>
      <c r="G356" t="s">
        <v>862</v>
      </c>
      <c r="I356" t="s">
        <v>505</v>
      </c>
      <c r="J356">
        <v>0</v>
      </c>
      <c r="K356">
        <v>252</v>
      </c>
      <c r="L356">
        <v>0</v>
      </c>
      <c r="M356">
        <v>0</v>
      </c>
      <c r="N356">
        <v>0</v>
      </c>
      <c r="O356">
        <v>0</v>
      </c>
    </row>
    <row r="357" spans="1:15">
      <c r="A357" s="1" t="s">
        <v>369</v>
      </c>
      <c r="B357" t="s">
        <v>504</v>
      </c>
      <c r="C357" t="s">
        <v>509</v>
      </c>
      <c r="D357">
        <v>0</v>
      </c>
      <c r="E357">
        <v>36.5174444</v>
      </c>
      <c r="F357">
        <v>-118.800375</v>
      </c>
      <c r="G357" t="s">
        <v>863</v>
      </c>
      <c r="I357" t="s">
        <v>505</v>
      </c>
      <c r="J357">
        <v>0</v>
      </c>
      <c r="K357">
        <v>107</v>
      </c>
      <c r="L357">
        <v>0</v>
      </c>
      <c r="M357">
        <v>0</v>
      </c>
      <c r="N357">
        <v>0</v>
      </c>
      <c r="O357">
        <v>0</v>
      </c>
    </row>
    <row r="358" spans="1:15">
      <c r="A358" s="1" t="s">
        <v>370</v>
      </c>
      <c r="B358" t="s">
        <v>505</v>
      </c>
      <c r="C358" t="s">
        <v>510</v>
      </c>
      <c r="D358">
        <v>0</v>
      </c>
      <c r="E358">
        <v>41.4072222</v>
      </c>
      <c r="F358">
        <v>-124.0191667</v>
      </c>
      <c r="G358" t="s">
        <v>864</v>
      </c>
      <c r="I358" t="s">
        <v>505</v>
      </c>
      <c r="J358">
        <v>0</v>
      </c>
      <c r="K358">
        <v>338</v>
      </c>
      <c r="L358">
        <v>15</v>
      </c>
      <c r="M358">
        <v>4</v>
      </c>
      <c r="N358">
        <v>11</v>
      </c>
      <c r="O358">
        <v>11</v>
      </c>
    </row>
    <row r="359" spans="1:15">
      <c r="A359" s="1" t="s">
        <v>371</v>
      </c>
      <c r="B359" t="s">
        <v>505</v>
      </c>
      <c r="C359" t="s">
        <v>510</v>
      </c>
      <c r="D359">
        <v>0</v>
      </c>
      <c r="E359">
        <v>41.3835722</v>
      </c>
      <c r="F359">
        <v>-124.0694611</v>
      </c>
      <c r="G359" t="s">
        <v>865</v>
      </c>
      <c r="I359" t="s">
        <v>505</v>
      </c>
      <c r="J359">
        <v>0</v>
      </c>
      <c r="K359">
        <v>338</v>
      </c>
      <c r="L359">
        <v>0</v>
      </c>
      <c r="M359">
        <v>0</v>
      </c>
      <c r="N359">
        <v>0</v>
      </c>
      <c r="O359">
        <v>0</v>
      </c>
    </row>
    <row r="360" spans="1:15">
      <c r="A360" s="1" t="s">
        <v>372</v>
      </c>
      <c r="B360" t="s">
        <v>504</v>
      </c>
      <c r="C360" t="s">
        <v>509</v>
      </c>
      <c r="D360">
        <v>0</v>
      </c>
      <c r="E360">
        <v>36.8027778</v>
      </c>
      <c r="F360">
        <v>-118.9369444</v>
      </c>
      <c r="G360" t="s">
        <v>866</v>
      </c>
      <c r="I360" t="s">
        <v>505</v>
      </c>
      <c r="J360">
        <v>0</v>
      </c>
      <c r="K360">
        <v>101</v>
      </c>
      <c r="L360">
        <v>0</v>
      </c>
      <c r="M360">
        <v>0</v>
      </c>
      <c r="N360">
        <v>0</v>
      </c>
      <c r="O360">
        <v>0</v>
      </c>
    </row>
    <row r="361" spans="1:15">
      <c r="A361" s="1" t="s">
        <v>373</v>
      </c>
      <c r="B361" t="s">
        <v>504</v>
      </c>
      <c r="C361" t="s">
        <v>509</v>
      </c>
      <c r="D361">
        <v>0</v>
      </c>
      <c r="E361">
        <v>39.3777778</v>
      </c>
      <c r="F361">
        <v>-120.1605556</v>
      </c>
      <c r="G361" t="s">
        <v>867</v>
      </c>
      <c r="I361" t="s">
        <v>505</v>
      </c>
      <c r="J361">
        <v>0</v>
      </c>
      <c r="K361">
        <v>33</v>
      </c>
      <c r="L361">
        <v>21</v>
      </c>
      <c r="M361">
        <v>0</v>
      </c>
      <c r="N361">
        <v>21</v>
      </c>
      <c r="O361">
        <v>21</v>
      </c>
    </row>
    <row r="362" spans="1:15">
      <c r="A362" s="1" t="s">
        <v>374</v>
      </c>
      <c r="B362" t="s">
        <v>504</v>
      </c>
      <c r="C362" t="s">
        <v>509</v>
      </c>
      <c r="D362">
        <v>0</v>
      </c>
      <c r="E362">
        <v>39.3787972</v>
      </c>
      <c r="F362">
        <v>-120.1552</v>
      </c>
      <c r="G362" t="s">
        <v>868</v>
      </c>
      <c r="I362" t="s">
        <v>505</v>
      </c>
      <c r="J362">
        <v>0</v>
      </c>
      <c r="K362">
        <v>33</v>
      </c>
      <c r="L362">
        <v>0</v>
      </c>
      <c r="M362">
        <v>0</v>
      </c>
      <c r="N362">
        <v>0</v>
      </c>
      <c r="O362">
        <v>0</v>
      </c>
    </row>
    <row r="363" spans="1:15">
      <c r="A363" s="1" t="s">
        <v>375</v>
      </c>
      <c r="B363" t="s">
        <v>504</v>
      </c>
      <c r="C363" t="s">
        <v>509</v>
      </c>
      <c r="E363">
        <v>37.6488889</v>
      </c>
      <c r="F363">
        <v>-119.0736111</v>
      </c>
      <c r="G363" t="s">
        <v>869</v>
      </c>
      <c r="I363" t="s">
        <v>505</v>
      </c>
      <c r="J363">
        <v>0</v>
      </c>
      <c r="K363">
        <v>81</v>
      </c>
      <c r="L363">
        <v>0</v>
      </c>
      <c r="M363">
        <v>0</v>
      </c>
      <c r="N363">
        <v>0</v>
      </c>
      <c r="O363">
        <v>0</v>
      </c>
    </row>
    <row r="364" spans="1:15">
      <c r="A364" s="1" t="s">
        <v>376</v>
      </c>
      <c r="B364" t="s">
        <v>504</v>
      </c>
      <c r="C364" t="s">
        <v>509</v>
      </c>
      <c r="D364">
        <v>0</v>
      </c>
      <c r="E364">
        <v>34.65</v>
      </c>
      <c r="F364">
        <v>-118.7666667</v>
      </c>
      <c r="G364" t="s">
        <v>870</v>
      </c>
      <c r="I364" t="s">
        <v>505</v>
      </c>
      <c r="J364">
        <v>0</v>
      </c>
      <c r="K364">
        <v>135</v>
      </c>
      <c r="L364">
        <v>87</v>
      </c>
      <c r="M364">
        <v>1</v>
      </c>
      <c r="N364">
        <v>86</v>
      </c>
      <c r="O364">
        <v>86</v>
      </c>
    </row>
    <row r="365" spans="1:15">
      <c r="A365" s="1" t="s">
        <v>377</v>
      </c>
      <c r="B365" t="s">
        <v>504</v>
      </c>
      <c r="C365" t="s">
        <v>509</v>
      </c>
      <c r="D365">
        <v>0</v>
      </c>
      <c r="E365">
        <v>36.1208333</v>
      </c>
      <c r="F365">
        <v>-118.5472222</v>
      </c>
      <c r="G365" t="s">
        <v>871</v>
      </c>
      <c r="I365" t="s">
        <v>505</v>
      </c>
      <c r="J365">
        <v>0</v>
      </c>
      <c r="K365">
        <v>113</v>
      </c>
      <c r="L365">
        <v>13</v>
      </c>
      <c r="M365">
        <v>2</v>
      </c>
      <c r="N365">
        <v>11</v>
      </c>
      <c r="O365">
        <v>11</v>
      </c>
    </row>
    <row r="366" spans="1:15">
      <c r="A366" s="1" t="s">
        <v>378</v>
      </c>
      <c r="B366" t="s">
        <v>504</v>
      </c>
      <c r="C366" t="s">
        <v>509</v>
      </c>
      <c r="D366">
        <v>0</v>
      </c>
      <c r="E366">
        <v>39.5394444</v>
      </c>
      <c r="F366">
        <v>-120.9113889</v>
      </c>
      <c r="G366" t="s">
        <v>872</v>
      </c>
      <c r="I366" t="s">
        <v>505</v>
      </c>
      <c r="J366">
        <v>0</v>
      </c>
      <c r="K366">
        <v>19</v>
      </c>
      <c r="L366">
        <v>13</v>
      </c>
      <c r="M366">
        <v>0</v>
      </c>
      <c r="N366">
        <v>13</v>
      </c>
      <c r="O366">
        <v>13</v>
      </c>
    </row>
    <row r="367" spans="1:15">
      <c r="A367" s="1" t="s">
        <v>379</v>
      </c>
      <c r="B367" t="s">
        <v>504</v>
      </c>
      <c r="C367" t="s">
        <v>509</v>
      </c>
      <c r="D367">
        <v>0</v>
      </c>
      <c r="E367">
        <v>37.2477778</v>
      </c>
      <c r="F367">
        <v>-119.1611111</v>
      </c>
      <c r="G367" t="s">
        <v>873</v>
      </c>
      <c r="H367" t="s">
        <v>998</v>
      </c>
      <c r="I367" t="s">
        <v>505</v>
      </c>
      <c r="J367">
        <v>0</v>
      </c>
      <c r="K367">
        <v>91</v>
      </c>
      <c r="L367">
        <v>96</v>
      </c>
      <c r="M367">
        <v>17</v>
      </c>
      <c r="N367">
        <v>79</v>
      </c>
      <c r="O367">
        <v>79</v>
      </c>
    </row>
    <row r="368" spans="1:15">
      <c r="A368" s="1" t="s">
        <v>380</v>
      </c>
      <c r="B368" t="s">
        <v>504</v>
      </c>
      <c r="C368" t="s">
        <v>509</v>
      </c>
      <c r="D368">
        <v>0</v>
      </c>
      <c r="E368">
        <v>37.3286111</v>
      </c>
      <c r="F368">
        <v>-119.5777778</v>
      </c>
      <c r="G368" t="s">
        <v>874</v>
      </c>
      <c r="I368" t="s">
        <v>505</v>
      </c>
      <c r="J368">
        <v>0</v>
      </c>
      <c r="K368">
        <v>89</v>
      </c>
      <c r="L368">
        <v>0</v>
      </c>
      <c r="M368">
        <v>0</v>
      </c>
      <c r="N368">
        <v>0</v>
      </c>
      <c r="O368">
        <v>0</v>
      </c>
    </row>
    <row r="369" spans="1:15">
      <c r="A369" s="1" t="s">
        <v>381</v>
      </c>
      <c r="B369" t="s">
        <v>504</v>
      </c>
      <c r="C369" t="s">
        <v>509</v>
      </c>
      <c r="D369">
        <v>0</v>
      </c>
      <c r="E369">
        <v>39.7352778</v>
      </c>
      <c r="F369">
        <v>-120.9530556</v>
      </c>
      <c r="G369" t="s">
        <v>875</v>
      </c>
      <c r="H369" t="s">
        <v>998</v>
      </c>
      <c r="I369" t="s">
        <v>505</v>
      </c>
      <c r="J369">
        <v>0</v>
      </c>
      <c r="K369">
        <v>16</v>
      </c>
      <c r="L369">
        <v>56</v>
      </c>
      <c r="M369">
        <v>0</v>
      </c>
      <c r="N369">
        <v>56</v>
      </c>
      <c r="O369">
        <v>56</v>
      </c>
    </row>
    <row r="370" spans="1:15">
      <c r="A370" s="1" t="s">
        <v>382</v>
      </c>
      <c r="B370" t="s">
        <v>504</v>
      </c>
      <c r="C370" t="s">
        <v>509</v>
      </c>
      <c r="D370">
        <v>0</v>
      </c>
      <c r="E370">
        <v>39.0022222</v>
      </c>
      <c r="F370">
        <v>-120.3125</v>
      </c>
      <c r="G370" t="s">
        <v>876</v>
      </c>
      <c r="I370" t="s">
        <v>505</v>
      </c>
      <c r="J370">
        <v>0</v>
      </c>
      <c r="K370">
        <v>36</v>
      </c>
      <c r="L370">
        <v>0</v>
      </c>
      <c r="M370">
        <v>0</v>
      </c>
      <c r="N370">
        <v>0</v>
      </c>
      <c r="O370">
        <v>0</v>
      </c>
    </row>
    <row r="371" spans="1:15">
      <c r="A371" s="1" t="s">
        <v>383</v>
      </c>
      <c r="B371" t="s">
        <v>504</v>
      </c>
      <c r="C371" t="s">
        <v>509</v>
      </c>
      <c r="D371">
        <v>0</v>
      </c>
      <c r="E371">
        <v>35.9777778</v>
      </c>
      <c r="F371">
        <v>-118.5916667</v>
      </c>
      <c r="G371" t="s">
        <v>877</v>
      </c>
      <c r="I371" t="s">
        <v>505</v>
      </c>
      <c r="J371">
        <v>0</v>
      </c>
      <c r="K371">
        <v>115</v>
      </c>
      <c r="L371">
        <v>4</v>
      </c>
      <c r="M371">
        <v>0</v>
      </c>
      <c r="N371">
        <v>4</v>
      </c>
      <c r="O371">
        <v>4</v>
      </c>
    </row>
    <row r="372" spans="1:15">
      <c r="A372" s="1" t="s">
        <v>384</v>
      </c>
      <c r="B372" t="s">
        <v>505</v>
      </c>
      <c r="C372" t="s">
        <v>510</v>
      </c>
      <c r="D372">
        <v>0</v>
      </c>
      <c r="E372">
        <v>34.4622222</v>
      </c>
      <c r="F372">
        <v>-120.0713889</v>
      </c>
      <c r="G372" t="s">
        <v>878</v>
      </c>
      <c r="I372" t="s">
        <v>505</v>
      </c>
      <c r="J372">
        <v>0</v>
      </c>
      <c r="K372">
        <v>152</v>
      </c>
      <c r="L372">
        <v>0</v>
      </c>
      <c r="M372">
        <v>0</v>
      </c>
      <c r="N372">
        <v>0</v>
      </c>
      <c r="O372">
        <v>0</v>
      </c>
    </row>
    <row r="373" spans="1:15">
      <c r="A373" s="1" t="s">
        <v>385</v>
      </c>
      <c r="B373" t="s">
        <v>504</v>
      </c>
      <c r="C373" t="s">
        <v>509</v>
      </c>
      <c r="D373">
        <v>0</v>
      </c>
      <c r="E373">
        <v>37.7703306</v>
      </c>
      <c r="F373">
        <v>-119.084275</v>
      </c>
      <c r="G373" t="s">
        <v>879</v>
      </c>
      <c r="I373" t="s">
        <v>505</v>
      </c>
      <c r="J373">
        <v>0</v>
      </c>
      <c r="K373">
        <v>77</v>
      </c>
      <c r="L373">
        <v>0</v>
      </c>
      <c r="M373">
        <v>0</v>
      </c>
      <c r="N373">
        <v>0</v>
      </c>
      <c r="O373">
        <v>0</v>
      </c>
    </row>
    <row r="374" spans="1:15">
      <c r="A374" s="1" t="s">
        <v>386</v>
      </c>
      <c r="B374" t="s">
        <v>505</v>
      </c>
      <c r="C374" t="s">
        <v>510</v>
      </c>
      <c r="D374">
        <v>0</v>
      </c>
      <c r="E374">
        <v>40.0172222</v>
      </c>
      <c r="F374">
        <v>-123.7916667</v>
      </c>
      <c r="G374" t="s">
        <v>880</v>
      </c>
      <c r="I374" t="s">
        <v>505</v>
      </c>
      <c r="J374">
        <v>0</v>
      </c>
      <c r="K374">
        <v>331</v>
      </c>
      <c r="L374">
        <v>0</v>
      </c>
      <c r="M374">
        <v>0</v>
      </c>
      <c r="N374">
        <v>0</v>
      </c>
      <c r="O374">
        <v>0</v>
      </c>
    </row>
    <row r="375" spans="1:15">
      <c r="A375" s="1" t="s">
        <v>387</v>
      </c>
      <c r="B375" t="s">
        <v>504</v>
      </c>
      <c r="C375" t="s">
        <v>509</v>
      </c>
      <c r="D375">
        <v>0</v>
      </c>
      <c r="E375">
        <v>38.1861111</v>
      </c>
      <c r="F375">
        <v>-119.3175</v>
      </c>
      <c r="G375" t="s">
        <v>881</v>
      </c>
      <c r="I375" t="s">
        <v>505</v>
      </c>
      <c r="J375">
        <v>0</v>
      </c>
      <c r="K375">
        <v>66</v>
      </c>
      <c r="L375">
        <v>0</v>
      </c>
      <c r="M375">
        <v>0</v>
      </c>
      <c r="N375">
        <v>0</v>
      </c>
      <c r="O375">
        <v>0</v>
      </c>
    </row>
    <row r="376" spans="1:15">
      <c r="A376" s="1" t="s">
        <v>388</v>
      </c>
      <c r="B376" t="s">
        <v>504</v>
      </c>
      <c r="C376" t="s">
        <v>509</v>
      </c>
      <c r="D376">
        <v>0</v>
      </c>
      <c r="E376">
        <v>38.1861111</v>
      </c>
      <c r="F376">
        <v>-119.3175</v>
      </c>
      <c r="G376" t="s">
        <v>882</v>
      </c>
      <c r="I376" t="s">
        <v>505</v>
      </c>
      <c r="J376">
        <v>0</v>
      </c>
      <c r="K376">
        <v>66</v>
      </c>
      <c r="L376">
        <v>0</v>
      </c>
      <c r="M376">
        <v>0</v>
      </c>
      <c r="N376">
        <v>0</v>
      </c>
      <c r="O376">
        <v>0</v>
      </c>
    </row>
    <row r="377" spans="1:15">
      <c r="A377" s="1" t="s">
        <v>389</v>
      </c>
      <c r="B377" t="s">
        <v>504</v>
      </c>
      <c r="C377" t="s">
        <v>509</v>
      </c>
      <c r="D377">
        <v>0</v>
      </c>
      <c r="E377">
        <v>37.2911111</v>
      </c>
      <c r="F377">
        <v>-119.3594444</v>
      </c>
      <c r="G377" t="s">
        <v>883</v>
      </c>
      <c r="I377" t="s">
        <v>505</v>
      </c>
      <c r="J377">
        <v>0</v>
      </c>
      <c r="K377">
        <v>90</v>
      </c>
      <c r="L377">
        <v>0</v>
      </c>
      <c r="M377">
        <v>0</v>
      </c>
      <c r="N377">
        <v>0</v>
      </c>
      <c r="O377">
        <v>0</v>
      </c>
    </row>
    <row r="378" spans="1:15">
      <c r="A378" s="1" t="s">
        <v>390</v>
      </c>
      <c r="B378" t="s">
        <v>504</v>
      </c>
      <c r="C378" t="s">
        <v>509</v>
      </c>
      <c r="D378">
        <v>0</v>
      </c>
      <c r="E378">
        <v>37.4538222</v>
      </c>
      <c r="F378">
        <v>-118.7390139</v>
      </c>
      <c r="G378" t="s">
        <v>884</v>
      </c>
      <c r="I378" t="s">
        <v>505</v>
      </c>
      <c r="J378">
        <v>0</v>
      </c>
      <c r="K378">
        <v>86</v>
      </c>
      <c r="L378">
        <v>0</v>
      </c>
      <c r="M378">
        <v>0</v>
      </c>
      <c r="N378">
        <v>0</v>
      </c>
      <c r="O378">
        <v>0</v>
      </c>
    </row>
    <row r="379" spans="1:15">
      <c r="A379" s="1" t="s">
        <v>391</v>
      </c>
      <c r="B379" t="s">
        <v>504</v>
      </c>
      <c r="C379" t="s">
        <v>509</v>
      </c>
      <c r="E379">
        <v>37.4538222</v>
      </c>
      <c r="F379">
        <v>-118.7390139</v>
      </c>
      <c r="G379" t="s">
        <v>885</v>
      </c>
      <c r="I379" t="s">
        <v>505</v>
      </c>
      <c r="J379">
        <v>0</v>
      </c>
      <c r="K379">
        <v>86</v>
      </c>
      <c r="L379">
        <v>0</v>
      </c>
      <c r="M379">
        <v>0</v>
      </c>
      <c r="N379">
        <v>0</v>
      </c>
      <c r="O379">
        <v>0</v>
      </c>
    </row>
    <row r="380" spans="1:15">
      <c r="A380" s="1" t="s">
        <v>392</v>
      </c>
      <c r="B380" t="s">
        <v>504</v>
      </c>
      <c r="C380" t="s">
        <v>509</v>
      </c>
      <c r="D380">
        <v>0</v>
      </c>
      <c r="E380">
        <v>39.5138889</v>
      </c>
      <c r="F380">
        <v>-120.9744444</v>
      </c>
      <c r="G380" t="s">
        <v>886</v>
      </c>
      <c r="I380" t="s">
        <v>505</v>
      </c>
      <c r="J380">
        <v>0</v>
      </c>
      <c r="K380">
        <v>18</v>
      </c>
      <c r="L380">
        <v>0</v>
      </c>
      <c r="M380">
        <v>0</v>
      </c>
      <c r="N380">
        <v>0</v>
      </c>
      <c r="O380">
        <v>0</v>
      </c>
    </row>
    <row r="381" spans="1:15">
      <c r="A381" s="1" t="s">
        <v>393</v>
      </c>
      <c r="B381" t="s">
        <v>504</v>
      </c>
      <c r="C381" t="s">
        <v>509</v>
      </c>
      <c r="D381">
        <v>0</v>
      </c>
      <c r="E381">
        <v>39.7352778</v>
      </c>
      <c r="F381">
        <v>-120.9530556</v>
      </c>
      <c r="G381" t="s">
        <v>887</v>
      </c>
      <c r="H381" t="s">
        <v>998</v>
      </c>
      <c r="I381" t="s">
        <v>505</v>
      </c>
      <c r="J381">
        <v>0</v>
      </c>
      <c r="K381">
        <v>16</v>
      </c>
      <c r="L381">
        <v>38</v>
      </c>
      <c r="M381">
        <v>0</v>
      </c>
      <c r="N381">
        <v>38</v>
      </c>
      <c r="O381">
        <v>38</v>
      </c>
    </row>
    <row r="382" spans="1:15">
      <c r="A382" s="1" t="s">
        <v>394</v>
      </c>
      <c r="B382" t="s">
        <v>505</v>
      </c>
      <c r="C382" t="s">
        <v>510</v>
      </c>
      <c r="E382">
        <v>39.3330556</v>
      </c>
      <c r="F382">
        <v>-123.7738889</v>
      </c>
      <c r="G382" t="s">
        <v>888</v>
      </c>
      <c r="I382" t="s">
        <v>505</v>
      </c>
      <c r="J382">
        <v>0</v>
      </c>
      <c r="K382">
        <v>324</v>
      </c>
      <c r="L382">
        <v>0</v>
      </c>
      <c r="M382">
        <v>0</v>
      </c>
      <c r="N382">
        <v>0</v>
      </c>
      <c r="O382">
        <v>0</v>
      </c>
    </row>
    <row r="383" spans="1:15">
      <c r="A383" s="1" t="s">
        <v>395</v>
      </c>
      <c r="B383" t="s">
        <v>505</v>
      </c>
      <c r="C383" t="s">
        <v>510</v>
      </c>
      <c r="E383">
        <v>34.6777778</v>
      </c>
      <c r="F383">
        <v>-117.8041667</v>
      </c>
      <c r="G383" t="s">
        <v>889</v>
      </c>
      <c r="I383" t="s">
        <v>505</v>
      </c>
      <c r="J383">
        <v>0</v>
      </c>
      <c r="K383">
        <v>127</v>
      </c>
      <c r="L383">
        <v>0</v>
      </c>
      <c r="M383">
        <v>0</v>
      </c>
      <c r="N383">
        <v>0</v>
      </c>
      <c r="O383">
        <v>0</v>
      </c>
    </row>
    <row r="384" spans="1:15">
      <c r="A384" s="1" t="s">
        <v>396</v>
      </c>
      <c r="B384" t="s">
        <v>504</v>
      </c>
      <c r="C384" t="s">
        <v>509</v>
      </c>
      <c r="D384">
        <v>0</v>
      </c>
      <c r="E384">
        <v>34.5391667</v>
      </c>
      <c r="F384">
        <v>-119.7911111</v>
      </c>
      <c r="G384" t="s">
        <v>890</v>
      </c>
      <c r="I384" t="s">
        <v>505</v>
      </c>
      <c r="J384">
        <v>0</v>
      </c>
      <c r="K384">
        <v>147</v>
      </c>
      <c r="L384">
        <v>3</v>
      </c>
      <c r="M384">
        <v>0</v>
      </c>
      <c r="N384">
        <v>3</v>
      </c>
      <c r="O384">
        <v>3</v>
      </c>
    </row>
    <row r="385" spans="1:15">
      <c r="A385" s="1" t="s">
        <v>397</v>
      </c>
      <c r="B385" t="s">
        <v>504</v>
      </c>
      <c r="C385" t="s">
        <v>509</v>
      </c>
      <c r="D385">
        <v>0</v>
      </c>
      <c r="E385">
        <v>39.6236111</v>
      </c>
      <c r="F385">
        <v>-120.6122222</v>
      </c>
      <c r="G385" t="s">
        <v>891</v>
      </c>
      <c r="I385" t="s">
        <v>505</v>
      </c>
      <c r="J385">
        <v>0</v>
      </c>
      <c r="K385">
        <v>23</v>
      </c>
      <c r="L385">
        <v>16</v>
      </c>
      <c r="M385">
        <v>0</v>
      </c>
      <c r="N385">
        <v>16</v>
      </c>
      <c r="O385">
        <v>16</v>
      </c>
    </row>
    <row r="386" spans="1:15">
      <c r="A386" s="1" t="s">
        <v>398</v>
      </c>
      <c r="B386" t="s">
        <v>505</v>
      </c>
      <c r="C386" t="s">
        <v>510</v>
      </c>
      <c r="D386">
        <v>0</v>
      </c>
      <c r="E386">
        <v>38.5752778</v>
      </c>
      <c r="F386">
        <v>-123.3119444</v>
      </c>
      <c r="G386" t="s">
        <v>892</v>
      </c>
      <c r="I386" t="s">
        <v>505</v>
      </c>
      <c r="J386">
        <v>0</v>
      </c>
      <c r="K386">
        <v>318</v>
      </c>
      <c r="L386">
        <v>2</v>
      </c>
      <c r="M386">
        <v>2</v>
      </c>
      <c r="N386">
        <v>0</v>
      </c>
      <c r="O386">
        <v>0</v>
      </c>
    </row>
    <row r="387" spans="1:15">
      <c r="A387" s="1" t="s">
        <v>399</v>
      </c>
      <c r="B387" t="s">
        <v>505</v>
      </c>
      <c r="C387" t="s">
        <v>510</v>
      </c>
      <c r="D387">
        <v>0</v>
      </c>
      <c r="E387">
        <v>33.4177778</v>
      </c>
      <c r="F387">
        <v>-115.8308333</v>
      </c>
      <c r="G387" t="s">
        <v>893</v>
      </c>
      <c r="I387" t="s">
        <v>505</v>
      </c>
      <c r="J387">
        <v>0</v>
      </c>
      <c r="K387">
        <v>126</v>
      </c>
      <c r="L387">
        <v>0</v>
      </c>
      <c r="M387">
        <v>0</v>
      </c>
      <c r="N387">
        <v>0</v>
      </c>
      <c r="O387">
        <v>0</v>
      </c>
    </row>
    <row r="388" spans="1:15">
      <c r="A388" s="1" t="s">
        <v>400</v>
      </c>
      <c r="B388" t="s">
        <v>505</v>
      </c>
      <c r="C388" t="s">
        <v>510</v>
      </c>
      <c r="D388">
        <v>0</v>
      </c>
      <c r="E388">
        <v>38.0258333</v>
      </c>
      <c r="F388">
        <v>-122.7266667</v>
      </c>
      <c r="G388" t="s">
        <v>894</v>
      </c>
      <c r="H388" t="s">
        <v>997</v>
      </c>
      <c r="I388" t="s">
        <v>505</v>
      </c>
      <c r="J388">
        <v>0</v>
      </c>
      <c r="K388">
        <v>317</v>
      </c>
      <c r="L388">
        <v>0</v>
      </c>
      <c r="M388">
        <v>0</v>
      </c>
      <c r="N388">
        <v>0</v>
      </c>
      <c r="O388">
        <v>0</v>
      </c>
    </row>
    <row r="389" spans="1:15">
      <c r="A389" s="1" t="s">
        <v>401</v>
      </c>
      <c r="B389" t="s">
        <v>505</v>
      </c>
      <c r="C389" t="s">
        <v>510</v>
      </c>
      <c r="D389">
        <v>0</v>
      </c>
      <c r="E389">
        <v>33.4030556</v>
      </c>
      <c r="F389">
        <v>-117.6038889</v>
      </c>
      <c r="G389" t="s">
        <v>895</v>
      </c>
      <c r="I389" t="s">
        <v>505</v>
      </c>
      <c r="J389">
        <v>0</v>
      </c>
      <c r="K389">
        <v>136</v>
      </c>
      <c r="L389">
        <v>0</v>
      </c>
      <c r="M389">
        <v>0</v>
      </c>
      <c r="N389">
        <v>0</v>
      </c>
      <c r="O389">
        <v>0</v>
      </c>
    </row>
    <row r="390" spans="1:15">
      <c r="A390" s="1" t="s">
        <v>402</v>
      </c>
      <c r="B390" t="s">
        <v>505</v>
      </c>
      <c r="C390" t="s">
        <v>510</v>
      </c>
      <c r="D390">
        <v>0</v>
      </c>
      <c r="E390">
        <v>33.0247222</v>
      </c>
      <c r="F390">
        <v>-117.2855556</v>
      </c>
      <c r="G390" t="s">
        <v>896</v>
      </c>
      <c r="I390" t="s">
        <v>505</v>
      </c>
      <c r="J390">
        <v>0</v>
      </c>
      <c r="K390">
        <v>137</v>
      </c>
      <c r="L390">
        <v>0</v>
      </c>
      <c r="M390">
        <v>0</v>
      </c>
      <c r="N390">
        <v>0</v>
      </c>
      <c r="O390">
        <v>0</v>
      </c>
    </row>
    <row r="391" spans="1:15">
      <c r="A391" s="1" t="s">
        <v>403</v>
      </c>
      <c r="B391" t="s">
        <v>504</v>
      </c>
      <c r="C391" t="s">
        <v>509</v>
      </c>
      <c r="D391">
        <v>0</v>
      </c>
      <c r="E391">
        <v>34.1744444</v>
      </c>
      <c r="F391">
        <v>-116.8663889</v>
      </c>
      <c r="G391" t="s">
        <v>897</v>
      </c>
      <c r="I391" t="s">
        <v>505</v>
      </c>
      <c r="J391">
        <v>0</v>
      </c>
      <c r="K391">
        <v>126</v>
      </c>
      <c r="L391">
        <v>39</v>
      </c>
      <c r="M391">
        <v>13</v>
      </c>
      <c r="N391">
        <v>26</v>
      </c>
      <c r="O391">
        <v>26</v>
      </c>
    </row>
    <row r="392" spans="1:15">
      <c r="A392" s="1" t="s">
        <v>404</v>
      </c>
      <c r="B392" t="s">
        <v>505</v>
      </c>
      <c r="C392" t="s">
        <v>510</v>
      </c>
      <c r="D392">
        <v>0</v>
      </c>
      <c r="E392">
        <v>37.0522222</v>
      </c>
      <c r="F392">
        <v>-121.1130556</v>
      </c>
      <c r="G392" t="s">
        <v>898</v>
      </c>
      <c r="I392" t="s">
        <v>505</v>
      </c>
      <c r="J392">
        <v>0</v>
      </c>
      <c r="K392">
        <v>113</v>
      </c>
      <c r="L392">
        <v>136</v>
      </c>
      <c r="M392">
        <v>13</v>
      </c>
      <c r="N392">
        <v>123</v>
      </c>
      <c r="O392">
        <v>123</v>
      </c>
    </row>
    <row r="393" spans="1:15">
      <c r="A393" s="1" t="s">
        <v>405</v>
      </c>
      <c r="B393" t="s">
        <v>504</v>
      </c>
      <c r="C393" t="s">
        <v>509</v>
      </c>
      <c r="D393">
        <v>0</v>
      </c>
      <c r="E393">
        <v>34.0406028</v>
      </c>
      <c r="F393">
        <v>-120.3490889</v>
      </c>
      <c r="G393" t="s">
        <v>899</v>
      </c>
      <c r="H393" t="s">
        <v>996</v>
      </c>
      <c r="I393" t="s">
        <v>505</v>
      </c>
      <c r="J393">
        <v>0</v>
      </c>
      <c r="K393">
        <v>158</v>
      </c>
      <c r="L393">
        <v>9</v>
      </c>
      <c r="M393">
        <v>0</v>
      </c>
      <c r="N393">
        <v>9</v>
      </c>
      <c r="O393">
        <v>9</v>
      </c>
    </row>
    <row r="394" spans="1:15">
      <c r="A394" s="1" t="s">
        <v>406</v>
      </c>
      <c r="B394" t="s">
        <v>505</v>
      </c>
      <c r="C394" t="s">
        <v>510</v>
      </c>
      <c r="D394">
        <v>0</v>
      </c>
      <c r="E394">
        <v>33.3727778</v>
      </c>
      <c r="F394">
        <v>-117.5647222</v>
      </c>
      <c r="G394" t="s">
        <v>900</v>
      </c>
      <c r="I394" t="s">
        <v>505</v>
      </c>
      <c r="J394">
        <v>0</v>
      </c>
      <c r="K394">
        <v>136</v>
      </c>
      <c r="L394">
        <v>1</v>
      </c>
      <c r="M394">
        <v>1</v>
      </c>
      <c r="N394">
        <v>0</v>
      </c>
      <c r="O394">
        <v>0</v>
      </c>
    </row>
    <row r="395" spans="1:15">
      <c r="A395" s="1" t="s">
        <v>407</v>
      </c>
      <c r="B395" t="s">
        <v>505</v>
      </c>
      <c r="C395" t="s">
        <v>510</v>
      </c>
      <c r="D395">
        <v>0</v>
      </c>
      <c r="E395">
        <v>35.5836111</v>
      </c>
      <c r="F395">
        <v>-121.1205556</v>
      </c>
      <c r="G395" t="s">
        <v>901</v>
      </c>
      <c r="I395" t="s">
        <v>505</v>
      </c>
      <c r="J395">
        <v>0</v>
      </c>
      <c r="K395">
        <v>159</v>
      </c>
      <c r="L395">
        <v>159</v>
      </c>
      <c r="M395">
        <v>2</v>
      </c>
      <c r="N395">
        <v>157</v>
      </c>
      <c r="O395">
        <v>157</v>
      </c>
    </row>
    <row r="396" spans="1:15">
      <c r="A396" s="1" t="s">
        <v>408</v>
      </c>
      <c r="B396" t="s">
        <v>504</v>
      </c>
      <c r="C396" t="s">
        <v>509</v>
      </c>
      <c r="D396">
        <v>0</v>
      </c>
      <c r="E396">
        <v>35.5744444</v>
      </c>
      <c r="F396">
        <v>-118.5255556</v>
      </c>
      <c r="G396" t="s">
        <v>902</v>
      </c>
      <c r="I396" t="s">
        <v>505</v>
      </c>
      <c r="J396">
        <v>0</v>
      </c>
      <c r="K396">
        <v>121</v>
      </c>
      <c r="L396">
        <v>33</v>
      </c>
      <c r="M396">
        <v>0</v>
      </c>
      <c r="N396">
        <v>33</v>
      </c>
      <c r="O396">
        <v>33</v>
      </c>
    </row>
    <row r="397" spans="1:15">
      <c r="A397" s="1" t="s">
        <v>409</v>
      </c>
      <c r="B397" t="s">
        <v>504</v>
      </c>
      <c r="C397" t="s">
        <v>509</v>
      </c>
      <c r="D397">
        <v>0</v>
      </c>
      <c r="E397">
        <v>33.47985</v>
      </c>
      <c r="F397">
        <v>-119.0298917</v>
      </c>
      <c r="G397" t="s">
        <v>903</v>
      </c>
      <c r="H397" t="s">
        <v>996</v>
      </c>
      <c r="I397" t="s">
        <v>505</v>
      </c>
      <c r="J397">
        <v>0</v>
      </c>
      <c r="K397">
        <v>147</v>
      </c>
      <c r="L397">
        <v>0</v>
      </c>
      <c r="M397">
        <v>0</v>
      </c>
      <c r="N397">
        <v>0</v>
      </c>
      <c r="O397">
        <v>0</v>
      </c>
    </row>
    <row r="398" spans="1:15">
      <c r="A398" s="1" t="s">
        <v>410</v>
      </c>
      <c r="B398" t="s">
        <v>504</v>
      </c>
      <c r="C398" t="s">
        <v>509</v>
      </c>
      <c r="D398">
        <v>0</v>
      </c>
      <c r="E398">
        <v>34.0108333</v>
      </c>
      <c r="F398">
        <v>-119.6602778</v>
      </c>
      <c r="G398" t="s">
        <v>904</v>
      </c>
      <c r="H398" t="s">
        <v>996</v>
      </c>
      <c r="I398" t="s">
        <v>505</v>
      </c>
      <c r="J398">
        <v>0</v>
      </c>
      <c r="K398">
        <v>150</v>
      </c>
      <c r="L398">
        <v>0</v>
      </c>
      <c r="M398">
        <v>0</v>
      </c>
      <c r="N398">
        <v>0</v>
      </c>
      <c r="O398">
        <v>0</v>
      </c>
    </row>
    <row r="399" spans="1:15">
      <c r="A399" s="1" t="s">
        <v>411</v>
      </c>
      <c r="B399" t="s">
        <v>504</v>
      </c>
      <c r="C399" t="s">
        <v>509</v>
      </c>
      <c r="D399">
        <v>0</v>
      </c>
      <c r="E399">
        <v>34.0482444</v>
      </c>
      <c r="F399">
        <v>-119.5615972</v>
      </c>
      <c r="G399" t="s">
        <v>905</v>
      </c>
      <c r="H399" t="s">
        <v>996</v>
      </c>
      <c r="I399" t="s">
        <v>505</v>
      </c>
      <c r="J399">
        <v>0</v>
      </c>
      <c r="K399">
        <v>149</v>
      </c>
      <c r="L399">
        <v>0</v>
      </c>
      <c r="M399">
        <v>0</v>
      </c>
      <c r="N399">
        <v>0</v>
      </c>
      <c r="O399">
        <v>0</v>
      </c>
    </row>
    <row r="400" spans="1:15">
      <c r="A400" s="1" t="s">
        <v>412</v>
      </c>
      <c r="B400" t="s">
        <v>504</v>
      </c>
      <c r="C400" t="s">
        <v>509</v>
      </c>
      <c r="D400">
        <v>0</v>
      </c>
      <c r="E400">
        <v>33.99105</v>
      </c>
      <c r="F400">
        <v>-120.0481472</v>
      </c>
      <c r="G400" t="s">
        <v>906</v>
      </c>
      <c r="H400" t="s">
        <v>996</v>
      </c>
      <c r="I400" t="s">
        <v>505</v>
      </c>
      <c r="J400">
        <v>0</v>
      </c>
      <c r="K400">
        <v>155</v>
      </c>
      <c r="L400">
        <v>3</v>
      </c>
      <c r="M400">
        <v>0</v>
      </c>
      <c r="N400">
        <v>3</v>
      </c>
      <c r="O400">
        <v>3</v>
      </c>
    </row>
    <row r="401" spans="1:15">
      <c r="A401" s="1" t="s">
        <v>413</v>
      </c>
      <c r="B401" t="s">
        <v>504</v>
      </c>
      <c r="C401" t="s">
        <v>509</v>
      </c>
      <c r="D401">
        <v>0</v>
      </c>
      <c r="E401">
        <v>41.7841667</v>
      </c>
      <c r="F401">
        <v>-123.0430556</v>
      </c>
      <c r="G401" t="s">
        <v>907</v>
      </c>
      <c r="I401" t="s">
        <v>505</v>
      </c>
      <c r="J401">
        <v>0</v>
      </c>
      <c r="K401">
        <v>349</v>
      </c>
      <c r="L401">
        <v>2</v>
      </c>
      <c r="M401">
        <v>0</v>
      </c>
      <c r="N401">
        <v>2</v>
      </c>
      <c r="O401">
        <v>2</v>
      </c>
    </row>
    <row r="402" spans="1:15">
      <c r="A402" s="1" t="s">
        <v>414</v>
      </c>
      <c r="B402" t="s">
        <v>504</v>
      </c>
      <c r="C402" t="s">
        <v>509</v>
      </c>
      <c r="D402">
        <v>0</v>
      </c>
      <c r="E402">
        <v>39.6188889</v>
      </c>
      <c r="F402">
        <v>-120.6175</v>
      </c>
      <c r="G402" t="s">
        <v>908</v>
      </c>
      <c r="I402" t="s">
        <v>505</v>
      </c>
      <c r="J402">
        <v>0</v>
      </c>
      <c r="K402">
        <v>23</v>
      </c>
      <c r="L402">
        <v>0</v>
      </c>
      <c r="M402">
        <v>0</v>
      </c>
      <c r="N402">
        <v>0</v>
      </c>
      <c r="O402">
        <v>0</v>
      </c>
    </row>
    <row r="403" spans="1:15">
      <c r="A403" s="1" t="s">
        <v>415</v>
      </c>
      <c r="B403" t="s">
        <v>504</v>
      </c>
      <c r="C403" t="s">
        <v>509</v>
      </c>
      <c r="D403">
        <v>0</v>
      </c>
      <c r="E403">
        <v>34.2613889</v>
      </c>
      <c r="F403">
        <v>-116.9194444</v>
      </c>
      <c r="G403" t="s">
        <v>909</v>
      </c>
      <c r="I403" t="s">
        <v>505</v>
      </c>
      <c r="J403">
        <v>0</v>
      </c>
      <c r="K403">
        <v>125</v>
      </c>
      <c r="L403">
        <v>0</v>
      </c>
      <c r="M403">
        <v>0</v>
      </c>
      <c r="N403">
        <v>0</v>
      </c>
      <c r="O403">
        <v>0</v>
      </c>
    </row>
    <row r="404" spans="1:15">
      <c r="A404" s="1" t="s">
        <v>416</v>
      </c>
      <c r="B404" t="s">
        <v>504</v>
      </c>
      <c r="C404" t="s">
        <v>509</v>
      </c>
      <c r="D404">
        <v>0</v>
      </c>
      <c r="E404">
        <v>34.2083139</v>
      </c>
      <c r="F404">
        <v>-117.0468333</v>
      </c>
      <c r="G404" t="s">
        <v>910</v>
      </c>
      <c r="I404" t="s">
        <v>505</v>
      </c>
      <c r="J404">
        <v>0</v>
      </c>
      <c r="K404">
        <v>126</v>
      </c>
      <c r="L404">
        <v>0</v>
      </c>
      <c r="M404">
        <v>0</v>
      </c>
      <c r="N404">
        <v>0</v>
      </c>
      <c r="O404">
        <v>0</v>
      </c>
    </row>
    <row r="405" spans="1:15">
      <c r="A405" s="1" t="s">
        <v>417</v>
      </c>
      <c r="B405" t="s">
        <v>504</v>
      </c>
      <c r="C405" t="s">
        <v>509</v>
      </c>
      <c r="E405">
        <v>33.9991667</v>
      </c>
      <c r="F405">
        <v>-116.1180556</v>
      </c>
      <c r="G405" t="s">
        <v>911</v>
      </c>
      <c r="I405" t="s">
        <v>505</v>
      </c>
      <c r="J405">
        <v>0</v>
      </c>
      <c r="K405">
        <v>123</v>
      </c>
      <c r="L405">
        <v>0</v>
      </c>
      <c r="M405">
        <v>0</v>
      </c>
      <c r="N405">
        <v>0</v>
      </c>
      <c r="O405">
        <v>0</v>
      </c>
    </row>
    <row r="406" spans="1:15">
      <c r="A406" s="1" t="s">
        <v>418</v>
      </c>
      <c r="B406" t="s">
        <v>504</v>
      </c>
      <c r="C406" t="s">
        <v>509</v>
      </c>
      <c r="D406">
        <v>0</v>
      </c>
      <c r="E406">
        <v>37.63</v>
      </c>
      <c r="F406">
        <v>-118.935</v>
      </c>
      <c r="G406" t="s">
        <v>912</v>
      </c>
      <c r="I406" t="s">
        <v>505</v>
      </c>
      <c r="J406">
        <v>0</v>
      </c>
      <c r="K406">
        <v>81</v>
      </c>
      <c r="L406">
        <v>47</v>
      </c>
      <c r="M406">
        <v>0</v>
      </c>
      <c r="N406">
        <v>47</v>
      </c>
      <c r="O406">
        <v>47</v>
      </c>
    </row>
    <row r="407" spans="1:15">
      <c r="A407" s="1" t="s">
        <v>419</v>
      </c>
      <c r="B407" t="s">
        <v>504</v>
      </c>
      <c r="C407" t="s">
        <v>509</v>
      </c>
      <c r="D407">
        <v>0</v>
      </c>
      <c r="E407">
        <v>39.1444444</v>
      </c>
      <c r="F407">
        <v>-120.7847222</v>
      </c>
      <c r="G407" t="s">
        <v>913</v>
      </c>
      <c r="I407" t="s">
        <v>505</v>
      </c>
      <c r="J407">
        <v>0</v>
      </c>
      <c r="K407">
        <v>25</v>
      </c>
      <c r="L407">
        <v>16</v>
      </c>
      <c r="M407">
        <v>3</v>
      </c>
      <c r="N407">
        <v>13</v>
      </c>
      <c r="O407">
        <v>13</v>
      </c>
    </row>
    <row r="408" spans="1:15">
      <c r="A408" s="1" t="s">
        <v>420</v>
      </c>
      <c r="B408" t="s">
        <v>506</v>
      </c>
      <c r="C408" t="s">
        <v>511</v>
      </c>
      <c r="D408">
        <v>0</v>
      </c>
      <c r="E408">
        <v>37.8477778</v>
      </c>
      <c r="F408">
        <v>-122.1983333</v>
      </c>
      <c r="G408" t="s">
        <v>914</v>
      </c>
      <c r="I408" t="s">
        <v>505</v>
      </c>
      <c r="J408">
        <v>0</v>
      </c>
      <c r="K408">
        <v>336</v>
      </c>
      <c r="L408">
        <v>0</v>
      </c>
      <c r="M408">
        <v>0</v>
      </c>
      <c r="N408">
        <v>0</v>
      </c>
      <c r="O408">
        <v>0</v>
      </c>
    </row>
    <row r="409" spans="1:15">
      <c r="A409" s="1" t="s">
        <v>421</v>
      </c>
      <c r="B409" t="s">
        <v>504</v>
      </c>
      <c r="C409" t="s">
        <v>509</v>
      </c>
      <c r="D409">
        <v>0</v>
      </c>
      <c r="E409">
        <v>39.6308333</v>
      </c>
      <c r="F409">
        <v>-120.5586111</v>
      </c>
      <c r="G409" t="s">
        <v>915</v>
      </c>
      <c r="I409" t="s">
        <v>505</v>
      </c>
      <c r="J409">
        <v>0</v>
      </c>
      <c r="K409">
        <v>24</v>
      </c>
      <c r="L409">
        <v>14</v>
      </c>
      <c r="M409">
        <v>0</v>
      </c>
      <c r="N409">
        <v>14</v>
      </c>
      <c r="O409">
        <v>14</v>
      </c>
    </row>
    <row r="410" spans="1:15">
      <c r="A410" s="1" t="s">
        <v>422</v>
      </c>
      <c r="B410" t="s">
        <v>504</v>
      </c>
      <c r="C410" t="s">
        <v>509</v>
      </c>
      <c r="D410">
        <v>0</v>
      </c>
      <c r="E410">
        <v>38.5889722</v>
      </c>
      <c r="F410">
        <v>-119.7871667</v>
      </c>
      <c r="G410" t="s">
        <v>916</v>
      </c>
      <c r="I410" t="s">
        <v>505</v>
      </c>
      <c r="J410">
        <v>0</v>
      </c>
      <c r="K410">
        <v>52</v>
      </c>
      <c r="L410">
        <v>0</v>
      </c>
      <c r="M410">
        <v>0</v>
      </c>
      <c r="N410">
        <v>0</v>
      </c>
      <c r="O410">
        <v>0</v>
      </c>
    </row>
    <row r="411" spans="1:15">
      <c r="A411" s="1" t="s">
        <v>423</v>
      </c>
      <c r="B411" t="s">
        <v>504</v>
      </c>
      <c r="C411" t="s">
        <v>509</v>
      </c>
      <c r="D411">
        <v>0</v>
      </c>
      <c r="E411">
        <v>38.8269444</v>
      </c>
      <c r="F411">
        <v>-120.39</v>
      </c>
      <c r="G411" t="s">
        <v>917</v>
      </c>
      <c r="I411" t="s">
        <v>505</v>
      </c>
      <c r="J411">
        <v>0</v>
      </c>
      <c r="K411">
        <v>38</v>
      </c>
      <c r="L411">
        <v>0</v>
      </c>
      <c r="M411">
        <v>0</v>
      </c>
      <c r="N411">
        <v>0</v>
      </c>
      <c r="O411">
        <v>0</v>
      </c>
    </row>
    <row r="412" spans="1:15">
      <c r="A412" s="1" t="s">
        <v>424</v>
      </c>
      <c r="B412" t="s">
        <v>504</v>
      </c>
      <c r="C412" t="s">
        <v>509</v>
      </c>
      <c r="D412">
        <v>0</v>
      </c>
      <c r="E412">
        <v>39.2230556</v>
      </c>
      <c r="F412">
        <v>-120.2008333</v>
      </c>
      <c r="G412" t="s">
        <v>918</v>
      </c>
      <c r="I412" t="s">
        <v>505</v>
      </c>
      <c r="J412">
        <v>0</v>
      </c>
      <c r="K412">
        <v>34</v>
      </c>
      <c r="L412">
        <v>13</v>
      </c>
      <c r="M412">
        <v>0</v>
      </c>
      <c r="N412">
        <v>13</v>
      </c>
      <c r="O412">
        <v>13</v>
      </c>
    </row>
    <row r="413" spans="1:15">
      <c r="A413" s="1" t="s">
        <v>425</v>
      </c>
      <c r="B413" t="s">
        <v>504</v>
      </c>
      <c r="C413" t="s">
        <v>509</v>
      </c>
      <c r="D413">
        <v>0</v>
      </c>
      <c r="E413">
        <v>37.7830556</v>
      </c>
      <c r="F413">
        <v>-119.1263889</v>
      </c>
      <c r="G413" t="s">
        <v>919</v>
      </c>
      <c r="I413" t="s">
        <v>505</v>
      </c>
      <c r="J413">
        <v>0</v>
      </c>
      <c r="K413">
        <v>77</v>
      </c>
      <c r="L413">
        <v>2</v>
      </c>
      <c r="M413">
        <v>0</v>
      </c>
      <c r="N413">
        <v>2</v>
      </c>
      <c r="O413">
        <v>2</v>
      </c>
    </row>
    <row r="414" spans="1:15">
      <c r="A414" s="1" t="s">
        <v>426</v>
      </c>
      <c r="B414" t="s">
        <v>504</v>
      </c>
      <c r="C414" t="s">
        <v>509</v>
      </c>
      <c r="D414">
        <v>0</v>
      </c>
      <c r="E414">
        <v>38.675</v>
      </c>
      <c r="F414">
        <v>-119.8875</v>
      </c>
      <c r="G414" t="s">
        <v>920</v>
      </c>
      <c r="I414" t="s">
        <v>505</v>
      </c>
      <c r="J414">
        <v>0</v>
      </c>
      <c r="K414">
        <v>49</v>
      </c>
      <c r="L414">
        <v>0</v>
      </c>
      <c r="M414">
        <v>0</v>
      </c>
      <c r="N414">
        <v>0</v>
      </c>
      <c r="O414">
        <v>0</v>
      </c>
    </row>
    <row r="415" spans="1:15">
      <c r="A415" s="1" t="s">
        <v>427</v>
      </c>
      <c r="B415" t="s">
        <v>504</v>
      </c>
      <c r="C415" t="s">
        <v>509</v>
      </c>
      <c r="D415">
        <v>0</v>
      </c>
      <c r="E415">
        <v>39.4866667</v>
      </c>
      <c r="F415">
        <v>-120.5475</v>
      </c>
      <c r="G415" t="s">
        <v>921</v>
      </c>
      <c r="I415" t="s">
        <v>505</v>
      </c>
      <c r="J415">
        <v>0</v>
      </c>
      <c r="K415">
        <v>25</v>
      </c>
      <c r="L415">
        <v>0</v>
      </c>
      <c r="M415">
        <v>0</v>
      </c>
      <c r="N415">
        <v>0</v>
      </c>
      <c r="O415">
        <v>0</v>
      </c>
    </row>
    <row r="416" spans="1:15">
      <c r="A416" s="1" t="s">
        <v>428</v>
      </c>
      <c r="B416" t="s">
        <v>505</v>
      </c>
      <c r="C416" t="s">
        <v>510</v>
      </c>
      <c r="D416">
        <v>0</v>
      </c>
      <c r="E416">
        <v>34.2911111</v>
      </c>
      <c r="F416">
        <v>-117.3275</v>
      </c>
      <c r="G416" t="s">
        <v>922</v>
      </c>
      <c r="I416" t="s">
        <v>505</v>
      </c>
      <c r="J416">
        <v>0</v>
      </c>
      <c r="K416">
        <v>127</v>
      </c>
      <c r="L416">
        <v>22</v>
      </c>
      <c r="M416">
        <v>7</v>
      </c>
      <c r="N416">
        <v>15</v>
      </c>
      <c r="O416">
        <v>15</v>
      </c>
    </row>
    <row r="417" spans="1:15">
      <c r="A417" s="1" t="s">
        <v>429</v>
      </c>
      <c r="B417" t="s">
        <v>504</v>
      </c>
      <c r="C417" t="s">
        <v>509</v>
      </c>
      <c r="D417">
        <v>0</v>
      </c>
      <c r="E417">
        <v>34.1555556</v>
      </c>
      <c r="F417">
        <v>-116.7830556</v>
      </c>
      <c r="G417" t="s">
        <v>923</v>
      </c>
      <c r="I417" t="s">
        <v>505</v>
      </c>
      <c r="J417">
        <v>0</v>
      </c>
      <c r="K417">
        <v>125</v>
      </c>
      <c r="L417">
        <v>0</v>
      </c>
      <c r="M417">
        <v>0</v>
      </c>
      <c r="N417">
        <v>0</v>
      </c>
      <c r="O417">
        <v>0</v>
      </c>
    </row>
    <row r="418" spans="1:15">
      <c r="A418" s="1" t="s">
        <v>430</v>
      </c>
      <c r="B418" t="s">
        <v>505</v>
      </c>
      <c r="C418" t="s">
        <v>510</v>
      </c>
      <c r="D418">
        <v>0</v>
      </c>
      <c r="E418">
        <v>38.3866667</v>
      </c>
      <c r="F418">
        <v>-123.0833333</v>
      </c>
      <c r="G418" t="s">
        <v>924</v>
      </c>
      <c r="I418" t="s">
        <v>505</v>
      </c>
      <c r="J418">
        <v>0</v>
      </c>
      <c r="K418">
        <v>319</v>
      </c>
      <c r="L418">
        <v>0</v>
      </c>
      <c r="M418">
        <v>0</v>
      </c>
      <c r="N418">
        <v>0</v>
      </c>
      <c r="O418">
        <v>0</v>
      </c>
    </row>
    <row r="419" spans="1:15">
      <c r="A419" s="1" t="s">
        <v>431</v>
      </c>
      <c r="B419" t="s">
        <v>504</v>
      </c>
      <c r="C419" t="s">
        <v>509</v>
      </c>
      <c r="D419">
        <v>0</v>
      </c>
      <c r="E419">
        <v>37.405</v>
      </c>
      <c r="F419">
        <v>-119.5605556</v>
      </c>
      <c r="G419" t="s">
        <v>925</v>
      </c>
      <c r="I419" t="s">
        <v>505</v>
      </c>
      <c r="J419">
        <v>0</v>
      </c>
      <c r="K419">
        <v>86</v>
      </c>
      <c r="L419">
        <v>9</v>
      </c>
      <c r="M419">
        <v>0</v>
      </c>
      <c r="N419">
        <v>9</v>
      </c>
      <c r="O419">
        <v>9</v>
      </c>
    </row>
    <row r="420" spans="1:15">
      <c r="A420" s="1" t="s">
        <v>432</v>
      </c>
      <c r="B420" t="s">
        <v>505</v>
      </c>
      <c r="C420" t="s">
        <v>510</v>
      </c>
      <c r="D420">
        <v>0</v>
      </c>
      <c r="E420">
        <v>33.1038889</v>
      </c>
      <c r="F420">
        <v>-117.3186111</v>
      </c>
      <c r="G420" t="s">
        <v>926</v>
      </c>
      <c r="I420" t="s">
        <v>505</v>
      </c>
      <c r="J420">
        <v>0</v>
      </c>
      <c r="K420">
        <v>137</v>
      </c>
      <c r="L420">
        <v>0</v>
      </c>
      <c r="M420">
        <v>0</v>
      </c>
      <c r="N420">
        <v>0</v>
      </c>
      <c r="O420">
        <v>0</v>
      </c>
    </row>
    <row r="421" spans="1:15">
      <c r="A421" s="1" t="s">
        <v>433</v>
      </c>
      <c r="B421" t="s">
        <v>504</v>
      </c>
      <c r="C421" t="s">
        <v>509</v>
      </c>
      <c r="D421">
        <v>0</v>
      </c>
      <c r="E421">
        <v>38.76</v>
      </c>
      <c r="F421">
        <v>-120.5205556</v>
      </c>
      <c r="G421" t="s">
        <v>927</v>
      </c>
      <c r="I421" t="s">
        <v>505</v>
      </c>
      <c r="J421">
        <v>0</v>
      </c>
      <c r="K421">
        <v>36</v>
      </c>
      <c r="L421">
        <v>0</v>
      </c>
      <c r="M421">
        <v>0</v>
      </c>
      <c r="N421">
        <v>0</v>
      </c>
      <c r="O421">
        <v>0</v>
      </c>
    </row>
    <row r="422" spans="1:15">
      <c r="A422" s="1" t="s">
        <v>434</v>
      </c>
      <c r="B422" t="s">
        <v>504</v>
      </c>
      <c r="C422" t="s">
        <v>509</v>
      </c>
      <c r="D422">
        <v>0</v>
      </c>
      <c r="E422">
        <v>38.5330556</v>
      </c>
      <c r="F422">
        <v>-120.2347222</v>
      </c>
      <c r="G422" t="s">
        <v>928</v>
      </c>
      <c r="I422" t="s">
        <v>505</v>
      </c>
      <c r="J422">
        <v>0</v>
      </c>
      <c r="K422">
        <v>47</v>
      </c>
      <c r="L422">
        <v>4</v>
      </c>
      <c r="M422">
        <v>0</v>
      </c>
      <c r="N422">
        <v>4</v>
      </c>
      <c r="O422">
        <v>4</v>
      </c>
    </row>
    <row r="423" spans="1:15">
      <c r="A423" s="1" t="s">
        <v>435</v>
      </c>
      <c r="B423" t="s">
        <v>504</v>
      </c>
      <c r="C423" t="s">
        <v>509</v>
      </c>
      <c r="D423">
        <v>0</v>
      </c>
      <c r="E423">
        <v>40.0269444</v>
      </c>
      <c r="F423">
        <v>-120.9644444</v>
      </c>
      <c r="G423" t="s">
        <v>929</v>
      </c>
      <c r="H423" t="s">
        <v>997</v>
      </c>
      <c r="I423" t="s">
        <v>505</v>
      </c>
      <c r="J423">
        <v>0</v>
      </c>
      <c r="K423">
        <v>14</v>
      </c>
      <c r="L423">
        <v>0</v>
      </c>
      <c r="M423">
        <v>0</v>
      </c>
      <c r="N423">
        <v>0</v>
      </c>
      <c r="O423">
        <v>0</v>
      </c>
    </row>
    <row r="424" spans="1:15">
      <c r="A424" s="1" t="s">
        <v>436</v>
      </c>
      <c r="B424" t="s">
        <v>504</v>
      </c>
      <c r="C424" t="s">
        <v>509</v>
      </c>
      <c r="D424">
        <v>0</v>
      </c>
      <c r="E424">
        <v>37.3005556</v>
      </c>
      <c r="F424">
        <v>-119.5413889</v>
      </c>
      <c r="G424" t="s">
        <v>930</v>
      </c>
      <c r="I424" t="s">
        <v>505</v>
      </c>
      <c r="J424">
        <v>0</v>
      </c>
      <c r="K424">
        <v>90</v>
      </c>
      <c r="L424">
        <v>0</v>
      </c>
      <c r="M424">
        <v>0</v>
      </c>
      <c r="N424">
        <v>0</v>
      </c>
      <c r="O424">
        <v>0</v>
      </c>
    </row>
    <row r="425" spans="1:15">
      <c r="A425" s="1" t="s">
        <v>437</v>
      </c>
      <c r="B425" t="s">
        <v>504</v>
      </c>
      <c r="C425" t="s">
        <v>509</v>
      </c>
      <c r="D425">
        <v>0</v>
      </c>
      <c r="E425">
        <v>39.8958333</v>
      </c>
      <c r="F425">
        <v>-120.1763889</v>
      </c>
      <c r="G425" t="s">
        <v>931</v>
      </c>
      <c r="I425" t="s">
        <v>505</v>
      </c>
      <c r="J425">
        <v>0</v>
      </c>
      <c r="K425">
        <v>27</v>
      </c>
      <c r="L425">
        <v>0</v>
      </c>
      <c r="M425">
        <v>0</v>
      </c>
      <c r="N425">
        <v>0</v>
      </c>
      <c r="O425">
        <v>0</v>
      </c>
    </row>
    <row r="426" spans="1:15">
      <c r="A426" s="1" t="s">
        <v>438</v>
      </c>
      <c r="B426" t="s">
        <v>505</v>
      </c>
      <c r="C426" t="s">
        <v>510</v>
      </c>
      <c r="D426">
        <v>0</v>
      </c>
      <c r="E426">
        <v>39.8794444</v>
      </c>
      <c r="F426">
        <v>-123.7372222</v>
      </c>
      <c r="G426" t="s">
        <v>508</v>
      </c>
      <c r="I426" t="s">
        <v>505</v>
      </c>
      <c r="J426">
        <v>0</v>
      </c>
      <c r="K426">
        <v>331</v>
      </c>
      <c r="L426">
        <v>85</v>
      </c>
      <c r="M426">
        <v>6</v>
      </c>
      <c r="N426">
        <v>79</v>
      </c>
      <c r="O426">
        <v>79</v>
      </c>
    </row>
    <row r="427" spans="1:15">
      <c r="A427" s="1" t="s">
        <v>439</v>
      </c>
      <c r="B427" t="s">
        <v>504</v>
      </c>
      <c r="C427" t="s">
        <v>509</v>
      </c>
      <c r="D427">
        <v>0</v>
      </c>
      <c r="E427">
        <v>40.8513889</v>
      </c>
      <c r="F427">
        <v>-122.8502778</v>
      </c>
      <c r="G427" t="s">
        <v>932</v>
      </c>
      <c r="I427" t="s">
        <v>505</v>
      </c>
      <c r="J427">
        <v>0</v>
      </c>
      <c r="K427">
        <v>348</v>
      </c>
      <c r="L427">
        <v>0</v>
      </c>
      <c r="M427">
        <v>0</v>
      </c>
      <c r="N427">
        <v>0</v>
      </c>
      <c r="O427">
        <v>0</v>
      </c>
    </row>
    <row r="428" spans="1:15">
      <c r="A428" s="1" t="s">
        <v>440</v>
      </c>
      <c r="B428" t="s">
        <v>504</v>
      </c>
      <c r="C428" t="s">
        <v>509</v>
      </c>
      <c r="D428">
        <v>0</v>
      </c>
      <c r="E428">
        <v>36.6647222</v>
      </c>
      <c r="F428">
        <v>-118.8316667</v>
      </c>
      <c r="G428" t="s">
        <v>933</v>
      </c>
      <c r="I428" t="s">
        <v>505</v>
      </c>
      <c r="J428">
        <v>0</v>
      </c>
      <c r="K428">
        <v>104</v>
      </c>
      <c r="L428">
        <v>12</v>
      </c>
      <c r="M428">
        <v>0</v>
      </c>
      <c r="N428">
        <v>12</v>
      </c>
      <c r="O428">
        <v>12</v>
      </c>
    </row>
    <row r="429" spans="1:15">
      <c r="A429" s="1" t="s">
        <v>441</v>
      </c>
      <c r="B429" t="s">
        <v>504</v>
      </c>
      <c r="C429" t="s">
        <v>509</v>
      </c>
      <c r="D429">
        <v>0</v>
      </c>
      <c r="E429">
        <v>38.9041667</v>
      </c>
      <c r="F429">
        <v>-120.5916667</v>
      </c>
      <c r="G429" t="s">
        <v>934</v>
      </c>
      <c r="I429" t="s">
        <v>505</v>
      </c>
      <c r="J429">
        <v>0</v>
      </c>
      <c r="K429">
        <v>32</v>
      </c>
      <c r="L429">
        <v>23</v>
      </c>
      <c r="M429">
        <v>5</v>
      </c>
      <c r="N429">
        <v>18</v>
      </c>
      <c r="O429">
        <v>18</v>
      </c>
    </row>
    <row r="430" spans="1:15">
      <c r="A430" s="1" t="s">
        <v>442</v>
      </c>
      <c r="B430" t="s">
        <v>505</v>
      </c>
      <c r="C430" t="s">
        <v>510</v>
      </c>
      <c r="D430">
        <v>0</v>
      </c>
      <c r="E430">
        <v>39.0575</v>
      </c>
      <c r="F430">
        <v>-120.1213889</v>
      </c>
      <c r="G430" t="s">
        <v>935</v>
      </c>
      <c r="I430" t="s">
        <v>505</v>
      </c>
      <c r="J430">
        <v>0</v>
      </c>
      <c r="K430">
        <v>38</v>
      </c>
      <c r="L430">
        <v>0</v>
      </c>
      <c r="M430">
        <v>0</v>
      </c>
      <c r="N430">
        <v>0</v>
      </c>
      <c r="O430">
        <v>0</v>
      </c>
    </row>
    <row r="431" spans="1:15">
      <c r="A431" s="1" t="s">
        <v>443</v>
      </c>
      <c r="B431" t="s">
        <v>505</v>
      </c>
      <c r="C431" t="s">
        <v>510</v>
      </c>
      <c r="D431">
        <v>0</v>
      </c>
      <c r="E431">
        <v>38.445</v>
      </c>
      <c r="F431">
        <v>-122.5011111</v>
      </c>
      <c r="G431" t="s">
        <v>936</v>
      </c>
      <c r="I431" t="s">
        <v>505</v>
      </c>
      <c r="J431">
        <v>0</v>
      </c>
      <c r="K431">
        <v>337</v>
      </c>
      <c r="L431">
        <v>3</v>
      </c>
      <c r="M431">
        <v>1</v>
      </c>
      <c r="N431">
        <v>2</v>
      </c>
      <c r="O431">
        <v>2</v>
      </c>
    </row>
    <row r="432" spans="1:15">
      <c r="A432" s="1" t="s">
        <v>444</v>
      </c>
      <c r="B432" t="s">
        <v>504</v>
      </c>
      <c r="C432" t="s">
        <v>509</v>
      </c>
      <c r="D432">
        <v>0</v>
      </c>
      <c r="E432">
        <v>37.4706472</v>
      </c>
      <c r="F432">
        <v>-119.6427333</v>
      </c>
      <c r="G432" t="s">
        <v>937</v>
      </c>
      <c r="H432" t="s">
        <v>997</v>
      </c>
      <c r="I432" t="s">
        <v>505</v>
      </c>
      <c r="J432">
        <v>0</v>
      </c>
      <c r="K432">
        <v>84</v>
      </c>
      <c r="L432">
        <v>5</v>
      </c>
      <c r="M432">
        <v>0</v>
      </c>
      <c r="N432">
        <v>5</v>
      </c>
      <c r="O432">
        <v>5</v>
      </c>
    </row>
    <row r="433" spans="1:15">
      <c r="A433" s="1" t="s">
        <v>445</v>
      </c>
      <c r="B433" t="s">
        <v>504</v>
      </c>
      <c r="C433" t="s">
        <v>509</v>
      </c>
      <c r="D433">
        <v>0</v>
      </c>
      <c r="E433">
        <v>40.4944444</v>
      </c>
      <c r="F433">
        <v>-121.425</v>
      </c>
      <c r="G433" t="s">
        <v>938</v>
      </c>
      <c r="I433" t="s">
        <v>505</v>
      </c>
      <c r="J433">
        <v>0</v>
      </c>
      <c r="K433">
        <v>6</v>
      </c>
      <c r="L433">
        <v>1</v>
      </c>
      <c r="M433">
        <v>0</v>
      </c>
      <c r="N433">
        <v>1</v>
      </c>
      <c r="O433">
        <v>1</v>
      </c>
    </row>
    <row r="434" spans="1:15">
      <c r="A434" s="1" t="s">
        <v>446</v>
      </c>
      <c r="B434" t="s">
        <v>504</v>
      </c>
      <c r="C434" t="s">
        <v>509</v>
      </c>
      <c r="D434">
        <v>0</v>
      </c>
      <c r="E434">
        <v>40.4902778</v>
      </c>
      <c r="F434">
        <v>-121.4236111</v>
      </c>
      <c r="G434" t="s">
        <v>939</v>
      </c>
      <c r="I434" t="s">
        <v>505</v>
      </c>
      <c r="J434">
        <v>0</v>
      </c>
      <c r="K434">
        <v>6</v>
      </c>
      <c r="L434">
        <v>0</v>
      </c>
      <c r="M434">
        <v>0</v>
      </c>
      <c r="N434">
        <v>0</v>
      </c>
      <c r="O434">
        <v>0</v>
      </c>
    </row>
    <row r="435" spans="1:15">
      <c r="A435" s="1" t="s">
        <v>447</v>
      </c>
      <c r="B435" t="s">
        <v>506</v>
      </c>
      <c r="C435" t="s">
        <v>511</v>
      </c>
      <c r="D435">
        <v>0</v>
      </c>
      <c r="E435">
        <v>37.5152778</v>
      </c>
      <c r="F435">
        <v>-121.8327778</v>
      </c>
      <c r="G435" t="s">
        <v>940</v>
      </c>
      <c r="I435" t="s">
        <v>505</v>
      </c>
      <c r="J435">
        <v>0</v>
      </c>
      <c r="K435">
        <v>17</v>
      </c>
      <c r="L435">
        <v>0</v>
      </c>
      <c r="M435">
        <v>0</v>
      </c>
      <c r="N435">
        <v>0</v>
      </c>
      <c r="O435">
        <v>0</v>
      </c>
    </row>
    <row r="436" spans="1:15">
      <c r="A436" s="1" t="s">
        <v>448</v>
      </c>
      <c r="B436" t="s">
        <v>504</v>
      </c>
      <c r="C436" t="s">
        <v>509</v>
      </c>
      <c r="D436">
        <v>0</v>
      </c>
      <c r="E436">
        <v>36.7377778</v>
      </c>
      <c r="F436">
        <v>-118.9647222</v>
      </c>
      <c r="G436" t="s">
        <v>941</v>
      </c>
      <c r="I436" t="s">
        <v>505</v>
      </c>
      <c r="J436">
        <v>0</v>
      </c>
      <c r="K436">
        <v>103</v>
      </c>
      <c r="L436">
        <v>0</v>
      </c>
      <c r="M436">
        <v>0</v>
      </c>
      <c r="N436">
        <v>0</v>
      </c>
      <c r="O436">
        <v>0</v>
      </c>
    </row>
    <row r="437" spans="1:15">
      <c r="A437" s="1" t="s">
        <v>449</v>
      </c>
      <c r="B437" t="s">
        <v>505</v>
      </c>
      <c r="C437" t="s">
        <v>510</v>
      </c>
      <c r="D437">
        <v>0</v>
      </c>
      <c r="E437">
        <v>36.8816667</v>
      </c>
      <c r="F437">
        <v>-121.8272222</v>
      </c>
      <c r="G437" t="s">
        <v>942</v>
      </c>
      <c r="I437" t="s">
        <v>505</v>
      </c>
      <c r="J437">
        <v>0</v>
      </c>
      <c r="K437">
        <v>171</v>
      </c>
      <c r="L437">
        <v>0</v>
      </c>
      <c r="M437">
        <v>0</v>
      </c>
      <c r="N437">
        <v>0</v>
      </c>
      <c r="O437">
        <v>0</v>
      </c>
    </row>
    <row r="438" spans="1:15">
      <c r="A438" s="1" t="s">
        <v>450</v>
      </c>
      <c r="B438" t="s">
        <v>504</v>
      </c>
      <c r="C438" t="s">
        <v>509</v>
      </c>
      <c r="D438">
        <v>0</v>
      </c>
      <c r="E438">
        <v>38.8658333</v>
      </c>
      <c r="F438">
        <v>-120.405</v>
      </c>
      <c r="G438" t="s">
        <v>943</v>
      </c>
      <c r="I438" t="s">
        <v>505</v>
      </c>
      <c r="J438">
        <v>0</v>
      </c>
      <c r="K438">
        <v>37</v>
      </c>
      <c r="L438">
        <v>0</v>
      </c>
      <c r="M438">
        <v>0</v>
      </c>
      <c r="N438">
        <v>0</v>
      </c>
      <c r="O438">
        <v>0</v>
      </c>
    </row>
    <row r="439" spans="1:15">
      <c r="A439" s="1" t="s">
        <v>451</v>
      </c>
      <c r="B439" t="s">
        <v>504</v>
      </c>
      <c r="C439" t="s">
        <v>509</v>
      </c>
      <c r="D439">
        <v>0</v>
      </c>
      <c r="E439">
        <v>37.365</v>
      </c>
      <c r="F439">
        <v>-119.3522222</v>
      </c>
      <c r="G439" t="s">
        <v>944</v>
      </c>
      <c r="I439" t="s">
        <v>505</v>
      </c>
      <c r="J439">
        <v>0</v>
      </c>
      <c r="K439">
        <v>88</v>
      </c>
      <c r="L439">
        <v>9</v>
      </c>
      <c r="M439">
        <v>0</v>
      </c>
      <c r="N439">
        <v>9</v>
      </c>
      <c r="O439">
        <v>9</v>
      </c>
    </row>
    <row r="440" spans="1:15">
      <c r="A440" s="1" t="s">
        <v>452</v>
      </c>
      <c r="B440" t="s">
        <v>504</v>
      </c>
      <c r="C440" t="s">
        <v>509</v>
      </c>
      <c r="D440">
        <v>0</v>
      </c>
      <c r="E440">
        <v>40.1560528</v>
      </c>
      <c r="F440">
        <v>-122.2040694</v>
      </c>
      <c r="G440" t="s">
        <v>945</v>
      </c>
      <c r="I440" t="s">
        <v>505</v>
      </c>
      <c r="J440">
        <v>0</v>
      </c>
      <c r="K440">
        <v>355</v>
      </c>
      <c r="L440">
        <v>28</v>
      </c>
      <c r="M440">
        <v>0</v>
      </c>
      <c r="N440">
        <v>28</v>
      </c>
      <c r="O440">
        <v>28</v>
      </c>
    </row>
    <row r="441" spans="1:15">
      <c r="A441" s="1" t="s">
        <v>453</v>
      </c>
      <c r="B441" t="s">
        <v>504</v>
      </c>
      <c r="C441" t="s">
        <v>509</v>
      </c>
      <c r="D441">
        <v>0</v>
      </c>
      <c r="E441">
        <v>34.3863889</v>
      </c>
      <c r="F441">
        <v>-117.6894444</v>
      </c>
      <c r="G441" t="s">
        <v>946</v>
      </c>
      <c r="I441" t="s">
        <v>505</v>
      </c>
      <c r="J441">
        <v>0</v>
      </c>
      <c r="K441">
        <v>129</v>
      </c>
      <c r="L441">
        <v>30</v>
      </c>
      <c r="M441">
        <v>0</v>
      </c>
      <c r="N441">
        <v>30</v>
      </c>
      <c r="O441">
        <v>30</v>
      </c>
    </row>
    <row r="442" spans="1:15">
      <c r="A442" s="1" t="s">
        <v>454</v>
      </c>
      <c r="B442" t="s">
        <v>504</v>
      </c>
      <c r="C442" t="s">
        <v>509</v>
      </c>
      <c r="D442">
        <v>0</v>
      </c>
      <c r="E442">
        <v>37.2080556</v>
      </c>
      <c r="F442">
        <v>-118.5683333</v>
      </c>
      <c r="G442" t="s">
        <v>947</v>
      </c>
      <c r="I442" t="s">
        <v>505</v>
      </c>
      <c r="J442">
        <v>0</v>
      </c>
      <c r="K442">
        <v>91</v>
      </c>
      <c r="L442">
        <v>0</v>
      </c>
      <c r="M442">
        <v>0</v>
      </c>
      <c r="N442">
        <v>0</v>
      </c>
      <c r="O442">
        <v>0</v>
      </c>
    </row>
    <row r="443" spans="1:15">
      <c r="A443" s="1" t="s">
        <v>455</v>
      </c>
      <c r="B443" t="s">
        <v>505</v>
      </c>
      <c r="C443" t="s">
        <v>510</v>
      </c>
      <c r="D443">
        <v>0</v>
      </c>
      <c r="E443">
        <v>39.1752778</v>
      </c>
      <c r="F443">
        <v>-120.1338889</v>
      </c>
      <c r="G443" t="s">
        <v>948</v>
      </c>
      <c r="I443" t="s">
        <v>505</v>
      </c>
      <c r="J443">
        <v>0</v>
      </c>
      <c r="K443">
        <v>36</v>
      </c>
      <c r="L443">
        <v>0</v>
      </c>
      <c r="M443">
        <v>0</v>
      </c>
      <c r="N443">
        <v>0</v>
      </c>
      <c r="O443">
        <v>0</v>
      </c>
    </row>
    <row r="444" spans="1:15">
      <c r="A444" s="1" t="s">
        <v>456</v>
      </c>
      <c r="B444" t="s">
        <v>504</v>
      </c>
      <c r="C444" t="s">
        <v>509</v>
      </c>
      <c r="D444">
        <v>0</v>
      </c>
      <c r="E444">
        <v>34.2922222</v>
      </c>
      <c r="F444">
        <v>-116.8644444</v>
      </c>
      <c r="G444" t="s">
        <v>949</v>
      </c>
      <c r="I444" t="s">
        <v>505</v>
      </c>
      <c r="J444">
        <v>0</v>
      </c>
      <c r="K444">
        <v>125</v>
      </c>
      <c r="L444">
        <v>0</v>
      </c>
      <c r="M444">
        <v>0</v>
      </c>
      <c r="N444">
        <v>0</v>
      </c>
      <c r="O444">
        <v>0</v>
      </c>
    </row>
    <row r="445" spans="1:15">
      <c r="A445" s="1" t="s">
        <v>457</v>
      </c>
      <c r="B445" t="s">
        <v>504</v>
      </c>
      <c r="C445" t="s">
        <v>509</v>
      </c>
      <c r="D445">
        <v>0</v>
      </c>
      <c r="E445">
        <v>40.8366667</v>
      </c>
      <c r="F445">
        <v>-122.8480556</v>
      </c>
      <c r="G445" t="s">
        <v>950</v>
      </c>
      <c r="I445" t="s">
        <v>505</v>
      </c>
      <c r="J445">
        <v>0</v>
      </c>
      <c r="K445">
        <v>348</v>
      </c>
      <c r="L445">
        <v>49</v>
      </c>
      <c r="M445">
        <v>0</v>
      </c>
      <c r="N445">
        <v>49</v>
      </c>
      <c r="O445">
        <v>49</v>
      </c>
    </row>
    <row r="446" spans="1:15">
      <c r="A446" s="1" t="s">
        <v>458</v>
      </c>
      <c r="B446" t="s">
        <v>504</v>
      </c>
      <c r="C446" t="s">
        <v>509</v>
      </c>
      <c r="D446">
        <v>0</v>
      </c>
      <c r="E446">
        <v>36.7941667</v>
      </c>
      <c r="F446">
        <v>-118.9077778</v>
      </c>
      <c r="G446" t="s">
        <v>951</v>
      </c>
      <c r="H446" t="s">
        <v>1001</v>
      </c>
      <c r="I446" t="s">
        <v>505</v>
      </c>
      <c r="J446">
        <v>0</v>
      </c>
      <c r="K446">
        <v>101</v>
      </c>
      <c r="L446">
        <v>0</v>
      </c>
      <c r="M446">
        <v>0</v>
      </c>
      <c r="N446">
        <v>0</v>
      </c>
      <c r="O446">
        <v>0</v>
      </c>
    </row>
    <row r="447" spans="1:15">
      <c r="A447" s="1" t="s">
        <v>459</v>
      </c>
      <c r="B447" t="s">
        <v>504</v>
      </c>
      <c r="C447" t="s">
        <v>509</v>
      </c>
      <c r="D447">
        <v>0</v>
      </c>
      <c r="E447">
        <v>34.2652778</v>
      </c>
      <c r="F447">
        <v>-117.0833333</v>
      </c>
      <c r="G447" t="s">
        <v>952</v>
      </c>
      <c r="I447" t="s">
        <v>505</v>
      </c>
      <c r="J447">
        <v>0</v>
      </c>
      <c r="K447">
        <v>126</v>
      </c>
      <c r="L447">
        <v>0</v>
      </c>
      <c r="M447">
        <v>0</v>
      </c>
      <c r="N447">
        <v>0</v>
      </c>
      <c r="O447">
        <v>0</v>
      </c>
    </row>
    <row r="448" spans="1:15">
      <c r="A448" s="1" t="s">
        <v>460</v>
      </c>
      <c r="B448" t="s">
        <v>504</v>
      </c>
      <c r="C448" t="s">
        <v>509</v>
      </c>
      <c r="D448">
        <v>0</v>
      </c>
      <c r="E448">
        <v>37.3927778</v>
      </c>
      <c r="F448">
        <v>-119.5816667</v>
      </c>
      <c r="G448" t="s">
        <v>953</v>
      </c>
      <c r="I448" t="s">
        <v>505</v>
      </c>
      <c r="J448">
        <v>0</v>
      </c>
      <c r="K448">
        <v>87</v>
      </c>
      <c r="L448">
        <v>0</v>
      </c>
      <c r="M448">
        <v>0</v>
      </c>
      <c r="N448">
        <v>0</v>
      </c>
      <c r="O448">
        <v>0</v>
      </c>
    </row>
    <row r="449" spans="1:15">
      <c r="A449" s="1" t="s">
        <v>461</v>
      </c>
      <c r="B449" t="s">
        <v>504</v>
      </c>
      <c r="C449" t="s">
        <v>509</v>
      </c>
      <c r="D449">
        <v>0</v>
      </c>
      <c r="E449">
        <v>35.7013889</v>
      </c>
      <c r="F449">
        <v>-118.4544444</v>
      </c>
      <c r="G449" t="s">
        <v>954</v>
      </c>
      <c r="I449" t="s">
        <v>505</v>
      </c>
      <c r="J449">
        <v>0</v>
      </c>
      <c r="K449">
        <v>119</v>
      </c>
      <c r="L449">
        <v>0</v>
      </c>
      <c r="M449">
        <v>0</v>
      </c>
      <c r="N449">
        <v>0</v>
      </c>
      <c r="O449">
        <v>0</v>
      </c>
    </row>
    <row r="450" spans="1:15">
      <c r="A450" s="1" t="s">
        <v>462</v>
      </c>
      <c r="B450" t="s">
        <v>504</v>
      </c>
      <c r="C450" t="s">
        <v>509</v>
      </c>
      <c r="D450">
        <v>0</v>
      </c>
      <c r="E450">
        <v>37.9642</v>
      </c>
      <c r="F450">
        <v>-119.2724</v>
      </c>
      <c r="G450" t="s">
        <v>955</v>
      </c>
      <c r="I450" t="s">
        <v>505</v>
      </c>
      <c r="J450">
        <v>0</v>
      </c>
      <c r="K450">
        <v>72</v>
      </c>
      <c r="L450">
        <v>0</v>
      </c>
      <c r="M450">
        <v>0</v>
      </c>
      <c r="N450">
        <v>0</v>
      </c>
      <c r="O450">
        <v>0</v>
      </c>
    </row>
    <row r="451" spans="1:15">
      <c r="A451" s="1" t="s">
        <v>463</v>
      </c>
      <c r="B451" t="s">
        <v>504</v>
      </c>
      <c r="C451" t="s">
        <v>509</v>
      </c>
      <c r="D451">
        <v>0</v>
      </c>
      <c r="E451">
        <v>41.7841667</v>
      </c>
      <c r="F451">
        <v>-123.0430556</v>
      </c>
      <c r="G451" t="s">
        <v>956</v>
      </c>
      <c r="I451" t="s">
        <v>505</v>
      </c>
      <c r="J451">
        <v>0</v>
      </c>
      <c r="K451">
        <v>349</v>
      </c>
      <c r="L451">
        <v>14</v>
      </c>
      <c r="M451">
        <v>1</v>
      </c>
      <c r="N451">
        <v>13</v>
      </c>
      <c r="O451">
        <v>13</v>
      </c>
    </row>
    <row r="452" spans="1:15">
      <c r="A452" s="1" t="s">
        <v>464</v>
      </c>
      <c r="B452" t="s">
        <v>504</v>
      </c>
      <c r="C452" t="s">
        <v>509</v>
      </c>
      <c r="D452">
        <v>0</v>
      </c>
      <c r="E452">
        <v>36.9044444</v>
      </c>
      <c r="F452">
        <v>-119.2936111</v>
      </c>
      <c r="G452" t="s">
        <v>957</v>
      </c>
      <c r="I452" t="s">
        <v>505</v>
      </c>
      <c r="J452">
        <v>0</v>
      </c>
      <c r="K452">
        <v>100</v>
      </c>
      <c r="L452">
        <v>8</v>
      </c>
      <c r="M452">
        <v>0</v>
      </c>
      <c r="N452">
        <v>8</v>
      </c>
      <c r="O452">
        <v>8</v>
      </c>
    </row>
    <row r="453" spans="1:15">
      <c r="A453" s="1" t="s">
        <v>465</v>
      </c>
      <c r="B453" t="s">
        <v>504</v>
      </c>
      <c r="C453" t="s">
        <v>509</v>
      </c>
      <c r="D453">
        <v>0</v>
      </c>
      <c r="E453">
        <v>38.0505556</v>
      </c>
      <c r="F453">
        <v>-119.2572222</v>
      </c>
      <c r="G453" t="s">
        <v>958</v>
      </c>
      <c r="I453" t="s">
        <v>505</v>
      </c>
      <c r="J453">
        <v>0</v>
      </c>
      <c r="K453">
        <v>70</v>
      </c>
      <c r="L453">
        <v>0</v>
      </c>
      <c r="M453">
        <v>0</v>
      </c>
      <c r="N453">
        <v>0</v>
      </c>
      <c r="O453">
        <v>0</v>
      </c>
    </row>
    <row r="454" spans="1:15">
      <c r="A454" s="1" t="s">
        <v>466</v>
      </c>
      <c r="B454" t="s">
        <v>504</v>
      </c>
      <c r="C454" t="s">
        <v>509</v>
      </c>
      <c r="D454">
        <v>0</v>
      </c>
      <c r="E454">
        <v>37.5625</v>
      </c>
      <c r="F454">
        <v>-118.6641667</v>
      </c>
      <c r="G454" t="s">
        <v>959</v>
      </c>
      <c r="I454" t="s">
        <v>505</v>
      </c>
      <c r="J454">
        <v>0</v>
      </c>
      <c r="K454">
        <v>83</v>
      </c>
      <c r="L454">
        <v>15</v>
      </c>
      <c r="M454">
        <v>0</v>
      </c>
      <c r="N454">
        <v>15</v>
      </c>
      <c r="O454">
        <v>15</v>
      </c>
    </row>
    <row r="455" spans="1:15">
      <c r="A455" s="1" t="s">
        <v>467</v>
      </c>
      <c r="B455" t="s">
        <v>504</v>
      </c>
      <c r="C455" t="s">
        <v>509</v>
      </c>
      <c r="D455">
        <v>0</v>
      </c>
      <c r="E455">
        <v>36.0802778</v>
      </c>
      <c r="F455">
        <v>-118.9022222</v>
      </c>
      <c r="G455" t="s">
        <v>960</v>
      </c>
      <c r="I455" t="s">
        <v>505</v>
      </c>
      <c r="J455">
        <v>0</v>
      </c>
      <c r="K455">
        <v>116</v>
      </c>
      <c r="L455">
        <v>46</v>
      </c>
      <c r="M455">
        <v>0</v>
      </c>
      <c r="N455">
        <v>46</v>
      </c>
      <c r="O455">
        <v>46</v>
      </c>
    </row>
    <row r="456" spans="1:15">
      <c r="A456" s="1" t="s">
        <v>468</v>
      </c>
      <c r="B456" t="s">
        <v>504</v>
      </c>
      <c r="C456" t="s">
        <v>509</v>
      </c>
      <c r="D456">
        <v>0</v>
      </c>
      <c r="E456">
        <v>39.2527778</v>
      </c>
      <c r="F456">
        <v>-120.6516667</v>
      </c>
      <c r="G456" t="s">
        <v>961</v>
      </c>
      <c r="I456" t="s">
        <v>505</v>
      </c>
      <c r="J456">
        <v>0</v>
      </c>
      <c r="K456">
        <v>26</v>
      </c>
      <c r="L456">
        <v>1</v>
      </c>
      <c r="M456">
        <v>0</v>
      </c>
      <c r="N456">
        <v>1</v>
      </c>
      <c r="O456">
        <v>1</v>
      </c>
    </row>
    <row r="457" spans="1:15">
      <c r="A457" s="1" t="s">
        <v>469</v>
      </c>
      <c r="B457" t="s">
        <v>504</v>
      </c>
      <c r="C457" t="s">
        <v>509</v>
      </c>
      <c r="D457">
        <v>0</v>
      </c>
      <c r="E457">
        <v>37.8711111</v>
      </c>
      <c r="F457">
        <v>-119.36</v>
      </c>
      <c r="G457" t="s">
        <v>962</v>
      </c>
      <c r="I457" t="s">
        <v>505</v>
      </c>
      <c r="J457">
        <v>0</v>
      </c>
      <c r="K457">
        <v>74</v>
      </c>
      <c r="L457">
        <v>0</v>
      </c>
      <c r="M457">
        <v>0</v>
      </c>
      <c r="N457">
        <v>0</v>
      </c>
      <c r="O457">
        <v>0</v>
      </c>
    </row>
    <row r="458" spans="1:15">
      <c r="A458" s="1" t="s">
        <v>470</v>
      </c>
      <c r="B458" t="s">
        <v>505</v>
      </c>
      <c r="C458" t="s">
        <v>510</v>
      </c>
      <c r="D458">
        <v>0</v>
      </c>
      <c r="E458">
        <v>37.6272222</v>
      </c>
      <c r="F458">
        <v>-120.5813889</v>
      </c>
      <c r="G458" t="s">
        <v>963</v>
      </c>
      <c r="H458" t="s">
        <v>997</v>
      </c>
      <c r="I458" t="s">
        <v>505</v>
      </c>
      <c r="J458">
        <v>0</v>
      </c>
      <c r="K458">
        <v>73</v>
      </c>
      <c r="L458">
        <v>39</v>
      </c>
      <c r="M458">
        <v>0</v>
      </c>
      <c r="N458">
        <v>39</v>
      </c>
      <c r="O458">
        <v>39</v>
      </c>
    </row>
    <row r="459" spans="1:15">
      <c r="A459" s="1" t="s">
        <v>471</v>
      </c>
      <c r="B459" t="s">
        <v>504</v>
      </c>
      <c r="C459" t="s">
        <v>509</v>
      </c>
      <c r="D459">
        <v>0</v>
      </c>
      <c r="E459">
        <v>37.9838889</v>
      </c>
      <c r="F459">
        <v>-120.5080556</v>
      </c>
      <c r="G459" t="s">
        <v>964</v>
      </c>
      <c r="I459" t="s">
        <v>505</v>
      </c>
      <c r="J459">
        <v>0</v>
      </c>
      <c r="K459">
        <v>58</v>
      </c>
      <c r="L459">
        <v>7</v>
      </c>
      <c r="M459">
        <v>4</v>
      </c>
      <c r="N459">
        <v>3</v>
      </c>
      <c r="O459">
        <v>3</v>
      </c>
    </row>
    <row r="460" spans="1:15">
      <c r="A460" s="1" t="s">
        <v>472</v>
      </c>
      <c r="B460" t="s">
        <v>504</v>
      </c>
      <c r="C460" t="s">
        <v>509</v>
      </c>
      <c r="D460">
        <v>0</v>
      </c>
      <c r="E460">
        <v>37.6158333</v>
      </c>
      <c r="F460">
        <v>-119.0069444</v>
      </c>
      <c r="G460" t="s">
        <v>965</v>
      </c>
      <c r="I460" t="s">
        <v>505</v>
      </c>
      <c r="J460">
        <v>0</v>
      </c>
      <c r="K460">
        <v>81</v>
      </c>
      <c r="L460">
        <v>0</v>
      </c>
      <c r="M460">
        <v>0</v>
      </c>
      <c r="N460">
        <v>0</v>
      </c>
      <c r="O460">
        <v>0</v>
      </c>
    </row>
    <row r="461" spans="1:15">
      <c r="A461" s="1" t="s">
        <v>473</v>
      </c>
      <c r="B461" t="s">
        <v>507</v>
      </c>
      <c r="C461" t="s">
        <v>511</v>
      </c>
      <c r="D461">
        <v>0</v>
      </c>
      <c r="E461">
        <v>33.4427778</v>
      </c>
      <c r="F461">
        <v>-118.4866667</v>
      </c>
      <c r="G461" t="s">
        <v>966</v>
      </c>
      <c r="I461" t="s">
        <v>505</v>
      </c>
      <c r="J461">
        <v>0</v>
      </c>
      <c r="K461">
        <v>143</v>
      </c>
      <c r="L461">
        <v>0</v>
      </c>
      <c r="M461">
        <v>0</v>
      </c>
      <c r="N461">
        <v>0</v>
      </c>
      <c r="O461">
        <v>0</v>
      </c>
    </row>
    <row r="462" spans="1:15">
      <c r="A462" s="1" t="s">
        <v>474</v>
      </c>
      <c r="B462" t="s">
        <v>504</v>
      </c>
      <c r="C462" t="s">
        <v>509</v>
      </c>
      <c r="D462">
        <v>0</v>
      </c>
      <c r="E462">
        <v>39.5675</v>
      </c>
      <c r="F462">
        <v>-120.7447222</v>
      </c>
      <c r="G462" t="s">
        <v>967</v>
      </c>
      <c r="I462" t="s">
        <v>505</v>
      </c>
      <c r="J462">
        <v>0</v>
      </c>
      <c r="K462">
        <v>21</v>
      </c>
      <c r="L462">
        <v>2</v>
      </c>
      <c r="M462">
        <v>0</v>
      </c>
      <c r="N462">
        <v>2</v>
      </c>
      <c r="O462">
        <v>2</v>
      </c>
    </row>
    <row r="463" spans="1:15">
      <c r="A463" s="1" t="s">
        <v>475</v>
      </c>
      <c r="B463" t="s">
        <v>504</v>
      </c>
      <c r="C463" t="s">
        <v>509</v>
      </c>
      <c r="D463">
        <v>0</v>
      </c>
      <c r="E463">
        <v>37.2380556</v>
      </c>
      <c r="F463">
        <v>-119.2277778</v>
      </c>
      <c r="G463" t="s">
        <v>968</v>
      </c>
      <c r="I463" t="s">
        <v>505</v>
      </c>
      <c r="J463">
        <v>0</v>
      </c>
      <c r="K463">
        <v>91</v>
      </c>
      <c r="L463">
        <v>0</v>
      </c>
      <c r="M463">
        <v>0</v>
      </c>
      <c r="N463">
        <v>0</v>
      </c>
      <c r="O463">
        <v>0</v>
      </c>
    </row>
    <row r="464" spans="1:15">
      <c r="A464" s="1" t="s">
        <v>476</v>
      </c>
      <c r="B464" t="s">
        <v>504</v>
      </c>
      <c r="C464" t="s">
        <v>509</v>
      </c>
      <c r="D464">
        <v>0</v>
      </c>
      <c r="E464">
        <v>39.4908333</v>
      </c>
      <c r="F464">
        <v>-120.2438889</v>
      </c>
      <c r="G464" t="s">
        <v>969</v>
      </c>
      <c r="I464" t="s">
        <v>505</v>
      </c>
      <c r="J464">
        <v>0</v>
      </c>
      <c r="K464">
        <v>30</v>
      </c>
      <c r="L464">
        <v>17</v>
      </c>
      <c r="M464">
        <v>0</v>
      </c>
      <c r="N464">
        <v>17</v>
      </c>
      <c r="O464">
        <v>17</v>
      </c>
    </row>
    <row r="465" spans="1:15">
      <c r="A465" s="1" t="s">
        <v>477</v>
      </c>
      <c r="B465" t="s">
        <v>504</v>
      </c>
      <c r="C465" t="s">
        <v>509</v>
      </c>
      <c r="D465">
        <v>0</v>
      </c>
      <c r="E465">
        <v>34.5558333</v>
      </c>
      <c r="F465">
        <v>-119.7538889</v>
      </c>
      <c r="G465" t="s">
        <v>970</v>
      </c>
      <c r="I465" t="s">
        <v>505</v>
      </c>
      <c r="J465">
        <v>0</v>
      </c>
      <c r="K465">
        <v>147</v>
      </c>
      <c r="L465">
        <v>4</v>
      </c>
      <c r="M465">
        <v>0</v>
      </c>
      <c r="N465">
        <v>4</v>
      </c>
      <c r="O465">
        <v>4</v>
      </c>
    </row>
    <row r="466" spans="1:15">
      <c r="A466" s="1" t="s">
        <v>478</v>
      </c>
      <c r="B466" t="s">
        <v>504</v>
      </c>
      <c r="C466" t="s">
        <v>509</v>
      </c>
      <c r="D466">
        <v>0</v>
      </c>
      <c r="E466">
        <v>37.7361111</v>
      </c>
      <c r="F466">
        <v>-119.5625</v>
      </c>
      <c r="G466" t="s">
        <v>971</v>
      </c>
      <c r="I466" t="s">
        <v>505</v>
      </c>
      <c r="J466">
        <v>0</v>
      </c>
      <c r="K466">
        <v>76</v>
      </c>
      <c r="L466">
        <v>0</v>
      </c>
      <c r="M466">
        <v>0</v>
      </c>
      <c r="N466">
        <v>0</v>
      </c>
      <c r="O466">
        <v>0</v>
      </c>
    </row>
    <row r="467" spans="1:15">
      <c r="A467" s="1" t="s">
        <v>479</v>
      </c>
      <c r="B467" t="s">
        <v>504</v>
      </c>
      <c r="C467" t="s">
        <v>509</v>
      </c>
      <c r="D467">
        <v>0</v>
      </c>
      <c r="E467">
        <v>37.1258333</v>
      </c>
      <c r="F467">
        <v>-118.4338889</v>
      </c>
      <c r="G467" t="s">
        <v>972</v>
      </c>
      <c r="I467" t="s">
        <v>505</v>
      </c>
      <c r="J467">
        <v>0</v>
      </c>
      <c r="K467">
        <v>93</v>
      </c>
      <c r="L467">
        <v>0</v>
      </c>
      <c r="M467">
        <v>0</v>
      </c>
      <c r="N467">
        <v>0</v>
      </c>
      <c r="O467">
        <v>0</v>
      </c>
    </row>
    <row r="468" spans="1:15">
      <c r="A468" s="1" t="s">
        <v>480</v>
      </c>
      <c r="B468" t="s">
        <v>504</v>
      </c>
      <c r="C468" t="s">
        <v>509</v>
      </c>
      <c r="D468">
        <v>0</v>
      </c>
      <c r="E468">
        <v>36.6647222</v>
      </c>
      <c r="F468">
        <v>-118.8316667</v>
      </c>
      <c r="G468" t="s">
        <v>973</v>
      </c>
      <c r="I468" t="s">
        <v>505</v>
      </c>
      <c r="J468">
        <v>0</v>
      </c>
      <c r="K468">
        <v>104</v>
      </c>
      <c r="L468">
        <v>8</v>
      </c>
      <c r="M468">
        <v>0</v>
      </c>
      <c r="N468">
        <v>8</v>
      </c>
      <c r="O468">
        <v>8</v>
      </c>
    </row>
    <row r="469" spans="1:15">
      <c r="A469" s="1" t="s">
        <v>481</v>
      </c>
      <c r="B469" t="s">
        <v>505</v>
      </c>
      <c r="C469" t="s">
        <v>510</v>
      </c>
      <c r="D469">
        <v>0</v>
      </c>
      <c r="E469">
        <v>39.2763889</v>
      </c>
      <c r="F469">
        <v>-123.7733333</v>
      </c>
      <c r="G469" t="s">
        <v>974</v>
      </c>
      <c r="I469" t="s">
        <v>505</v>
      </c>
      <c r="J469">
        <v>0</v>
      </c>
      <c r="K469">
        <v>323</v>
      </c>
      <c r="L469">
        <v>0</v>
      </c>
      <c r="M469">
        <v>0</v>
      </c>
      <c r="N469">
        <v>0</v>
      </c>
      <c r="O469">
        <v>0</v>
      </c>
    </row>
    <row r="470" spans="1:15">
      <c r="A470" s="1" t="s">
        <v>482</v>
      </c>
      <c r="B470" t="s">
        <v>504</v>
      </c>
      <c r="C470" t="s">
        <v>509</v>
      </c>
      <c r="D470">
        <v>0</v>
      </c>
      <c r="E470">
        <v>37.3791667</v>
      </c>
      <c r="F470">
        <v>-119.0097222</v>
      </c>
      <c r="G470" t="s">
        <v>975</v>
      </c>
      <c r="H470" t="s">
        <v>998</v>
      </c>
      <c r="I470" t="s">
        <v>505</v>
      </c>
      <c r="J470">
        <v>0</v>
      </c>
      <c r="K470">
        <v>87</v>
      </c>
      <c r="L470">
        <v>28</v>
      </c>
      <c r="M470">
        <v>0</v>
      </c>
      <c r="N470">
        <v>28</v>
      </c>
      <c r="O470">
        <v>28</v>
      </c>
    </row>
    <row r="471" spans="1:15">
      <c r="A471" s="1" t="s">
        <v>483</v>
      </c>
      <c r="B471" t="s">
        <v>504</v>
      </c>
      <c r="C471" t="s">
        <v>509</v>
      </c>
      <c r="D471">
        <v>0</v>
      </c>
      <c r="E471">
        <v>37.5730556</v>
      </c>
      <c r="F471">
        <v>-119.665</v>
      </c>
      <c r="G471" t="s">
        <v>976</v>
      </c>
      <c r="I471" t="s">
        <v>505</v>
      </c>
      <c r="J471">
        <v>0</v>
      </c>
      <c r="K471">
        <v>81</v>
      </c>
      <c r="L471">
        <v>0</v>
      </c>
      <c r="M471">
        <v>0</v>
      </c>
      <c r="N471">
        <v>0</v>
      </c>
      <c r="O471">
        <v>0</v>
      </c>
    </row>
    <row r="472" spans="1:15">
      <c r="A472" s="1" t="s">
        <v>484</v>
      </c>
      <c r="B472" t="s">
        <v>504</v>
      </c>
      <c r="C472" t="s">
        <v>509</v>
      </c>
      <c r="D472">
        <v>0</v>
      </c>
      <c r="E472">
        <v>38.8902778</v>
      </c>
      <c r="F472">
        <v>-120.3772222</v>
      </c>
      <c r="G472" t="s">
        <v>977</v>
      </c>
      <c r="I472" t="s">
        <v>505</v>
      </c>
      <c r="J472">
        <v>0</v>
      </c>
      <c r="K472">
        <v>37</v>
      </c>
      <c r="L472">
        <v>0</v>
      </c>
      <c r="M472">
        <v>0</v>
      </c>
      <c r="N472">
        <v>0</v>
      </c>
      <c r="O472">
        <v>0</v>
      </c>
    </row>
    <row r="473" spans="1:15">
      <c r="A473" s="1" t="s">
        <v>485</v>
      </c>
      <c r="B473" t="s">
        <v>504</v>
      </c>
      <c r="C473" t="s">
        <v>509</v>
      </c>
      <c r="E473">
        <v>40.5486111</v>
      </c>
      <c r="F473">
        <v>-120.7813889</v>
      </c>
      <c r="G473" t="s">
        <v>978</v>
      </c>
      <c r="I473" t="s">
        <v>505</v>
      </c>
      <c r="J473">
        <v>0</v>
      </c>
      <c r="K473">
        <v>14</v>
      </c>
      <c r="L473">
        <v>0</v>
      </c>
      <c r="M473">
        <v>0</v>
      </c>
      <c r="N473">
        <v>0</v>
      </c>
      <c r="O473">
        <v>0</v>
      </c>
    </row>
    <row r="474" spans="1:15">
      <c r="A474" s="1" t="s">
        <v>486</v>
      </c>
      <c r="B474" t="s">
        <v>504</v>
      </c>
      <c r="C474" t="s">
        <v>509</v>
      </c>
      <c r="D474">
        <v>0</v>
      </c>
      <c r="E474">
        <v>34.5119444</v>
      </c>
      <c r="F474">
        <v>-119.2736111</v>
      </c>
      <c r="G474" t="s">
        <v>979</v>
      </c>
      <c r="I474" t="s">
        <v>505</v>
      </c>
      <c r="J474">
        <v>0</v>
      </c>
      <c r="K474">
        <v>142</v>
      </c>
      <c r="L474">
        <v>33</v>
      </c>
      <c r="M474">
        <v>3</v>
      </c>
      <c r="N474">
        <v>30</v>
      </c>
      <c r="O474">
        <v>30</v>
      </c>
    </row>
    <row r="475" spans="1:15">
      <c r="A475" s="1" t="s">
        <v>487</v>
      </c>
      <c r="B475" t="s">
        <v>504</v>
      </c>
      <c r="C475" t="s">
        <v>509</v>
      </c>
      <c r="D475">
        <v>0</v>
      </c>
      <c r="E475">
        <v>39.3205556</v>
      </c>
      <c r="F475">
        <v>-120.8452778</v>
      </c>
      <c r="G475" t="s">
        <v>980</v>
      </c>
      <c r="I475" t="s">
        <v>505</v>
      </c>
      <c r="J475">
        <v>0</v>
      </c>
      <c r="K475">
        <v>22</v>
      </c>
      <c r="L475">
        <v>26</v>
      </c>
      <c r="M475">
        <v>0</v>
      </c>
      <c r="N475">
        <v>26</v>
      </c>
      <c r="O475">
        <v>26</v>
      </c>
    </row>
    <row r="476" spans="1:15">
      <c r="A476" s="1" t="s">
        <v>488</v>
      </c>
      <c r="B476" t="s">
        <v>504</v>
      </c>
      <c r="C476" t="s">
        <v>509</v>
      </c>
      <c r="D476">
        <v>0</v>
      </c>
      <c r="E476">
        <v>35.8458333</v>
      </c>
      <c r="F476">
        <v>-118.6347222</v>
      </c>
      <c r="G476" t="s">
        <v>981</v>
      </c>
      <c r="I476" t="s">
        <v>505</v>
      </c>
      <c r="J476">
        <v>0</v>
      </c>
      <c r="K476">
        <v>118</v>
      </c>
      <c r="L476">
        <v>5</v>
      </c>
      <c r="M476">
        <v>0</v>
      </c>
      <c r="N476">
        <v>5</v>
      </c>
      <c r="O476">
        <v>5</v>
      </c>
    </row>
    <row r="477" spans="1:15">
      <c r="A477" s="1" t="s">
        <v>489</v>
      </c>
      <c r="B477" t="s">
        <v>504</v>
      </c>
      <c r="C477" t="s">
        <v>509</v>
      </c>
      <c r="D477">
        <v>0</v>
      </c>
      <c r="E477">
        <v>39.8880556</v>
      </c>
      <c r="F477">
        <v>-121.1411111</v>
      </c>
      <c r="G477" t="s">
        <v>982</v>
      </c>
      <c r="I477" t="s">
        <v>505</v>
      </c>
      <c r="J477">
        <v>0</v>
      </c>
      <c r="K477">
        <v>12</v>
      </c>
      <c r="L477">
        <v>0</v>
      </c>
      <c r="M477">
        <v>0</v>
      </c>
      <c r="N477">
        <v>0</v>
      </c>
      <c r="O477">
        <v>0</v>
      </c>
    </row>
    <row r="478" spans="1:15">
      <c r="A478" s="1" t="s">
        <v>490</v>
      </c>
      <c r="B478" t="s">
        <v>504</v>
      </c>
      <c r="C478" t="s">
        <v>509</v>
      </c>
      <c r="D478">
        <v>0</v>
      </c>
      <c r="E478">
        <v>36.5898611</v>
      </c>
      <c r="F478">
        <v>-118.2297778</v>
      </c>
      <c r="G478" t="s">
        <v>983</v>
      </c>
      <c r="I478" t="s">
        <v>505</v>
      </c>
      <c r="J478">
        <v>0</v>
      </c>
      <c r="K478">
        <v>102</v>
      </c>
      <c r="L478">
        <v>0</v>
      </c>
      <c r="M478">
        <v>0</v>
      </c>
      <c r="N478">
        <v>0</v>
      </c>
      <c r="O478">
        <v>0</v>
      </c>
    </row>
    <row r="479" spans="1:15">
      <c r="A479" s="1" t="s">
        <v>491</v>
      </c>
      <c r="B479" t="s">
        <v>504</v>
      </c>
      <c r="C479" t="s">
        <v>509</v>
      </c>
      <c r="D479">
        <v>0</v>
      </c>
      <c r="E479">
        <v>34.2019444</v>
      </c>
      <c r="F479">
        <v>-116.7672222</v>
      </c>
      <c r="G479" t="s">
        <v>984</v>
      </c>
      <c r="I479" t="s">
        <v>505</v>
      </c>
      <c r="J479">
        <v>0</v>
      </c>
      <c r="K479">
        <v>125</v>
      </c>
      <c r="L479">
        <v>8</v>
      </c>
      <c r="M479">
        <v>0</v>
      </c>
      <c r="N479">
        <v>8</v>
      </c>
      <c r="O479">
        <v>8</v>
      </c>
    </row>
    <row r="480" spans="1:15">
      <c r="A480" s="1" t="s">
        <v>492</v>
      </c>
      <c r="B480" t="s">
        <v>504</v>
      </c>
      <c r="C480" t="s">
        <v>509</v>
      </c>
      <c r="D480">
        <v>0</v>
      </c>
      <c r="E480">
        <v>39.5663889</v>
      </c>
      <c r="F480">
        <v>-120.5991667</v>
      </c>
      <c r="G480" t="s">
        <v>985</v>
      </c>
      <c r="I480" t="s">
        <v>505</v>
      </c>
      <c r="J480">
        <v>0</v>
      </c>
      <c r="K480">
        <v>24</v>
      </c>
      <c r="L480">
        <v>31</v>
      </c>
      <c r="M480">
        <v>0</v>
      </c>
      <c r="N480">
        <v>31</v>
      </c>
      <c r="O480">
        <v>31</v>
      </c>
    </row>
    <row r="481" spans="1:15">
      <c r="A481" s="1" t="s">
        <v>493</v>
      </c>
      <c r="B481" t="s">
        <v>504</v>
      </c>
      <c r="C481" t="s">
        <v>509</v>
      </c>
      <c r="D481">
        <v>0</v>
      </c>
      <c r="E481">
        <v>36.1875</v>
      </c>
      <c r="F481">
        <v>-118.6625</v>
      </c>
      <c r="G481" t="s">
        <v>986</v>
      </c>
      <c r="I481" t="s">
        <v>505</v>
      </c>
      <c r="J481">
        <v>0</v>
      </c>
      <c r="K481">
        <v>112</v>
      </c>
      <c r="L481">
        <v>14</v>
      </c>
      <c r="M481">
        <v>0</v>
      </c>
      <c r="N481">
        <v>14</v>
      </c>
      <c r="O481">
        <v>14</v>
      </c>
    </row>
    <row r="482" spans="1:15">
      <c r="A482" s="1" t="s">
        <v>494</v>
      </c>
      <c r="B482" t="s">
        <v>504</v>
      </c>
      <c r="C482" t="s">
        <v>509</v>
      </c>
      <c r="D482">
        <v>0</v>
      </c>
      <c r="E482">
        <v>37.2972222</v>
      </c>
      <c r="F482">
        <v>-119.5338889</v>
      </c>
      <c r="G482" t="s">
        <v>987</v>
      </c>
      <c r="I482" t="s">
        <v>505</v>
      </c>
      <c r="J482">
        <v>0</v>
      </c>
      <c r="K482">
        <v>90</v>
      </c>
      <c r="L482">
        <v>23</v>
      </c>
      <c r="M482">
        <v>2</v>
      </c>
      <c r="N482">
        <v>21</v>
      </c>
      <c r="O482">
        <v>21</v>
      </c>
    </row>
    <row r="483" spans="1:15">
      <c r="A483" s="1" t="s">
        <v>495</v>
      </c>
      <c r="B483" t="s">
        <v>504</v>
      </c>
      <c r="C483" t="s">
        <v>509</v>
      </c>
      <c r="D483">
        <v>0</v>
      </c>
      <c r="E483">
        <v>38.8830556</v>
      </c>
      <c r="F483">
        <v>-120.4</v>
      </c>
      <c r="G483" t="s">
        <v>988</v>
      </c>
      <c r="I483" t="s">
        <v>505</v>
      </c>
      <c r="J483">
        <v>0</v>
      </c>
      <c r="K483">
        <v>36</v>
      </c>
      <c r="L483">
        <v>0</v>
      </c>
      <c r="M483">
        <v>0</v>
      </c>
      <c r="N483">
        <v>0</v>
      </c>
      <c r="O483">
        <v>0</v>
      </c>
    </row>
    <row r="484" spans="1:15">
      <c r="A484" s="1" t="s">
        <v>496</v>
      </c>
      <c r="B484" t="s">
        <v>504</v>
      </c>
      <c r="C484" t="s">
        <v>509</v>
      </c>
      <c r="D484">
        <v>0</v>
      </c>
      <c r="E484">
        <v>39.4855556</v>
      </c>
      <c r="F484">
        <v>-120.5477778</v>
      </c>
      <c r="G484" t="s">
        <v>989</v>
      </c>
      <c r="I484" t="s">
        <v>505</v>
      </c>
      <c r="J484">
        <v>0</v>
      </c>
      <c r="K484">
        <v>25</v>
      </c>
      <c r="L484">
        <v>6</v>
      </c>
      <c r="M484">
        <v>0</v>
      </c>
      <c r="N484">
        <v>6</v>
      </c>
      <c r="O484">
        <v>6</v>
      </c>
    </row>
    <row r="485" spans="1:15">
      <c r="A485" s="1" t="s">
        <v>497</v>
      </c>
      <c r="B485" t="s">
        <v>504</v>
      </c>
      <c r="C485" t="s">
        <v>509</v>
      </c>
      <c r="D485">
        <v>0</v>
      </c>
      <c r="E485">
        <v>32.8502778</v>
      </c>
      <c r="F485">
        <v>-116.42</v>
      </c>
      <c r="G485" t="s">
        <v>990</v>
      </c>
      <c r="I485" t="s">
        <v>505</v>
      </c>
      <c r="J485">
        <v>0</v>
      </c>
      <c r="K485">
        <v>133</v>
      </c>
      <c r="L485">
        <v>0</v>
      </c>
      <c r="M485">
        <v>0</v>
      </c>
      <c r="N485">
        <v>0</v>
      </c>
      <c r="O485">
        <v>0</v>
      </c>
    </row>
    <row r="486" spans="1:15">
      <c r="A486" s="1" t="s">
        <v>498</v>
      </c>
      <c r="B486" t="s">
        <v>505</v>
      </c>
      <c r="C486" t="s">
        <v>510</v>
      </c>
      <c r="D486">
        <v>0</v>
      </c>
      <c r="E486">
        <v>39.9175</v>
      </c>
      <c r="F486">
        <v>-122.0902778</v>
      </c>
      <c r="G486" t="s">
        <v>991</v>
      </c>
      <c r="I486" t="s">
        <v>505</v>
      </c>
      <c r="J486">
        <v>0</v>
      </c>
      <c r="K486">
        <v>356</v>
      </c>
      <c r="L486">
        <v>34</v>
      </c>
      <c r="M486">
        <v>0</v>
      </c>
      <c r="N486">
        <v>34</v>
      </c>
      <c r="O486">
        <v>34</v>
      </c>
    </row>
    <row r="487" spans="1:15">
      <c r="A487" s="1" t="s">
        <v>499</v>
      </c>
      <c r="B487" t="s">
        <v>508</v>
      </c>
      <c r="C487" t="s">
        <v>511</v>
      </c>
      <c r="D487">
        <v>0</v>
      </c>
      <c r="E487">
        <v>37.8469444</v>
      </c>
      <c r="F487">
        <v>-120.8770056</v>
      </c>
      <c r="G487" t="s">
        <v>991</v>
      </c>
      <c r="H487" t="s">
        <v>1002</v>
      </c>
      <c r="I487" t="s">
        <v>505</v>
      </c>
      <c r="J487">
        <v>0</v>
      </c>
      <c r="K487">
        <v>57</v>
      </c>
      <c r="L487">
        <v>44</v>
      </c>
      <c r="M487">
        <v>2</v>
      </c>
      <c r="N487">
        <v>42</v>
      </c>
      <c r="O487">
        <v>42</v>
      </c>
    </row>
    <row r="488" spans="1:15">
      <c r="A488" s="1" t="s">
        <v>500</v>
      </c>
      <c r="B488" t="s">
        <v>504</v>
      </c>
      <c r="C488" t="s">
        <v>509</v>
      </c>
      <c r="D488">
        <v>0</v>
      </c>
      <c r="E488">
        <v>38.8494444</v>
      </c>
      <c r="F488">
        <v>-120.2311111</v>
      </c>
      <c r="G488" t="s">
        <v>992</v>
      </c>
      <c r="I488" t="s">
        <v>505</v>
      </c>
      <c r="J488">
        <v>0</v>
      </c>
      <c r="K488">
        <v>40</v>
      </c>
      <c r="L488">
        <v>0</v>
      </c>
      <c r="M488">
        <v>0</v>
      </c>
      <c r="N488">
        <v>0</v>
      </c>
      <c r="O488">
        <v>0</v>
      </c>
    </row>
    <row r="489" spans="1:15">
      <c r="A489" s="1" t="s">
        <v>501</v>
      </c>
      <c r="B489" t="s">
        <v>504</v>
      </c>
      <c r="C489" t="s">
        <v>509</v>
      </c>
      <c r="D489">
        <v>0</v>
      </c>
      <c r="E489">
        <v>39.745</v>
      </c>
      <c r="F489">
        <v>-120.9875</v>
      </c>
      <c r="G489" t="s">
        <v>993</v>
      </c>
      <c r="H489" t="s">
        <v>998</v>
      </c>
      <c r="I489" t="s">
        <v>505</v>
      </c>
      <c r="J489">
        <v>0</v>
      </c>
      <c r="K489">
        <v>16</v>
      </c>
      <c r="L489">
        <v>12</v>
      </c>
      <c r="M489">
        <v>0</v>
      </c>
      <c r="N489">
        <v>12</v>
      </c>
      <c r="O489">
        <v>12</v>
      </c>
    </row>
    <row r="490" spans="1:15">
      <c r="A490" s="1" t="s">
        <v>502</v>
      </c>
      <c r="B490" t="s">
        <v>504</v>
      </c>
      <c r="C490" t="s">
        <v>509</v>
      </c>
      <c r="D490">
        <v>0</v>
      </c>
      <c r="E490">
        <v>38.8916667</v>
      </c>
      <c r="F490">
        <v>-120.3916667</v>
      </c>
      <c r="G490" t="s">
        <v>994</v>
      </c>
      <c r="I490" t="s">
        <v>505</v>
      </c>
      <c r="J490">
        <v>0</v>
      </c>
      <c r="K490">
        <v>36</v>
      </c>
      <c r="L490">
        <v>0</v>
      </c>
      <c r="M490">
        <v>0</v>
      </c>
      <c r="N490">
        <v>0</v>
      </c>
      <c r="O490">
        <v>0</v>
      </c>
    </row>
    <row r="491" spans="1:15">
      <c r="A491" s="1" t="s">
        <v>503</v>
      </c>
      <c r="B491" t="s">
        <v>504</v>
      </c>
      <c r="C491" t="s">
        <v>509</v>
      </c>
      <c r="E491">
        <v>39.6175</v>
      </c>
      <c r="F491">
        <v>-120.4994444</v>
      </c>
      <c r="G491" t="s">
        <v>995</v>
      </c>
      <c r="I491" t="s">
        <v>505</v>
      </c>
      <c r="J491">
        <v>0</v>
      </c>
      <c r="K491">
        <v>25</v>
      </c>
      <c r="L491">
        <v>0</v>
      </c>
      <c r="M491">
        <v>0</v>
      </c>
      <c r="N491">
        <v>0</v>
      </c>
      <c r="O49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91"/>
  <sheetViews>
    <sheetView workbookViewId="0"/>
  </sheetViews>
  <sheetFormatPr defaultRowHeight="15"/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14</v>
      </c>
      <c r="B2" t="s">
        <v>504</v>
      </c>
      <c r="C2" t="s">
        <v>509</v>
      </c>
      <c r="D2">
        <f>HYPERLINK("http://www.reserveamerica.com/camping/ackerman-campground/r/facilityDetails.do?contractCode=NRSO&amp;parkId=72377", "ACKERMAN CAMPGROUND")</f>
        <v>0</v>
      </c>
      <c r="E2">
        <v>40.7855556</v>
      </c>
      <c r="F2">
        <v>-122.7716667</v>
      </c>
      <c r="G2" t="s">
        <v>512</v>
      </c>
      <c r="I2" t="s">
        <v>505</v>
      </c>
      <c r="J2">
        <f>HYPERLINK("http://maps.google.com/maps?z=10&amp;t=m&amp;q=loc:40.7855556+-122.7716667", 391)</f>
        <v>0</v>
      </c>
      <c r="K2">
        <v>349</v>
      </c>
      <c r="L2">
        <v>0</v>
      </c>
      <c r="M2">
        <v>0</v>
      </c>
      <c r="N2">
        <v>0</v>
      </c>
      <c r="O2">
        <v>0</v>
      </c>
    </row>
    <row r="3" spans="1:15">
      <c r="A3" s="1" t="s">
        <v>15</v>
      </c>
      <c r="B3" t="s">
        <v>504</v>
      </c>
      <c r="C3" t="s">
        <v>509</v>
      </c>
      <c r="D3">
        <f>HYPERLINK("http://www.reserveamerica.com/camping/acorn-campground/r/facilityDetails.do?contractCode=NRSO&amp;parkId=73494", "ACORN CAMPGROUND")</f>
        <v>0</v>
      </c>
      <c r="E3">
        <v>38.1762611</v>
      </c>
      <c r="F3">
        <v>-120.7997222</v>
      </c>
      <c r="G3" t="s">
        <v>513</v>
      </c>
      <c r="I3" t="s">
        <v>505</v>
      </c>
      <c r="J3">
        <f>HYPERLINK("http://maps.google.com/maps?z=10&amp;t=m&amp;q=loc:38.1762611+-120.7997222", 135)</f>
        <v>0</v>
      </c>
      <c r="K3">
        <v>45</v>
      </c>
      <c r="L3">
        <v>118</v>
      </c>
      <c r="M3">
        <v>3</v>
      </c>
      <c r="N3">
        <v>115</v>
      </c>
      <c r="O3">
        <v>115</v>
      </c>
    </row>
    <row r="4" spans="1:15">
      <c r="A4" s="1" t="s">
        <v>16</v>
      </c>
      <c r="B4" t="s">
        <v>504</v>
      </c>
      <c r="C4" t="s">
        <v>509</v>
      </c>
      <c r="D4">
        <f>HYPERLINK("http://www.reserveamerica.com/camping/agnew-meadows-group-camp/r/facilityDetails.do?contractCode=NRSO&amp;parkId=70158", "AGNEW MEADOWS GROUP CAMP")</f>
        <v>0</v>
      </c>
      <c r="E4">
        <v>37.6822222</v>
      </c>
      <c r="F4">
        <v>-119.0894444</v>
      </c>
      <c r="G4" t="s">
        <v>514</v>
      </c>
      <c r="I4" t="s">
        <v>505</v>
      </c>
      <c r="J4">
        <f>HYPERLINK("http://maps.google.com/maps?z=10&amp;t=m&amp;q=loc:37.6822222+-119.0894444", 251)</f>
        <v>0</v>
      </c>
      <c r="K4">
        <v>80</v>
      </c>
      <c r="L4">
        <v>0</v>
      </c>
      <c r="M4">
        <v>0</v>
      </c>
      <c r="N4">
        <v>0</v>
      </c>
      <c r="O4">
        <v>0</v>
      </c>
    </row>
    <row r="5" spans="1:15">
      <c r="A5" s="1" t="s">
        <v>17</v>
      </c>
      <c r="B5" t="s">
        <v>504</v>
      </c>
      <c r="C5" t="s">
        <v>509</v>
      </c>
      <c r="D5">
        <f>HYPERLINK("http://www.reserveamerica.com/camping/almanor/r/facilityDetails.do?contractCode=NRSO&amp;parkId=70528", "ALMANOR")</f>
        <v>0</v>
      </c>
      <c r="E5">
        <v>40.2169444</v>
      </c>
      <c r="F5">
        <v>-121.1677778</v>
      </c>
      <c r="G5" t="s">
        <v>515</v>
      </c>
      <c r="I5" t="s">
        <v>505</v>
      </c>
      <c r="J5">
        <f>HYPERLINK("http://maps.google.com/maps?z=10&amp;t=m&amp;q=loc:40.2169444+-121.1677778", 327)</f>
        <v>0</v>
      </c>
      <c r="K5">
        <v>11</v>
      </c>
      <c r="L5">
        <v>1</v>
      </c>
      <c r="M5">
        <v>0</v>
      </c>
      <c r="N5">
        <v>1</v>
      </c>
      <c r="O5">
        <v>1</v>
      </c>
    </row>
    <row r="6" spans="1:15">
      <c r="A6" s="1" t="s">
        <v>18</v>
      </c>
      <c r="B6" t="s">
        <v>504</v>
      </c>
      <c r="C6" t="s">
        <v>509</v>
      </c>
      <c r="D6">
        <f>HYPERLINK("http://www.reserveamerica.com/camping/alpine-view-campground/r/facilityDetails.do?contractCode=NRSO&amp;parkId=72376", "ALPINE VIEW CAMPGROUND")</f>
        <v>0</v>
      </c>
      <c r="E6">
        <v>40.8870639</v>
      </c>
      <c r="F6">
        <v>-122.7658139</v>
      </c>
      <c r="G6" t="s">
        <v>516</v>
      </c>
      <c r="I6" t="s">
        <v>505</v>
      </c>
      <c r="J6">
        <f>HYPERLINK("http://maps.google.com/maps?z=10&amp;t=m&amp;q=loc:40.8870639+-122.7658139", 402)</f>
        <v>0</v>
      </c>
      <c r="K6">
        <v>349</v>
      </c>
      <c r="L6">
        <v>0</v>
      </c>
      <c r="M6">
        <v>0</v>
      </c>
      <c r="N6">
        <v>0</v>
      </c>
      <c r="O6">
        <v>0</v>
      </c>
    </row>
    <row r="7" spans="1:15">
      <c r="A7" s="1" t="s">
        <v>19</v>
      </c>
      <c r="B7" t="s">
        <v>504</v>
      </c>
      <c r="C7" t="s">
        <v>509</v>
      </c>
      <c r="D7">
        <f>HYPERLINK("http://www.reserveamerica.com/camping/anacapa-island/r/facilityDetails.do?contractCode=NRSO&amp;parkId=70984", "ANACAPA ISLAND")</f>
        <v>0</v>
      </c>
      <c r="E7">
        <v>34.0141917</v>
      </c>
      <c r="F7">
        <v>-119.3677889</v>
      </c>
      <c r="G7" t="s">
        <v>517</v>
      </c>
      <c r="H7" t="s">
        <v>996</v>
      </c>
      <c r="I7" t="s">
        <v>505</v>
      </c>
      <c r="J7">
        <f>HYPERLINK("http://maps.google.com/maps?z=10&amp;t=m&amp;q=loc:34.0141917+-119.3677889", 433)</f>
        <v>0</v>
      </c>
      <c r="K7">
        <v>147</v>
      </c>
      <c r="L7">
        <v>7</v>
      </c>
      <c r="M7">
        <v>0</v>
      </c>
      <c r="N7">
        <v>7</v>
      </c>
      <c r="O7">
        <v>7</v>
      </c>
    </row>
    <row r="8" spans="1:15">
      <c r="A8" s="1" t="s">
        <v>20</v>
      </c>
      <c r="B8" t="s">
        <v>505</v>
      </c>
      <c r="C8" t="s">
        <v>510</v>
      </c>
      <c r="D8">
        <f>HYPERLINK("http://www.reserveamerica.com/camping/angel-island-sp/r/facilityDetails.do?contractCode=CA&amp;parkId=120003", "ANGEL ISLAND SP")</f>
        <v>0</v>
      </c>
      <c r="E8">
        <v>37.8641667</v>
      </c>
      <c r="F8">
        <v>-122.4308333</v>
      </c>
      <c r="G8" t="s">
        <v>518</v>
      </c>
      <c r="I8" t="s">
        <v>505</v>
      </c>
      <c r="J8">
        <f>HYPERLINK("http://maps.google.com/maps?z=10&amp;t=m&amp;q=loc:37.8641667+-122.4308333", 75)</f>
        <v>0</v>
      </c>
      <c r="K8">
        <v>322</v>
      </c>
      <c r="L8">
        <v>0</v>
      </c>
      <c r="M8">
        <v>0</v>
      </c>
      <c r="N8">
        <v>0</v>
      </c>
      <c r="O8">
        <v>0</v>
      </c>
    </row>
    <row r="9" spans="1:15">
      <c r="A9" s="1" t="s">
        <v>21</v>
      </c>
      <c r="B9" t="s">
        <v>506</v>
      </c>
      <c r="C9" t="s">
        <v>511</v>
      </c>
      <c r="D9">
        <f>HYPERLINK("http://www.reserveamerica.com/camping/anthony-chabot/r/facilityDetails.do?contractCode=EB&amp;parkId=110004", "Anthony Chabot")</f>
        <v>0</v>
      </c>
      <c r="E9">
        <v>37.7352778</v>
      </c>
      <c r="F9">
        <v>-122.0961111</v>
      </c>
      <c r="G9" t="s">
        <v>519</v>
      </c>
      <c r="I9" t="s">
        <v>505</v>
      </c>
      <c r="J9">
        <f>HYPERLINK("http://maps.google.com/maps?z=10&amp;t=m&amp;q=loc:37.7352778+-122.0961111", 48)</f>
        <v>0</v>
      </c>
      <c r="K9">
        <v>339</v>
      </c>
      <c r="L9">
        <v>17</v>
      </c>
      <c r="M9">
        <v>0</v>
      </c>
      <c r="N9">
        <v>17</v>
      </c>
      <c r="O9">
        <v>17</v>
      </c>
    </row>
    <row r="10" spans="1:15">
      <c r="A10" s="1" t="s">
        <v>22</v>
      </c>
      <c r="B10" t="s">
        <v>504</v>
      </c>
      <c r="C10" t="s">
        <v>509</v>
      </c>
      <c r="D10">
        <f>HYPERLINK("http://www.reserveamerica.com/camping/antlers/r/facilityDetails.do?contractCode=NRSO&amp;parkId=71514", "ANTLERS")</f>
        <v>0</v>
      </c>
      <c r="E10">
        <v>40.8875</v>
      </c>
      <c r="F10">
        <v>-122.3775</v>
      </c>
      <c r="G10" t="s">
        <v>520</v>
      </c>
      <c r="I10" t="s">
        <v>505</v>
      </c>
      <c r="J10">
        <f>HYPERLINK("http://maps.google.com/maps?z=10&amp;t=m&amp;q=loc:40.8875+-122.3775", 397)</f>
        <v>0</v>
      </c>
      <c r="K10">
        <v>354</v>
      </c>
      <c r="L10">
        <v>0</v>
      </c>
      <c r="M10">
        <v>0</v>
      </c>
      <c r="N10">
        <v>0</v>
      </c>
      <c r="O10">
        <v>0</v>
      </c>
    </row>
    <row r="11" spans="1:15">
      <c r="A11" s="1" t="s">
        <v>23</v>
      </c>
      <c r="B11" t="s">
        <v>505</v>
      </c>
      <c r="C11" t="s">
        <v>510</v>
      </c>
      <c r="D11">
        <f>HYPERLINK("http://www.reserveamerica.com/camping/anzaborrego-desert-sp/r/facilityDetails.do?contractCode=CA&amp;parkId=120006", "ANZA-BORREGO DESERT SP")</f>
        <v>0</v>
      </c>
      <c r="E11">
        <v>33.2686111</v>
      </c>
      <c r="F11">
        <v>-116.4052778</v>
      </c>
      <c r="G11" t="s">
        <v>521</v>
      </c>
      <c r="I11" t="s">
        <v>505</v>
      </c>
      <c r="J11">
        <f>HYPERLINK("http://maps.google.com/maps?z=10&amp;t=m&amp;q=loc:33.2686111+-116.4052778", 672)</f>
        <v>0</v>
      </c>
      <c r="K11">
        <v>130</v>
      </c>
      <c r="L11">
        <v>0</v>
      </c>
      <c r="M11">
        <v>0</v>
      </c>
      <c r="N11">
        <v>0</v>
      </c>
      <c r="O11">
        <v>0</v>
      </c>
    </row>
    <row r="12" spans="1:15">
      <c r="A12" s="1" t="s">
        <v>24</v>
      </c>
      <c r="B12" t="s">
        <v>504</v>
      </c>
      <c r="C12" t="s">
        <v>509</v>
      </c>
      <c r="D12">
        <f>HYPERLINK("http://www.reserveamerica.com/camping/arroyo-seco/r/facilityDetails.do?contractCode=NRSO&amp;parkId=70160", "ARROYO SECO")</f>
        <v>0</v>
      </c>
      <c r="E12">
        <v>36.2397222</v>
      </c>
      <c r="F12">
        <v>-121.4786111</v>
      </c>
      <c r="G12" t="s">
        <v>522</v>
      </c>
      <c r="I12" t="s">
        <v>505</v>
      </c>
      <c r="J12">
        <f>HYPERLINK("http://maps.google.com/maps?z=10&amp;t=m&amp;q=loc:36.2397222+-121.4786111", 126)</f>
        <v>0</v>
      </c>
      <c r="K12">
        <v>162</v>
      </c>
      <c r="L12">
        <v>11</v>
      </c>
      <c r="M12">
        <v>7</v>
      </c>
      <c r="N12">
        <v>4</v>
      </c>
      <c r="O12">
        <v>4</v>
      </c>
    </row>
    <row r="13" spans="1:15">
      <c r="A13" s="1" t="s">
        <v>25</v>
      </c>
      <c r="B13" t="s">
        <v>504</v>
      </c>
      <c r="C13" t="s">
        <v>509</v>
      </c>
      <c r="D13">
        <f>HYPERLINK("http://www.reserveamerica.com/camping/aspen-group-inyo/r/facilityDetails.do?contractCode=NRSO&amp;parkId=71938", "ASPEN GROUP (INYO)")</f>
        <v>0</v>
      </c>
      <c r="E13">
        <v>37.5236111</v>
      </c>
      <c r="F13">
        <v>-118.7119444</v>
      </c>
      <c r="G13" t="s">
        <v>523</v>
      </c>
      <c r="I13" t="s">
        <v>505</v>
      </c>
      <c r="J13">
        <f>HYPERLINK("http://maps.google.com/maps?z=10&amp;t=m&amp;q=loc:37.5236111+-118.7119444", 282)</f>
        <v>0</v>
      </c>
      <c r="K13">
        <v>84</v>
      </c>
      <c r="L13">
        <v>0</v>
      </c>
      <c r="M13">
        <v>0</v>
      </c>
      <c r="N13">
        <v>0</v>
      </c>
      <c r="O13">
        <v>0</v>
      </c>
    </row>
    <row r="14" spans="1:15">
      <c r="A14" s="1" t="s">
        <v>26</v>
      </c>
      <c r="B14" t="s">
        <v>504</v>
      </c>
      <c r="C14" t="s">
        <v>509</v>
      </c>
      <c r="D14">
        <f>HYPERLINK("http://www.reserveamerica.com/camping/aspen-group-tahoe/r/facilityDetails.do?contractCode=NRSO&amp;parkId=71674", "ASPEN GROUP (TAHOE)")</f>
        <v>0</v>
      </c>
      <c r="E14">
        <v>39.5072222</v>
      </c>
      <c r="F14">
        <v>-120.54</v>
      </c>
      <c r="G14" t="s">
        <v>524</v>
      </c>
      <c r="I14" t="s">
        <v>505</v>
      </c>
      <c r="J14">
        <f>HYPERLINK("http://maps.google.com/maps?z=10&amp;t=m&amp;q=loc:39.5072222+-120.54", 269)</f>
        <v>0</v>
      </c>
      <c r="K14">
        <v>25</v>
      </c>
      <c r="L14">
        <v>0</v>
      </c>
      <c r="M14">
        <v>0</v>
      </c>
      <c r="N14">
        <v>0</v>
      </c>
      <c r="O14">
        <v>0</v>
      </c>
    </row>
    <row r="15" spans="1:15">
      <c r="A15" s="1" t="s">
        <v>27</v>
      </c>
      <c r="B15" t="s">
        <v>504</v>
      </c>
      <c r="C15" t="s">
        <v>509</v>
      </c>
      <c r="D15">
        <f>HYPERLINK("http://www.reserveamerica.com/camping/aspen-hollow-group/r/facilityDetails.do?contractCode=NRSO&amp;parkId=71546", "ASPEN HOLLOW GROUP")</f>
        <v>0</v>
      </c>
      <c r="E15">
        <v>36.7811111</v>
      </c>
      <c r="F15">
        <v>-118.9027778</v>
      </c>
      <c r="G15" t="s">
        <v>525</v>
      </c>
      <c r="I15" t="s">
        <v>505</v>
      </c>
      <c r="J15">
        <f>HYPERLINK("http://maps.google.com/maps?z=10&amp;t=m&amp;q=loc:36.7811111+-118.9027778", 273)</f>
        <v>0</v>
      </c>
      <c r="K15">
        <v>101</v>
      </c>
      <c r="L15">
        <v>1</v>
      </c>
      <c r="M15">
        <v>1</v>
      </c>
      <c r="N15">
        <v>0</v>
      </c>
      <c r="O15">
        <v>0</v>
      </c>
    </row>
    <row r="16" spans="1:15">
      <c r="A16" s="1" t="s">
        <v>28</v>
      </c>
      <c r="B16" t="s">
        <v>504</v>
      </c>
      <c r="C16" t="s">
        <v>509</v>
      </c>
      <c r="D16">
        <f>HYPERLINK("http://www.reserveamerica.com/camping/badger-flats-group/r/facilityDetails.do?contractCode=NRSO&amp;parkId=71586", "BADGER FLATS GROUP")</f>
        <v>0</v>
      </c>
      <c r="E16">
        <v>37.2694444</v>
      </c>
      <c r="F16">
        <v>-119.115</v>
      </c>
      <c r="G16" t="s">
        <v>526</v>
      </c>
      <c r="I16" t="s">
        <v>505</v>
      </c>
      <c r="J16">
        <f>HYPERLINK("http://maps.google.com/maps?z=10&amp;t=m&amp;q=loc:37.2694444+-119.115", 246)</f>
        <v>0</v>
      </c>
      <c r="K16">
        <v>90</v>
      </c>
      <c r="L16">
        <v>0</v>
      </c>
      <c r="M16">
        <v>0</v>
      </c>
      <c r="N16">
        <v>0</v>
      </c>
      <c r="O16">
        <v>0</v>
      </c>
    </row>
    <row r="17" spans="1:15">
      <c r="A17" s="1" t="s">
        <v>29</v>
      </c>
      <c r="B17" t="s">
        <v>504</v>
      </c>
      <c r="C17" t="s">
        <v>509</v>
      </c>
      <c r="D17">
        <f>HYPERLINK("http://www.reserveamerica.com/camping/bailey-cove/r/facilityDetails.do?contractCode=NRSO&amp;parkId=71521", "BAILEY COVE")</f>
        <v>0</v>
      </c>
      <c r="E17">
        <v>40.8016667</v>
      </c>
      <c r="F17">
        <v>-122.2819444</v>
      </c>
      <c r="G17" t="s">
        <v>527</v>
      </c>
      <c r="I17" t="s">
        <v>505</v>
      </c>
      <c r="J17">
        <f>HYPERLINK("http://maps.google.com/maps?z=10&amp;t=m&amp;q=loc:40.8016667+-122.2819444", 387)</f>
        <v>0</v>
      </c>
      <c r="K17">
        <v>355</v>
      </c>
      <c r="L17">
        <v>0</v>
      </c>
      <c r="M17">
        <v>0</v>
      </c>
      <c r="N17">
        <v>0</v>
      </c>
      <c r="O17">
        <v>0</v>
      </c>
    </row>
    <row r="18" spans="1:15">
      <c r="A18" s="1" t="s">
        <v>30</v>
      </c>
      <c r="B18" t="s">
        <v>504</v>
      </c>
      <c r="C18" t="s">
        <v>509</v>
      </c>
      <c r="D18">
        <f>HYPERLINK("http://www.reserveamerica.com/camping/bandido-group-campground/r/facilityDetails.do?contractCode=NRSO&amp;parkId=75445", "BANDIDO GROUP CAMPGROUND")</f>
        <v>0</v>
      </c>
      <c r="E18">
        <v>34.3452778</v>
      </c>
      <c r="F18">
        <v>-118.0047222</v>
      </c>
      <c r="G18" t="s">
        <v>528</v>
      </c>
      <c r="I18" t="s">
        <v>505</v>
      </c>
      <c r="J18">
        <f>HYPERLINK("http://maps.google.com/maps?z=10&amp;t=m&amp;q=loc:34.3452778+-118.0047222", 482)</f>
        <v>0</v>
      </c>
      <c r="K18">
        <v>132</v>
      </c>
      <c r="L18">
        <v>4</v>
      </c>
      <c r="M18">
        <v>0</v>
      </c>
      <c r="N18">
        <v>4</v>
      </c>
      <c r="O18">
        <v>4</v>
      </c>
    </row>
    <row r="19" spans="1:15">
      <c r="A19" s="1" t="s">
        <v>31</v>
      </c>
      <c r="B19" t="s">
        <v>504</v>
      </c>
      <c r="C19" t="s">
        <v>509</v>
      </c>
      <c r="D19">
        <f>HYPERLINK("http://www.reserveamerica.com/camping/barton-flats/r/facilityDetails.do?contractCode=NRSO&amp;parkId=70181", "BARTON FLATS")</f>
        <v>0</v>
      </c>
      <c r="E19">
        <v>34.1722222</v>
      </c>
      <c r="F19">
        <v>-116.8744444</v>
      </c>
      <c r="G19" t="s">
        <v>529</v>
      </c>
      <c r="I19" t="s">
        <v>505</v>
      </c>
      <c r="J19">
        <f>HYPERLINK("http://maps.google.com/maps?z=10&amp;t=m&amp;q=loc:34.1722222+-116.8744444", 573)</f>
        <v>0</v>
      </c>
      <c r="K19">
        <v>126</v>
      </c>
      <c r="L19">
        <v>35</v>
      </c>
      <c r="M19">
        <v>4</v>
      </c>
      <c r="N19">
        <v>31</v>
      </c>
      <c r="O19">
        <v>31</v>
      </c>
    </row>
    <row r="20" spans="1:15">
      <c r="A20" s="1" t="s">
        <v>32</v>
      </c>
      <c r="B20" t="s">
        <v>504</v>
      </c>
      <c r="C20" t="s">
        <v>509</v>
      </c>
      <c r="D20">
        <f>HYPERLINK("http://www.reserveamerica.com/camping/bear-river-group-campground/r/facilityDetails.do?contractCode=NRSO&amp;parkId=75010", "BEAR RIVER GROUP CAMPGROUND")</f>
        <v>0</v>
      </c>
      <c r="E20">
        <v>38.5338889</v>
      </c>
      <c r="F20">
        <v>-120.2188889</v>
      </c>
      <c r="G20" t="s">
        <v>530</v>
      </c>
      <c r="I20" t="s">
        <v>505</v>
      </c>
      <c r="J20">
        <f>HYPERLINK("http://maps.google.com/maps?z=10&amp;t=m&amp;q=loc:38.5338889+-120.2188889", 199)</f>
        <v>0</v>
      </c>
      <c r="K20">
        <v>47</v>
      </c>
      <c r="L20">
        <v>0</v>
      </c>
      <c r="M20">
        <v>0</v>
      </c>
      <c r="N20">
        <v>0</v>
      </c>
      <c r="O20">
        <v>0</v>
      </c>
    </row>
    <row r="21" spans="1:15">
      <c r="A21" s="1" t="s">
        <v>33</v>
      </c>
      <c r="B21" t="s">
        <v>504</v>
      </c>
      <c r="C21" t="s">
        <v>509</v>
      </c>
      <c r="D21">
        <f>HYPERLINK("http://www.reserveamerica.com/camping/belknap/r/facilityDetails.do?contractCode=NRSO&amp;parkId=71587", "BELKNAP")</f>
        <v>0</v>
      </c>
      <c r="E21">
        <v>36.1416667</v>
      </c>
      <c r="F21">
        <v>-118.5997222</v>
      </c>
      <c r="G21" t="s">
        <v>531</v>
      </c>
      <c r="I21" t="s">
        <v>505</v>
      </c>
      <c r="J21">
        <f>HYPERLINK("http://maps.google.com/maps?z=10&amp;t=m&amp;q=loc:36.1416667+-118.5997222", 322)</f>
        <v>0</v>
      </c>
      <c r="K21">
        <v>113</v>
      </c>
      <c r="L21">
        <v>10</v>
      </c>
      <c r="M21">
        <v>0</v>
      </c>
      <c r="N21">
        <v>10</v>
      </c>
      <c r="O21">
        <v>10</v>
      </c>
    </row>
    <row r="22" spans="1:15">
      <c r="A22" s="1" t="s">
        <v>34</v>
      </c>
      <c r="B22" t="s">
        <v>504</v>
      </c>
      <c r="C22" t="s">
        <v>509</v>
      </c>
      <c r="D22">
        <f>HYPERLINK("http://www.reserveamerica.com/camping/berger/r/facilityDetails.do?contractCode=NRSO&amp;parkId=75426", "BERGER")</f>
        <v>0</v>
      </c>
      <c r="E22">
        <v>39.6277778</v>
      </c>
      <c r="F22">
        <v>-120.6447222</v>
      </c>
      <c r="G22" t="s">
        <v>532</v>
      </c>
      <c r="I22" t="s">
        <v>505</v>
      </c>
      <c r="J22">
        <f>HYPERLINK("http://maps.google.com/maps?z=10&amp;t=m&amp;q=loc:39.6277778+-120.6447222", 278)</f>
        <v>0</v>
      </c>
      <c r="K22">
        <v>22</v>
      </c>
      <c r="L22">
        <v>0</v>
      </c>
      <c r="M22">
        <v>0</v>
      </c>
      <c r="N22">
        <v>0</v>
      </c>
      <c r="O22">
        <v>0</v>
      </c>
    </row>
    <row r="23" spans="1:15">
      <c r="A23" s="1" t="s">
        <v>35</v>
      </c>
      <c r="B23" t="s">
        <v>505</v>
      </c>
      <c r="C23" t="s">
        <v>510</v>
      </c>
      <c r="D23">
        <f>HYPERLINK("http://www.reserveamerica.com/camping/big-basin-redwoods-sp/r/facilityDetails.do?contractCode=CA&amp;parkId=120009", "BIG BASIN REDWOODS SP")</f>
        <v>0</v>
      </c>
      <c r="E23">
        <v>37.1852778</v>
      </c>
      <c r="F23">
        <v>-122.2286111</v>
      </c>
      <c r="G23" t="s">
        <v>533</v>
      </c>
      <c r="I23" t="s">
        <v>505</v>
      </c>
      <c r="J23">
        <f>HYPERLINK("http://maps.google.com/maps?z=10&amp;t=m&amp;q=loc:37.1852778+-122.2286111", 32)</f>
        <v>0</v>
      </c>
      <c r="K23">
        <v>241</v>
      </c>
      <c r="L23">
        <v>2</v>
      </c>
      <c r="M23">
        <v>2</v>
      </c>
      <c r="N23">
        <v>0</v>
      </c>
      <c r="O23">
        <v>0</v>
      </c>
    </row>
    <row r="24" spans="1:15">
      <c r="A24" s="1" t="s">
        <v>36</v>
      </c>
      <c r="B24" t="s">
        <v>504</v>
      </c>
      <c r="C24" t="s">
        <v>509</v>
      </c>
      <c r="D24">
        <f>HYPERLINK("http://www.reserveamerica.com/camping/big-bend-group-yuba-river/r/facilityDetails.do?contractCode=NRSO&amp;parkId=75483", "BIG BEND GROUP (YUBA RIVER)")</f>
        <v>0</v>
      </c>
      <c r="E24">
        <v>39.3063889</v>
      </c>
      <c r="F24">
        <v>-120.5194444</v>
      </c>
      <c r="G24" t="s">
        <v>534</v>
      </c>
      <c r="I24" t="s">
        <v>505</v>
      </c>
      <c r="J24">
        <f>HYPERLINK("http://maps.google.com/maps?z=10&amp;t=m&amp;q=loc:39.3063889+-120.5194444", 250)</f>
        <v>0</v>
      </c>
      <c r="K24">
        <v>28</v>
      </c>
      <c r="L24">
        <v>0</v>
      </c>
      <c r="M24">
        <v>0</v>
      </c>
      <c r="N24">
        <v>0</v>
      </c>
      <c r="O24">
        <v>0</v>
      </c>
    </row>
    <row r="25" spans="1:15">
      <c r="A25" s="1" t="s">
        <v>37</v>
      </c>
      <c r="B25" t="s">
        <v>504</v>
      </c>
      <c r="C25" t="s">
        <v>509</v>
      </c>
      <c r="D25">
        <f>HYPERLINK("http://www.reserveamerica.com/camping/big-cove/r/facilityDetails.do?contractCode=NRSO&amp;parkId=71607", "BIG COVE")</f>
        <v>0</v>
      </c>
      <c r="E25">
        <v>39.9019444</v>
      </c>
      <c r="F25">
        <v>-120.1725</v>
      </c>
      <c r="G25" t="s">
        <v>535</v>
      </c>
      <c r="I25" t="s">
        <v>505</v>
      </c>
      <c r="J25">
        <f>HYPERLINK("http://maps.google.com/maps?z=10&amp;t=m&amp;q=loc:39.9019444+-120.1725", 323)</f>
        <v>0</v>
      </c>
      <c r="K25">
        <v>27</v>
      </c>
      <c r="L25">
        <v>0</v>
      </c>
      <c r="M25">
        <v>0</v>
      </c>
      <c r="N25">
        <v>0</v>
      </c>
      <c r="O25">
        <v>0</v>
      </c>
    </row>
    <row r="26" spans="1:15">
      <c r="A26" s="1" t="s">
        <v>38</v>
      </c>
      <c r="B26" t="s">
        <v>504</v>
      </c>
      <c r="C26" t="s">
        <v>509</v>
      </c>
      <c r="D26">
        <f>HYPERLINK("http://www.reserveamerica.com/camping/big-meadow-stanislaus-natl-fs/r/facilityDetails.do?contractCode=NRSO&amp;parkId=70551", "BIG MEADOW STANISLAUS NATL FS")</f>
        <v>0</v>
      </c>
      <c r="E26">
        <v>38.4163889</v>
      </c>
      <c r="F26">
        <v>-120.105</v>
      </c>
      <c r="G26" t="s">
        <v>536</v>
      </c>
      <c r="I26" t="s">
        <v>505</v>
      </c>
      <c r="J26">
        <f>HYPERLINK("http://maps.google.com/maps?z=10&amp;t=m&amp;q=loc:38.4163889+-120.105", 198)</f>
        <v>0</v>
      </c>
      <c r="K26">
        <v>52</v>
      </c>
      <c r="L26">
        <v>0</v>
      </c>
      <c r="M26">
        <v>0</v>
      </c>
      <c r="N26">
        <v>0</v>
      </c>
      <c r="O26">
        <v>0</v>
      </c>
    </row>
    <row r="27" spans="1:15">
      <c r="A27" s="1" t="s">
        <v>39</v>
      </c>
      <c r="B27" t="s">
        <v>504</v>
      </c>
      <c r="C27" t="s">
        <v>509</v>
      </c>
      <c r="D27">
        <f>HYPERLINK("http://www.reserveamerica.com/camping/big-pine-canyon/r/facilityDetails.do?contractCode=NRSO&amp;parkId=70518", "BIG PINE CANYON")</f>
        <v>0</v>
      </c>
      <c r="E27">
        <v>37.1283333</v>
      </c>
      <c r="F27">
        <v>-118.4222222</v>
      </c>
      <c r="G27" t="s">
        <v>537</v>
      </c>
      <c r="I27" t="s">
        <v>505</v>
      </c>
      <c r="J27">
        <f>HYPERLINK("http://maps.google.com/maps?z=10&amp;t=m&amp;q=loc:37.1283333+-118.4222222", 309)</f>
        <v>0</v>
      </c>
      <c r="K27">
        <v>93</v>
      </c>
      <c r="L27">
        <v>0</v>
      </c>
      <c r="M27">
        <v>0</v>
      </c>
      <c r="N27">
        <v>0</v>
      </c>
      <c r="O27">
        <v>0</v>
      </c>
    </row>
    <row r="28" spans="1:15">
      <c r="A28" s="1" t="s">
        <v>40</v>
      </c>
      <c r="B28" t="s">
        <v>504</v>
      </c>
      <c r="C28" t="s">
        <v>509</v>
      </c>
      <c r="D28">
        <f>HYPERLINK("http://www.reserveamerica.com/camping/big-pine-creek-campground/r/facilityDetails.do?contractCode=NRSO&amp;parkId=70617", "BIG PINE CREEK CAMPGROUND")</f>
        <v>0</v>
      </c>
      <c r="E28">
        <v>37.1258333</v>
      </c>
      <c r="F28">
        <v>-118.4325</v>
      </c>
      <c r="G28" t="s">
        <v>538</v>
      </c>
      <c r="I28" t="s">
        <v>505</v>
      </c>
      <c r="J28">
        <f>HYPERLINK("http://maps.google.com/maps?z=10&amp;t=m&amp;q=loc:37.1258333+-118.4325", 308)</f>
        <v>0</v>
      </c>
      <c r="K28">
        <v>93</v>
      </c>
      <c r="L28">
        <v>0</v>
      </c>
      <c r="M28">
        <v>0</v>
      </c>
      <c r="N28">
        <v>0</v>
      </c>
      <c r="O28">
        <v>0</v>
      </c>
    </row>
    <row r="29" spans="1:15">
      <c r="A29" s="1" t="s">
        <v>41</v>
      </c>
      <c r="B29" t="s">
        <v>504</v>
      </c>
      <c r="C29" t="s">
        <v>509</v>
      </c>
      <c r="D29">
        <f>HYPERLINK("http://www.reserveamerica.com/camping/big-silver-group/r/facilityDetails.do?contractCode=NRSO&amp;parkId=73627", "BIG SILVER GROUP")</f>
        <v>0</v>
      </c>
      <c r="E29">
        <v>38.8791667</v>
      </c>
      <c r="F29">
        <v>-120.3625</v>
      </c>
      <c r="G29" t="s">
        <v>539</v>
      </c>
      <c r="I29" t="s">
        <v>505</v>
      </c>
      <c r="J29">
        <f>HYPERLINK("http://maps.google.com/maps?z=10&amp;t=m&amp;q=loc:38.8791667+-120.3625", 218)</f>
        <v>0</v>
      </c>
      <c r="K29">
        <v>37</v>
      </c>
      <c r="L29">
        <v>0</v>
      </c>
      <c r="M29">
        <v>0</v>
      </c>
      <c r="N29">
        <v>0</v>
      </c>
      <c r="O29">
        <v>0</v>
      </c>
    </row>
    <row r="30" spans="1:15">
      <c r="A30" s="1" t="s">
        <v>42</v>
      </c>
      <c r="B30" t="s">
        <v>504</v>
      </c>
      <c r="C30" t="s">
        <v>509</v>
      </c>
      <c r="D30">
        <f>HYPERLINK("http://www.reserveamerica.com/camping/bishop-park-group/r/facilityDetails.do?contractCode=NRSO&amp;parkId=70519", "BISHOP PARK GROUP")</f>
        <v>0</v>
      </c>
      <c r="E30">
        <v>37.2438889</v>
      </c>
      <c r="F30">
        <v>-118.5933333</v>
      </c>
      <c r="G30" t="s">
        <v>540</v>
      </c>
      <c r="I30" t="s">
        <v>505</v>
      </c>
      <c r="J30">
        <f>HYPERLINK("http://maps.google.com/maps?z=10&amp;t=m&amp;q=loc:37.2438889+-118.5933333", 293)</f>
        <v>0</v>
      </c>
      <c r="K30">
        <v>90</v>
      </c>
      <c r="L30">
        <v>0</v>
      </c>
      <c r="M30">
        <v>0</v>
      </c>
      <c r="N30">
        <v>0</v>
      </c>
      <c r="O30">
        <v>0</v>
      </c>
    </row>
    <row r="31" spans="1:15">
      <c r="A31" s="1" t="s">
        <v>43</v>
      </c>
      <c r="B31" t="s">
        <v>506</v>
      </c>
      <c r="C31" t="s">
        <v>511</v>
      </c>
      <c r="D31">
        <f>HYPERLINK("http://www.reserveamerica.com/camping/black-diamond-mines-regional-preserve/r/facilityDetails.do?contractCode=EB&amp;parkId=110452", "Black Diamond Mines Regional Preserve")</f>
        <v>0</v>
      </c>
      <c r="E31">
        <v>37.9583333</v>
      </c>
      <c r="F31">
        <v>-37121.8630556</v>
      </c>
      <c r="G31" t="s">
        <v>541</v>
      </c>
      <c r="I31" t="s">
        <v>505</v>
      </c>
      <c r="J31">
        <f>HYPERLINK("http://maps.google.com/maps?z=10&amp;t=m&amp;q=loc:37.9583333+-37121.8630556", 6803)</f>
        <v>0</v>
      </c>
      <c r="K31">
        <v>62</v>
      </c>
      <c r="L31">
        <v>0</v>
      </c>
      <c r="M31">
        <v>0</v>
      </c>
      <c r="N31">
        <v>0</v>
      </c>
      <c r="O31">
        <v>0</v>
      </c>
    </row>
    <row r="32" spans="1:15">
      <c r="A32" s="1" t="s">
        <v>44</v>
      </c>
      <c r="B32" t="s">
        <v>507</v>
      </c>
      <c r="C32" t="s">
        <v>511</v>
      </c>
      <c r="D32">
        <f>HYPERLINK("http://www.reserveamerica.com/camping/black-jack-campground/r/facilityDetails.do?contractCode=CTLN&amp;parkId=940023", "BLACK JACK CAMPGROUND")</f>
        <v>0</v>
      </c>
      <c r="E32">
        <v>33.3858333</v>
      </c>
      <c r="F32">
        <v>-118.4061111</v>
      </c>
      <c r="G32" t="s">
        <v>542</v>
      </c>
      <c r="I32" t="s">
        <v>505</v>
      </c>
      <c r="J32">
        <f>HYPERLINK("http://maps.google.com/maps?z=10&amp;t=m&amp;q=loc:33.3858333+-118.4061111", 540)</f>
        <v>0</v>
      </c>
      <c r="K32">
        <v>143</v>
      </c>
      <c r="L32">
        <v>8</v>
      </c>
      <c r="M32">
        <v>0</v>
      </c>
      <c r="N32">
        <v>8</v>
      </c>
      <c r="O32">
        <v>8</v>
      </c>
    </row>
    <row r="33" spans="1:15">
      <c r="A33" s="1" t="s">
        <v>45</v>
      </c>
      <c r="B33" t="s">
        <v>504</v>
      </c>
      <c r="C33" t="s">
        <v>509</v>
      </c>
      <c r="D33">
        <f>HYPERLINK("http://www.reserveamerica.com/camping/black-mountain-san-bernardino/r/facilityDetails.do?contractCode=NRSO&amp;parkId=70236", "BLACK MOUNTAIN (SAN BERNARDINO)")</f>
        <v>0</v>
      </c>
      <c r="E33">
        <v>33.8341667</v>
      </c>
      <c r="F33">
        <v>-116.7388889</v>
      </c>
      <c r="G33" t="s">
        <v>543</v>
      </c>
      <c r="I33" t="s">
        <v>505</v>
      </c>
      <c r="J33">
        <f>HYPERLINK("http://maps.google.com/maps?z=10&amp;t=m&amp;q=loc:33.8341667+-116.7388889", 607)</f>
        <v>0</v>
      </c>
      <c r="K33">
        <v>128</v>
      </c>
      <c r="L33">
        <v>0</v>
      </c>
      <c r="M33">
        <v>0</v>
      </c>
      <c r="N33">
        <v>0</v>
      </c>
      <c r="O33">
        <v>0</v>
      </c>
    </row>
    <row r="34" spans="1:15">
      <c r="A34" s="1" t="s">
        <v>46</v>
      </c>
      <c r="B34" t="s">
        <v>504</v>
      </c>
      <c r="C34" t="s">
        <v>509</v>
      </c>
      <c r="D34">
        <f>HYPERLINK("http://www.reserveamerica.com/camping/black-mountain-lookout/r/facilityDetails.do?contractCode=NRSO&amp;parkId=72306", "BLACK MOUNTAIN LOOKOUT")</f>
        <v>0</v>
      </c>
      <c r="E34">
        <v>40.1152778</v>
      </c>
      <c r="F34">
        <v>-120.3211111</v>
      </c>
      <c r="G34" t="s">
        <v>544</v>
      </c>
      <c r="I34" t="s">
        <v>505</v>
      </c>
      <c r="J34">
        <f>HYPERLINK("http://maps.google.com/maps?z=10&amp;t=m&amp;q=loc:40.1152778+-120.3211111", 338)</f>
        <v>0</v>
      </c>
      <c r="K34">
        <v>23</v>
      </c>
      <c r="L34">
        <v>0</v>
      </c>
      <c r="M34">
        <v>0</v>
      </c>
      <c r="N34">
        <v>0</v>
      </c>
      <c r="O34">
        <v>0</v>
      </c>
    </row>
    <row r="35" spans="1:15">
      <c r="A35" s="1" t="s">
        <v>47</v>
      </c>
      <c r="B35" t="s">
        <v>504</v>
      </c>
      <c r="C35" t="s">
        <v>509</v>
      </c>
      <c r="D35">
        <f>HYPERLINK("http://www.reserveamerica.com/camping/black-oak/r/facilityDetails.do?contractCode=NRSO&amp;parkId=70237", "BLACK OAK")</f>
        <v>0</v>
      </c>
      <c r="E35">
        <v>38.9041667</v>
      </c>
      <c r="F35">
        <v>-120.5875</v>
      </c>
      <c r="G35" t="s">
        <v>545</v>
      </c>
      <c r="I35" t="s">
        <v>505</v>
      </c>
      <c r="J35">
        <f>HYPERLINK("http://maps.google.com/maps?z=10&amp;t=m&amp;q=loc:38.9041667+-120.5875", 209)</f>
        <v>0</v>
      </c>
      <c r="K35">
        <v>32</v>
      </c>
      <c r="L35">
        <v>0</v>
      </c>
      <c r="M35">
        <v>0</v>
      </c>
      <c r="N35">
        <v>0</v>
      </c>
      <c r="O35">
        <v>0</v>
      </c>
    </row>
    <row r="36" spans="1:15">
      <c r="A36" s="1" t="s">
        <v>48</v>
      </c>
      <c r="B36" t="s">
        <v>504</v>
      </c>
      <c r="C36" t="s">
        <v>509</v>
      </c>
      <c r="D36">
        <f>HYPERLINK("http://www.reserveamerica.com/camping/black-rock-campground/r/facilityDetails.do?contractCode=NRSO&amp;parkId=70953", "BLACK ROCK CAMPGROUND")</f>
        <v>0</v>
      </c>
      <c r="E36">
        <v>34.0716667</v>
      </c>
      <c r="F36">
        <v>-116.3891667</v>
      </c>
      <c r="G36" t="s">
        <v>546</v>
      </c>
      <c r="I36" t="s">
        <v>505</v>
      </c>
      <c r="J36">
        <f>HYPERLINK("http://maps.google.com/maps?z=10&amp;t=m&amp;q=loc:34.0716667+-116.3891667", 615)</f>
        <v>0</v>
      </c>
      <c r="K36">
        <v>124</v>
      </c>
      <c r="L36">
        <v>0</v>
      </c>
      <c r="M36">
        <v>0</v>
      </c>
      <c r="N36">
        <v>0</v>
      </c>
      <c r="O36">
        <v>0</v>
      </c>
    </row>
    <row r="37" spans="1:15">
      <c r="A37" s="1" t="s">
        <v>49</v>
      </c>
      <c r="B37" t="s">
        <v>504</v>
      </c>
      <c r="C37" t="s">
        <v>509</v>
      </c>
      <c r="D37">
        <f>HYPERLINK("http://www.reserveamerica.com/camping/bluff-mesa-group-camp/r/facilityDetails.do?contractCode=NRSO&amp;parkId=70169", "BLUFF MESA GROUP CAMP")</f>
        <v>0</v>
      </c>
      <c r="E37">
        <v>34.2233333</v>
      </c>
      <c r="F37">
        <v>-116.975</v>
      </c>
      <c r="G37" t="s">
        <v>547</v>
      </c>
      <c r="I37" t="s">
        <v>505</v>
      </c>
      <c r="J37">
        <f>HYPERLINK("http://maps.google.com/maps?z=10&amp;t=m&amp;q=loc:34.2233333+-116.975", 562)</f>
        <v>0</v>
      </c>
      <c r="K37">
        <v>126</v>
      </c>
      <c r="L37">
        <v>0</v>
      </c>
      <c r="M37">
        <v>0</v>
      </c>
      <c r="N37">
        <v>0</v>
      </c>
      <c r="O37">
        <v>0</v>
      </c>
    </row>
    <row r="38" spans="1:15">
      <c r="A38" s="1" t="s">
        <v>50</v>
      </c>
      <c r="B38" t="s">
        <v>504</v>
      </c>
      <c r="C38" t="s">
        <v>509</v>
      </c>
      <c r="D38">
        <f>HYPERLINK("http://www.reserveamerica.com/camping/boatin-sites-lake-sonoma/r/facilityDetails.do?contractCode=NRSO&amp;parkId=73091", "BOAT-IN SITES (LAKE SONOMA)")</f>
        <v>0</v>
      </c>
      <c r="E38">
        <v>38.7083333</v>
      </c>
      <c r="F38">
        <v>-123</v>
      </c>
      <c r="G38" t="s">
        <v>548</v>
      </c>
      <c r="I38" t="s">
        <v>505</v>
      </c>
      <c r="J38">
        <f>HYPERLINK("http://maps.google.com/maps?z=10&amp;t=m&amp;q=loc:38.7083333+-123.0", 180)</f>
        <v>0</v>
      </c>
      <c r="K38">
        <v>328</v>
      </c>
      <c r="L38">
        <v>87</v>
      </c>
      <c r="M38">
        <v>0</v>
      </c>
      <c r="N38">
        <v>87</v>
      </c>
      <c r="O38">
        <v>87</v>
      </c>
    </row>
    <row r="39" spans="1:15">
      <c r="A39" s="1" t="s">
        <v>51</v>
      </c>
      <c r="B39" t="s">
        <v>504</v>
      </c>
      <c r="C39" t="s">
        <v>509</v>
      </c>
      <c r="D39">
        <f>HYPERLINK("http://www.reserveamerica.com/camping/boca-campground/r/facilityDetails.do?contractCode=NRSO&amp;parkId=74128", "BOCA CAMPGROUND")</f>
        <v>0</v>
      </c>
      <c r="E39">
        <v>39.3941667</v>
      </c>
      <c r="F39">
        <v>-120.1055556</v>
      </c>
      <c r="G39" t="s">
        <v>549</v>
      </c>
      <c r="I39" t="s">
        <v>505</v>
      </c>
      <c r="J39">
        <f>HYPERLINK("http://maps.google.com/maps?z=10&amp;t=m&amp;q=loc:39.3941667+-120.1055556", 278)</f>
        <v>0</v>
      </c>
      <c r="K39">
        <v>33</v>
      </c>
      <c r="L39">
        <v>21</v>
      </c>
      <c r="M39">
        <v>0</v>
      </c>
      <c r="N39">
        <v>21</v>
      </c>
      <c r="O39">
        <v>21</v>
      </c>
    </row>
    <row r="40" spans="1:15">
      <c r="A40" s="1" t="s">
        <v>52</v>
      </c>
      <c r="B40" t="s">
        <v>504</v>
      </c>
      <c r="C40" t="s">
        <v>509</v>
      </c>
      <c r="D40">
        <f>HYPERLINK("http://www.reserveamerica.com/camping/boca-rest-campground/r/facilityDetails.do?contractCode=NRSO&amp;parkId=74129", "BOCA REST CAMPGROUND")</f>
        <v>0</v>
      </c>
      <c r="E40">
        <v>39.4191667</v>
      </c>
      <c r="F40">
        <v>-120.0863889</v>
      </c>
      <c r="G40" t="s">
        <v>550</v>
      </c>
      <c r="I40" t="s">
        <v>505</v>
      </c>
      <c r="J40">
        <f>HYPERLINK("http://maps.google.com/maps?z=10&amp;t=m&amp;q=loc:39.4191667+-120.0863889", 281)</f>
        <v>0</v>
      </c>
      <c r="K40">
        <v>33</v>
      </c>
      <c r="L40">
        <v>34</v>
      </c>
      <c r="M40">
        <v>0</v>
      </c>
      <c r="N40">
        <v>34</v>
      </c>
      <c r="O40">
        <v>34</v>
      </c>
    </row>
    <row r="41" spans="1:15">
      <c r="A41" s="1" t="s">
        <v>53</v>
      </c>
      <c r="B41" t="s">
        <v>504</v>
      </c>
      <c r="C41" t="s">
        <v>509</v>
      </c>
      <c r="D41">
        <f>HYPERLINK("http://www.reserveamerica.com/camping/boca-spring/r/facilityDetails.do?contractCode=NRSO&amp;parkId=74130", "BOCA SPRING")</f>
        <v>0</v>
      </c>
      <c r="E41">
        <v>39.4225</v>
      </c>
      <c r="F41">
        <v>-120.0786111</v>
      </c>
      <c r="G41" t="s">
        <v>551</v>
      </c>
      <c r="I41" t="s">
        <v>505</v>
      </c>
      <c r="J41">
        <f>HYPERLINK("http://maps.google.com/maps?z=10&amp;t=m&amp;q=loc:39.4225+-120.0786111", 282)</f>
        <v>0</v>
      </c>
      <c r="K41">
        <v>33</v>
      </c>
      <c r="L41">
        <v>13</v>
      </c>
      <c r="M41">
        <v>0</v>
      </c>
      <c r="N41">
        <v>13</v>
      </c>
      <c r="O41">
        <v>13</v>
      </c>
    </row>
    <row r="42" spans="1:15">
      <c r="A42" s="1" t="s">
        <v>54</v>
      </c>
      <c r="B42" t="s">
        <v>505</v>
      </c>
      <c r="C42" t="s">
        <v>510</v>
      </c>
      <c r="D42">
        <f>HYPERLINK("http://www.reserveamerica.com/camping/bothenapa-valley-sp/r/facilityDetails.do?contractCode=CA&amp;parkId=120011", "BOTHE-NAPA VALLEY SP")</f>
        <v>0</v>
      </c>
      <c r="E42">
        <v>38.5458333</v>
      </c>
      <c r="F42">
        <v>-122.5344444</v>
      </c>
      <c r="G42" t="s">
        <v>552</v>
      </c>
      <c r="I42" t="s">
        <v>505</v>
      </c>
      <c r="J42">
        <f>HYPERLINK("http://maps.google.com/maps?z=10&amp;t=m&amp;q=loc:38.5458333+-122.5344444", 146)</f>
        <v>0</v>
      </c>
      <c r="K42">
        <v>338</v>
      </c>
      <c r="L42">
        <v>0</v>
      </c>
      <c r="M42">
        <v>0</v>
      </c>
      <c r="N42">
        <v>0</v>
      </c>
      <c r="O42">
        <v>0</v>
      </c>
    </row>
    <row r="43" spans="1:15">
      <c r="A43" s="1" t="s">
        <v>55</v>
      </c>
      <c r="B43" t="s">
        <v>504</v>
      </c>
      <c r="C43" t="s">
        <v>509</v>
      </c>
      <c r="D43">
        <f>HYPERLINK("http://www.reserveamerica.com/camping/boulder-basin/r/facilityDetails.do?contractCode=NRSO&amp;parkId=70240", "BOULDER BASIN")</f>
        <v>0</v>
      </c>
      <c r="E43">
        <v>33.8263889</v>
      </c>
      <c r="F43">
        <v>-116.7538889</v>
      </c>
      <c r="G43" t="s">
        <v>553</v>
      </c>
      <c r="I43" t="s">
        <v>505</v>
      </c>
      <c r="J43">
        <f>HYPERLINK("http://maps.google.com/maps?z=10&amp;t=m&amp;q=loc:33.8263889+-116.7538889", 606)</f>
        <v>0</v>
      </c>
      <c r="K43">
        <v>128</v>
      </c>
      <c r="L43">
        <v>14</v>
      </c>
      <c r="M43">
        <v>0</v>
      </c>
      <c r="N43">
        <v>14</v>
      </c>
      <c r="O43">
        <v>14</v>
      </c>
    </row>
    <row r="44" spans="1:15">
      <c r="A44" s="1" t="s">
        <v>56</v>
      </c>
      <c r="B44" t="s">
        <v>504</v>
      </c>
      <c r="C44" t="s">
        <v>509</v>
      </c>
      <c r="D44">
        <f>HYPERLINK("http://www.reserveamerica.com/camping/boulder-creek-ca/r/facilityDetails.do?contractCode=NRSO&amp;parkId=71725", "BOULDER CREEK (CA)")</f>
        <v>0</v>
      </c>
      <c r="E44">
        <v>40.1833333</v>
      </c>
      <c r="F44">
        <v>-120.6119444</v>
      </c>
      <c r="G44" t="s">
        <v>554</v>
      </c>
      <c r="I44" t="s">
        <v>505</v>
      </c>
      <c r="J44">
        <f>HYPERLINK("http://maps.google.com/maps?z=10&amp;t=m&amp;q=loc:40.1833333+-120.6119444", 336)</f>
        <v>0</v>
      </c>
      <c r="K44">
        <v>19</v>
      </c>
      <c r="L44">
        <v>0</v>
      </c>
      <c r="M44">
        <v>0</v>
      </c>
      <c r="N44">
        <v>0</v>
      </c>
      <c r="O44">
        <v>0</v>
      </c>
    </row>
    <row r="45" spans="1:15">
      <c r="A45" s="1" t="s">
        <v>57</v>
      </c>
      <c r="B45" t="s">
        <v>504</v>
      </c>
      <c r="C45" t="s">
        <v>509</v>
      </c>
      <c r="D45">
        <f>HYPERLINK("http://www.reserveamerica.com/camping/boulder-group-camp/r/facilityDetails.do?contractCode=NRSO&amp;parkId=70170", "BOULDER GROUP CAMP")</f>
        <v>0</v>
      </c>
      <c r="E45">
        <v>34.2233333</v>
      </c>
      <c r="F45">
        <v>-116.975</v>
      </c>
      <c r="G45" t="s">
        <v>555</v>
      </c>
      <c r="I45" t="s">
        <v>505</v>
      </c>
      <c r="J45">
        <f>HYPERLINK("http://maps.google.com/maps?z=10&amp;t=m&amp;q=loc:34.2233333+-116.975", 562)</f>
        <v>0</v>
      </c>
      <c r="K45">
        <v>126</v>
      </c>
      <c r="L45">
        <v>0</v>
      </c>
      <c r="M45">
        <v>0</v>
      </c>
      <c r="N45">
        <v>0</v>
      </c>
      <c r="O45">
        <v>0</v>
      </c>
    </row>
    <row r="46" spans="1:15">
      <c r="A46" s="1" t="s">
        <v>58</v>
      </c>
      <c r="B46" t="s">
        <v>504</v>
      </c>
      <c r="C46" t="s">
        <v>509</v>
      </c>
      <c r="D46">
        <f>HYPERLINK("http://www.reserveamerica.com/camping/boulder-gulch/r/facilityDetails.do?contractCode=NRSO&amp;parkId=71569", "BOULDER GULCH")</f>
        <v>0</v>
      </c>
      <c r="E46">
        <v>35.6725</v>
      </c>
      <c r="F46">
        <v>-118.4691667</v>
      </c>
      <c r="G46" t="s">
        <v>556</v>
      </c>
      <c r="I46" t="s">
        <v>505</v>
      </c>
      <c r="J46">
        <f>HYPERLINK("http://maps.google.com/maps?z=10&amp;t=m&amp;q=loc:35.6725+-118.4691667", 357)</f>
        <v>0</v>
      </c>
      <c r="K46">
        <v>119</v>
      </c>
      <c r="L46">
        <v>58</v>
      </c>
      <c r="M46">
        <v>0</v>
      </c>
      <c r="N46">
        <v>58</v>
      </c>
      <c r="O46">
        <v>58</v>
      </c>
    </row>
    <row r="47" spans="1:15">
      <c r="A47" s="1" t="s">
        <v>59</v>
      </c>
      <c r="B47" t="s">
        <v>504</v>
      </c>
      <c r="C47" t="s">
        <v>509</v>
      </c>
      <c r="D47">
        <f>HYPERLINK("http://www.reserveamerica.com/camping/boulder-oaks-eqst/r/facilityDetails.do?contractCode=NRSO&amp;parkId=70146", "BOULDER OAKS EQST")</f>
        <v>0</v>
      </c>
      <c r="E47">
        <v>32.7302778</v>
      </c>
      <c r="F47">
        <v>-116.4825</v>
      </c>
      <c r="G47" t="s">
        <v>557</v>
      </c>
      <c r="I47" t="s">
        <v>505</v>
      </c>
      <c r="J47">
        <f>HYPERLINK("http://maps.google.com/maps?z=10&amp;t=m&amp;q=loc:32.7302778+-116.4825", 710)</f>
        <v>0</v>
      </c>
      <c r="K47">
        <v>134</v>
      </c>
      <c r="L47">
        <v>0</v>
      </c>
      <c r="M47">
        <v>0</v>
      </c>
      <c r="N47">
        <v>0</v>
      </c>
      <c r="O47">
        <v>0</v>
      </c>
    </row>
    <row r="48" spans="1:15">
      <c r="A48" s="1" t="s">
        <v>60</v>
      </c>
      <c r="B48" t="s">
        <v>504</v>
      </c>
      <c r="C48" t="s">
        <v>509</v>
      </c>
      <c r="D48">
        <f>HYPERLINK("http://www.reserveamerica.com/camping/boyington-mill/r/facilityDetails.do?contractCode=NRSO&amp;parkId=74127", "BOYINGTON MILL")</f>
        <v>0</v>
      </c>
      <c r="E48">
        <v>39.4375</v>
      </c>
      <c r="F48">
        <v>-120.0908333</v>
      </c>
      <c r="G48" t="s">
        <v>558</v>
      </c>
      <c r="I48" t="s">
        <v>505</v>
      </c>
      <c r="J48">
        <f>HYPERLINK("http://maps.google.com/maps?z=10&amp;t=m&amp;q=loc:39.4375+-120.0908333", 282)</f>
        <v>0</v>
      </c>
      <c r="K48">
        <v>33</v>
      </c>
      <c r="L48">
        <v>9</v>
      </c>
      <c r="M48">
        <v>0</v>
      </c>
      <c r="N48">
        <v>9</v>
      </c>
      <c r="O48">
        <v>9</v>
      </c>
    </row>
    <row r="49" spans="1:15">
      <c r="A49" s="1" t="s">
        <v>61</v>
      </c>
      <c r="B49" t="s">
        <v>505</v>
      </c>
      <c r="C49" t="s">
        <v>510</v>
      </c>
      <c r="D49">
        <f>HYPERLINK("http://www.reserveamerica.com/camping/brannan-island-sra/r/facilityDetails.do?contractCode=CA&amp;parkId=120012", "BRANNAN ISLAND SRA")</f>
        <v>0</v>
      </c>
      <c r="E49">
        <v>38.1104833</v>
      </c>
      <c r="F49">
        <v>-121.6970167</v>
      </c>
      <c r="G49" t="s">
        <v>559</v>
      </c>
      <c r="I49" t="s">
        <v>505</v>
      </c>
      <c r="J49">
        <f>HYPERLINK("http://maps.google.com/maps?z=10&amp;t=m&amp;q=loc:38.1104833+-121.6970167", 88)</f>
        <v>0</v>
      </c>
      <c r="K49">
        <v>11</v>
      </c>
      <c r="L49">
        <v>96</v>
      </c>
      <c r="M49">
        <v>10</v>
      </c>
      <c r="N49">
        <v>86</v>
      </c>
      <c r="O49">
        <v>86</v>
      </c>
    </row>
    <row r="50" spans="1:15">
      <c r="A50" s="1" t="s">
        <v>62</v>
      </c>
      <c r="B50" t="s">
        <v>504</v>
      </c>
      <c r="C50" t="s">
        <v>509</v>
      </c>
      <c r="D50">
        <f>HYPERLINK("http://www.reserveamerica.com/camping/buckeye-flat-campground/r/facilityDetails.do?contractCode=NRSO&amp;parkId=72462", "BUCKEYE FLAT CAMPGROUND")</f>
        <v>0</v>
      </c>
      <c r="E50">
        <v>36.5210556</v>
      </c>
      <c r="F50">
        <v>-118.7625972</v>
      </c>
      <c r="G50" t="s">
        <v>560</v>
      </c>
      <c r="H50" t="s">
        <v>997</v>
      </c>
      <c r="I50" t="s">
        <v>505</v>
      </c>
      <c r="J50">
        <f>HYPERLINK("http://maps.google.com/maps?z=10&amp;t=m&amp;q=loc:36.5210556+-118.7625972", 293)</f>
        <v>0</v>
      </c>
      <c r="K50">
        <v>106</v>
      </c>
      <c r="L50">
        <v>0</v>
      </c>
      <c r="M50">
        <v>0</v>
      </c>
      <c r="N50">
        <v>0</v>
      </c>
      <c r="O50">
        <v>0</v>
      </c>
    </row>
    <row r="51" spans="1:15">
      <c r="A51" s="1" t="s">
        <v>63</v>
      </c>
      <c r="B51" t="s">
        <v>504</v>
      </c>
      <c r="C51" t="s">
        <v>509</v>
      </c>
      <c r="D51">
        <f>HYPERLINK("http://www.reserveamerica.com/camping/buckhorn/r/facilityDetails.do?contractCode=NRSO&amp;parkId=73102", "BUCKHORN")</f>
        <v>0</v>
      </c>
      <c r="E51">
        <v>39.8120972</v>
      </c>
      <c r="F51">
        <v>-122.3668389</v>
      </c>
      <c r="G51" t="s">
        <v>561</v>
      </c>
      <c r="I51" t="s">
        <v>505</v>
      </c>
      <c r="J51">
        <f>HYPERLINK("http://maps.google.com/maps?z=10&amp;t=m&amp;q=loc:39.8120972+-122.3668389", 278)</f>
        <v>0</v>
      </c>
      <c r="K51">
        <v>351</v>
      </c>
      <c r="L51">
        <v>53</v>
      </c>
      <c r="M51">
        <v>0</v>
      </c>
      <c r="N51">
        <v>53</v>
      </c>
      <c r="O51">
        <v>53</v>
      </c>
    </row>
    <row r="52" spans="1:15">
      <c r="A52" s="1" t="s">
        <v>64</v>
      </c>
      <c r="B52" t="s">
        <v>504</v>
      </c>
      <c r="C52" t="s">
        <v>509</v>
      </c>
      <c r="D52">
        <f>HYPERLINK("http://www.reserveamerica.com/camping/burnt-rancheria/r/facilityDetails.do?contractCode=NRSO&amp;parkId=70575", "BURNT RANCHERIA")</f>
        <v>0</v>
      </c>
      <c r="E52">
        <v>32.8613889</v>
      </c>
      <c r="F52">
        <v>-116.4161111</v>
      </c>
      <c r="G52" t="s">
        <v>562</v>
      </c>
      <c r="I52" t="s">
        <v>505</v>
      </c>
      <c r="J52">
        <f>HYPERLINK("http://maps.google.com/maps?z=10&amp;t=m&amp;q=loc:32.8613889+-116.4161111", 703)</f>
        <v>0</v>
      </c>
      <c r="K52">
        <v>133</v>
      </c>
      <c r="L52">
        <v>46</v>
      </c>
      <c r="M52">
        <v>1</v>
      </c>
      <c r="N52">
        <v>45</v>
      </c>
      <c r="O52">
        <v>45</v>
      </c>
    </row>
    <row r="53" spans="1:15">
      <c r="A53" s="1" t="s">
        <v>65</v>
      </c>
      <c r="B53" t="s">
        <v>504</v>
      </c>
      <c r="C53" t="s">
        <v>509</v>
      </c>
      <c r="D53">
        <f>HYPERLINK("http://www.reserveamerica.com/camping/bushay-recreation-area/r/facilityDetails.do?contractCode=NRSO&amp;parkId=73100", "BUSHAY RECREATION AREA")</f>
        <v>0</v>
      </c>
      <c r="E53">
        <v>39.2350056</v>
      </c>
      <c r="F53">
        <v>-123.1659333</v>
      </c>
      <c r="G53" t="s">
        <v>563</v>
      </c>
      <c r="H53" t="s">
        <v>998</v>
      </c>
      <c r="I53" t="s">
        <v>505</v>
      </c>
      <c r="J53">
        <f>HYPERLINK("http://maps.google.com/maps?z=10&amp;t=m&amp;q=loc:39.2350056+-123.1659333", 238)</f>
        <v>0</v>
      </c>
      <c r="K53">
        <v>332</v>
      </c>
      <c r="L53">
        <v>133</v>
      </c>
      <c r="M53">
        <v>4</v>
      </c>
      <c r="N53">
        <v>129</v>
      </c>
      <c r="O53">
        <v>129</v>
      </c>
    </row>
    <row r="54" spans="1:15">
      <c r="A54" s="1" t="s">
        <v>66</v>
      </c>
      <c r="B54" t="s">
        <v>504</v>
      </c>
      <c r="C54" t="s">
        <v>509</v>
      </c>
      <c r="D54">
        <f>HYPERLINK("http://www.reserveamerica.com/camping/bushytail/r/facilityDetails.do?contractCode=NRSO&amp;parkId=70754", "BUSHYTAIL")</f>
        <v>0</v>
      </c>
      <c r="E54">
        <v>40.855</v>
      </c>
      <c r="F54">
        <v>-122.8188889</v>
      </c>
      <c r="G54" t="s">
        <v>564</v>
      </c>
      <c r="I54" t="s">
        <v>505</v>
      </c>
      <c r="J54">
        <f>HYPERLINK("http://maps.google.com/maps?z=10&amp;t=m&amp;q=loc:40.855+-122.8188889", 399)</f>
        <v>0</v>
      </c>
      <c r="K54">
        <v>348</v>
      </c>
      <c r="L54">
        <v>0</v>
      </c>
      <c r="M54">
        <v>0</v>
      </c>
      <c r="N54">
        <v>0</v>
      </c>
      <c r="O54">
        <v>0</v>
      </c>
    </row>
    <row r="55" spans="1:15">
      <c r="A55" s="1" t="s">
        <v>67</v>
      </c>
      <c r="B55" t="s">
        <v>505</v>
      </c>
      <c r="C55" t="s">
        <v>510</v>
      </c>
      <c r="D55">
        <f>HYPERLINK("http://www.reserveamerica.com/camping/butano-sp/r/facilityDetails.do?contractCode=CA&amp;parkId=120013", "BUTANO SP")</f>
        <v>0</v>
      </c>
      <c r="E55">
        <v>37.2227778</v>
      </c>
      <c r="F55">
        <v>-122.3022222</v>
      </c>
      <c r="G55" t="s">
        <v>565</v>
      </c>
      <c r="I55" t="s">
        <v>505</v>
      </c>
      <c r="J55">
        <f>HYPERLINK("http://maps.google.com/maps?z=10&amp;t=m&amp;q=loc:37.2227778+-122.3022222", 36)</f>
        <v>0</v>
      </c>
      <c r="K55">
        <v>251</v>
      </c>
      <c r="L55">
        <v>0</v>
      </c>
      <c r="M55">
        <v>0</v>
      </c>
      <c r="N55">
        <v>0</v>
      </c>
      <c r="O55">
        <v>0</v>
      </c>
    </row>
    <row r="56" spans="1:15">
      <c r="A56" s="1" t="s">
        <v>68</v>
      </c>
      <c r="B56" t="s">
        <v>504</v>
      </c>
      <c r="C56" t="s">
        <v>509</v>
      </c>
      <c r="D56">
        <f>HYPERLINK("http://www.reserveamerica.com/camping/butte-lake/r/facilityDetails.do?contractCode=NRSO&amp;parkId=74186", "BUTTE LAKE")</f>
        <v>0</v>
      </c>
      <c r="E56">
        <v>40.565</v>
      </c>
      <c r="F56">
        <v>-121.3052778</v>
      </c>
      <c r="G56" t="s">
        <v>566</v>
      </c>
      <c r="I56" t="s">
        <v>505</v>
      </c>
      <c r="J56">
        <f>HYPERLINK("http://maps.google.com/maps?z=10&amp;t=m&amp;q=loc:40.565+-121.3052778", 363)</f>
        <v>0</v>
      </c>
      <c r="K56">
        <v>8</v>
      </c>
      <c r="L56">
        <v>0</v>
      </c>
      <c r="M56">
        <v>0</v>
      </c>
      <c r="N56">
        <v>0</v>
      </c>
      <c r="O56">
        <v>0</v>
      </c>
    </row>
    <row r="57" spans="1:15">
      <c r="A57" s="1" t="s">
        <v>69</v>
      </c>
      <c r="B57" t="s">
        <v>504</v>
      </c>
      <c r="C57" t="s">
        <v>509</v>
      </c>
      <c r="E57">
        <v>40.565</v>
      </c>
      <c r="F57">
        <v>-121.3052778</v>
      </c>
      <c r="G57" t="s">
        <v>567</v>
      </c>
      <c r="I57" t="s">
        <v>505</v>
      </c>
      <c r="J57">
        <f>HYPERLINK("http://maps.google.com/maps?z=10&amp;t=m&amp;q=loc:40.565+-121.3052778", 363)</f>
        <v>0</v>
      </c>
      <c r="K57">
        <v>8</v>
      </c>
      <c r="L57">
        <v>0</v>
      </c>
      <c r="M57">
        <v>0</v>
      </c>
      <c r="N57">
        <v>0</v>
      </c>
      <c r="O57">
        <v>0</v>
      </c>
    </row>
    <row r="58" spans="1:15">
      <c r="A58" s="1" t="s">
        <v>70</v>
      </c>
      <c r="B58" t="s">
        <v>504</v>
      </c>
      <c r="C58" t="s">
        <v>509</v>
      </c>
      <c r="D58">
        <f>HYPERLINK("http://www.reserveamerica.com/camping/buttercup-group-camp/r/facilityDetails.do?contractCode=NRSO&amp;parkId=70171", "BUTTERCUP GROUP CAMP")</f>
        <v>0</v>
      </c>
      <c r="E58">
        <v>34.2352778</v>
      </c>
      <c r="F58">
        <v>-116.8802778</v>
      </c>
      <c r="G58" t="s">
        <v>568</v>
      </c>
      <c r="I58" t="s">
        <v>505</v>
      </c>
      <c r="J58">
        <f>HYPERLINK("http://maps.google.com/maps?z=10&amp;t=m&amp;q=loc:34.2352778+-116.8802778", 568)</f>
        <v>0</v>
      </c>
      <c r="K58">
        <v>125</v>
      </c>
      <c r="L58">
        <v>0</v>
      </c>
      <c r="M58">
        <v>0</v>
      </c>
      <c r="N58">
        <v>0</v>
      </c>
      <c r="O58">
        <v>0</v>
      </c>
    </row>
    <row r="59" spans="1:15">
      <c r="A59" s="1" t="s">
        <v>71</v>
      </c>
      <c r="B59" t="s">
        <v>504</v>
      </c>
      <c r="C59" t="s">
        <v>509</v>
      </c>
      <c r="D59">
        <f>HYPERLINK("http://www.reserveamerica.com/camping/calida/r/facilityDetails.do?contractCode=NRSO&amp;parkId=75428", "CAL-IDA")</f>
        <v>0</v>
      </c>
      <c r="E59">
        <v>39.52</v>
      </c>
      <c r="F59">
        <v>-120.9966667</v>
      </c>
      <c r="G59" t="s">
        <v>569</v>
      </c>
      <c r="I59" t="s">
        <v>505</v>
      </c>
      <c r="J59">
        <f>HYPERLINK("http://maps.google.com/maps?z=10&amp;t=m&amp;q=loc:39.52+-120.9966667", 256)</f>
        <v>0</v>
      </c>
      <c r="K59">
        <v>17</v>
      </c>
      <c r="L59">
        <v>12</v>
      </c>
      <c r="M59">
        <v>0</v>
      </c>
      <c r="N59">
        <v>12</v>
      </c>
      <c r="O59">
        <v>12</v>
      </c>
    </row>
    <row r="60" spans="1:15">
      <c r="A60" s="1" t="s">
        <v>72</v>
      </c>
      <c r="B60" t="s">
        <v>505</v>
      </c>
      <c r="C60" t="s">
        <v>510</v>
      </c>
      <c r="D60">
        <f>HYPERLINK("http://www.reserveamerica.com/camping/calaveras-big-trees-sp/r/facilityDetails.do?contractCode=CA&amp;parkId=120014", "CALAVERAS BIG TREES SP")</f>
        <v>0</v>
      </c>
      <c r="E60">
        <v>38.2719444</v>
      </c>
      <c r="F60">
        <v>-120.2866667</v>
      </c>
      <c r="G60" t="s">
        <v>570</v>
      </c>
      <c r="I60" t="s">
        <v>505</v>
      </c>
      <c r="J60">
        <f>HYPERLINK("http://maps.google.com/maps?z=10&amp;t=m&amp;q=loc:38.2719444+-120.2866667", 176)</f>
        <v>0</v>
      </c>
      <c r="K60">
        <v>53</v>
      </c>
      <c r="L60">
        <v>9</v>
      </c>
      <c r="M60">
        <v>8</v>
      </c>
      <c r="N60">
        <v>1</v>
      </c>
      <c r="O60">
        <v>1</v>
      </c>
    </row>
    <row r="61" spans="1:15">
      <c r="A61" s="1" t="s">
        <v>73</v>
      </c>
      <c r="B61" t="s">
        <v>504</v>
      </c>
      <c r="C61" t="s">
        <v>509</v>
      </c>
      <c r="D61">
        <f>HYPERLINK("http://www.reserveamerica.com/camping/camp-4-group-campground/r/facilityDetails.do?contractCode=NRSO&amp;parkId=72184", "CAMP 4 GROUP CAMPGROUND")</f>
        <v>0</v>
      </c>
      <c r="E61">
        <v>41.2338889</v>
      </c>
      <c r="F61">
        <v>-121.9838889</v>
      </c>
      <c r="G61" t="s">
        <v>571</v>
      </c>
      <c r="H61" t="s">
        <v>997</v>
      </c>
      <c r="I61" t="s">
        <v>505</v>
      </c>
      <c r="J61">
        <f>HYPERLINK("http://maps.google.com/maps?z=10&amp;t=m&amp;q=loc:41.2338889+-121.9838889", 434)</f>
        <v>0</v>
      </c>
      <c r="K61">
        <v>359</v>
      </c>
      <c r="L61">
        <v>0</v>
      </c>
      <c r="M61">
        <v>0</v>
      </c>
      <c r="N61">
        <v>0</v>
      </c>
      <c r="O61">
        <v>0</v>
      </c>
    </row>
    <row r="62" spans="1:15">
      <c r="A62" s="1" t="s">
        <v>74</v>
      </c>
      <c r="B62" t="s">
        <v>504</v>
      </c>
      <c r="C62" t="s">
        <v>509</v>
      </c>
      <c r="D62">
        <f>HYPERLINK("http://www.reserveamerica.com/camping/camp-9/r/facilityDetails.do?contractCode=NRSO&amp;parkId=73975", "CAMP 9")</f>
        <v>0</v>
      </c>
      <c r="E62">
        <v>35.6983333</v>
      </c>
      <c r="F62">
        <v>-118.4291667</v>
      </c>
      <c r="G62" t="s">
        <v>572</v>
      </c>
      <c r="I62" t="s">
        <v>505</v>
      </c>
      <c r="J62">
        <f>HYPERLINK("http://maps.google.com/maps?z=10&amp;t=m&amp;q=loc:35.6983333+-118.4291667", 359)</f>
        <v>0</v>
      </c>
      <c r="K62">
        <v>119</v>
      </c>
      <c r="L62">
        <v>11</v>
      </c>
      <c r="M62">
        <v>0</v>
      </c>
      <c r="N62">
        <v>11</v>
      </c>
      <c r="O62">
        <v>11</v>
      </c>
    </row>
    <row r="63" spans="1:15">
      <c r="A63" s="1" t="s">
        <v>75</v>
      </c>
      <c r="B63" t="s">
        <v>504</v>
      </c>
      <c r="C63" t="s">
        <v>509</v>
      </c>
      <c r="D63">
        <f>HYPERLINK("http://www.reserveamerica.com/camping/camp-three-campground/r/facilityDetails.do?contractCode=NRSO&amp;parkId=71677", "CAMP THREE CAMPGROUND")</f>
        <v>0</v>
      </c>
      <c r="E63">
        <v>35.8066667</v>
      </c>
      <c r="F63">
        <v>-118.4527778</v>
      </c>
      <c r="G63" t="s">
        <v>573</v>
      </c>
      <c r="I63" t="s">
        <v>505</v>
      </c>
      <c r="J63">
        <f>HYPERLINK("http://maps.google.com/maps?z=10&amp;t=m&amp;q=loc:35.8066667+-118.4527778", 351)</f>
        <v>0</v>
      </c>
      <c r="K63">
        <v>117</v>
      </c>
      <c r="L63">
        <v>0</v>
      </c>
      <c r="M63">
        <v>0</v>
      </c>
      <c r="N63">
        <v>0</v>
      </c>
      <c r="O63">
        <v>0</v>
      </c>
    </row>
    <row r="64" spans="1:15">
      <c r="A64" s="1" t="s">
        <v>76</v>
      </c>
      <c r="B64" t="s">
        <v>504</v>
      </c>
      <c r="C64" t="s">
        <v>509</v>
      </c>
      <c r="E64">
        <v>36.7872222</v>
      </c>
      <c r="F64">
        <v>-118.6652778</v>
      </c>
      <c r="G64" t="s">
        <v>574</v>
      </c>
      <c r="I64" t="s">
        <v>505</v>
      </c>
      <c r="J64">
        <f>HYPERLINK("http://maps.google.com/maps?z=10&amp;t=m&amp;q=loc:36.7872222+-118.6652778", 293)</f>
        <v>0</v>
      </c>
      <c r="K64">
        <v>100</v>
      </c>
      <c r="L64">
        <v>0</v>
      </c>
      <c r="M64">
        <v>0</v>
      </c>
      <c r="N64">
        <v>0</v>
      </c>
      <c r="O64">
        <v>0</v>
      </c>
    </row>
    <row r="65" spans="1:15">
      <c r="A65" s="1" t="s">
        <v>77</v>
      </c>
      <c r="B65" t="s">
        <v>504</v>
      </c>
      <c r="C65" t="s">
        <v>509</v>
      </c>
      <c r="D65">
        <f>HYPERLINK("http://www.reserveamerica.com/camping/capps-crossing/r/facilityDetails.do?contractCode=NRSO&amp;parkId=73937", "CAPPS CROSSING")</f>
        <v>0</v>
      </c>
      <c r="E65">
        <v>38.6511111</v>
      </c>
      <c r="F65">
        <v>-120.4061111</v>
      </c>
      <c r="G65" t="s">
        <v>575</v>
      </c>
      <c r="I65" t="s">
        <v>505</v>
      </c>
      <c r="J65">
        <f>HYPERLINK("http://maps.google.com/maps?z=10&amp;t=m&amp;q=loc:38.6511111+-120.4061111", 197)</f>
        <v>0</v>
      </c>
      <c r="K65">
        <v>41</v>
      </c>
      <c r="L65">
        <v>0</v>
      </c>
      <c r="M65">
        <v>0</v>
      </c>
      <c r="N65">
        <v>0</v>
      </c>
      <c r="O65">
        <v>0</v>
      </c>
    </row>
    <row r="66" spans="1:15">
      <c r="A66" s="1" t="s">
        <v>78</v>
      </c>
      <c r="B66" t="s">
        <v>504</v>
      </c>
      <c r="C66" t="s">
        <v>509</v>
      </c>
      <c r="D66">
        <f>HYPERLINK("http://www.reserveamerica.com/camping/carlton/r/facilityDetails.do?contractCode=NRSO&amp;parkId=75437", "CARLTON")</f>
        <v>0</v>
      </c>
      <c r="E66">
        <v>39.5191667</v>
      </c>
      <c r="F66">
        <v>-120.9997222</v>
      </c>
      <c r="G66" t="s">
        <v>576</v>
      </c>
      <c r="I66" t="s">
        <v>505</v>
      </c>
      <c r="J66">
        <f>HYPERLINK("http://maps.google.com/maps?z=10&amp;t=m&amp;q=loc:39.5191667+-120.9997222", 255)</f>
        <v>0</v>
      </c>
      <c r="K66">
        <v>17</v>
      </c>
      <c r="L66">
        <v>6</v>
      </c>
      <c r="M66">
        <v>0</v>
      </c>
      <c r="N66">
        <v>6</v>
      </c>
      <c r="O66">
        <v>6</v>
      </c>
    </row>
    <row r="67" spans="1:15">
      <c r="A67" s="1" t="s">
        <v>79</v>
      </c>
      <c r="B67" t="s">
        <v>505</v>
      </c>
      <c r="C67" t="s">
        <v>510</v>
      </c>
      <c r="D67">
        <f>HYPERLINK("http://www.reserveamerica.com/camping/carpinteria-sb/r/facilityDetails.do?contractCode=CA&amp;parkId=120015", "CARPINTERIA SB")</f>
        <v>0</v>
      </c>
      <c r="E67">
        <v>34.3919444</v>
      </c>
      <c r="F67">
        <v>-119.5202778</v>
      </c>
      <c r="G67" t="s">
        <v>577</v>
      </c>
      <c r="I67" t="s">
        <v>505</v>
      </c>
      <c r="J67">
        <f>HYPERLINK("http://maps.google.com/maps?z=10&amp;t=m&amp;q=loc:34.3919444+-119.5202778", 390)</f>
        <v>0</v>
      </c>
      <c r="K67">
        <v>145</v>
      </c>
      <c r="L67">
        <v>0</v>
      </c>
      <c r="M67">
        <v>0</v>
      </c>
      <c r="N67">
        <v>0</v>
      </c>
      <c r="O67">
        <v>0</v>
      </c>
    </row>
    <row r="68" spans="1:15">
      <c r="A68" s="1" t="s">
        <v>80</v>
      </c>
      <c r="B68" t="s">
        <v>505</v>
      </c>
      <c r="C68" t="s">
        <v>510</v>
      </c>
      <c r="D68">
        <f>HYPERLINK("http://www.reserveamerica.com/camping/castle-crags-sp/r/facilityDetails.do?contractCode=CA&amp;parkId=120016", "CASTLE CRAGS SP")</f>
        <v>0</v>
      </c>
      <c r="E68">
        <v>41.1711111</v>
      </c>
      <c r="F68">
        <v>-122.3505556</v>
      </c>
      <c r="G68" t="s">
        <v>578</v>
      </c>
      <c r="I68" t="s">
        <v>505</v>
      </c>
      <c r="J68">
        <f>HYPERLINK("http://maps.google.com/maps?z=10&amp;t=m&amp;q=loc:41.1711111+-122.3505556", 428)</f>
        <v>0</v>
      </c>
      <c r="K68">
        <v>355</v>
      </c>
      <c r="L68">
        <v>0</v>
      </c>
      <c r="M68">
        <v>0</v>
      </c>
      <c r="N68">
        <v>0</v>
      </c>
      <c r="O68">
        <v>0</v>
      </c>
    </row>
    <row r="69" spans="1:15">
      <c r="A69" s="1" t="s">
        <v>81</v>
      </c>
      <c r="B69" t="s">
        <v>505</v>
      </c>
      <c r="C69" t="s">
        <v>510</v>
      </c>
      <c r="D69">
        <f>HYPERLINK("http://www.reserveamerica.com/camping/caswell-memorial-sp/r/facilityDetails.do?contractCode=CA&amp;parkId=120017", "CASWELL MEMORIAL SP")</f>
        <v>0</v>
      </c>
      <c r="E69">
        <v>37.6933333</v>
      </c>
      <c r="F69">
        <v>-121.1866667</v>
      </c>
      <c r="G69" t="s">
        <v>579</v>
      </c>
      <c r="I69" t="s">
        <v>505</v>
      </c>
      <c r="J69">
        <f>HYPERLINK("http://maps.google.com/maps?z=10&amp;t=m&amp;q=loc:37.6933333+-121.1866667", 75)</f>
        <v>0</v>
      </c>
      <c r="K69">
        <v>57</v>
      </c>
      <c r="L69">
        <v>60</v>
      </c>
      <c r="M69">
        <v>4</v>
      </c>
      <c r="N69">
        <v>56</v>
      </c>
      <c r="O69">
        <v>56</v>
      </c>
    </row>
    <row r="70" spans="1:15">
      <c r="A70" s="1" t="s">
        <v>82</v>
      </c>
      <c r="B70" t="s">
        <v>504</v>
      </c>
      <c r="C70" t="s">
        <v>509</v>
      </c>
      <c r="D70">
        <f>HYPERLINK("http://www.reserveamerica.com/camping/catavee/r/facilityDetails.do?contractCode=NRSO&amp;parkId=71589", "CATAVEE")</f>
        <v>0</v>
      </c>
      <c r="E70">
        <v>37.2525</v>
      </c>
      <c r="F70">
        <v>-119.1769444</v>
      </c>
      <c r="G70" t="s">
        <v>580</v>
      </c>
      <c r="I70" t="s">
        <v>505</v>
      </c>
      <c r="J70">
        <f>HYPERLINK("http://maps.google.com/maps?z=10&amp;t=m&amp;q=loc:37.2525+-119.1769444", 241)</f>
        <v>0</v>
      </c>
      <c r="K70">
        <v>91</v>
      </c>
      <c r="L70">
        <v>0</v>
      </c>
      <c r="M70">
        <v>0</v>
      </c>
      <c r="N70">
        <v>0</v>
      </c>
      <c r="O70">
        <v>0</v>
      </c>
    </row>
    <row r="71" spans="1:15">
      <c r="A71" s="1" t="s">
        <v>83</v>
      </c>
      <c r="B71" t="s">
        <v>504</v>
      </c>
      <c r="C71" t="s">
        <v>509</v>
      </c>
      <c r="D71">
        <f>HYPERLINK("http://www.reserveamerica.com/camping/cedar-bluff/r/facilityDetails.do?contractCode=NRSO&amp;parkId=71722", "CEDAR BLUFF")</f>
        <v>0</v>
      </c>
      <c r="E71">
        <v>37.3077778</v>
      </c>
      <c r="F71">
        <v>-119.5441667</v>
      </c>
      <c r="G71" t="s">
        <v>581</v>
      </c>
      <c r="I71" t="s">
        <v>505</v>
      </c>
      <c r="J71">
        <f>HYPERLINK("http://maps.google.com/maps?z=10&amp;t=m&amp;q=loc:37.3077778+-119.5441667", 208)</f>
        <v>0</v>
      </c>
      <c r="K71">
        <v>89</v>
      </c>
      <c r="L71">
        <v>16</v>
      </c>
      <c r="M71">
        <v>0</v>
      </c>
      <c r="N71">
        <v>16</v>
      </c>
      <c r="O71">
        <v>16</v>
      </c>
    </row>
    <row r="72" spans="1:15">
      <c r="A72" s="1" t="s">
        <v>84</v>
      </c>
      <c r="B72" t="s">
        <v>504</v>
      </c>
      <c r="C72" t="s">
        <v>509</v>
      </c>
      <c r="D72">
        <f>HYPERLINK("http://www.reserveamerica.com/camping/cerro-alto-campground/r/facilityDetails.do?contractCode=NRSO&amp;parkId=71995", "CERRO ALTO CAMPGROUND")</f>
        <v>0</v>
      </c>
      <c r="E72">
        <v>35.4275</v>
      </c>
      <c r="F72">
        <v>-120.7383333</v>
      </c>
      <c r="G72" t="s">
        <v>582</v>
      </c>
      <c r="I72" t="s">
        <v>505</v>
      </c>
      <c r="J72">
        <f>HYPERLINK("http://maps.google.com/maps?z=10&amp;t=m&amp;q=loc:35.4275+-120.7383333", 235)</f>
        <v>0</v>
      </c>
      <c r="K72">
        <v>153</v>
      </c>
      <c r="L72">
        <v>10</v>
      </c>
      <c r="M72">
        <v>0</v>
      </c>
      <c r="N72">
        <v>10</v>
      </c>
      <c r="O72">
        <v>10</v>
      </c>
    </row>
    <row r="73" spans="1:15">
      <c r="A73" s="1" t="s">
        <v>85</v>
      </c>
      <c r="B73" t="s">
        <v>504</v>
      </c>
      <c r="C73" t="s">
        <v>509</v>
      </c>
      <c r="D73">
        <f>HYPERLINK("http://www.reserveamerica.com/camping/chapman/r/facilityDetails.do?contractCode=NRSO&amp;parkId=75436", "CHAPMAN")</f>
        <v>0</v>
      </c>
      <c r="E73">
        <v>39.6294444</v>
      </c>
      <c r="F73">
        <v>-120.5447222</v>
      </c>
      <c r="G73" t="s">
        <v>583</v>
      </c>
      <c r="I73" t="s">
        <v>505</v>
      </c>
      <c r="J73">
        <f>HYPERLINK("http://maps.google.com/maps?z=10&amp;t=m&amp;q=loc:39.6294444+-120.5447222", 281)</f>
        <v>0</v>
      </c>
      <c r="K73">
        <v>24</v>
      </c>
      <c r="L73">
        <v>21</v>
      </c>
      <c r="M73">
        <v>0</v>
      </c>
      <c r="N73">
        <v>21</v>
      </c>
      <c r="O73">
        <v>21</v>
      </c>
    </row>
    <row r="74" spans="1:15">
      <c r="A74" s="1" t="s">
        <v>86</v>
      </c>
      <c r="B74" t="s">
        <v>504</v>
      </c>
      <c r="C74" t="s">
        <v>509</v>
      </c>
      <c r="D74">
        <f>HYPERLINK("http://www.reserveamerica.com/camping/chekaka-recreation-area-lake-mendocino/r/facilityDetails.do?contractCode=NRSO&amp;parkId=73541", "CHEKAKA RECREATION AREA LAKE MENDOCINO")</f>
        <v>0</v>
      </c>
      <c r="E74">
        <v>39.2030556</v>
      </c>
      <c r="F74">
        <v>-123.1863889</v>
      </c>
      <c r="G74" t="s">
        <v>584</v>
      </c>
      <c r="I74" t="s">
        <v>505</v>
      </c>
      <c r="J74">
        <f>HYPERLINK("http://maps.google.com/maps?z=10&amp;t=m&amp;q=loc:39.2030556+-123.1863889", 236)</f>
        <v>0</v>
      </c>
      <c r="K74">
        <v>332</v>
      </c>
      <c r="L74">
        <v>0</v>
      </c>
      <c r="M74">
        <v>0</v>
      </c>
      <c r="N74">
        <v>0</v>
      </c>
      <c r="O74">
        <v>0</v>
      </c>
    </row>
    <row r="75" spans="1:15">
      <c r="A75" s="1" t="s">
        <v>87</v>
      </c>
      <c r="B75" t="s">
        <v>504</v>
      </c>
      <c r="C75" t="s">
        <v>509</v>
      </c>
      <c r="D75">
        <f>HYPERLINK("http://www.reserveamerica.com/camping/cherry-valley/r/facilityDetails.do?contractCode=NRSO&amp;parkId=110533", "CHERRY VALLEY")</f>
        <v>0</v>
      </c>
      <c r="E75">
        <v>37.9855556</v>
      </c>
      <c r="F75">
        <v>-119.9169444</v>
      </c>
      <c r="G75" t="s">
        <v>585</v>
      </c>
      <c r="I75" t="s">
        <v>505</v>
      </c>
      <c r="J75">
        <f>HYPERLINK("http://maps.google.com/maps?z=10&amp;t=m&amp;q=loc:37.9855556+-119.9169444", 189)</f>
        <v>0</v>
      </c>
      <c r="K75">
        <v>66</v>
      </c>
      <c r="L75">
        <v>0</v>
      </c>
      <c r="M75">
        <v>0</v>
      </c>
      <c r="N75">
        <v>0</v>
      </c>
      <c r="O75">
        <v>0</v>
      </c>
    </row>
    <row r="76" spans="1:15">
      <c r="A76" s="1" t="s">
        <v>88</v>
      </c>
      <c r="B76" t="s">
        <v>504</v>
      </c>
      <c r="C76" t="s">
        <v>509</v>
      </c>
      <c r="D76">
        <f>HYPERLINK("http://www.reserveamerica.com/camping/chilcoot/r/facilityDetails.do?contractCode=NRSO&amp;parkId=71609", "CHILCOOT")</f>
        <v>0</v>
      </c>
      <c r="E76">
        <v>39.8655556</v>
      </c>
      <c r="F76">
        <v>-120.1661111</v>
      </c>
      <c r="G76" t="s">
        <v>586</v>
      </c>
      <c r="I76" t="s">
        <v>505</v>
      </c>
      <c r="J76">
        <f>HYPERLINK("http://maps.google.com/maps?z=10&amp;t=m&amp;q=loc:39.8655556+-120.1661111", 319)</f>
        <v>0</v>
      </c>
      <c r="K76">
        <v>27</v>
      </c>
      <c r="L76">
        <v>0</v>
      </c>
      <c r="M76">
        <v>0</v>
      </c>
      <c r="N76">
        <v>0</v>
      </c>
      <c r="O76">
        <v>0</v>
      </c>
    </row>
    <row r="77" spans="1:15">
      <c r="A77" s="1" t="s">
        <v>89</v>
      </c>
      <c r="B77" t="s">
        <v>504</v>
      </c>
      <c r="C77" t="s">
        <v>509</v>
      </c>
      <c r="D77">
        <f>HYPERLINK("http://www.reserveamerica.com/camping/chilkoot/r/facilityDetails.do?contractCode=NRSO&amp;parkId=71670", "CHILKOOT")</f>
        <v>0</v>
      </c>
      <c r="E77">
        <v>37.3627778</v>
      </c>
      <c r="F77">
        <v>-119.5386111</v>
      </c>
      <c r="G77" t="s">
        <v>587</v>
      </c>
      <c r="I77" t="s">
        <v>505</v>
      </c>
      <c r="J77">
        <f>HYPERLINK("http://maps.google.com/maps?z=10&amp;t=m&amp;q=loc:37.3627778+-119.5386111", 209)</f>
        <v>0</v>
      </c>
      <c r="K77">
        <v>88</v>
      </c>
      <c r="L77">
        <v>11</v>
      </c>
      <c r="M77">
        <v>0</v>
      </c>
      <c r="N77">
        <v>11</v>
      </c>
      <c r="O77">
        <v>11</v>
      </c>
    </row>
    <row r="78" spans="1:15">
      <c r="A78" s="1" t="s">
        <v>90</v>
      </c>
      <c r="B78" t="s">
        <v>505</v>
      </c>
      <c r="C78" t="s">
        <v>510</v>
      </c>
      <c r="D78">
        <f>HYPERLINK("http://www.reserveamerica.com/camping/china-camp-sp/r/facilityDetails.do?contractCode=CA&amp;parkId=120018", "CHINA CAMP SP")</f>
        <v>0</v>
      </c>
      <c r="E78">
        <v>38.0008333</v>
      </c>
      <c r="F78">
        <v>-122.4605556</v>
      </c>
      <c r="G78" t="s">
        <v>588</v>
      </c>
      <c r="H78" t="s">
        <v>999</v>
      </c>
      <c r="I78" t="s">
        <v>505</v>
      </c>
      <c r="J78">
        <f>HYPERLINK("http://maps.google.com/maps?z=10&amp;t=m&amp;q=loc:38.0008333+-122.4605556", 89)</f>
        <v>0</v>
      </c>
      <c r="K78">
        <v>327</v>
      </c>
      <c r="L78">
        <v>2</v>
      </c>
      <c r="M78">
        <v>2</v>
      </c>
      <c r="N78">
        <v>0</v>
      </c>
      <c r="O78">
        <v>0</v>
      </c>
    </row>
    <row r="79" spans="1:15">
      <c r="A79" s="1" t="s">
        <v>91</v>
      </c>
      <c r="B79" t="s">
        <v>505</v>
      </c>
      <c r="C79" t="s">
        <v>510</v>
      </c>
      <c r="D79">
        <f>HYPERLINK("http://www.reserveamerica.com/camping/chino-hills-sp/r/facilityDetails.do?contractCode=CA&amp;parkId=124900", "CHINO HILLS SP")</f>
        <v>0</v>
      </c>
      <c r="G79" t="s">
        <v>589</v>
      </c>
      <c r="I79" t="s">
        <v>505</v>
      </c>
      <c r="J79">
        <f>HYPERLINK("http://maps.google.com/maps?z=10&amp;t=m&amp;q=loc:nan+nan", 0)</f>
        <v>0</v>
      </c>
      <c r="K79">
        <v>0</v>
      </c>
      <c r="L79">
        <v>19</v>
      </c>
      <c r="M79">
        <v>2</v>
      </c>
      <c r="N79">
        <v>17</v>
      </c>
      <c r="O79">
        <v>17</v>
      </c>
    </row>
    <row r="80" spans="1:15">
      <c r="A80" s="1" t="s">
        <v>92</v>
      </c>
      <c r="B80" t="s">
        <v>504</v>
      </c>
      <c r="C80" t="s">
        <v>509</v>
      </c>
      <c r="D80">
        <f>HYPERLINK("http://www.reserveamerica.com/camping/christie-campground/r/facilityDetails.do?contractCode=NRSO&amp;parkId=71705", "CHRISTIE CAMPGROUND")</f>
        <v>0</v>
      </c>
      <c r="E80">
        <v>40.5663889</v>
      </c>
      <c r="F80">
        <v>-120.8387833</v>
      </c>
      <c r="G80" t="s">
        <v>590</v>
      </c>
      <c r="I80" t="s">
        <v>505</v>
      </c>
      <c r="J80">
        <f>HYPERLINK("http://maps.google.com/maps?z=10&amp;t=m&amp;q=loc:40.5663889+-120.8387833", 371)</f>
        <v>0</v>
      </c>
      <c r="K80">
        <v>14</v>
      </c>
      <c r="L80">
        <v>0</v>
      </c>
      <c r="M80">
        <v>0</v>
      </c>
      <c r="N80">
        <v>0</v>
      </c>
      <c r="O80">
        <v>0</v>
      </c>
    </row>
    <row r="81" spans="1:15">
      <c r="A81" s="1" t="s">
        <v>93</v>
      </c>
      <c r="B81" t="s">
        <v>505</v>
      </c>
      <c r="C81" t="s">
        <v>510</v>
      </c>
      <c r="D81">
        <f>HYPERLINK("http://www.reserveamerica.com/camping/clear-lake-sp/r/facilityDetails.do?contractCode=CA&amp;parkId=120019", "CLEAR LAKE SP")</f>
        <v>0</v>
      </c>
      <c r="E81">
        <v>39.0066667</v>
      </c>
      <c r="F81">
        <v>-122.8141667</v>
      </c>
      <c r="G81" t="s">
        <v>591</v>
      </c>
      <c r="I81" t="s">
        <v>505</v>
      </c>
      <c r="J81">
        <f>HYPERLINK("http://maps.google.com/maps?z=10&amp;t=m&amp;q=loc:39.0066667+-122.8141667", 202)</f>
        <v>0</v>
      </c>
      <c r="K81">
        <v>337</v>
      </c>
      <c r="L81">
        <v>52</v>
      </c>
      <c r="M81">
        <v>5</v>
      </c>
      <c r="N81">
        <v>47</v>
      </c>
      <c r="O81">
        <v>47</v>
      </c>
    </row>
    <row r="82" spans="1:15">
      <c r="A82" s="1" t="s">
        <v>94</v>
      </c>
      <c r="B82" t="s">
        <v>504</v>
      </c>
      <c r="C82" t="s">
        <v>509</v>
      </c>
      <c r="D82">
        <f>HYPERLINK("http://www.reserveamerica.com/camping/codorniz-recreation-area-campground/r/facilityDetails.do?contractCode=NRSO&amp;parkId=73062", "Codorniz Recreation Area Campground")</f>
        <v>0</v>
      </c>
      <c r="E82">
        <v>37.2158333</v>
      </c>
      <c r="F82">
        <v>-119.9686111</v>
      </c>
      <c r="G82" t="s">
        <v>592</v>
      </c>
      <c r="I82" t="s">
        <v>505</v>
      </c>
      <c r="J82">
        <f>HYPERLINK("http://maps.google.com/maps?z=10&amp;t=m&amp;q=loc:37.2158333+-119.9686111", 171)</f>
        <v>0</v>
      </c>
      <c r="K82">
        <v>93</v>
      </c>
      <c r="L82">
        <v>79</v>
      </c>
      <c r="M82">
        <v>2</v>
      </c>
      <c r="N82">
        <v>77</v>
      </c>
      <c r="O82">
        <v>77</v>
      </c>
    </row>
    <row r="83" spans="1:15">
      <c r="A83" s="1" t="s">
        <v>95</v>
      </c>
      <c r="B83" t="s">
        <v>505</v>
      </c>
      <c r="C83" t="s">
        <v>510</v>
      </c>
      <c r="D83">
        <f>HYPERLINK("http://www.reserveamerica.com/camping/col-allensworth-shp/r/facilityDetails.do?contractCode=CA&amp;parkId=120020", "COL. ALLENSWORTH SHP")</f>
        <v>0</v>
      </c>
      <c r="E83">
        <v>35.8636111</v>
      </c>
      <c r="F83">
        <v>-119.3869444</v>
      </c>
      <c r="G83" t="s">
        <v>593</v>
      </c>
      <c r="I83" t="s">
        <v>505</v>
      </c>
      <c r="J83">
        <f>HYPERLINK("http://maps.google.com/maps?z=10&amp;t=m&amp;q=loc:35.8636111+-119.3869444", 277)</f>
        <v>0</v>
      </c>
      <c r="K83">
        <v>125</v>
      </c>
      <c r="L83">
        <v>115</v>
      </c>
      <c r="M83">
        <v>2</v>
      </c>
      <c r="N83">
        <v>113</v>
      </c>
      <c r="O83">
        <v>113</v>
      </c>
    </row>
    <row r="84" spans="1:15">
      <c r="A84" s="1" t="s">
        <v>96</v>
      </c>
      <c r="B84" t="s">
        <v>504</v>
      </c>
      <c r="C84" t="s">
        <v>509</v>
      </c>
      <c r="D84">
        <f>HYPERLINK("http://www.reserveamerica.com/camping/cold-creek/r/facilityDetails.do?contractCode=NRSO&amp;parkId=71655", "COLD CREEK")</f>
        <v>0</v>
      </c>
      <c r="E84">
        <v>39.5427778</v>
      </c>
      <c r="F84">
        <v>-120.3147222</v>
      </c>
      <c r="G84" t="s">
        <v>594</v>
      </c>
      <c r="I84" t="s">
        <v>505</v>
      </c>
      <c r="J84">
        <f>HYPERLINK("http://maps.google.com/maps?z=10&amp;t=m&amp;q=loc:39.5427778+-120.3147222", 282)</f>
        <v>0</v>
      </c>
      <c r="K84">
        <v>28</v>
      </c>
      <c r="L84">
        <v>6</v>
      </c>
      <c r="M84">
        <v>0</v>
      </c>
      <c r="N84">
        <v>6</v>
      </c>
      <c r="O84">
        <v>6</v>
      </c>
    </row>
    <row r="85" spans="1:15">
      <c r="A85" s="1" t="s">
        <v>97</v>
      </c>
      <c r="B85" t="s">
        <v>504</v>
      </c>
      <c r="C85" t="s">
        <v>509</v>
      </c>
      <c r="D85">
        <f>HYPERLINK("http://www.reserveamerica.com/camping/coldwater-campground/r/facilityDetails.do?contractCode=NRSO&amp;parkId=75150", "COLDWATER CAMPGROUND")</f>
        <v>0</v>
      </c>
      <c r="E85">
        <v>37.5991667</v>
      </c>
      <c r="F85">
        <v>-118.9969444</v>
      </c>
      <c r="G85" t="s">
        <v>595</v>
      </c>
      <c r="I85" t="s">
        <v>505</v>
      </c>
      <c r="J85">
        <f>HYPERLINK("http://maps.google.com/maps?z=10&amp;t=m&amp;q=loc:37.5991667+-118.9969444", 258)</f>
        <v>0</v>
      </c>
      <c r="K85">
        <v>82</v>
      </c>
      <c r="L85">
        <v>49</v>
      </c>
      <c r="M85">
        <v>0</v>
      </c>
      <c r="N85">
        <v>49</v>
      </c>
      <c r="O85">
        <v>49</v>
      </c>
    </row>
    <row r="86" spans="1:15">
      <c r="A86" s="1" t="s">
        <v>98</v>
      </c>
      <c r="B86" t="s">
        <v>504</v>
      </c>
      <c r="C86" t="s">
        <v>509</v>
      </c>
      <c r="D86">
        <f>HYPERLINK("http://www.reserveamerica.com/camping/college/r/facilityDetails.do?contractCode=NRSO&amp;parkId=71590", "COLLEGE")</f>
        <v>0</v>
      </c>
      <c r="E86">
        <v>37.2519444</v>
      </c>
      <c r="F86">
        <v>-119.1688889</v>
      </c>
      <c r="G86" t="s">
        <v>596</v>
      </c>
      <c r="H86" t="s">
        <v>998</v>
      </c>
      <c r="I86" t="s">
        <v>505</v>
      </c>
      <c r="J86">
        <f>HYPERLINK("http://maps.google.com/maps?z=10&amp;t=m&amp;q=loc:37.2519444+-119.1688889", 242)</f>
        <v>0</v>
      </c>
      <c r="K86">
        <v>91</v>
      </c>
      <c r="L86">
        <v>0</v>
      </c>
      <c r="M86">
        <v>0</v>
      </c>
      <c r="N86">
        <v>0</v>
      </c>
      <c r="O86">
        <v>0</v>
      </c>
    </row>
    <row r="87" spans="1:15">
      <c r="A87" s="1" t="s">
        <v>99</v>
      </c>
      <c r="B87" t="s">
        <v>505</v>
      </c>
      <c r="C87" t="s">
        <v>510</v>
      </c>
      <c r="D87">
        <f>HYPERLINK("http://www.reserveamerica.com/camping/colusasacramento-river-sra/r/facilityDetails.do?contractCode=CA&amp;parkId=120021", "COLUSA-SACRAMENTO RIVER SRA")</f>
        <v>0</v>
      </c>
      <c r="E87">
        <v>39.2211111</v>
      </c>
      <c r="F87">
        <v>-122.0130556</v>
      </c>
      <c r="G87" t="s">
        <v>597</v>
      </c>
      <c r="I87" t="s">
        <v>505</v>
      </c>
      <c r="J87">
        <f>HYPERLINK("http://maps.google.com/maps?z=10&amp;t=m&amp;q=loc:39.2211111+-122.0130556", 210)</f>
        <v>0</v>
      </c>
      <c r="K87">
        <v>357</v>
      </c>
      <c r="L87">
        <v>12</v>
      </c>
      <c r="M87">
        <v>0</v>
      </c>
      <c r="N87">
        <v>12</v>
      </c>
      <c r="O87">
        <v>12</v>
      </c>
    </row>
    <row r="88" spans="1:15">
      <c r="A88" s="1" t="s">
        <v>100</v>
      </c>
      <c r="B88" t="s">
        <v>504</v>
      </c>
      <c r="C88" t="s">
        <v>509</v>
      </c>
      <c r="D88">
        <f>HYPERLINK("http://www.reserveamerica.com/camping/convict-lake-campground/r/facilityDetails.do?contractCode=NRSO&amp;parkId=75172", "CONVICT LAKE CAMPGROUND")</f>
        <v>0</v>
      </c>
      <c r="E88">
        <v>37.5988889</v>
      </c>
      <c r="F88">
        <v>-118.8508333</v>
      </c>
      <c r="G88" t="s">
        <v>598</v>
      </c>
      <c r="H88" t="s">
        <v>998</v>
      </c>
      <c r="I88" t="s">
        <v>505</v>
      </c>
      <c r="J88">
        <f>HYPERLINK("http://maps.google.com/maps?z=10&amp;t=m&amp;q=loc:37.5988889+-118.8508333", 271)</f>
        <v>0</v>
      </c>
      <c r="K88">
        <v>82</v>
      </c>
      <c r="L88">
        <v>0</v>
      </c>
      <c r="M88">
        <v>0</v>
      </c>
      <c r="N88">
        <v>0</v>
      </c>
      <c r="O88">
        <v>0</v>
      </c>
    </row>
    <row r="89" spans="1:15">
      <c r="A89" s="1" t="s">
        <v>101</v>
      </c>
      <c r="B89" t="s">
        <v>504</v>
      </c>
      <c r="C89" t="s">
        <v>509</v>
      </c>
      <c r="D89">
        <f>HYPERLINK("http://www.reserveamerica.com/camping/coon-creek-group-campground/r/facilityDetails.do?contractCode=NRSO&amp;parkId=70250", "COON CREEK GROUP CAMPGROUND")</f>
        <v>0</v>
      </c>
      <c r="E89">
        <v>34.1488889</v>
      </c>
      <c r="F89">
        <v>-116.7094444</v>
      </c>
      <c r="G89" t="s">
        <v>599</v>
      </c>
      <c r="I89" t="s">
        <v>505</v>
      </c>
      <c r="J89">
        <f>HYPERLINK("http://maps.google.com/maps?z=10&amp;t=m&amp;q=loc:34.1488889+-116.7094444", 586)</f>
        <v>0</v>
      </c>
      <c r="K89">
        <v>125</v>
      </c>
      <c r="L89">
        <v>1</v>
      </c>
      <c r="M89">
        <v>0</v>
      </c>
      <c r="N89">
        <v>1</v>
      </c>
      <c r="O89">
        <v>1</v>
      </c>
    </row>
    <row r="90" spans="1:15">
      <c r="A90" s="1" t="s">
        <v>102</v>
      </c>
      <c r="B90" t="s">
        <v>504</v>
      </c>
      <c r="C90" t="s">
        <v>509</v>
      </c>
      <c r="D90">
        <f>HYPERLINK("http://www.reserveamerica.com/camping/cottonwood-ca/r/facilityDetails.do?contractCode=NRSO&amp;parkId=71611", "COTTONWOOD (CA)")</f>
        <v>0</v>
      </c>
      <c r="E90">
        <v>39.8847222</v>
      </c>
      <c r="F90">
        <v>-120.2366667</v>
      </c>
      <c r="G90" t="s">
        <v>600</v>
      </c>
      <c r="I90" t="s">
        <v>505</v>
      </c>
      <c r="J90">
        <f>HYPERLINK("http://maps.google.com/maps?z=10&amp;t=m&amp;q=loc:39.8847222+-120.2366667", 318)</f>
        <v>0</v>
      </c>
      <c r="K90">
        <v>26</v>
      </c>
      <c r="L90">
        <v>0</v>
      </c>
      <c r="M90">
        <v>0</v>
      </c>
      <c r="N90">
        <v>0</v>
      </c>
      <c r="O90">
        <v>0</v>
      </c>
    </row>
    <row r="91" spans="1:15">
      <c r="A91" s="1" t="s">
        <v>103</v>
      </c>
      <c r="B91" t="s">
        <v>504</v>
      </c>
      <c r="C91" t="s">
        <v>509</v>
      </c>
      <c r="D91">
        <f>HYPERLINK("http://www.reserveamerica.com/camping/cottonwood-creek/r/facilityDetails.do?contractCode=NRSO&amp;parkId=71657", "COTTONWOOD CREEK")</f>
        <v>0</v>
      </c>
      <c r="E91">
        <v>39.5494444</v>
      </c>
      <c r="F91">
        <v>-120.3163889</v>
      </c>
      <c r="G91" t="s">
        <v>601</v>
      </c>
      <c r="I91" t="s">
        <v>505</v>
      </c>
      <c r="J91">
        <f>HYPERLINK("http://maps.google.com/maps?z=10&amp;t=m&amp;q=loc:39.5494444+-120.3163889", 283)</f>
        <v>0</v>
      </c>
      <c r="K91">
        <v>28</v>
      </c>
      <c r="L91">
        <v>40</v>
      </c>
      <c r="M91">
        <v>0</v>
      </c>
      <c r="N91">
        <v>40</v>
      </c>
      <c r="O91">
        <v>40</v>
      </c>
    </row>
    <row r="92" spans="1:15">
      <c r="A92" s="1" t="s">
        <v>104</v>
      </c>
      <c r="B92" t="s">
        <v>504</v>
      </c>
      <c r="C92" t="s">
        <v>509</v>
      </c>
      <c r="E92">
        <v>33.75</v>
      </c>
      <c r="F92">
        <v>-115.825</v>
      </c>
      <c r="G92" t="s">
        <v>602</v>
      </c>
      <c r="I92" t="s">
        <v>505</v>
      </c>
      <c r="J92">
        <f>HYPERLINK("http://maps.google.com/maps?z=10&amp;t=m&amp;q=loc:33.75+-115.825", 678)</f>
        <v>0</v>
      </c>
      <c r="K92">
        <v>124</v>
      </c>
      <c r="L92">
        <v>0</v>
      </c>
      <c r="M92">
        <v>0</v>
      </c>
      <c r="N92">
        <v>0</v>
      </c>
      <c r="O92">
        <v>0</v>
      </c>
    </row>
    <row r="93" spans="1:15">
      <c r="A93" s="1" t="s">
        <v>105</v>
      </c>
      <c r="B93" t="s">
        <v>504</v>
      </c>
      <c r="C93" t="s">
        <v>509</v>
      </c>
      <c r="D93">
        <f>HYPERLINK("http://www.reserveamerica.com/camping/coulter-group-campground/r/facilityDetails.do?contractCode=NRSO&amp;parkId=75444", "COULTER GROUP CAMPGROUND")</f>
        <v>0</v>
      </c>
      <c r="E93">
        <v>34.3227778</v>
      </c>
      <c r="F93">
        <v>-118.0177778</v>
      </c>
      <c r="G93" t="s">
        <v>603</v>
      </c>
      <c r="I93" t="s">
        <v>505</v>
      </c>
      <c r="J93">
        <f>HYPERLINK("http://maps.google.com/maps?z=10&amp;t=m&amp;q=loc:34.3227778+-118.0177778", 483)</f>
        <v>0</v>
      </c>
      <c r="K93">
        <v>132</v>
      </c>
      <c r="L93">
        <v>0</v>
      </c>
      <c r="M93">
        <v>0</v>
      </c>
      <c r="N93">
        <v>0</v>
      </c>
      <c r="O93">
        <v>0</v>
      </c>
    </row>
    <row r="94" spans="1:15">
      <c r="A94" s="1" t="s">
        <v>106</v>
      </c>
      <c r="B94" t="s">
        <v>504</v>
      </c>
      <c r="C94" t="s">
        <v>509</v>
      </c>
      <c r="D94">
        <f>HYPERLINK("http://www.reserveamerica.com/camping/council/r/facilityDetails.do?contractCode=NRSO&amp;parkId=70251", "COUNCIL")</f>
        <v>0</v>
      </c>
      <c r="E94">
        <v>34.1713889</v>
      </c>
      <c r="F94">
        <v>-116.8816667</v>
      </c>
      <c r="G94" t="s">
        <v>604</v>
      </c>
      <c r="I94" t="s">
        <v>505</v>
      </c>
      <c r="J94">
        <f>HYPERLINK("http://maps.google.com/maps?z=10&amp;t=m&amp;q=loc:34.1713889+-116.8816667", 572)</f>
        <v>0</v>
      </c>
      <c r="K94">
        <v>126</v>
      </c>
      <c r="L94">
        <v>0</v>
      </c>
      <c r="M94">
        <v>0</v>
      </c>
      <c r="N94">
        <v>0</v>
      </c>
      <c r="O94">
        <v>0</v>
      </c>
    </row>
    <row r="95" spans="1:15">
      <c r="A95" s="1" t="s">
        <v>107</v>
      </c>
      <c r="B95" t="s">
        <v>504</v>
      </c>
      <c r="C95" t="s">
        <v>509</v>
      </c>
      <c r="D95">
        <f>HYPERLINK("http://www.reserveamerica.com/camping/cove-group/r/facilityDetails.do?contractCode=NRSO&amp;parkId=71552", "COVE GROUP")</f>
        <v>0</v>
      </c>
      <c r="E95">
        <v>36.665</v>
      </c>
      <c r="F95">
        <v>-118.8380556</v>
      </c>
      <c r="G95" t="s">
        <v>605</v>
      </c>
      <c r="I95" t="s">
        <v>505</v>
      </c>
      <c r="J95">
        <f>HYPERLINK("http://maps.google.com/maps?z=10&amp;t=m&amp;q=loc:36.665+-118.8380556", 282)</f>
        <v>0</v>
      </c>
      <c r="K95">
        <v>104</v>
      </c>
      <c r="L95">
        <v>0</v>
      </c>
      <c r="M95">
        <v>0</v>
      </c>
      <c r="N95">
        <v>0</v>
      </c>
      <c r="O95">
        <v>0</v>
      </c>
    </row>
    <row r="96" spans="1:15">
      <c r="A96" s="1" t="s">
        <v>108</v>
      </c>
      <c r="B96" t="s">
        <v>504</v>
      </c>
      <c r="C96" t="s">
        <v>509</v>
      </c>
      <c r="D96">
        <f>HYPERLINK("http://www.reserveamerica.com/camping/coy-flat/r/facilityDetails.do?contractCode=NRSO&amp;parkId=71689", "COY FLAT")</f>
        <v>0</v>
      </c>
      <c r="E96">
        <v>36.1291667</v>
      </c>
      <c r="F96">
        <v>-118.6180556</v>
      </c>
      <c r="G96" t="s">
        <v>606</v>
      </c>
      <c r="I96" t="s">
        <v>505</v>
      </c>
      <c r="J96">
        <f>HYPERLINK("http://maps.google.com/maps?z=10&amp;t=m&amp;q=loc:36.1291667+-118.6180556", 321)</f>
        <v>0</v>
      </c>
      <c r="K96">
        <v>113</v>
      </c>
      <c r="L96">
        <v>18</v>
      </c>
      <c r="M96">
        <v>0</v>
      </c>
      <c r="N96">
        <v>18</v>
      </c>
      <c r="O96">
        <v>18</v>
      </c>
    </row>
    <row r="97" spans="1:15">
      <c r="A97" s="1" t="s">
        <v>109</v>
      </c>
      <c r="B97" t="s">
        <v>504</v>
      </c>
      <c r="C97" t="s">
        <v>509</v>
      </c>
      <c r="D97">
        <f>HYPERLINK("http://www.reserveamerica.com/camping/coyote-group/r/facilityDetails.do?contractCode=NRSO&amp;parkId=70252", "COYOTE GROUP")</f>
        <v>0</v>
      </c>
      <c r="E97">
        <v>39.1355556</v>
      </c>
      <c r="F97">
        <v>-120.4105556</v>
      </c>
      <c r="G97" t="s">
        <v>607</v>
      </c>
      <c r="I97" t="s">
        <v>505</v>
      </c>
      <c r="J97">
        <f>HYPERLINK("http://maps.google.com/maps?z=10&amp;t=m&amp;q=loc:39.1355556+-120.4105556", 239)</f>
        <v>0</v>
      </c>
      <c r="K97">
        <v>32</v>
      </c>
      <c r="L97">
        <v>0</v>
      </c>
      <c r="M97">
        <v>0</v>
      </c>
      <c r="N97">
        <v>0</v>
      </c>
      <c r="O97">
        <v>0</v>
      </c>
    </row>
    <row r="98" spans="1:15">
      <c r="A98" s="1" t="s">
        <v>110</v>
      </c>
      <c r="B98" t="s">
        <v>504</v>
      </c>
      <c r="C98" t="s">
        <v>509</v>
      </c>
      <c r="E98">
        <v>37.9844444</v>
      </c>
      <c r="F98">
        <v>-120.8447222</v>
      </c>
      <c r="G98" t="s">
        <v>608</v>
      </c>
      <c r="H98" t="s">
        <v>998</v>
      </c>
      <c r="I98" t="s">
        <v>505</v>
      </c>
      <c r="J98">
        <f>HYPERLINK("http://maps.google.com/maps?z=10&amp;t=m&amp;q=loc:37.9844444+-120.8447222", 118)</f>
        <v>0</v>
      </c>
      <c r="K98">
        <v>51</v>
      </c>
      <c r="L98">
        <v>0</v>
      </c>
      <c r="M98">
        <v>0</v>
      </c>
      <c r="N98">
        <v>0</v>
      </c>
      <c r="O98">
        <v>0</v>
      </c>
    </row>
    <row r="99" spans="1:15">
      <c r="A99" s="1" t="s">
        <v>111</v>
      </c>
      <c r="B99" t="s">
        <v>504</v>
      </c>
      <c r="C99" t="s">
        <v>509</v>
      </c>
      <c r="D99">
        <f>HYPERLINK("http://www.reserveamerica.com/camping/crab-flats/r/facilityDetails.do?contractCode=NRSO&amp;parkId=70790", "CRAB FLATS")</f>
        <v>0</v>
      </c>
      <c r="E99">
        <v>34.2616667</v>
      </c>
      <c r="F99">
        <v>-117.0833333</v>
      </c>
      <c r="G99" t="s">
        <v>609</v>
      </c>
      <c r="I99" t="s">
        <v>505</v>
      </c>
      <c r="J99">
        <f>HYPERLINK("http://maps.google.com/maps?z=10&amp;t=m&amp;q=loc:34.2616667+-117.0833333", 552)</f>
        <v>0</v>
      </c>
      <c r="K99">
        <v>126</v>
      </c>
      <c r="L99">
        <v>0</v>
      </c>
      <c r="M99">
        <v>0</v>
      </c>
      <c r="N99">
        <v>0</v>
      </c>
      <c r="O99">
        <v>0</v>
      </c>
    </row>
    <row r="100" spans="1:15">
      <c r="A100" s="1" t="s">
        <v>112</v>
      </c>
      <c r="B100" t="s">
        <v>504</v>
      </c>
      <c r="C100" t="s">
        <v>509</v>
      </c>
      <c r="D100">
        <f>HYPERLINK("http://www.reserveamerica.com/camping/crags-campground/r/facilityDetails.do?contractCode=NRSO&amp;parkId=70758", "CRAGS CAMPGROUND")</f>
        <v>0</v>
      </c>
      <c r="E100">
        <v>38.1736111</v>
      </c>
      <c r="F100">
        <v>-119.3041667</v>
      </c>
      <c r="G100" t="s">
        <v>610</v>
      </c>
      <c r="I100" t="s">
        <v>505</v>
      </c>
      <c r="J100">
        <f>HYPERLINK("http://maps.google.com/maps?z=10&amp;t=m&amp;q=loc:38.1736111+-119.3041667", 247)</f>
        <v>0</v>
      </c>
      <c r="K100">
        <v>66</v>
      </c>
      <c r="L100">
        <v>0</v>
      </c>
      <c r="M100">
        <v>0</v>
      </c>
      <c r="N100">
        <v>0</v>
      </c>
      <c r="O100">
        <v>0</v>
      </c>
    </row>
    <row r="101" spans="1:15">
      <c r="A101" s="1" t="s">
        <v>113</v>
      </c>
      <c r="B101" t="s">
        <v>504</v>
      </c>
      <c r="C101" t="s">
        <v>509</v>
      </c>
      <c r="D101">
        <f>HYPERLINK("http://www.reserveamerica.com/camping/crane-flat/r/facilityDetails.do?contractCode=NRSO&amp;parkId=70930", "CRANE FLAT")</f>
        <v>0</v>
      </c>
      <c r="E101">
        <v>37.7638889</v>
      </c>
      <c r="F101">
        <v>-119.8444444</v>
      </c>
      <c r="G101" t="s">
        <v>611</v>
      </c>
      <c r="I101" t="s">
        <v>505</v>
      </c>
      <c r="J101">
        <f>HYPERLINK("http://maps.google.com/maps?z=10&amp;t=m&amp;q=loc:37.7638889+-119.8444444", 187)</f>
        <v>0</v>
      </c>
      <c r="K101">
        <v>74</v>
      </c>
      <c r="L101">
        <v>0</v>
      </c>
      <c r="M101">
        <v>0</v>
      </c>
      <c r="N101">
        <v>0</v>
      </c>
      <c r="O101">
        <v>0</v>
      </c>
    </row>
    <row r="102" spans="1:15">
      <c r="A102" s="1" t="s">
        <v>114</v>
      </c>
      <c r="B102" t="s">
        <v>504</v>
      </c>
      <c r="C102" t="s">
        <v>509</v>
      </c>
      <c r="D102">
        <f>HYPERLINK("http://www.reserveamerica.com/camping/crane-valley/r/facilityDetails.do?contractCode=NRSO&amp;parkId=71719", "CRANE VALLEY")</f>
        <v>0</v>
      </c>
      <c r="E102">
        <v>37.3330556</v>
      </c>
      <c r="F102">
        <v>-119.5852778</v>
      </c>
      <c r="G102" t="s">
        <v>612</v>
      </c>
      <c r="I102" t="s">
        <v>505</v>
      </c>
      <c r="J102">
        <f>HYPERLINK("http://maps.google.com/maps?z=10&amp;t=m&amp;q=loc:37.3330556+-119.5852778", 205)</f>
        <v>0</v>
      </c>
      <c r="K102">
        <v>89</v>
      </c>
      <c r="L102">
        <v>0</v>
      </c>
      <c r="M102">
        <v>0</v>
      </c>
      <c r="N102">
        <v>0</v>
      </c>
      <c r="O102">
        <v>0</v>
      </c>
    </row>
    <row r="103" spans="1:15">
      <c r="A103" s="1" t="s">
        <v>115</v>
      </c>
      <c r="B103" t="s">
        <v>504</v>
      </c>
      <c r="C103" t="s">
        <v>509</v>
      </c>
      <c r="D103">
        <f>HYPERLINK("http://www.reserveamerica.com/camping/crestline-group/r/facilityDetails.do?contractCode=NRSO&amp;parkId=70147", "CRESTLINE GROUP")</f>
        <v>0</v>
      </c>
      <c r="E103">
        <v>33.3127778</v>
      </c>
      <c r="F103">
        <v>-116.8647222</v>
      </c>
      <c r="G103" t="s">
        <v>613</v>
      </c>
      <c r="I103" t="s">
        <v>505</v>
      </c>
      <c r="J103">
        <f>HYPERLINK("http://maps.google.com/maps?z=10&amp;t=m&amp;q=loc:33.3127778+-116.8647222", 638)</f>
        <v>0</v>
      </c>
      <c r="K103">
        <v>132</v>
      </c>
      <c r="L103">
        <v>0</v>
      </c>
      <c r="M103">
        <v>0</v>
      </c>
      <c r="N103">
        <v>0</v>
      </c>
      <c r="O103">
        <v>0</v>
      </c>
    </row>
    <row r="104" spans="1:15">
      <c r="A104" s="1" t="s">
        <v>116</v>
      </c>
      <c r="B104" t="s">
        <v>505</v>
      </c>
      <c r="C104" t="s">
        <v>510</v>
      </c>
      <c r="D104">
        <f>HYPERLINK("http://www.reserveamerica.com/camping/crystal-cove-sp-moro-campground/r/facilityDetails.do?contractCode=CA&amp;parkId=123400", "CRYSTAL COVE SP MORO CAMPGROUND")</f>
        <v>0</v>
      </c>
      <c r="E104">
        <v>33.5631417</v>
      </c>
      <c r="F104">
        <v>-117.8220556</v>
      </c>
      <c r="G104" t="s">
        <v>614</v>
      </c>
      <c r="I104" t="s">
        <v>505</v>
      </c>
      <c r="J104">
        <f>HYPERLINK("http://maps.google.com/maps?z=10&amp;t=m&amp;q=loc:33.5631417+-117.8220556", 558)</f>
        <v>0</v>
      </c>
      <c r="K104">
        <v>137</v>
      </c>
      <c r="L104">
        <v>0</v>
      </c>
      <c r="M104">
        <v>0</v>
      </c>
      <c r="N104">
        <v>0</v>
      </c>
      <c r="O104">
        <v>0</v>
      </c>
    </row>
    <row r="105" spans="1:15">
      <c r="A105" s="1" t="s">
        <v>117</v>
      </c>
      <c r="B105" t="s">
        <v>505</v>
      </c>
      <c r="C105" t="s">
        <v>510</v>
      </c>
      <c r="D105">
        <f>HYPERLINK("http://www.reserveamerica.com/camping/crystal-cove-sp-primitive-tent-camping/r/facilityDetails.do?contractCode=CA&amp;parkId=120022", "CRYSTAL COVE SP PRIMITIVE TENT CAMPING")</f>
        <v>0</v>
      </c>
      <c r="E105">
        <v>33.5705556</v>
      </c>
      <c r="F105">
        <v>-117.81</v>
      </c>
      <c r="G105" t="s">
        <v>615</v>
      </c>
      <c r="I105" t="s">
        <v>505</v>
      </c>
      <c r="J105">
        <f>HYPERLINK("http://maps.google.com/maps?z=10&amp;t=m&amp;q=loc:33.5705556+-117.81", 558)</f>
        <v>0</v>
      </c>
      <c r="K105">
        <v>137</v>
      </c>
      <c r="L105">
        <v>32</v>
      </c>
      <c r="M105">
        <v>0</v>
      </c>
      <c r="N105">
        <v>32</v>
      </c>
      <c r="O105">
        <v>32</v>
      </c>
    </row>
    <row r="106" spans="1:15">
      <c r="A106" s="1" t="s">
        <v>118</v>
      </c>
      <c r="B106" t="s">
        <v>504</v>
      </c>
      <c r="C106" t="s">
        <v>509</v>
      </c>
      <c r="D106">
        <f>HYPERLINK("http://www.reserveamerica.com/camping/crystal-lake/r/facilityDetails.do?contractCode=NRSO&amp;parkId=70677", "CRYSTAL LAKE")</f>
        <v>0</v>
      </c>
      <c r="E106">
        <v>34.3255556</v>
      </c>
      <c r="F106">
        <v>-117.8372222</v>
      </c>
      <c r="G106" t="s">
        <v>615</v>
      </c>
      <c r="I106" t="s">
        <v>505</v>
      </c>
      <c r="J106">
        <f>HYPERLINK("http://maps.google.com/maps?z=10&amp;t=m&amp;q=loc:34.3255556+-117.8372222", 495)</f>
        <v>0</v>
      </c>
      <c r="K106">
        <v>131</v>
      </c>
      <c r="L106">
        <v>0</v>
      </c>
      <c r="M106">
        <v>0</v>
      </c>
      <c r="N106">
        <v>0</v>
      </c>
      <c r="O106">
        <v>0</v>
      </c>
    </row>
    <row r="107" spans="1:15">
      <c r="A107" s="1" t="s">
        <v>119</v>
      </c>
      <c r="B107" t="s">
        <v>504</v>
      </c>
      <c r="C107" t="s">
        <v>509</v>
      </c>
      <c r="D107">
        <f>HYPERLINK("http://www.reserveamerica.com/camping/curly-jack-campground/r/facilityDetails.do?contractCode=NRSO&amp;parkId=75266", "CURLY JACK CAMPGROUND")</f>
        <v>0</v>
      </c>
      <c r="E107">
        <v>41.7936111</v>
      </c>
      <c r="F107">
        <v>-123.3827778</v>
      </c>
      <c r="G107" t="s">
        <v>616</v>
      </c>
      <c r="I107" t="s">
        <v>505</v>
      </c>
      <c r="J107">
        <f>HYPERLINK("http://maps.google.com/maps?z=10&amp;t=m&amp;q=loc:41.7936111+-123.3827778", 512)</f>
        <v>0</v>
      </c>
      <c r="K107">
        <v>346</v>
      </c>
      <c r="L107">
        <v>4</v>
      </c>
      <c r="M107">
        <v>0</v>
      </c>
      <c r="N107">
        <v>4</v>
      </c>
      <c r="O107">
        <v>4</v>
      </c>
    </row>
    <row r="108" spans="1:15">
      <c r="A108" s="1" t="s">
        <v>120</v>
      </c>
      <c r="B108" t="s">
        <v>505</v>
      </c>
      <c r="C108" t="s">
        <v>510</v>
      </c>
      <c r="D108">
        <f>HYPERLINK("http://www.reserveamerica.com/camping/cuyamaca-rancho-sp/r/facilityDetails.do?contractCode=CA&amp;parkId=120023", "CUYAMACA RANCHO SP")</f>
        <v>0</v>
      </c>
      <c r="E108">
        <v>32.9358333</v>
      </c>
      <c r="F108">
        <v>-116.5616667</v>
      </c>
      <c r="G108" t="s">
        <v>617</v>
      </c>
      <c r="I108" t="s">
        <v>505</v>
      </c>
      <c r="J108">
        <f>HYPERLINK("http://maps.google.com/maps?z=10&amp;t=m&amp;q=loc:32.9358333+-116.5616667", 688)</f>
        <v>0</v>
      </c>
      <c r="K108">
        <v>133</v>
      </c>
      <c r="L108">
        <v>88</v>
      </c>
      <c r="M108">
        <v>5</v>
      </c>
      <c r="N108">
        <v>83</v>
      </c>
      <c r="O108">
        <v>83</v>
      </c>
    </row>
    <row r="109" spans="1:15">
      <c r="A109" s="1" t="s">
        <v>121</v>
      </c>
      <c r="B109" t="s">
        <v>505</v>
      </c>
      <c r="C109" t="s">
        <v>510</v>
      </c>
      <c r="D109">
        <f>HYPERLINK("http://www.reserveamerica.com/camping/dl-bliss-sp/r/facilityDetails.do?contractCode=CA&amp;parkId=120099", "D.L. BLISS SP")</f>
        <v>0</v>
      </c>
      <c r="E109">
        <v>38.9822222</v>
      </c>
      <c r="F109">
        <v>-120.095</v>
      </c>
      <c r="G109" t="s">
        <v>618</v>
      </c>
      <c r="I109" t="s">
        <v>505</v>
      </c>
      <c r="J109">
        <f>HYPERLINK("http://maps.google.com/maps?z=10&amp;t=m&amp;q=loc:38.9822222+-120.095", 242)</f>
        <v>0</v>
      </c>
      <c r="K109">
        <v>40</v>
      </c>
      <c r="L109">
        <v>0</v>
      </c>
      <c r="M109">
        <v>0</v>
      </c>
      <c r="N109">
        <v>0</v>
      </c>
      <c r="O109">
        <v>0</v>
      </c>
    </row>
    <row r="110" spans="1:15">
      <c r="A110" s="1" t="s">
        <v>122</v>
      </c>
      <c r="B110" t="s">
        <v>504</v>
      </c>
      <c r="C110" t="s">
        <v>509</v>
      </c>
      <c r="D110">
        <f>HYPERLINK("http://www.reserveamerica.com/camping/deer-creek/r/facilityDetails.do?contractCode=NRSO&amp;parkId=71591", "DEER CREEK")</f>
        <v>0</v>
      </c>
      <c r="E110">
        <v>37.2519444</v>
      </c>
      <c r="F110">
        <v>-119.1769444</v>
      </c>
      <c r="G110" t="s">
        <v>619</v>
      </c>
      <c r="H110" t="s">
        <v>998</v>
      </c>
      <c r="I110" t="s">
        <v>505</v>
      </c>
      <c r="J110">
        <f>HYPERLINK("http://maps.google.com/maps?z=10&amp;t=m&amp;q=loc:37.2519444+-119.1769444", 241)</f>
        <v>0</v>
      </c>
      <c r="K110">
        <v>91</v>
      </c>
      <c r="L110">
        <v>0</v>
      </c>
      <c r="M110">
        <v>0</v>
      </c>
      <c r="N110">
        <v>0</v>
      </c>
      <c r="O110">
        <v>0</v>
      </c>
    </row>
    <row r="111" spans="1:15">
      <c r="A111" s="1" t="s">
        <v>123</v>
      </c>
      <c r="B111" t="s">
        <v>504</v>
      </c>
      <c r="C111" t="s">
        <v>509</v>
      </c>
      <c r="D111">
        <f>HYPERLINK("http://www.reserveamerica.com/camping/deer-group-camp/r/facilityDetails.do?contractCode=NRSO&amp;parkId=70172", "DEER GROUP CAMP")</f>
        <v>0</v>
      </c>
      <c r="E111">
        <v>34.225</v>
      </c>
      <c r="F111">
        <v>-116.9141667</v>
      </c>
      <c r="G111" t="s">
        <v>620</v>
      </c>
      <c r="I111" t="s">
        <v>505</v>
      </c>
      <c r="J111">
        <f>HYPERLINK("http://maps.google.com/maps?z=10&amp;t=m&amp;q=loc:34.225+-116.9141667", 566)</f>
        <v>0</v>
      </c>
      <c r="K111">
        <v>125</v>
      </c>
      <c r="L111">
        <v>0</v>
      </c>
      <c r="M111">
        <v>0</v>
      </c>
      <c r="N111">
        <v>0</v>
      </c>
      <c r="O111">
        <v>0</v>
      </c>
    </row>
    <row r="112" spans="1:15">
      <c r="A112" s="1" t="s">
        <v>124</v>
      </c>
      <c r="B112" t="s">
        <v>504</v>
      </c>
      <c r="C112" t="s">
        <v>509</v>
      </c>
      <c r="D112">
        <f>HYPERLINK("http://www.reserveamerica.com/camping/dekkas-rock/r/facilityDetails.do?contractCode=NRSO&amp;parkId=71515", "DEKKAS ROCK")</f>
        <v>0</v>
      </c>
      <c r="E112">
        <v>40.8747222</v>
      </c>
      <c r="F112">
        <v>-122.2375</v>
      </c>
      <c r="G112" t="s">
        <v>621</v>
      </c>
      <c r="I112" t="s">
        <v>505</v>
      </c>
      <c r="J112">
        <f>HYPERLINK("http://maps.google.com/maps?z=10&amp;t=m&amp;q=loc:40.8747222+-122.2375", 395)</f>
        <v>0</v>
      </c>
      <c r="K112">
        <v>355</v>
      </c>
      <c r="L112">
        <v>0</v>
      </c>
      <c r="M112">
        <v>0</v>
      </c>
      <c r="N112">
        <v>0</v>
      </c>
      <c r="O112">
        <v>0</v>
      </c>
    </row>
    <row r="113" spans="1:15">
      <c r="A113" s="1" t="s">
        <v>125</v>
      </c>
      <c r="B113" t="s">
        <v>505</v>
      </c>
      <c r="C113" t="s">
        <v>510</v>
      </c>
      <c r="D113">
        <f>HYPERLINK("http://www.reserveamerica.com/camping/del-norte-coast-redwood-sp-mill-creek-campground/r/facilityDetails.do?contractCode=CA&amp;parkId=120024", "Del Norte Coast Redwood SP Mill Creek Campground")</f>
        <v>0</v>
      </c>
      <c r="E113">
        <v>41.6708333</v>
      </c>
      <c r="F113">
        <v>-124.1172222</v>
      </c>
      <c r="G113" t="s">
        <v>622</v>
      </c>
      <c r="I113" t="s">
        <v>505</v>
      </c>
      <c r="J113">
        <f>HYPERLINK("http://maps.google.com/maps?z=10&amp;t=m&amp;q=loc:41.6708333+-124.1172222", 518)</f>
        <v>0</v>
      </c>
      <c r="K113">
        <v>339</v>
      </c>
      <c r="L113">
        <v>90</v>
      </c>
      <c r="M113">
        <v>5</v>
      </c>
      <c r="N113">
        <v>85</v>
      </c>
      <c r="O113">
        <v>85</v>
      </c>
    </row>
    <row r="114" spans="1:15">
      <c r="A114" s="1" t="s">
        <v>126</v>
      </c>
      <c r="B114" t="s">
        <v>506</v>
      </c>
      <c r="C114" t="s">
        <v>511</v>
      </c>
      <c r="D114">
        <f>HYPERLINK("http://www.reserveamerica.com/camping/del-valle/r/facilityDetails.do?contractCode=EB&amp;parkId=110003", "Del Valle")</f>
        <v>0</v>
      </c>
      <c r="E114">
        <v>37.5691667</v>
      </c>
      <c r="F114">
        <v>-121.6872222</v>
      </c>
      <c r="G114" t="s">
        <v>623</v>
      </c>
      <c r="I114" t="s">
        <v>505</v>
      </c>
      <c r="J114">
        <f>HYPERLINK("http://maps.google.com/maps?z=10&amp;t=m&amp;q=loc:37.5691667+-121.6872222", 33)</f>
        <v>0</v>
      </c>
      <c r="K114">
        <v>35</v>
      </c>
      <c r="L114">
        <v>30</v>
      </c>
      <c r="M114">
        <v>0</v>
      </c>
      <c r="N114">
        <v>30</v>
      </c>
      <c r="O114">
        <v>30</v>
      </c>
    </row>
    <row r="115" spans="1:15">
      <c r="A115" s="1" t="s">
        <v>127</v>
      </c>
      <c r="B115" t="s">
        <v>504</v>
      </c>
      <c r="C115" t="s">
        <v>509</v>
      </c>
      <c r="D115">
        <f>HYPERLINK("http://www.reserveamerica.com/camping/diablo/r/facilityDetails.do?contractCode=NRSO&amp;parkId=75427", "DIABLO")</f>
        <v>0</v>
      </c>
      <c r="E115">
        <v>39.6330556</v>
      </c>
      <c r="F115">
        <v>-120.6377778</v>
      </c>
      <c r="G115" t="s">
        <v>624</v>
      </c>
      <c r="I115" t="s">
        <v>505</v>
      </c>
      <c r="J115">
        <f>HYPERLINK("http://maps.google.com/maps?z=10&amp;t=m&amp;q=loc:39.6330556+-120.6377778", 278)</f>
        <v>0</v>
      </c>
      <c r="K115">
        <v>22</v>
      </c>
      <c r="L115">
        <v>5</v>
      </c>
      <c r="M115">
        <v>0</v>
      </c>
      <c r="N115">
        <v>5</v>
      </c>
      <c r="O115">
        <v>5</v>
      </c>
    </row>
    <row r="116" spans="1:15">
      <c r="A116" s="1" t="s">
        <v>128</v>
      </c>
      <c r="B116" t="s">
        <v>504</v>
      </c>
      <c r="C116" t="s">
        <v>509</v>
      </c>
      <c r="D116">
        <f>HYPERLINK("http://www.reserveamerica.com/camping/dillon-creek-campground/r/facilityDetails.do?contractCode=NRSO&amp;parkId=96770", "DILLON CREEK CAMPGROUND")</f>
        <v>0</v>
      </c>
      <c r="E116">
        <v>41.5733333</v>
      </c>
      <c r="F116">
        <v>-123.5430556</v>
      </c>
      <c r="G116" t="s">
        <v>625</v>
      </c>
      <c r="I116" t="s">
        <v>505</v>
      </c>
      <c r="J116">
        <f>HYPERLINK("http://maps.google.com/maps?z=10&amp;t=m&amp;q=loc:41.5733333+-123.5430556", 492)</f>
        <v>0</v>
      </c>
      <c r="K116">
        <v>343</v>
      </c>
      <c r="L116">
        <v>10</v>
      </c>
      <c r="M116">
        <v>0</v>
      </c>
      <c r="N116">
        <v>10</v>
      </c>
      <c r="O116">
        <v>10</v>
      </c>
    </row>
    <row r="117" spans="1:15">
      <c r="A117" s="1" t="s">
        <v>129</v>
      </c>
      <c r="B117" t="s">
        <v>504</v>
      </c>
      <c r="C117" t="s">
        <v>509</v>
      </c>
      <c r="D117">
        <f>HYPERLINK("http://www.reserveamerica.com/camping/dimond-o/r/facilityDetails.do?contractCode=NRSO&amp;parkId=73632", "DIMOND O")</f>
        <v>0</v>
      </c>
      <c r="E117">
        <v>37.825</v>
      </c>
      <c r="F117">
        <v>-119.8611111</v>
      </c>
      <c r="G117" t="s">
        <v>626</v>
      </c>
      <c r="H117" t="s">
        <v>997</v>
      </c>
      <c r="I117" t="s">
        <v>505</v>
      </c>
      <c r="J117">
        <f>HYPERLINK("http://maps.google.com/maps?z=10&amp;t=m&amp;q=loc:37.825+-119.8611111", 188)</f>
        <v>0</v>
      </c>
      <c r="K117">
        <v>72</v>
      </c>
      <c r="L117">
        <v>1</v>
      </c>
      <c r="M117">
        <v>1</v>
      </c>
      <c r="N117">
        <v>0</v>
      </c>
      <c r="O117">
        <v>0</v>
      </c>
    </row>
    <row r="118" spans="1:15">
      <c r="A118" s="1" t="s">
        <v>130</v>
      </c>
      <c r="B118" t="s">
        <v>504</v>
      </c>
      <c r="C118" t="s">
        <v>509</v>
      </c>
      <c r="D118">
        <f>HYPERLINK("http://www.reserveamerica.com/camping/dinkey-creek/r/facilityDetails.do?contractCode=NRSO&amp;parkId=70376", "DINKEY CREEK")</f>
        <v>0</v>
      </c>
      <c r="E118">
        <v>37.0730556</v>
      </c>
      <c r="F118">
        <v>-119.1538889</v>
      </c>
      <c r="G118" t="s">
        <v>627</v>
      </c>
      <c r="I118" t="s">
        <v>505</v>
      </c>
      <c r="J118">
        <f>HYPERLINK("http://maps.google.com/maps?z=10&amp;t=m&amp;q=loc:37.0730556+-119.1538889", 245)</f>
        <v>0</v>
      </c>
      <c r="K118">
        <v>95</v>
      </c>
      <c r="L118">
        <v>44</v>
      </c>
      <c r="M118">
        <v>7</v>
      </c>
      <c r="N118">
        <v>37</v>
      </c>
      <c r="O118">
        <v>37</v>
      </c>
    </row>
    <row r="119" spans="1:15">
      <c r="A119" s="1" t="s">
        <v>131</v>
      </c>
      <c r="B119" t="s">
        <v>504</v>
      </c>
      <c r="C119" t="s">
        <v>509</v>
      </c>
      <c r="D119">
        <f>HYPERLINK("http://www.reserveamerica.com/camping/dirt-flat/r/facilityDetails.do?contractCode=NRSO&amp;parkId=73747", "DIRT FLAT")</f>
        <v>0</v>
      </c>
      <c r="E119">
        <v>37.6633333</v>
      </c>
      <c r="F119">
        <v>-119.8444444</v>
      </c>
      <c r="G119" t="s">
        <v>628</v>
      </c>
      <c r="I119" t="s">
        <v>505</v>
      </c>
      <c r="J119">
        <f>HYPERLINK("http://maps.google.com/maps?z=10&amp;t=m&amp;q=loc:37.6633333+-119.8444444", 185)</f>
        <v>0</v>
      </c>
      <c r="K119">
        <v>77</v>
      </c>
      <c r="L119">
        <v>2</v>
      </c>
      <c r="M119">
        <v>0</v>
      </c>
      <c r="N119">
        <v>2</v>
      </c>
      <c r="O119">
        <v>2</v>
      </c>
    </row>
    <row r="120" spans="1:15">
      <c r="A120" s="1" t="s">
        <v>132</v>
      </c>
      <c r="B120" t="s">
        <v>504</v>
      </c>
      <c r="C120" t="s">
        <v>509</v>
      </c>
      <c r="D120">
        <f>HYPERLINK("http://www.reserveamerica.com/camping/dogwood/r/facilityDetails.do?contractCode=NRSO&amp;parkId=70258", "DOGWOOD")</f>
        <v>0</v>
      </c>
      <c r="E120">
        <v>34.2352778</v>
      </c>
      <c r="F120">
        <v>-117.2091667</v>
      </c>
      <c r="G120" t="s">
        <v>629</v>
      </c>
      <c r="I120" t="s">
        <v>505</v>
      </c>
      <c r="J120">
        <f>HYPERLINK("http://maps.google.com/maps?z=10&amp;t=m&amp;q=loc:34.2352778+-117.2091667", 545)</f>
        <v>0</v>
      </c>
      <c r="K120">
        <v>127</v>
      </c>
      <c r="L120">
        <v>19</v>
      </c>
      <c r="M120">
        <v>1</v>
      </c>
      <c r="N120">
        <v>18</v>
      </c>
      <c r="O120">
        <v>18</v>
      </c>
    </row>
    <row r="121" spans="1:15">
      <c r="A121" s="1" t="s">
        <v>133</v>
      </c>
      <c r="B121" t="s">
        <v>505</v>
      </c>
      <c r="C121" t="s">
        <v>510</v>
      </c>
      <c r="D121">
        <f>HYPERLINK("http://www.reserveamerica.com/camping/doheny-sb/r/facilityDetails.do?contractCode=CA&amp;parkId=120025", "DOHENY SB")</f>
        <v>0</v>
      </c>
      <c r="E121">
        <v>33.4622222</v>
      </c>
      <c r="F121">
        <v>-117.68</v>
      </c>
      <c r="G121" t="s">
        <v>630</v>
      </c>
      <c r="H121" t="s">
        <v>999</v>
      </c>
      <c r="I121" t="s">
        <v>505</v>
      </c>
      <c r="J121">
        <f>HYPERLINK("http://maps.google.com/maps?z=10&amp;t=m&amp;q=loc:33.4622222+-117.68", 575)</f>
        <v>0</v>
      </c>
      <c r="K121">
        <v>137</v>
      </c>
      <c r="L121">
        <v>0</v>
      </c>
      <c r="M121">
        <v>0</v>
      </c>
      <c r="N121">
        <v>0</v>
      </c>
      <c r="O121">
        <v>0</v>
      </c>
    </row>
    <row r="122" spans="1:15">
      <c r="A122" s="1" t="s">
        <v>134</v>
      </c>
      <c r="B122" t="s">
        <v>505</v>
      </c>
      <c r="C122" t="s">
        <v>510</v>
      </c>
      <c r="D122">
        <f>HYPERLINK("http://www.reserveamerica.com/camping/donner-memorial-sp/r/facilityDetails.do?contractCode=CA&amp;parkId=120029", "DONNER MEMORIAL SP")</f>
        <v>0</v>
      </c>
      <c r="E122">
        <v>39.32</v>
      </c>
      <c r="F122">
        <v>-120.2419444</v>
      </c>
      <c r="G122" t="s">
        <v>631</v>
      </c>
      <c r="I122" t="s">
        <v>505</v>
      </c>
      <c r="J122">
        <f>HYPERLINK("http://maps.google.com/maps?z=10&amp;t=m&amp;q=loc:39.32+-120.2419444", 264)</f>
        <v>0</v>
      </c>
      <c r="K122">
        <v>32</v>
      </c>
      <c r="L122">
        <v>0</v>
      </c>
      <c r="M122">
        <v>0</v>
      </c>
      <c r="N122">
        <v>0</v>
      </c>
      <c r="O122">
        <v>0</v>
      </c>
    </row>
    <row r="123" spans="1:15">
      <c r="A123" s="1" t="s">
        <v>135</v>
      </c>
      <c r="B123" t="s">
        <v>504</v>
      </c>
      <c r="C123" t="s">
        <v>509</v>
      </c>
      <c r="D123">
        <f>HYPERLINK("http://www.reserveamerica.com/camping/dorabelle-campground/r/facilityDetails.do?contractCode=NRSO&amp;parkId=71601", "DORABELLE CAMPGROUND")</f>
        <v>0</v>
      </c>
      <c r="E123">
        <v>37.1138889</v>
      </c>
      <c r="F123">
        <v>-119.3097222</v>
      </c>
      <c r="G123" t="s">
        <v>632</v>
      </c>
      <c r="I123" t="s">
        <v>505</v>
      </c>
      <c r="J123">
        <f>HYPERLINK("http://maps.google.com/maps?z=10&amp;t=m&amp;q=loc:37.1138889+-119.3097222", 230)</f>
        <v>0</v>
      </c>
      <c r="K123">
        <v>95</v>
      </c>
      <c r="L123">
        <v>56</v>
      </c>
      <c r="M123">
        <v>17</v>
      </c>
      <c r="N123">
        <v>39</v>
      </c>
      <c r="O123">
        <v>39</v>
      </c>
    </row>
    <row r="124" spans="1:15">
      <c r="A124" s="1" t="s">
        <v>136</v>
      </c>
      <c r="B124" t="s">
        <v>504</v>
      </c>
      <c r="C124" t="s">
        <v>509</v>
      </c>
      <c r="D124">
        <f>HYPERLINK("http://www.reserveamerica.com/camping/dorst-creek-campgroundsequoia-and-kings-canyon-national-park/r/facilityDetails.do?contractCode=NRSO&amp;parkId=70940", "Dorst Creek Campground-Sequoia and Kings Canyon National Park")</f>
        <v>0</v>
      </c>
      <c r="E124">
        <v>36.6361111</v>
      </c>
      <c r="F124">
        <v>-118.8097222</v>
      </c>
      <c r="G124" t="s">
        <v>633</v>
      </c>
      <c r="I124" t="s">
        <v>505</v>
      </c>
      <c r="J124">
        <f>HYPERLINK("http://maps.google.com/maps?z=10&amp;t=m&amp;q=loc:36.6361111+-118.8097222", 285)</f>
        <v>0</v>
      </c>
      <c r="K124">
        <v>104</v>
      </c>
      <c r="L124">
        <v>0</v>
      </c>
      <c r="M124">
        <v>0</v>
      </c>
      <c r="N124">
        <v>0</v>
      </c>
      <c r="O124">
        <v>0</v>
      </c>
    </row>
    <row r="125" spans="1:15">
      <c r="A125" s="1" t="s">
        <v>137</v>
      </c>
      <c r="B125" t="s">
        <v>504</v>
      </c>
      <c r="C125" t="s">
        <v>509</v>
      </c>
      <c r="D125">
        <f>HYPERLINK("http://www.reserveamerica.com/camping/dripping-springs-campground-ca/r/facilityDetails.do?contractCode=NRSO&amp;parkId=107633", "DRIPPING SPRINGS CAMPGROUND (CA)")</f>
        <v>0</v>
      </c>
      <c r="E125">
        <v>33.4638889</v>
      </c>
      <c r="F125">
        <v>-116.9708333</v>
      </c>
      <c r="G125" t="s">
        <v>634</v>
      </c>
      <c r="I125" t="s">
        <v>505</v>
      </c>
      <c r="J125">
        <f>HYPERLINK("http://maps.google.com/maps?z=10&amp;t=m&amp;q=loc:33.4638889+-116.9708333", 619)</f>
        <v>0</v>
      </c>
      <c r="K125">
        <v>132</v>
      </c>
      <c r="L125">
        <v>15</v>
      </c>
      <c r="M125">
        <v>0</v>
      </c>
      <c r="N125">
        <v>15</v>
      </c>
      <c r="O125">
        <v>15</v>
      </c>
    </row>
    <row r="126" spans="1:15">
      <c r="A126" s="1" t="s">
        <v>138</v>
      </c>
      <c r="B126" t="s">
        <v>504</v>
      </c>
      <c r="C126" t="s">
        <v>509</v>
      </c>
      <c r="E126">
        <v>40.6255556</v>
      </c>
      <c r="F126">
        <v>-122.5808333</v>
      </c>
      <c r="G126" t="s">
        <v>635</v>
      </c>
      <c r="H126" t="s">
        <v>998</v>
      </c>
      <c r="I126" t="s">
        <v>505</v>
      </c>
      <c r="J126">
        <f>HYPERLINK("http://maps.google.com/maps?z=10&amp;t=m&amp;q=loc:40.6255556+-122.5808333", 371)</f>
        <v>0</v>
      </c>
      <c r="K126">
        <v>351</v>
      </c>
      <c r="L126">
        <v>0</v>
      </c>
      <c r="M126">
        <v>0</v>
      </c>
      <c r="N126">
        <v>0</v>
      </c>
      <c r="O126">
        <v>0</v>
      </c>
    </row>
    <row r="127" spans="1:15">
      <c r="A127" s="1" t="s">
        <v>139</v>
      </c>
      <c r="B127" t="s">
        <v>504</v>
      </c>
      <c r="C127" t="s">
        <v>509</v>
      </c>
      <c r="D127">
        <f>HYPERLINK("http://www.reserveamerica.com/camping/dry-gulch/r/facilityDetails.do?contractCode=NRSO&amp;parkId=73750", "DRY GULCH")</f>
        <v>0</v>
      </c>
      <c r="E127">
        <v>37.6633333</v>
      </c>
      <c r="F127">
        <v>-119.8444444</v>
      </c>
      <c r="G127" t="s">
        <v>636</v>
      </c>
      <c r="I127" t="s">
        <v>505</v>
      </c>
      <c r="J127">
        <f>HYPERLINK("http://maps.google.com/maps?z=10&amp;t=m&amp;q=loc:37.6633333+-119.8444444", 185)</f>
        <v>0</v>
      </c>
      <c r="K127">
        <v>77</v>
      </c>
      <c r="L127">
        <v>0</v>
      </c>
      <c r="M127">
        <v>0</v>
      </c>
      <c r="N127">
        <v>0</v>
      </c>
      <c r="O127">
        <v>0</v>
      </c>
    </row>
    <row r="128" spans="1:15">
      <c r="A128" s="1" t="s">
        <v>140</v>
      </c>
      <c r="B128" t="s">
        <v>504</v>
      </c>
      <c r="C128" t="s">
        <v>509</v>
      </c>
      <c r="D128">
        <f>HYPERLINK("http://www.reserveamerica.com/camping/eagle-campground/r/facilityDetails.do?contractCode=NRSO&amp;parkId=70529", "EAGLE CAMPGROUND")</f>
        <v>0</v>
      </c>
      <c r="E128">
        <v>40.54785</v>
      </c>
      <c r="F128">
        <v>-120.7830556</v>
      </c>
      <c r="G128" t="s">
        <v>637</v>
      </c>
      <c r="I128" t="s">
        <v>505</v>
      </c>
      <c r="J128">
        <f>HYPERLINK("http://maps.google.com/maps?z=10&amp;t=m&amp;q=loc:40.54785+-120.7830556", 370)</f>
        <v>0</v>
      </c>
      <c r="K128">
        <v>14</v>
      </c>
      <c r="L128">
        <v>0</v>
      </c>
      <c r="M128">
        <v>0</v>
      </c>
      <c r="N128">
        <v>0</v>
      </c>
      <c r="O128">
        <v>0</v>
      </c>
    </row>
    <row r="129" spans="1:15">
      <c r="A129" s="1" t="s">
        <v>141</v>
      </c>
      <c r="B129" t="s">
        <v>504</v>
      </c>
      <c r="C129" t="s">
        <v>509</v>
      </c>
      <c r="D129">
        <f>HYPERLINK("http://www.reserveamerica.com/camping/east-fork-california/r/facilityDetails.do?contractCode=NRSO&amp;parkId=70804", "EAST FORK CALIFORNIA")</f>
        <v>0</v>
      </c>
      <c r="E129">
        <v>37.4836111</v>
      </c>
      <c r="F129">
        <v>-118.7175</v>
      </c>
      <c r="G129" t="s">
        <v>638</v>
      </c>
      <c r="I129" t="s">
        <v>505</v>
      </c>
      <c r="J129">
        <f>HYPERLINK("http://maps.google.com/maps?z=10&amp;t=m&amp;q=loc:37.4836111+-118.7175", 281)</f>
        <v>0</v>
      </c>
      <c r="K129">
        <v>85</v>
      </c>
      <c r="L129">
        <v>40</v>
      </c>
      <c r="M129">
        <v>0</v>
      </c>
      <c r="N129">
        <v>40</v>
      </c>
      <c r="O129">
        <v>40</v>
      </c>
    </row>
    <row r="130" spans="1:15">
      <c r="A130" s="1" t="s">
        <v>142</v>
      </c>
      <c r="B130" t="s">
        <v>504</v>
      </c>
      <c r="C130" t="s">
        <v>509</v>
      </c>
      <c r="D130">
        <f>HYPERLINK("http://www.reserveamerica.com/camping/east-meadow-campground/r/facilityDetails.do?contractCode=NRSO&amp;parkId=71529", "EAST MEADOW CAMPGROUND")</f>
        <v>0</v>
      </c>
      <c r="E130">
        <v>39.5008333</v>
      </c>
      <c r="F130">
        <v>-120.5325</v>
      </c>
      <c r="G130" t="s">
        <v>639</v>
      </c>
      <c r="I130" t="s">
        <v>505</v>
      </c>
      <c r="J130">
        <f>HYPERLINK("http://maps.google.com/maps?z=10&amp;t=m&amp;q=loc:39.5008333+-120.5325", 269)</f>
        <v>0</v>
      </c>
      <c r="K130">
        <v>25</v>
      </c>
      <c r="L130">
        <v>19</v>
      </c>
      <c r="M130">
        <v>0</v>
      </c>
      <c r="N130">
        <v>19</v>
      </c>
      <c r="O130">
        <v>19</v>
      </c>
    </row>
    <row r="131" spans="1:15">
      <c r="A131" s="1" t="s">
        <v>143</v>
      </c>
      <c r="B131" t="s">
        <v>505</v>
      </c>
      <c r="C131" t="s">
        <v>510</v>
      </c>
      <c r="D131">
        <f>HYPERLINK("http://www.reserveamerica.com/camping/el-capitan-sb/r/facilityDetails.do?contractCode=CA&amp;parkId=120030", "EL CAPITAN SB")</f>
        <v>0</v>
      </c>
      <c r="E131">
        <v>34.46</v>
      </c>
      <c r="F131">
        <v>-120.0202778</v>
      </c>
      <c r="G131" t="s">
        <v>640</v>
      </c>
      <c r="I131" t="s">
        <v>505</v>
      </c>
      <c r="J131">
        <f>HYPERLINK("http://maps.google.com/maps?z=10&amp;t=m&amp;q=loc:34.46+-120.0202778", 361)</f>
        <v>0</v>
      </c>
      <c r="K131">
        <v>151</v>
      </c>
      <c r="L131">
        <v>0</v>
      </c>
      <c r="M131">
        <v>0</v>
      </c>
      <c r="N131">
        <v>0</v>
      </c>
      <c r="O131">
        <v>0</v>
      </c>
    </row>
    <row r="132" spans="1:15">
      <c r="A132" s="1" t="s">
        <v>144</v>
      </c>
      <c r="B132" t="s">
        <v>504</v>
      </c>
      <c r="C132" t="s">
        <v>509</v>
      </c>
      <c r="D132">
        <f>HYPERLINK("http://www.reserveamerica.com/camping/el-prado-group/r/facilityDetails.do?contractCode=NRSO&amp;parkId=70148", "EL PRADO GROUP")</f>
        <v>0</v>
      </c>
      <c r="E132">
        <v>32.8869444</v>
      </c>
      <c r="F132">
        <v>-116.4555556</v>
      </c>
      <c r="G132" t="s">
        <v>641</v>
      </c>
      <c r="I132" t="s">
        <v>505</v>
      </c>
      <c r="J132">
        <f>HYPERLINK("http://maps.google.com/maps?z=10&amp;t=m&amp;q=loc:32.8869444+-116.4555556", 699)</f>
        <v>0</v>
      </c>
      <c r="K132">
        <v>133</v>
      </c>
      <c r="L132">
        <v>0</v>
      </c>
      <c r="M132">
        <v>0</v>
      </c>
      <c r="N132">
        <v>0</v>
      </c>
      <c r="O132">
        <v>0</v>
      </c>
    </row>
    <row r="133" spans="1:15">
      <c r="A133" s="1" t="s">
        <v>145</v>
      </c>
      <c r="B133" t="s">
        <v>504</v>
      </c>
      <c r="C133" t="s">
        <v>509</v>
      </c>
      <c r="D133">
        <f>HYPERLINK("http://www.reserveamerica.com/camping/ellery-creek/r/facilityDetails.do?contractCode=NRSO&amp;parkId=71522", "ELLERY CREEK")</f>
        <v>0</v>
      </c>
      <c r="E133">
        <v>40.9158333</v>
      </c>
      <c r="F133">
        <v>-122.2408333</v>
      </c>
      <c r="G133" t="s">
        <v>642</v>
      </c>
      <c r="I133" t="s">
        <v>505</v>
      </c>
      <c r="J133">
        <f>HYPERLINK("http://maps.google.com/maps?z=10&amp;t=m&amp;q=loc:40.9158333+-122.2408333", 399)</f>
        <v>0</v>
      </c>
      <c r="K133">
        <v>355</v>
      </c>
      <c r="L133">
        <v>0</v>
      </c>
      <c r="M133">
        <v>0</v>
      </c>
      <c r="N133">
        <v>0</v>
      </c>
      <c r="O133">
        <v>0</v>
      </c>
    </row>
    <row r="134" spans="1:15">
      <c r="A134" s="1" t="s">
        <v>146</v>
      </c>
      <c r="B134" t="s">
        <v>505</v>
      </c>
      <c r="C134" t="s">
        <v>510</v>
      </c>
      <c r="D134">
        <f>HYPERLINK("http://www.reserveamerica.com/camping/emerald-bay-sp/r/facilityDetails.do?contractCode=CA&amp;parkId=120031", "EMERALD BAY SP")</f>
        <v>0</v>
      </c>
      <c r="E134">
        <v>38.9544444</v>
      </c>
      <c r="F134">
        <v>-120.0930556</v>
      </c>
      <c r="G134" t="s">
        <v>643</v>
      </c>
      <c r="I134" t="s">
        <v>505</v>
      </c>
      <c r="J134">
        <f>HYPERLINK("http://maps.google.com/maps?z=10&amp;t=m&amp;q=loc:38.9544444+-120.0930556", 240)</f>
        <v>0</v>
      </c>
      <c r="K134">
        <v>40</v>
      </c>
      <c r="L134">
        <v>0</v>
      </c>
      <c r="M134">
        <v>0</v>
      </c>
      <c r="N134">
        <v>0</v>
      </c>
      <c r="O134">
        <v>0</v>
      </c>
    </row>
    <row r="135" spans="1:15">
      <c r="A135" s="1" t="s">
        <v>147</v>
      </c>
      <c r="B135" t="s">
        <v>504</v>
      </c>
      <c r="C135" t="s">
        <v>509</v>
      </c>
      <c r="D135">
        <f>HYPERLINK("http://www.reserveamerica.com/camping/emigrant-group/r/facilityDetails.do?contractCode=NRSO&amp;parkId=71645", "EMIGRANT GROUP")</f>
        <v>0</v>
      </c>
      <c r="E135">
        <v>39.4705556</v>
      </c>
      <c r="F135">
        <v>-120.1163889</v>
      </c>
      <c r="G135" t="s">
        <v>644</v>
      </c>
      <c r="I135" t="s">
        <v>505</v>
      </c>
      <c r="J135">
        <f>HYPERLINK("http://maps.google.com/maps?z=10&amp;t=m&amp;q=loc:39.4705556+-120.1163889", 284)</f>
        <v>0</v>
      </c>
      <c r="K135">
        <v>32</v>
      </c>
      <c r="L135">
        <v>3</v>
      </c>
      <c r="M135">
        <v>0</v>
      </c>
      <c r="N135">
        <v>3</v>
      </c>
      <c r="O135">
        <v>3</v>
      </c>
    </row>
    <row r="136" spans="1:15">
      <c r="A136" s="1" t="s">
        <v>148</v>
      </c>
      <c r="B136" t="s">
        <v>505</v>
      </c>
      <c r="C136" t="s">
        <v>510</v>
      </c>
      <c r="E136">
        <v>34.2852778</v>
      </c>
      <c r="F136">
        <v>-119.3247222</v>
      </c>
      <c r="G136" t="s">
        <v>645</v>
      </c>
      <c r="I136" t="s">
        <v>505</v>
      </c>
      <c r="J136">
        <f>HYPERLINK("http://maps.google.com/maps?z=10&amp;t=m&amp;q=loc:34.2852778+-119.3247222", 410)</f>
        <v>0</v>
      </c>
      <c r="K136">
        <v>144</v>
      </c>
      <c r="L136">
        <v>0</v>
      </c>
      <c r="M136">
        <v>0</v>
      </c>
      <c r="N136">
        <v>0</v>
      </c>
      <c r="O136">
        <v>0</v>
      </c>
    </row>
    <row r="137" spans="1:15">
      <c r="A137" s="1" t="s">
        <v>149</v>
      </c>
      <c r="B137" t="s">
        <v>504</v>
      </c>
      <c r="C137" t="s">
        <v>509</v>
      </c>
      <c r="D137">
        <f>HYPERLINK("http://www.reserveamerica.com/camping/eshom-campground/r/facilityDetails.do?contractCode=NRSO&amp;parkId=72398", "ESHOM CAMPGROUND")</f>
        <v>0</v>
      </c>
      <c r="E137">
        <v>36.6891</v>
      </c>
      <c r="F137">
        <v>-118.9504</v>
      </c>
      <c r="G137" t="s">
        <v>646</v>
      </c>
      <c r="I137" t="s">
        <v>505</v>
      </c>
      <c r="J137">
        <f>HYPERLINK("http://maps.google.com/maps?z=10&amp;t=m&amp;q=loc:36.6891+-118.9504", 271)</f>
        <v>0</v>
      </c>
      <c r="K137">
        <v>104</v>
      </c>
      <c r="L137">
        <v>13</v>
      </c>
      <c r="M137">
        <v>0</v>
      </c>
      <c r="N137">
        <v>13</v>
      </c>
      <c r="O137">
        <v>13</v>
      </c>
    </row>
    <row r="138" spans="1:15">
      <c r="A138" s="1" t="s">
        <v>150</v>
      </c>
      <c r="B138" t="s">
        <v>504</v>
      </c>
      <c r="C138" t="s">
        <v>509</v>
      </c>
      <c r="D138">
        <f>HYPERLINK("http://www.reserveamerica.com/camping/fairview-campground/r/facilityDetails.do?contractCode=NRSO&amp;parkId=71678", "FAIRVIEW CAMPGROUND")</f>
        <v>0</v>
      </c>
      <c r="E138">
        <v>35.9288889</v>
      </c>
      <c r="F138">
        <v>-118.4922222</v>
      </c>
      <c r="G138" t="s">
        <v>647</v>
      </c>
      <c r="H138" t="s">
        <v>997</v>
      </c>
      <c r="I138" t="s">
        <v>505</v>
      </c>
      <c r="J138">
        <f>HYPERLINK("http://maps.google.com/maps?z=10&amp;t=m&amp;q=loc:35.9288889+-118.4922222", 341)</f>
        <v>0</v>
      </c>
      <c r="K138">
        <v>116</v>
      </c>
      <c r="L138">
        <v>13</v>
      </c>
      <c r="M138">
        <v>0</v>
      </c>
      <c r="N138">
        <v>13</v>
      </c>
      <c r="O138">
        <v>13</v>
      </c>
    </row>
    <row r="139" spans="1:15">
      <c r="A139" s="1" t="s">
        <v>151</v>
      </c>
      <c r="B139" t="s">
        <v>504</v>
      </c>
      <c r="C139" t="s">
        <v>509</v>
      </c>
      <c r="D139">
        <f>HYPERLINK("http://www.reserveamerica.com/camping/falcon-group/r/facilityDetails.do?contractCode=NRSO&amp;parkId=70144", "FALCON GROUP")</f>
        <v>0</v>
      </c>
      <c r="E139">
        <v>33.6558333</v>
      </c>
      <c r="F139">
        <v>-117.4602778</v>
      </c>
      <c r="G139" t="s">
        <v>648</v>
      </c>
      <c r="I139" t="s">
        <v>505</v>
      </c>
      <c r="J139">
        <f>HYPERLINK("http://maps.google.com/maps?z=10&amp;t=m&amp;q=loc:33.6558333+-117.4602778", 572)</f>
        <v>0</v>
      </c>
      <c r="K139">
        <v>134</v>
      </c>
      <c r="L139">
        <v>0</v>
      </c>
      <c r="M139">
        <v>0</v>
      </c>
      <c r="N139">
        <v>0</v>
      </c>
      <c r="O139">
        <v>0</v>
      </c>
    </row>
    <row r="140" spans="1:15">
      <c r="A140" s="1" t="s">
        <v>152</v>
      </c>
      <c r="B140" t="s">
        <v>504</v>
      </c>
      <c r="C140" t="s">
        <v>509</v>
      </c>
      <c r="D140">
        <f>HYPERLINK("http://www.reserveamerica.com/camping/fallen-leaf-campground/r/facilityDetails.do?contractCode=NRSO&amp;parkId=71531", "FALLEN LEAF CAMPGROUND")</f>
        <v>0</v>
      </c>
      <c r="E140">
        <v>38.9263889</v>
      </c>
      <c r="F140">
        <v>-120.05</v>
      </c>
      <c r="G140" t="s">
        <v>649</v>
      </c>
      <c r="I140" t="s">
        <v>505</v>
      </c>
      <c r="J140">
        <f>HYPERLINK("http://maps.google.com/maps?z=10&amp;t=m&amp;q=loc:38.9263889+-120.05", 240)</f>
        <v>0</v>
      </c>
      <c r="K140">
        <v>41</v>
      </c>
      <c r="L140">
        <v>30</v>
      </c>
      <c r="M140">
        <v>0</v>
      </c>
      <c r="N140">
        <v>30</v>
      </c>
      <c r="O140">
        <v>31</v>
      </c>
    </row>
    <row r="141" spans="1:15">
      <c r="A141" s="1" t="s">
        <v>153</v>
      </c>
      <c r="B141" t="s">
        <v>504</v>
      </c>
      <c r="C141" t="s">
        <v>509</v>
      </c>
      <c r="D141">
        <f>HYPERLINK("http://www.reserveamerica.com/camping/fashoda/r/facilityDetails.do?contractCode=NRSO&amp;parkId=74162", "FASHODA")</f>
        <v>0</v>
      </c>
      <c r="E141">
        <v>38.8682</v>
      </c>
      <c r="F141">
        <v>-120.3974611</v>
      </c>
      <c r="G141" t="s">
        <v>650</v>
      </c>
      <c r="I141" t="s">
        <v>505</v>
      </c>
      <c r="J141">
        <f>HYPERLINK("http://maps.google.com/maps?z=10&amp;t=m&amp;q=loc:38.8682+-120.3974611", 216)</f>
        <v>0</v>
      </c>
      <c r="K141">
        <v>37</v>
      </c>
      <c r="L141">
        <v>0</v>
      </c>
      <c r="M141">
        <v>0</v>
      </c>
      <c r="N141">
        <v>0</v>
      </c>
      <c r="O141">
        <v>0</v>
      </c>
    </row>
    <row r="142" spans="1:15">
      <c r="A142" s="1" t="s">
        <v>154</v>
      </c>
      <c r="B142" t="s">
        <v>504</v>
      </c>
      <c r="C142" t="s">
        <v>509</v>
      </c>
      <c r="D142">
        <f>HYPERLINK("http://www.reserveamerica.com/camping/faucherie/r/facilityDetails.do?contractCode=NRSO&amp;parkId=70410", "FAUCHERIE")</f>
        <v>0</v>
      </c>
      <c r="E142">
        <v>39.4166667</v>
      </c>
      <c r="F142">
        <v>-120.5997222</v>
      </c>
      <c r="G142" t="s">
        <v>651</v>
      </c>
      <c r="I142" t="s">
        <v>505</v>
      </c>
      <c r="J142">
        <f>HYPERLINK("http://maps.google.com/maps?z=10&amp;t=m&amp;q=loc:39.4166667+-120.5997222", 258)</f>
        <v>0</v>
      </c>
      <c r="K142">
        <v>25</v>
      </c>
      <c r="L142">
        <v>0</v>
      </c>
      <c r="M142">
        <v>0</v>
      </c>
      <c r="N142">
        <v>0</v>
      </c>
      <c r="O142">
        <v>0</v>
      </c>
    </row>
    <row r="143" spans="1:15">
      <c r="A143" s="1" t="s">
        <v>155</v>
      </c>
      <c r="B143" t="s">
        <v>504</v>
      </c>
      <c r="C143" t="s">
        <v>509</v>
      </c>
      <c r="D143">
        <f>HYPERLINK("http://www.reserveamerica.com/camping/fawn/r/facilityDetails.do?contractCode=NRSO&amp;parkId=70752", "FAWN")</f>
        <v>0</v>
      </c>
      <c r="E143">
        <v>40.8444444</v>
      </c>
      <c r="F143">
        <v>-122.8433333</v>
      </c>
      <c r="G143" t="s">
        <v>652</v>
      </c>
      <c r="I143" t="s">
        <v>505</v>
      </c>
      <c r="J143">
        <f>HYPERLINK("http://maps.google.com/maps?z=10&amp;t=m&amp;q=loc:40.8444444+-122.8433333", 399)</f>
        <v>0</v>
      </c>
      <c r="K143">
        <v>348</v>
      </c>
      <c r="L143">
        <v>2</v>
      </c>
      <c r="M143">
        <v>0</v>
      </c>
      <c r="N143">
        <v>2</v>
      </c>
      <c r="O143">
        <v>2</v>
      </c>
    </row>
    <row r="144" spans="1:15">
      <c r="A144" s="1" t="s">
        <v>156</v>
      </c>
      <c r="B144" t="s">
        <v>504</v>
      </c>
      <c r="C144" t="s">
        <v>509</v>
      </c>
      <c r="D144">
        <f>HYPERLINK("http://www.reserveamerica.com/camping/fern-basin/r/facilityDetails.do?contractCode=NRSO&amp;parkId=70173", "FERN BASIN")</f>
        <v>0</v>
      </c>
      <c r="E144">
        <v>33.7886111</v>
      </c>
      <c r="F144">
        <v>-116.7377778</v>
      </c>
      <c r="G144" t="s">
        <v>653</v>
      </c>
      <c r="I144" t="s">
        <v>505</v>
      </c>
      <c r="J144">
        <f>HYPERLINK("http://maps.google.com/maps?z=10&amp;t=m&amp;q=loc:33.7886111+-116.7377778", 610)</f>
        <v>0</v>
      </c>
      <c r="K144">
        <v>128</v>
      </c>
      <c r="L144">
        <v>13</v>
      </c>
      <c r="M144">
        <v>0</v>
      </c>
      <c r="N144">
        <v>13</v>
      </c>
      <c r="O144">
        <v>13</v>
      </c>
    </row>
    <row r="145" spans="1:15">
      <c r="A145" s="1" t="s">
        <v>157</v>
      </c>
      <c r="B145" t="s">
        <v>504</v>
      </c>
      <c r="C145" t="s">
        <v>509</v>
      </c>
      <c r="D145">
        <f>HYPERLINK("http://www.reserveamerica.com/camping/fiddle-creek/r/facilityDetails.do?contractCode=NRSO&amp;parkId=75432", "FIDDLE CREEK")</f>
        <v>0</v>
      </c>
      <c r="E145">
        <v>39.5183333</v>
      </c>
      <c r="F145">
        <v>-120.9925</v>
      </c>
      <c r="G145" t="s">
        <v>654</v>
      </c>
      <c r="I145" t="s">
        <v>505</v>
      </c>
      <c r="J145">
        <f>HYPERLINK("http://maps.google.com/maps?z=10&amp;t=m&amp;q=loc:39.5183333+-120.9925", 256)</f>
        <v>0</v>
      </c>
      <c r="K145">
        <v>17</v>
      </c>
      <c r="L145">
        <v>8</v>
      </c>
      <c r="M145">
        <v>0</v>
      </c>
      <c r="N145">
        <v>8</v>
      </c>
      <c r="O145">
        <v>8</v>
      </c>
    </row>
    <row r="146" spans="1:15">
      <c r="A146" s="1" t="s">
        <v>158</v>
      </c>
      <c r="B146" t="s">
        <v>504</v>
      </c>
      <c r="C146" t="s">
        <v>509</v>
      </c>
      <c r="D146">
        <f>HYPERLINK("http://www.reserveamerica.com/camping/findley-campground/r/facilityDetails.do?contractCode=NRSO&amp;parkId=71518", "FINDLEY CAMPGROUND")</f>
        <v>0</v>
      </c>
      <c r="E146">
        <v>39.4847222</v>
      </c>
      <c r="F146">
        <v>-120.5530556</v>
      </c>
      <c r="G146" t="s">
        <v>655</v>
      </c>
      <c r="I146" t="s">
        <v>505</v>
      </c>
      <c r="J146">
        <f>HYPERLINK("http://maps.google.com/maps?z=10&amp;t=m&amp;q=loc:39.4847222+-120.5530556", 267)</f>
        <v>0</v>
      </c>
      <c r="K146">
        <v>25</v>
      </c>
      <c r="L146">
        <v>11</v>
      </c>
      <c r="M146">
        <v>0</v>
      </c>
      <c r="N146">
        <v>11</v>
      </c>
      <c r="O146">
        <v>11</v>
      </c>
    </row>
    <row r="147" spans="1:15">
      <c r="A147" s="1" t="s">
        <v>159</v>
      </c>
      <c r="B147" t="s">
        <v>504</v>
      </c>
      <c r="C147" t="s">
        <v>509</v>
      </c>
      <c r="D147">
        <f>HYPERLINK("http://www.reserveamerica.com/camping/fir-cove-campground/r/facilityDetails.do?contractCode=NRSO&amp;parkId=72124", "FIR COVE CAMPGROUND")</f>
        <v>0</v>
      </c>
      <c r="E147">
        <v>40.3441667</v>
      </c>
      <c r="F147">
        <v>-123.4030556</v>
      </c>
      <c r="G147" t="s">
        <v>656</v>
      </c>
      <c r="H147" t="s">
        <v>998</v>
      </c>
      <c r="I147" t="s">
        <v>505</v>
      </c>
      <c r="J147">
        <f>HYPERLINK("http://maps.google.com/maps?z=10&amp;t=m&amp;q=loc:40.3441667+-123.4030556", 359)</f>
        <v>0</v>
      </c>
      <c r="K147">
        <v>339</v>
      </c>
      <c r="L147">
        <v>0</v>
      </c>
      <c r="M147">
        <v>0</v>
      </c>
      <c r="N147">
        <v>0</v>
      </c>
      <c r="O147">
        <v>0</v>
      </c>
    </row>
    <row r="148" spans="1:15">
      <c r="A148" s="1" t="s">
        <v>160</v>
      </c>
      <c r="B148" t="s">
        <v>504</v>
      </c>
      <c r="C148" t="s">
        <v>509</v>
      </c>
      <c r="D148">
        <f>HYPERLINK("http://www.reserveamerica.com/camping/fir-group/r/facilityDetails.do?contractCode=NRSO&amp;parkId=71553", "FIR GROUP")</f>
        <v>0</v>
      </c>
      <c r="E148">
        <v>36.6641667</v>
      </c>
      <c r="F148">
        <v>-118.8416667</v>
      </c>
      <c r="G148" t="s">
        <v>657</v>
      </c>
      <c r="I148" t="s">
        <v>505</v>
      </c>
      <c r="J148">
        <f>HYPERLINK("http://maps.google.com/maps?z=10&amp;t=m&amp;q=loc:36.6641667+-118.8416667", 281)</f>
        <v>0</v>
      </c>
      <c r="K148">
        <v>104</v>
      </c>
      <c r="L148">
        <v>1</v>
      </c>
      <c r="M148">
        <v>0</v>
      </c>
      <c r="N148">
        <v>1</v>
      </c>
      <c r="O148">
        <v>1</v>
      </c>
    </row>
    <row r="149" spans="1:15">
      <c r="A149" s="1" t="s">
        <v>161</v>
      </c>
      <c r="B149" t="s">
        <v>504</v>
      </c>
      <c r="C149" t="s">
        <v>509</v>
      </c>
      <c r="D149">
        <f>HYPERLINK("http://www.reserveamerica.com/camping/fir-top-campground/r/facilityDetails.do?contractCode=NRSO&amp;parkId=71517", "FIR TOP CAMPGROUND")</f>
        <v>0</v>
      </c>
      <c r="E149">
        <v>39.4855556</v>
      </c>
      <c r="F149">
        <v>-120.5502778</v>
      </c>
      <c r="G149" t="s">
        <v>658</v>
      </c>
      <c r="I149" t="s">
        <v>505</v>
      </c>
      <c r="J149">
        <f>HYPERLINK("http://maps.google.com/maps?z=10&amp;t=m&amp;q=loc:39.4855556+-120.5502778", 267)</f>
        <v>0</v>
      </c>
      <c r="K149">
        <v>25</v>
      </c>
      <c r="L149">
        <v>7</v>
      </c>
      <c r="M149">
        <v>0</v>
      </c>
      <c r="N149">
        <v>7</v>
      </c>
      <c r="O149">
        <v>7</v>
      </c>
    </row>
    <row r="150" spans="1:15">
      <c r="A150" s="1" t="s">
        <v>162</v>
      </c>
      <c r="B150" t="s">
        <v>504</v>
      </c>
      <c r="C150" t="s">
        <v>509</v>
      </c>
      <c r="D150">
        <f>HYPERLINK("http://www.reserveamerica.com/camping/fish-creek-ca/r/facilityDetails.do?contractCode=NRSO&amp;parkId=71600", "FISH CREEK (CA)")</f>
        <v>0</v>
      </c>
      <c r="E150">
        <v>37.2602778</v>
      </c>
      <c r="F150">
        <v>-119.3527778</v>
      </c>
      <c r="G150" t="s">
        <v>659</v>
      </c>
      <c r="I150" t="s">
        <v>505</v>
      </c>
      <c r="J150">
        <f>HYPERLINK("http://maps.google.com/maps?z=10&amp;t=m&amp;q=loc:37.2602778+-119.3527778", 225)</f>
        <v>0</v>
      </c>
      <c r="K150">
        <v>91</v>
      </c>
      <c r="L150">
        <v>0</v>
      </c>
      <c r="M150">
        <v>0</v>
      </c>
      <c r="N150">
        <v>0</v>
      </c>
      <c r="O150">
        <v>0</v>
      </c>
    </row>
    <row r="151" spans="1:15">
      <c r="A151" s="1" t="s">
        <v>163</v>
      </c>
      <c r="B151" t="s">
        <v>504</v>
      </c>
      <c r="C151" t="s">
        <v>509</v>
      </c>
      <c r="D151">
        <f>HYPERLINK("http://www.reserveamerica.com/camping/fish-lake-campground/r/facilityDetails.do?contractCode=NRSO&amp;parkId=96769", "FISH LAKE CAMPGROUND")</f>
        <v>0</v>
      </c>
      <c r="E151">
        <v>41.2641667</v>
      </c>
      <c r="F151">
        <v>-123.6844444</v>
      </c>
      <c r="G151" t="s">
        <v>660</v>
      </c>
      <c r="H151" t="s">
        <v>998</v>
      </c>
      <c r="I151" t="s">
        <v>505</v>
      </c>
      <c r="J151">
        <f>HYPERLINK("http://maps.google.com/maps?z=10&amp;t=m&amp;q=loc:41.2641667+-123.6844444", 463)</f>
        <v>0</v>
      </c>
      <c r="K151">
        <v>341</v>
      </c>
      <c r="L151">
        <v>11</v>
      </c>
      <c r="M151">
        <v>1</v>
      </c>
      <c r="N151">
        <v>10</v>
      </c>
      <c r="O151">
        <v>10</v>
      </c>
    </row>
    <row r="152" spans="1:15">
      <c r="A152" s="1" t="s">
        <v>164</v>
      </c>
      <c r="B152" t="s">
        <v>504</v>
      </c>
      <c r="C152" t="s">
        <v>509</v>
      </c>
      <c r="D152">
        <f>HYPERLINK("http://www.reserveamerica.com/camping/fishermans-group/r/facilityDetails.do?contractCode=NRSO&amp;parkId=73950", "FISHERMANS GROUP")</f>
        <v>0</v>
      </c>
      <c r="E152">
        <v>34.2467083</v>
      </c>
      <c r="F152">
        <v>-117.1108222</v>
      </c>
      <c r="G152" t="s">
        <v>661</v>
      </c>
      <c r="I152" t="s">
        <v>505</v>
      </c>
      <c r="J152">
        <f>HYPERLINK("http://maps.google.com/maps?z=10&amp;t=m&amp;q=loc:34.2467083+-117.1108222", 551)</f>
        <v>0</v>
      </c>
      <c r="K152">
        <v>126</v>
      </c>
      <c r="L152">
        <v>0</v>
      </c>
      <c r="M152">
        <v>0</v>
      </c>
      <c r="N152">
        <v>0</v>
      </c>
      <c r="O152">
        <v>0</v>
      </c>
    </row>
    <row r="153" spans="1:15">
      <c r="A153" s="1" t="s">
        <v>165</v>
      </c>
      <c r="B153" t="s">
        <v>505</v>
      </c>
      <c r="C153" t="s">
        <v>510</v>
      </c>
      <c r="D153">
        <f>HYPERLINK("http://www.reserveamerica.com/camping/folsom-lake-sra/r/facilityDetails.do?contractCode=CA&amp;parkId=120034", "FOLSOM LAKE SRA")</f>
        <v>0</v>
      </c>
      <c r="E153">
        <v>38.7316667</v>
      </c>
      <c r="F153">
        <v>-121.1319444</v>
      </c>
      <c r="G153" t="s">
        <v>662</v>
      </c>
      <c r="I153" t="s">
        <v>505</v>
      </c>
      <c r="J153">
        <f>HYPERLINK("http://maps.google.com/maps?z=10&amp;t=m&amp;q=loc:38.7316667+-121.1319444", 170)</f>
        <v>0</v>
      </c>
      <c r="K153">
        <v>23</v>
      </c>
      <c r="L153">
        <v>25</v>
      </c>
      <c r="M153">
        <v>4</v>
      </c>
      <c r="N153">
        <v>21</v>
      </c>
      <c r="O153">
        <v>21</v>
      </c>
    </row>
    <row r="154" spans="1:15">
      <c r="A154" s="1" t="s">
        <v>166</v>
      </c>
      <c r="B154" t="s">
        <v>504</v>
      </c>
      <c r="C154" t="s">
        <v>509</v>
      </c>
      <c r="D154">
        <f>HYPERLINK("http://www.reserveamerica.com/camping/forbes-creek/r/facilityDetails.do?contractCode=NRSO&amp;parkId=70266", "FORBES CREEK")</f>
        <v>0</v>
      </c>
      <c r="E154">
        <v>39.1311111</v>
      </c>
      <c r="F154">
        <v>-120.7819444</v>
      </c>
      <c r="G154" t="s">
        <v>663</v>
      </c>
      <c r="I154" t="s">
        <v>505</v>
      </c>
      <c r="J154">
        <f>HYPERLINK("http://maps.google.com/maps?z=10&amp;t=m&amp;q=loc:39.1311111+-120.7819444", 223)</f>
        <v>0</v>
      </c>
      <c r="K154">
        <v>25</v>
      </c>
      <c r="L154">
        <v>1</v>
      </c>
      <c r="M154">
        <v>1</v>
      </c>
      <c r="N154">
        <v>0</v>
      </c>
      <c r="O154">
        <v>0</v>
      </c>
    </row>
    <row r="155" spans="1:15">
      <c r="A155" s="1" t="s">
        <v>167</v>
      </c>
      <c r="B155" t="s">
        <v>504</v>
      </c>
      <c r="C155" t="s">
        <v>509</v>
      </c>
      <c r="D155">
        <f>HYPERLINK("http://www.reserveamerica.com/camping/forks-campground/r/facilityDetails.do?contractCode=NRSO&amp;parkId=71666", "FORKS CAMPGROUND")</f>
        <v>0</v>
      </c>
      <c r="E155">
        <v>37.3130556</v>
      </c>
      <c r="F155">
        <v>-119.57</v>
      </c>
      <c r="G155" t="s">
        <v>664</v>
      </c>
      <c r="I155" t="s">
        <v>505</v>
      </c>
      <c r="J155">
        <f>HYPERLINK("http://maps.google.com/maps?z=10&amp;t=m&amp;q=loc:37.3130556+-119.57", 206)</f>
        <v>0</v>
      </c>
      <c r="K155">
        <v>89</v>
      </c>
      <c r="L155">
        <v>0</v>
      </c>
      <c r="M155">
        <v>0</v>
      </c>
      <c r="N155">
        <v>0</v>
      </c>
      <c r="O155">
        <v>0</v>
      </c>
    </row>
    <row r="156" spans="1:15">
      <c r="A156" s="1" t="s">
        <v>168</v>
      </c>
      <c r="B156" t="s">
        <v>505</v>
      </c>
      <c r="C156" t="s">
        <v>510</v>
      </c>
      <c r="E156">
        <v>34.8727778</v>
      </c>
      <c r="F156">
        <v>-118.8991667</v>
      </c>
      <c r="G156" t="s">
        <v>665</v>
      </c>
      <c r="I156" t="s">
        <v>505</v>
      </c>
      <c r="J156">
        <f>HYPERLINK("http://maps.google.com/maps?z=10&amp;t=m&amp;q=loc:34.8727778+-118.8991667", 383)</f>
        <v>0</v>
      </c>
      <c r="K156">
        <v>134</v>
      </c>
      <c r="L156">
        <v>0</v>
      </c>
      <c r="M156">
        <v>0</v>
      </c>
      <c r="N156">
        <v>0</v>
      </c>
      <c r="O156">
        <v>0</v>
      </c>
    </row>
    <row r="157" spans="1:15">
      <c r="A157" s="1" t="s">
        <v>169</v>
      </c>
      <c r="B157" t="s">
        <v>504</v>
      </c>
      <c r="C157" t="s">
        <v>509</v>
      </c>
      <c r="D157">
        <f>HYPERLINK("http://www.reserveamerica.com/camping/four-jeffrey/r/facilityDetails.do?contractCode=NRSO&amp;parkId=73703", "FOUR JEFFREY")</f>
        <v>0</v>
      </c>
      <c r="E157">
        <v>37.25</v>
      </c>
      <c r="F157">
        <v>-118.55</v>
      </c>
      <c r="G157" t="s">
        <v>666</v>
      </c>
      <c r="I157" t="s">
        <v>505</v>
      </c>
      <c r="J157">
        <f>HYPERLINK("http://maps.google.com/maps?z=10&amp;t=m&amp;q=loc:37.25+-118.55", 296)</f>
        <v>0</v>
      </c>
      <c r="K157">
        <v>90</v>
      </c>
      <c r="L157">
        <v>0</v>
      </c>
      <c r="M157">
        <v>0</v>
      </c>
      <c r="N157">
        <v>0</v>
      </c>
      <c r="O157">
        <v>0</v>
      </c>
    </row>
    <row r="158" spans="1:15">
      <c r="A158" s="1" t="s">
        <v>170</v>
      </c>
      <c r="B158" t="s">
        <v>508</v>
      </c>
      <c r="C158" t="s">
        <v>511</v>
      </c>
      <c r="D158">
        <f>HYPERLINK("http://www.reserveamerica.com/camping/frank-raines-regional-park/r/facilityDetails.do?contractCode=STAN&amp;parkId=1040013", "FRANK RAINES REGIONAL PARK")</f>
        <v>0</v>
      </c>
      <c r="E158">
        <v>37.4222222</v>
      </c>
      <c r="F158">
        <v>-121.3752778</v>
      </c>
      <c r="G158" t="s">
        <v>667</v>
      </c>
      <c r="I158" t="s">
        <v>505</v>
      </c>
      <c r="J158">
        <f>HYPERLINK("http://maps.google.com/maps?z=10&amp;t=m&amp;q=loc:37.4222222+-121.3752778", 48)</f>
        <v>0</v>
      </c>
      <c r="K158">
        <v>77</v>
      </c>
      <c r="L158">
        <v>29</v>
      </c>
      <c r="M158">
        <v>0</v>
      </c>
      <c r="N158">
        <v>29</v>
      </c>
      <c r="O158">
        <v>29</v>
      </c>
    </row>
    <row r="159" spans="1:15">
      <c r="A159" s="1" t="s">
        <v>171</v>
      </c>
      <c r="B159" t="s">
        <v>504</v>
      </c>
      <c r="C159" t="s">
        <v>509</v>
      </c>
      <c r="D159">
        <f>HYPERLINK("http://www.reserveamerica.com/camping/fremont-campground/r/facilityDetails.do?contractCode=NRSO&amp;parkId=74120", "FREMONT CAMPGROUND")</f>
        <v>0</v>
      </c>
      <c r="E159">
        <v>34.5430556</v>
      </c>
      <c r="F159">
        <v>-119.8202778</v>
      </c>
      <c r="G159" t="s">
        <v>668</v>
      </c>
      <c r="I159" t="s">
        <v>505</v>
      </c>
      <c r="J159">
        <f>HYPERLINK("http://maps.google.com/maps?z=10&amp;t=m&amp;q=loc:34.5430556+-119.8202778", 361)</f>
        <v>0</v>
      </c>
      <c r="K159">
        <v>148</v>
      </c>
      <c r="L159">
        <v>9</v>
      </c>
      <c r="M159">
        <v>0</v>
      </c>
      <c r="N159">
        <v>9</v>
      </c>
      <c r="O159">
        <v>9</v>
      </c>
    </row>
    <row r="160" spans="1:15">
      <c r="A160" s="1" t="s">
        <v>172</v>
      </c>
      <c r="B160" t="s">
        <v>505</v>
      </c>
      <c r="C160" t="s">
        <v>510</v>
      </c>
      <c r="D160">
        <f>HYPERLINK("http://www.reserveamerica.com/camping/fremont-peak-sp/r/facilityDetails.do?contractCode=CA&amp;parkId=120209", "FREMONT PEAK SP")</f>
        <v>0</v>
      </c>
      <c r="E160">
        <v>36.7608333</v>
      </c>
      <c r="F160">
        <v>-121.5013889</v>
      </c>
      <c r="G160" t="s">
        <v>669</v>
      </c>
      <c r="I160" t="s">
        <v>505</v>
      </c>
      <c r="J160">
        <f>HYPERLINK("http://maps.google.com/maps?z=10&amp;t=m&amp;q=loc:36.7608333+-121.5013889", 72)</f>
        <v>0</v>
      </c>
      <c r="K160">
        <v>150</v>
      </c>
      <c r="L160">
        <v>9</v>
      </c>
      <c r="M160">
        <v>3</v>
      </c>
      <c r="N160">
        <v>6</v>
      </c>
      <c r="O160">
        <v>6</v>
      </c>
    </row>
    <row r="161" spans="1:15">
      <c r="A161" s="1" t="s">
        <v>173</v>
      </c>
      <c r="B161" t="s">
        <v>504</v>
      </c>
      <c r="C161" t="s">
        <v>509</v>
      </c>
      <c r="D161">
        <f>HYPERLINK("http://www.reserveamerica.com/camping/french-camp/r/facilityDetails.do?contractCode=NRSO&amp;parkId=70803", "FRENCH CAMP")</f>
        <v>0</v>
      </c>
      <c r="E161">
        <v>37.5525</v>
      </c>
      <c r="F161">
        <v>-118.6791667</v>
      </c>
      <c r="G161" t="s">
        <v>670</v>
      </c>
      <c r="I161" t="s">
        <v>505</v>
      </c>
      <c r="J161">
        <f>HYPERLINK("http://maps.google.com/maps?z=10&amp;t=m&amp;q=loc:37.5525+-118.6791667", 285)</f>
        <v>0</v>
      </c>
      <c r="K161">
        <v>84</v>
      </c>
      <c r="L161">
        <v>40</v>
      </c>
      <c r="M161">
        <v>0</v>
      </c>
      <c r="N161">
        <v>40</v>
      </c>
      <c r="O161">
        <v>40</v>
      </c>
    </row>
    <row r="162" spans="1:15">
      <c r="A162" s="1" t="s">
        <v>174</v>
      </c>
      <c r="B162" t="s">
        <v>504</v>
      </c>
      <c r="C162" t="s">
        <v>509</v>
      </c>
      <c r="D162">
        <f>HYPERLINK("http://www.reserveamerica.com/camping/french-gulch/r/facilityDetails.do?contractCode=NRSO&amp;parkId=71559", "FRENCH GULCH")</f>
        <v>0</v>
      </c>
      <c r="E162">
        <v>35.6708333</v>
      </c>
      <c r="F162">
        <v>-118.4722222</v>
      </c>
      <c r="G162" t="s">
        <v>671</v>
      </c>
      <c r="I162" t="s">
        <v>505</v>
      </c>
      <c r="J162">
        <f>HYPERLINK("http://maps.google.com/maps?z=10&amp;t=m&amp;q=loc:35.6708333+-118.4722222", 357)</f>
        <v>0</v>
      </c>
      <c r="K162">
        <v>119</v>
      </c>
      <c r="L162">
        <v>0</v>
      </c>
      <c r="M162">
        <v>0</v>
      </c>
      <c r="N162">
        <v>0</v>
      </c>
      <c r="O162">
        <v>0</v>
      </c>
    </row>
    <row r="163" spans="1:15">
      <c r="A163" s="1" t="s">
        <v>175</v>
      </c>
      <c r="B163" t="s">
        <v>504</v>
      </c>
      <c r="C163" t="s">
        <v>509</v>
      </c>
      <c r="D163">
        <f>HYPERLINK("http://www.reserveamerica.com/camping/french-meadows/r/facilityDetails.do?contractCode=NRSO&amp;parkId=70268", "FRENCH MEADOWS")</f>
        <v>0</v>
      </c>
      <c r="E163">
        <v>39.1138889</v>
      </c>
      <c r="F163">
        <v>-120.4238889</v>
      </c>
      <c r="G163" t="s">
        <v>669</v>
      </c>
      <c r="I163" t="s">
        <v>505</v>
      </c>
      <c r="J163">
        <f>HYPERLINK("http://maps.google.com/maps?z=10&amp;t=m&amp;q=loc:39.1138889+-120.4238889", 236)</f>
        <v>0</v>
      </c>
      <c r="K163">
        <v>32</v>
      </c>
      <c r="L163">
        <v>47</v>
      </c>
      <c r="M163">
        <v>4</v>
      </c>
      <c r="N163">
        <v>43</v>
      </c>
      <c r="O163">
        <v>43</v>
      </c>
    </row>
    <row r="164" spans="1:15">
      <c r="A164" s="1" t="s">
        <v>176</v>
      </c>
      <c r="B164" t="s">
        <v>504</v>
      </c>
      <c r="C164" t="s">
        <v>509</v>
      </c>
      <c r="D164">
        <f>HYPERLINK("http://www.reserveamerica.com/camping/frenchman/r/facilityDetails.do?contractCode=NRSO&amp;parkId=70377", "FRENCHMAN")</f>
        <v>0</v>
      </c>
      <c r="E164">
        <v>39.8997222</v>
      </c>
      <c r="F164">
        <v>-120.1866667</v>
      </c>
      <c r="G164" t="s">
        <v>672</v>
      </c>
      <c r="I164" t="s">
        <v>505</v>
      </c>
      <c r="J164">
        <f>HYPERLINK("http://maps.google.com/maps?z=10&amp;t=m&amp;q=loc:39.8997222+-120.1866667", 322)</f>
        <v>0</v>
      </c>
      <c r="K164">
        <v>27</v>
      </c>
      <c r="L164">
        <v>0</v>
      </c>
      <c r="M164">
        <v>0</v>
      </c>
      <c r="N164">
        <v>0</v>
      </c>
      <c r="O164">
        <v>0</v>
      </c>
    </row>
    <row r="165" spans="1:15">
      <c r="A165" s="1" t="s">
        <v>177</v>
      </c>
      <c r="B165" t="s">
        <v>504</v>
      </c>
      <c r="C165" t="s">
        <v>509</v>
      </c>
      <c r="D165">
        <f>HYPERLINK("http://www.reserveamerica.com/camping/fry-creek-campground/r/facilityDetails.do?contractCode=NRSO&amp;parkId=72313", "FRY CREEK CAMPGROUND")</f>
        <v>0</v>
      </c>
      <c r="E165">
        <v>33.345</v>
      </c>
      <c r="F165">
        <v>-116.88</v>
      </c>
      <c r="G165" t="s">
        <v>673</v>
      </c>
      <c r="I165" t="s">
        <v>505</v>
      </c>
      <c r="J165">
        <f>HYPERLINK("http://maps.google.com/maps?z=10&amp;t=m&amp;q=loc:33.345+-116.88", 634)</f>
        <v>0</v>
      </c>
      <c r="K165">
        <v>132</v>
      </c>
      <c r="L165">
        <v>11</v>
      </c>
      <c r="M165">
        <v>0</v>
      </c>
      <c r="N165">
        <v>11</v>
      </c>
      <c r="O165">
        <v>11</v>
      </c>
    </row>
    <row r="166" spans="1:15">
      <c r="A166" s="1" t="s">
        <v>178</v>
      </c>
      <c r="B166" t="s">
        <v>504</v>
      </c>
      <c r="C166" t="s">
        <v>509</v>
      </c>
      <c r="D166">
        <f>HYPERLINK("http://www.reserveamerica.com/camping/furnace-creek/r/facilityDetails.do?contractCode=NRSO&amp;parkId=70978", "FURNACE CREEK")</f>
        <v>0</v>
      </c>
      <c r="E166">
        <v>36.4630556</v>
      </c>
      <c r="F166">
        <v>-116.8677778</v>
      </c>
      <c r="G166" t="s">
        <v>674</v>
      </c>
      <c r="I166" t="s">
        <v>505</v>
      </c>
      <c r="J166">
        <f>HYPERLINK("http://maps.google.com/maps?z=10&amp;t=m&amp;q=loc:36.4630556+-116.8677778", 457)</f>
        <v>0</v>
      </c>
      <c r="K166">
        <v>100</v>
      </c>
      <c r="L166">
        <v>0</v>
      </c>
      <c r="M166">
        <v>0</v>
      </c>
      <c r="N166">
        <v>0</v>
      </c>
      <c r="O166">
        <v>0</v>
      </c>
    </row>
    <row r="167" spans="1:15">
      <c r="A167" s="1" t="s">
        <v>179</v>
      </c>
      <c r="B167" t="s">
        <v>504</v>
      </c>
      <c r="C167" t="s">
        <v>509</v>
      </c>
      <c r="D167">
        <f>HYPERLINK("http://www.reserveamerica.com/camping/gates-group/r/facilityDetails.do?contractCode=NRSO&amp;parkId=70269", "GATES GROUP")</f>
        <v>0</v>
      </c>
      <c r="E167">
        <v>39.1413889</v>
      </c>
      <c r="F167">
        <v>-120.4091667</v>
      </c>
      <c r="G167" t="s">
        <v>675</v>
      </c>
      <c r="I167" t="s">
        <v>505</v>
      </c>
      <c r="J167">
        <f>HYPERLINK("http://maps.google.com/maps?z=10&amp;t=m&amp;q=loc:39.1413889+-120.4091667", 240)</f>
        <v>0</v>
      </c>
      <c r="K167">
        <v>32</v>
      </c>
      <c r="L167">
        <v>0</v>
      </c>
      <c r="M167">
        <v>0</v>
      </c>
      <c r="N167">
        <v>0</v>
      </c>
      <c r="O167">
        <v>0</v>
      </c>
    </row>
    <row r="168" spans="1:15">
      <c r="A168" s="1" t="s">
        <v>180</v>
      </c>
      <c r="B168" t="s">
        <v>505</v>
      </c>
      <c r="C168" t="s">
        <v>510</v>
      </c>
      <c r="E168">
        <v>37.3577778</v>
      </c>
      <c r="F168">
        <v>-120.9594444</v>
      </c>
      <c r="G168" t="s">
        <v>676</v>
      </c>
      <c r="I168" t="s">
        <v>505</v>
      </c>
      <c r="J168">
        <f>HYPERLINK("http://maps.google.com/maps?z=10&amp;t=m&amp;q=loc:37.3577778+-120.9594444", 83)</f>
        <v>0</v>
      </c>
      <c r="K168">
        <v>87</v>
      </c>
      <c r="L168">
        <v>0</v>
      </c>
      <c r="M168">
        <v>0</v>
      </c>
      <c r="N168">
        <v>0</v>
      </c>
      <c r="O168">
        <v>0</v>
      </c>
    </row>
    <row r="169" spans="1:15">
      <c r="A169" s="1" t="s">
        <v>181</v>
      </c>
      <c r="B169" t="s">
        <v>504</v>
      </c>
      <c r="C169" t="s">
        <v>509</v>
      </c>
      <c r="D169">
        <f>HYPERLINK("http://www.reserveamerica.com/camping/gerle-creek/r/facilityDetails.do?contractCode=NRSO&amp;parkId=70270", "GERLE CREEK")</f>
        <v>0</v>
      </c>
      <c r="E169">
        <v>38.975</v>
      </c>
      <c r="F169">
        <v>-120.3916667</v>
      </c>
      <c r="G169" t="s">
        <v>677</v>
      </c>
      <c r="H169" t="s">
        <v>997</v>
      </c>
      <c r="I169" t="s">
        <v>505</v>
      </c>
      <c r="J169">
        <f>HYPERLINK("http://maps.google.com/maps?z=10&amp;t=m&amp;q=loc:38.975+-120.3916667", 225)</f>
        <v>0</v>
      </c>
      <c r="K169">
        <v>35</v>
      </c>
      <c r="L169">
        <v>0</v>
      </c>
      <c r="M169">
        <v>0</v>
      </c>
      <c r="N169">
        <v>0</v>
      </c>
      <c r="O169">
        <v>0</v>
      </c>
    </row>
    <row r="170" spans="1:15">
      <c r="A170" s="1" t="s">
        <v>182</v>
      </c>
      <c r="B170" t="s">
        <v>504</v>
      </c>
      <c r="C170" t="s">
        <v>509</v>
      </c>
      <c r="D170">
        <f>HYPERLINK("http://www.reserveamerica.com/camping/giant-gap/r/facilityDetails.do?contractCode=NRSO&amp;parkId=71676", "GIANT GAP")</f>
        <v>0</v>
      </c>
      <c r="E170">
        <v>39.1388889</v>
      </c>
      <c r="F170">
        <v>-120.7922222</v>
      </c>
      <c r="G170" t="s">
        <v>678</v>
      </c>
      <c r="I170" t="s">
        <v>505</v>
      </c>
      <c r="J170">
        <f>HYPERLINK("http://maps.google.com/maps?z=10&amp;t=m&amp;q=loc:39.1388889+-120.7922222", 223)</f>
        <v>0</v>
      </c>
      <c r="K170">
        <v>25</v>
      </c>
      <c r="L170">
        <v>12</v>
      </c>
      <c r="M170">
        <v>2</v>
      </c>
      <c r="N170">
        <v>10</v>
      </c>
      <c r="O170">
        <v>10</v>
      </c>
    </row>
    <row r="171" spans="1:15">
      <c r="A171" s="1" t="s">
        <v>183</v>
      </c>
      <c r="B171" t="s">
        <v>504</v>
      </c>
      <c r="C171" t="s">
        <v>509</v>
      </c>
      <c r="D171">
        <f>HYPERLINK("http://www.reserveamerica.com/camping/glory-hole-recreation-area/r/facilityDetails.do?contractCode=NRSO&amp;parkId=74080", "GLORY HOLE RECREATION AREA")</f>
        <v>0</v>
      </c>
      <c r="E171">
        <v>38.0075</v>
      </c>
      <c r="F171">
        <v>-120.5402778</v>
      </c>
      <c r="G171" t="s">
        <v>679</v>
      </c>
      <c r="I171" t="s">
        <v>505</v>
      </c>
      <c r="J171">
        <f>HYPERLINK("http://maps.google.com/maps?z=10&amp;t=m&amp;q=loc:38.0075+-120.5402778", 141)</f>
        <v>0</v>
      </c>
      <c r="K171">
        <v>57</v>
      </c>
      <c r="L171">
        <v>11</v>
      </c>
      <c r="M171">
        <v>8</v>
      </c>
      <c r="N171">
        <v>3</v>
      </c>
      <c r="O171">
        <v>3</v>
      </c>
    </row>
    <row r="172" spans="1:15">
      <c r="A172" s="1" t="s">
        <v>184</v>
      </c>
      <c r="B172" t="s">
        <v>504</v>
      </c>
      <c r="C172" t="s">
        <v>509</v>
      </c>
      <c r="D172">
        <f>HYPERLINK("http://www.reserveamerica.com/camping/goldledge-campground/r/facilityDetails.do?contractCode=NRSO&amp;parkId=71679", "GOLDLEDGE CAMPGROUND")</f>
        <v>0</v>
      </c>
      <c r="E172">
        <v>35.8777778</v>
      </c>
      <c r="F172">
        <v>-118.4563889</v>
      </c>
      <c r="G172" t="s">
        <v>680</v>
      </c>
      <c r="I172" t="s">
        <v>505</v>
      </c>
      <c r="J172">
        <f>HYPERLINK("http://maps.google.com/maps?z=10&amp;t=m&amp;q=loc:35.8777778+-118.4563889", 347)</f>
        <v>0</v>
      </c>
      <c r="K172">
        <v>116</v>
      </c>
      <c r="L172">
        <v>0</v>
      </c>
      <c r="M172">
        <v>0</v>
      </c>
      <c r="N172">
        <v>0</v>
      </c>
      <c r="O172">
        <v>0</v>
      </c>
    </row>
    <row r="173" spans="1:15">
      <c r="A173" s="1" t="s">
        <v>185</v>
      </c>
      <c r="B173" t="s">
        <v>504</v>
      </c>
      <c r="C173" t="s">
        <v>509</v>
      </c>
      <c r="D173">
        <f>HYPERLINK("http://www.reserveamerica.com/camping/goose-meadows/r/facilityDetails.do?contractCode=NRSO&amp;parkId=71516", "GOOSE MEADOWS")</f>
        <v>0</v>
      </c>
      <c r="E173">
        <v>39.2575</v>
      </c>
      <c r="F173">
        <v>-120.2091667</v>
      </c>
      <c r="G173" t="s">
        <v>681</v>
      </c>
      <c r="I173" t="s">
        <v>505</v>
      </c>
      <c r="J173">
        <f>HYPERLINK("http://maps.google.com/maps?z=10&amp;t=m&amp;q=loc:39.2575+-120.2091667", 260)</f>
        <v>0</v>
      </c>
      <c r="K173">
        <v>34</v>
      </c>
      <c r="L173">
        <v>17</v>
      </c>
      <c r="M173">
        <v>0</v>
      </c>
      <c r="N173">
        <v>17</v>
      </c>
      <c r="O173">
        <v>17</v>
      </c>
    </row>
    <row r="174" spans="1:15">
      <c r="A174" s="1" t="s">
        <v>186</v>
      </c>
      <c r="B174" t="s">
        <v>504</v>
      </c>
      <c r="C174" t="s">
        <v>509</v>
      </c>
      <c r="D174">
        <f>HYPERLINK("http://www.reserveamerica.com/camping/granite-flat-california/r/facilityDetails.do?contractCode=NRSO&amp;parkId=71671", "GRANITE FLAT (CALIFORNIA)")</f>
        <v>0</v>
      </c>
      <c r="E174">
        <v>39.2991667</v>
      </c>
      <c r="F174">
        <v>-120.2036111</v>
      </c>
      <c r="G174" t="s">
        <v>682</v>
      </c>
      <c r="I174" t="s">
        <v>505</v>
      </c>
      <c r="J174">
        <f>HYPERLINK("http://maps.google.com/maps?z=10&amp;t=m&amp;q=loc:39.2991667+-120.2036111", 264)</f>
        <v>0</v>
      </c>
      <c r="K174">
        <v>33</v>
      </c>
      <c r="L174">
        <v>49</v>
      </c>
      <c r="M174">
        <v>7</v>
      </c>
      <c r="N174">
        <v>42</v>
      </c>
      <c r="O174">
        <v>42</v>
      </c>
    </row>
    <row r="175" spans="1:15">
      <c r="A175" s="1" t="s">
        <v>187</v>
      </c>
      <c r="B175" t="s">
        <v>504</v>
      </c>
      <c r="C175" t="s">
        <v>509</v>
      </c>
      <c r="D175">
        <f>HYPERLINK("http://www.reserveamerica.com/camping/grasshopper-flat/r/facilityDetails.do?contractCode=NRSO&amp;parkId=71613", "GRASSHOPPER FLAT")</f>
        <v>0</v>
      </c>
      <c r="E175">
        <v>39.8905556</v>
      </c>
      <c r="F175">
        <v>-120.4769444</v>
      </c>
      <c r="G175" t="s">
        <v>683</v>
      </c>
      <c r="I175" t="s">
        <v>505</v>
      </c>
      <c r="J175">
        <f>HYPERLINK("http://maps.google.com/maps?z=10&amp;t=m&amp;q=loc:39.8905556+-120.4769444", 310)</f>
        <v>0</v>
      </c>
      <c r="K175">
        <v>23</v>
      </c>
      <c r="L175">
        <v>0</v>
      </c>
      <c r="M175">
        <v>0</v>
      </c>
      <c r="N175">
        <v>0</v>
      </c>
      <c r="O175">
        <v>0</v>
      </c>
    </row>
    <row r="176" spans="1:15">
      <c r="A176" s="1" t="s">
        <v>188</v>
      </c>
      <c r="B176" t="s">
        <v>504</v>
      </c>
      <c r="C176" t="s">
        <v>509</v>
      </c>
      <c r="D176">
        <f>HYPERLINK("http://www.reserveamerica.com/camping/grassy-flat-campground/r/facilityDetails.do?contractCode=NRSO&amp;parkId=70527", "GRASSY FLAT CAMPGROUND")</f>
        <v>0</v>
      </c>
      <c r="E176">
        <v>41.8563889</v>
      </c>
      <c r="F176">
        <v>-123.8888889</v>
      </c>
      <c r="G176" t="s">
        <v>684</v>
      </c>
      <c r="I176" t="s">
        <v>505</v>
      </c>
      <c r="J176">
        <f>HYPERLINK("http://maps.google.com/maps?z=10&amp;t=m&amp;q=loc:41.8563889+-123.8888889", 531)</f>
        <v>0</v>
      </c>
      <c r="K176">
        <v>341</v>
      </c>
      <c r="L176">
        <v>0</v>
      </c>
      <c r="M176">
        <v>0</v>
      </c>
      <c r="N176">
        <v>0</v>
      </c>
      <c r="O176">
        <v>0</v>
      </c>
    </row>
    <row r="177" spans="1:15">
      <c r="A177" s="1" t="s">
        <v>189</v>
      </c>
      <c r="B177" t="s">
        <v>504</v>
      </c>
      <c r="C177" t="s">
        <v>509</v>
      </c>
      <c r="D177">
        <f>HYPERLINK("http://www.reserveamerica.com/camping/grays-meadows/r/facilityDetails.do?contractCode=NRSO&amp;parkId=70273", "GRAYS MEADOWS")</f>
        <v>0</v>
      </c>
      <c r="E177">
        <v>36.7688889</v>
      </c>
      <c r="F177">
        <v>-118.295</v>
      </c>
      <c r="G177" t="s">
        <v>685</v>
      </c>
      <c r="I177" t="s">
        <v>505</v>
      </c>
      <c r="J177">
        <f>HYPERLINK("http://maps.google.com/maps?z=10&amp;t=m&amp;q=loc:36.7688889+-118.295", 326)</f>
        <v>0</v>
      </c>
      <c r="K177">
        <v>99</v>
      </c>
      <c r="L177">
        <v>26</v>
      </c>
      <c r="M177">
        <v>4</v>
      </c>
      <c r="N177">
        <v>22</v>
      </c>
      <c r="O177">
        <v>22</v>
      </c>
    </row>
    <row r="178" spans="1:15">
      <c r="A178" s="1" t="s">
        <v>190</v>
      </c>
      <c r="B178" t="s">
        <v>504</v>
      </c>
      <c r="C178" t="s">
        <v>509</v>
      </c>
      <c r="D178">
        <f>HYPERLINK("http://www.reserveamerica.com/camping/grays-peak-group-camp/r/facilityDetails.do?contractCode=NRSO&amp;parkId=70174", "GRAYS PEAK GROUP CAMP")</f>
        <v>0</v>
      </c>
      <c r="E178">
        <v>34.2733333</v>
      </c>
      <c r="F178">
        <v>-116.9705556</v>
      </c>
      <c r="G178" t="s">
        <v>686</v>
      </c>
      <c r="I178" t="s">
        <v>505</v>
      </c>
      <c r="J178">
        <f>HYPERLINK("http://maps.google.com/maps?z=10&amp;t=m&amp;q=loc:34.2733333+-116.9705556", 559)</f>
        <v>0</v>
      </c>
      <c r="K178">
        <v>125</v>
      </c>
      <c r="L178">
        <v>0</v>
      </c>
      <c r="M178">
        <v>0</v>
      </c>
      <c r="N178">
        <v>0</v>
      </c>
      <c r="O178">
        <v>0</v>
      </c>
    </row>
    <row r="179" spans="1:15">
      <c r="A179" s="1" t="s">
        <v>191</v>
      </c>
      <c r="B179" t="s">
        <v>504</v>
      </c>
      <c r="C179" t="s">
        <v>509</v>
      </c>
      <c r="D179">
        <f>HYPERLINK("http://www.reserveamerica.com/camping/green-creek-group/r/facilityDetails.do?contractCode=NRSO&amp;parkId=70274", "GREEN CREEK GROUP")</f>
        <v>0</v>
      </c>
      <c r="E179">
        <v>38.1108333</v>
      </c>
      <c r="F179">
        <v>-119.2761111</v>
      </c>
      <c r="G179" t="s">
        <v>687</v>
      </c>
      <c r="I179" t="s">
        <v>505</v>
      </c>
      <c r="J179">
        <f>HYPERLINK("http://maps.google.com/maps?z=10&amp;t=m&amp;q=loc:38.1108333+-119.2761111", 247)</f>
        <v>0</v>
      </c>
      <c r="K179">
        <v>68</v>
      </c>
      <c r="L179">
        <v>0</v>
      </c>
      <c r="M179">
        <v>0</v>
      </c>
      <c r="N179">
        <v>0</v>
      </c>
      <c r="O179">
        <v>0</v>
      </c>
    </row>
    <row r="180" spans="1:15">
      <c r="A180" s="1" t="s">
        <v>192</v>
      </c>
      <c r="B180" t="s">
        <v>504</v>
      </c>
      <c r="C180" t="s">
        <v>509</v>
      </c>
      <c r="D180">
        <f>HYPERLINK("http://www.reserveamerica.com/camping/green-spot-equestrian-group-camp/r/facilityDetails.do?contractCode=NRSO&amp;parkId=70697", "GREEN SPOT EQUESTRIAN GROUP CAMP")</f>
        <v>0</v>
      </c>
      <c r="E180">
        <v>34.2233333</v>
      </c>
      <c r="F180">
        <v>-116.8061111</v>
      </c>
      <c r="G180" t="s">
        <v>688</v>
      </c>
      <c r="I180" t="s">
        <v>505</v>
      </c>
      <c r="J180">
        <f>HYPERLINK("http://maps.google.com/maps?z=10&amp;t=m&amp;q=loc:34.2233333+-116.8061111", 574)</f>
        <v>0</v>
      </c>
      <c r="K180">
        <v>125</v>
      </c>
      <c r="L180">
        <v>1</v>
      </c>
      <c r="M180">
        <v>0</v>
      </c>
      <c r="N180">
        <v>1</v>
      </c>
      <c r="O180">
        <v>1</v>
      </c>
    </row>
    <row r="181" spans="1:15">
      <c r="A181" s="1" t="s">
        <v>193</v>
      </c>
      <c r="B181" t="s">
        <v>504</v>
      </c>
      <c r="C181" t="s">
        <v>509</v>
      </c>
      <c r="D181">
        <f>HYPERLINK("http://www.reserveamerica.com/camping/green-valley/r/facilityDetails.do?contractCode=NRSO&amp;parkId=70275", "GREEN VALLEY")</f>
        <v>0</v>
      </c>
      <c r="E181">
        <v>34.2447222</v>
      </c>
      <c r="F181">
        <v>-117.0619444</v>
      </c>
      <c r="G181" t="s">
        <v>689</v>
      </c>
      <c r="I181" t="s">
        <v>505</v>
      </c>
      <c r="J181">
        <f>HYPERLINK("http://maps.google.com/maps?z=10&amp;t=m&amp;q=loc:34.2447222+-117.0619444", 554)</f>
        <v>0</v>
      </c>
      <c r="K181">
        <v>126</v>
      </c>
      <c r="L181">
        <v>20</v>
      </c>
      <c r="M181">
        <v>0</v>
      </c>
      <c r="N181">
        <v>20</v>
      </c>
      <c r="O181">
        <v>20</v>
      </c>
    </row>
    <row r="182" spans="1:15">
      <c r="A182" s="1" t="s">
        <v>194</v>
      </c>
      <c r="B182" t="s">
        <v>504</v>
      </c>
      <c r="C182" t="s">
        <v>509</v>
      </c>
      <c r="D182">
        <f>HYPERLINK("http://www.reserveamerica.com/camping/grizzly/r/facilityDetails.do?contractCode=NRSO&amp;parkId=71616", "GRIZZLY")</f>
        <v>0</v>
      </c>
      <c r="E182">
        <v>39.8872222</v>
      </c>
      <c r="F182">
        <v>-120.4725</v>
      </c>
      <c r="G182" t="s">
        <v>690</v>
      </c>
      <c r="I182" t="s">
        <v>505</v>
      </c>
      <c r="J182">
        <f>HYPERLINK("http://maps.google.com/maps?z=10&amp;t=m&amp;q=loc:39.8872222+-120.4725", 310)</f>
        <v>0</v>
      </c>
      <c r="K182">
        <v>23</v>
      </c>
      <c r="L182">
        <v>0</v>
      </c>
      <c r="M182">
        <v>0</v>
      </c>
      <c r="N182">
        <v>0</v>
      </c>
      <c r="O182">
        <v>0</v>
      </c>
    </row>
    <row r="183" spans="1:15">
      <c r="A183" s="1" t="s">
        <v>195</v>
      </c>
      <c r="B183" t="s">
        <v>505</v>
      </c>
      <c r="C183" t="s">
        <v>510</v>
      </c>
      <c r="D183">
        <f>HYPERLINK("http://www.reserveamerica.com/camping/grizzly-creek-redwoods-sp/r/facilityDetails.do?contractCode=CA&amp;parkId=120037", "GRIZZLY CREEK REDWOODS SP")</f>
        <v>0</v>
      </c>
      <c r="E183">
        <v>40.4841667</v>
      </c>
      <c r="F183">
        <v>-123.9055556</v>
      </c>
      <c r="G183" t="s">
        <v>690</v>
      </c>
      <c r="I183" t="s">
        <v>505</v>
      </c>
      <c r="J183">
        <f>HYPERLINK("http://maps.google.com/maps?z=10&amp;t=m&amp;q=loc:40.4841667+-123.9055556", 391)</f>
        <v>0</v>
      </c>
      <c r="K183">
        <v>334</v>
      </c>
      <c r="L183">
        <v>0</v>
      </c>
      <c r="M183">
        <v>0</v>
      </c>
      <c r="N183">
        <v>0</v>
      </c>
      <c r="O183">
        <v>0</v>
      </c>
    </row>
    <row r="184" spans="1:15">
      <c r="A184" s="1" t="s">
        <v>196</v>
      </c>
      <c r="B184" t="s">
        <v>505</v>
      </c>
      <c r="C184" t="s">
        <v>510</v>
      </c>
      <c r="D184">
        <f>HYPERLINK("http://www.reserveamerica.com/camping/grover-hot-springs-sp/r/facilityDetails.do?contractCode=CA&amp;parkId=120038", "GROVER HOT SPRINGS SP")</f>
        <v>0</v>
      </c>
      <c r="E184">
        <v>38.7005556</v>
      </c>
      <c r="F184">
        <v>-119.8366667</v>
      </c>
      <c r="G184" t="s">
        <v>691</v>
      </c>
      <c r="I184" t="s">
        <v>505</v>
      </c>
      <c r="J184">
        <f>HYPERLINK("http://maps.google.com/maps?z=10&amp;t=m&amp;q=loc:38.7005556+-119.8366667", 236)</f>
        <v>0</v>
      </c>
      <c r="K184">
        <v>49</v>
      </c>
      <c r="L184">
        <v>0</v>
      </c>
      <c r="M184">
        <v>0</v>
      </c>
      <c r="N184">
        <v>0</v>
      </c>
      <c r="O184">
        <v>0</v>
      </c>
    </row>
    <row r="185" spans="1:15">
      <c r="A185" s="1" t="s">
        <v>197</v>
      </c>
      <c r="B185" t="s">
        <v>504</v>
      </c>
      <c r="C185" t="s">
        <v>509</v>
      </c>
      <c r="D185">
        <f>HYPERLINK("http://www.reserveamerica.com/camping/gurnsey-creek/r/facilityDetails.do?contractCode=NRSO&amp;parkId=70594", "GURNSEY CREEK")</f>
        <v>0</v>
      </c>
      <c r="E185">
        <v>40.3088889</v>
      </c>
      <c r="F185">
        <v>-121.4266667</v>
      </c>
      <c r="G185" t="s">
        <v>692</v>
      </c>
      <c r="I185" t="s">
        <v>505</v>
      </c>
      <c r="J185">
        <f>HYPERLINK("http://maps.google.com/maps?z=10&amp;t=m&amp;q=loc:40.3088889+-121.4266667", 333)</f>
        <v>0</v>
      </c>
      <c r="K185">
        <v>6</v>
      </c>
      <c r="L185">
        <v>1</v>
      </c>
      <c r="M185">
        <v>0</v>
      </c>
      <c r="N185">
        <v>1</v>
      </c>
      <c r="O185">
        <v>1</v>
      </c>
    </row>
    <row r="186" spans="1:15">
      <c r="A186" s="1" t="s">
        <v>198</v>
      </c>
      <c r="B186" t="s">
        <v>505</v>
      </c>
      <c r="C186" t="s">
        <v>510</v>
      </c>
      <c r="D186">
        <f>HYPERLINK("http://www.reserveamerica.com/camping/half-moon-bay-sb/r/facilityDetails.do?contractCode=CA&amp;parkId=120039", "HALF MOON BAY SB")</f>
        <v>0</v>
      </c>
      <c r="E186">
        <v>37.4597222</v>
      </c>
      <c r="F186">
        <v>-122.4441667</v>
      </c>
      <c r="G186" t="s">
        <v>693</v>
      </c>
      <c r="I186" t="s">
        <v>505</v>
      </c>
      <c r="J186">
        <f>HYPERLINK("http://maps.google.com/maps?z=10&amp;t=m&amp;q=loc:37.4597222+-122.4441667", 49)</f>
        <v>0</v>
      </c>
      <c r="K186">
        <v>287</v>
      </c>
      <c r="L186">
        <v>0</v>
      </c>
      <c r="M186">
        <v>0</v>
      </c>
      <c r="N186">
        <v>0</v>
      </c>
      <c r="O186">
        <v>0</v>
      </c>
    </row>
    <row r="187" spans="1:15">
      <c r="A187" s="1" t="s">
        <v>199</v>
      </c>
      <c r="B187" t="s">
        <v>504</v>
      </c>
      <c r="C187" t="s">
        <v>509</v>
      </c>
      <c r="D187">
        <f>HYPERLINK("http://www.reserveamerica.com/camping/hallsted/r/facilityDetails.do?contractCode=NRSO&amp;parkId=70560", "HALLSTED")</f>
        <v>0</v>
      </c>
      <c r="E187">
        <v>40.0175</v>
      </c>
      <c r="F187">
        <v>-121.0730556</v>
      </c>
      <c r="G187" t="s">
        <v>694</v>
      </c>
      <c r="H187" t="s">
        <v>997</v>
      </c>
      <c r="I187" t="s">
        <v>505</v>
      </c>
      <c r="J187">
        <f>HYPERLINK("http://maps.google.com/maps?z=10&amp;t=m&amp;q=loc:40.0175+-121.0730556", 307)</f>
        <v>0</v>
      </c>
      <c r="K187">
        <v>13</v>
      </c>
      <c r="L187">
        <v>0</v>
      </c>
      <c r="M187">
        <v>0</v>
      </c>
      <c r="N187">
        <v>0</v>
      </c>
      <c r="O187">
        <v>0</v>
      </c>
    </row>
    <row r="188" spans="1:15">
      <c r="A188" s="1" t="s">
        <v>200</v>
      </c>
      <c r="B188" t="s">
        <v>504</v>
      </c>
      <c r="C188" t="s">
        <v>509</v>
      </c>
      <c r="D188">
        <f>HYPERLINK("http://www.reserveamerica.com/camping/hampshire-rocks/r/facilityDetails.do?contractCode=NRSO&amp;parkId=70553", "HAMPSHIRE ROCKS")</f>
        <v>0</v>
      </c>
      <c r="E188">
        <v>39.3105556</v>
      </c>
      <c r="F188">
        <v>-120.4966667</v>
      </c>
      <c r="G188" t="s">
        <v>695</v>
      </c>
      <c r="I188" t="s">
        <v>505</v>
      </c>
      <c r="J188">
        <f>HYPERLINK("http://maps.google.com/maps?z=10&amp;t=m&amp;q=loc:39.3105556+-120.4966667", 252)</f>
        <v>0</v>
      </c>
      <c r="K188">
        <v>28</v>
      </c>
      <c r="L188">
        <v>23</v>
      </c>
      <c r="M188">
        <v>0</v>
      </c>
      <c r="N188">
        <v>23</v>
      </c>
      <c r="O188">
        <v>23</v>
      </c>
    </row>
    <row r="189" spans="1:15">
      <c r="A189" s="1" t="s">
        <v>201</v>
      </c>
      <c r="B189" t="s">
        <v>504</v>
      </c>
      <c r="C189" t="s">
        <v>509</v>
      </c>
      <c r="D189">
        <f>HYPERLINK("http://www.reserveamerica.com/camping/hanna-flat/r/facilityDetails.do?contractCode=NRSO&amp;parkId=70532", "HANNA FLAT")</f>
        <v>0</v>
      </c>
      <c r="E189">
        <v>34.2877778</v>
      </c>
      <c r="F189">
        <v>-116.9744444</v>
      </c>
      <c r="G189" t="s">
        <v>696</v>
      </c>
      <c r="I189" t="s">
        <v>505</v>
      </c>
      <c r="J189">
        <f>HYPERLINK("http://maps.google.com/maps?z=10&amp;t=m&amp;q=loc:34.2877778+-116.9744444", 558)</f>
        <v>0</v>
      </c>
      <c r="K189">
        <v>125</v>
      </c>
      <c r="L189">
        <v>54</v>
      </c>
      <c r="M189">
        <v>0</v>
      </c>
      <c r="N189">
        <v>54</v>
      </c>
      <c r="O189">
        <v>54</v>
      </c>
    </row>
    <row r="190" spans="1:15">
      <c r="A190" s="1" t="s">
        <v>202</v>
      </c>
      <c r="B190" t="s">
        <v>504</v>
      </c>
      <c r="C190" t="s">
        <v>509</v>
      </c>
      <c r="D190">
        <f>HYPERLINK("http://www.reserveamerica.com/camping/hat-creek/r/facilityDetails.do?contractCode=NRSO&amp;parkId=70530", "HAT CREEK")</f>
        <v>0</v>
      </c>
      <c r="E190">
        <v>40.6677778</v>
      </c>
      <c r="F190">
        <v>-121.4455556</v>
      </c>
      <c r="G190" t="s">
        <v>697</v>
      </c>
      <c r="I190" t="s">
        <v>505</v>
      </c>
      <c r="J190">
        <f>HYPERLINK("http://maps.google.com/maps?z=10&amp;t=m&amp;q=loc:40.6677778+-121.4455556", 373)</f>
        <v>0</v>
      </c>
      <c r="K190">
        <v>5</v>
      </c>
      <c r="L190">
        <v>2</v>
      </c>
      <c r="M190">
        <v>0</v>
      </c>
      <c r="N190">
        <v>2</v>
      </c>
      <c r="O190">
        <v>2</v>
      </c>
    </row>
    <row r="191" spans="1:15">
      <c r="A191" s="1" t="s">
        <v>203</v>
      </c>
      <c r="B191" t="s">
        <v>504</v>
      </c>
      <c r="C191" t="s">
        <v>509</v>
      </c>
      <c r="D191">
        <f>HYPERLINK("http://www.reserveamerica.com/camping/hayward-flat/r/facilityDetails.do?contractCode=NRSO&amp;parkId=70515", "HAYWARD FLAT")</f>
        <v>0</v>
      </c>
      <c r="E191">
        <v>40.8744444</v>
      </c>
      <c r="F191">
        <v>-122.7691667</v>
      </c>
      <c r="G191" t="s">
        <v>698</v>
      </c>
      <c r="I191" t="s">
        <v>505</v>
      </c>
      <c r="J191">
        <f>HYPERLINK("http://maps.google.com/maps?z=10&amp;t=m&amp;q=loc:40.8744444+-122.7691667", 401)</f>
        <v>0</v>
      </c>
      <c r="K191">
        <v>349</v>
      </c>
      <c r="L191">
        <v>0</v>
      </c>
      <c r="M191">
        <v>0</v>
      </c>
      <c r="N191">
        <v>0</v>
      </c>
      <c r="O191">
        <v>0</v>
      </c>
    </row>
    <row r="192" spans="1:15">
      <c r="A192" s="1" t="s">
        <v>204</v>
      </c>
      <c r="B192" t="s">
        <v>504</v>
      </c>
      <c r="C192" t="s">
        <v>509</v>
      </c>
      <c r="D192">
        <f>HYPERLINK("http://www.reserveamerica.com/camping/headquarters/r/facilityDetails.do?contractCode=NRSO&amp;parkId=71599", "HEADQUARTERS")</f>
        <v>0</v>
      </c>
      <c r="E192">
        <v>35.7958333</v>
      </c>
      <c r="F192">
        <v>-118.4511111</v>
      </c>
      <c r="G192" t="s">
        <v>699</v>
      </c>
      <c r="I192" t="s">
        <v>505</v>
      </c>
      <c r="J192">
        <f>HYPERLINK("http://maps.google.com/maps?z=10&amp;t=m&amp;q=loc:35.7958333+-118.4511111", 352)</f>
        <v>0</v>
      </c>
      <c r="K192">
        <v>117</v>
      </c>
      <c r="L192">
        <v>12</v>
      </c>
      <c r="M192">
        <v>0</v>
      </c>
      <c r="N192">
        <v>12</v>
      </c>
      <c r="O192">
        <v>12</v>
      </c>
    </row>
    <row r="193" spans="1:15">
      <c r="A193" s="1" t="s">
        <v>205</v>
      </c>
      <c r="B193" t="s">
        <v>504</v>
      </c>
      <c r="C193" t="s">
        <v>509</v>
      </c>
      <c r="D193">
        <f>HYPERLINK("http://www.reserveamerica.com/camping/heart-bar-campground/r/facilityDetails.do?contractCode=NRSO&amp;parkId=70603", "HEART BAR CAMPGROUND")</f>
        <v>0</v>
      </c>
      <c r="E193">
        <v>34.1586111</v>
      </c>
      <c r="F193">
        <v>-116.7858333</v>
      </c>
      <c r="G193" t="s">
        <v>700</v>
      </c>
      <c r="I193" t="s">
        <v>505</v>
      </c>
      <c r="J193">
        <f>HYPERLINK("http://maps.google.com/maps?z=10&amp;t=m&amp;q=loc:34.1586111+-116.7858333", 580)</f>
        <v>0</v>
      </c>
      <c r="K193">
        <v>125</v>
      </c>
      <c r="L193">
        <v>53</v>
      </c>
      <c r="M193">
        <v>2</v>
      </c>
      <c r="N193">
        <v>51</v>
      </c>
      <c r="O193">
        <v>51</v>
      </c>
    </row>
    <row r="194" spans="1:15">
      <c r="A194" s="1" t="s">
        <v>206</v>
      </c>
      <c r="B194" t="s">
        <v>504</v>
      </c>
      <c r="C194" t="s">
        <v>509</v>
      </c>
      <c r="D194">
        <f>HYPERLINK("http://www.reserveamerica.com/camping/heart-bar-equestrian/r/facilityDetails.do?contractCode=NRSO&amp;parkId=70278", "HEART BAR EQUESTRIAN")</f>
        <v>0</v>
      </c>
      <c r="E194">
        <v>34.1586111</v>
      </c>
      <c r="F194">
        <v>-116.7858333</v>
      </c>
      <c r="G194" t="s">
        <v>701</v>
      </c>
      <c r="I194" t="s">
        <v>505</v>
      </c>
      <c r="J194">
        <f>HYPERLINK("http://maps.google.com/maps?z=10&amp;t=m&amp;q=loc:34.1586111+-116.7858333", 580)</f>
        <v>0</v>
      </c>
      <c r="K194">
        <v>125</v>
      </c>
      <c r="L194">
        <v>1</v>
      </c>
      <c r="M194">
        <v>0</v>
      </c>
      <c r="N194">
        <v>1</v>
      </c>
      <c r="O194">
        <v>1</v>
      </c>
    </row>
    <row r="195" spans="1:15">
      <c r="A195" s="1" t="s">
        <v>207</v>
      </c>
      <c r="B195" t="s">
        <v>505</v>
      </c>
      <c r="C195" t="s">
        <v>510</v>
      </c>
      <c r="D195">
        <f>HYPERLINK("http://www.reserveamerica.com/camping/henry-cowell-redwoods-sp/r/facilityDetails.do?contractCode=CA&amp;parkId=120041", "HENRY COWELL REDWOODS SP")</f>
        <v>0</v>
      </c>
      <c r="E195">
        <v>37.0236111</v>
      </c>
      <c r="F195">
        <v>-122.0519444</v>
      </c>
      <c r="G195" t="s">
        <v>702</v>
      </c>
      <c r="I195" t="s">
        <v>505</v>
      </c>
      <c r="J195">
        <f>HYPERLINK("http://maps.google.com/maps?z=10&amp;t=m&amp;q=loc:37.0236111+-122.0519444", 36)</f>
        <v>0</v>
      </c>
      <c r="K195">
        <v>200</v>
      </c>
      <c r="L195">
        <v>0</v>
      </c>
      <c r="M195">
        <v>0</v>
      </c>
      <c r="N195">
        <v>0</v>
      </c>
      <c r="O195">
        <v>0</v>
      </c>
    </row>
    <row r="196" spans="1:15">
      <c r="A196" s="1" t="s">
        <v>208</v>
      </c>
      <c r="B196" t="s">
        <v>505</v>
      </c>
      <c r="C196" t="s">
        <v>510</v>
      </c>
      <c r="D196">
        <f>HYPERLINK("http://www.reserveamerica.com/camping/henry-w-coe-sp/r/facilityDetails.do?contractCode=CA&amp;parkId=120109", "HENRY W COE SP")</f>
        <v>0</v>
      </c>
      <c r="E196">
        <v>37.18</v>
      </c>
      <c r="F196">
        <v>-121.55</v>
      </c>
      <c r="G196" t="s">
        <v>703</v>
      </c>
      <c r="I196" t="s">
        <v>505</v>
      </c>
      <c r="J196">
        <f>HYPERLINK("http://maps.google.com/maps?z=10&amp;t=m&amp;q=loc:37.18+-121.55", 35)</f>
        <v>0</v>
      </c>
      <c r="K196">
        <v>117</v>
      </c>
      <c r="L196">
        <v>13</v>
      </c>
      <c r="M196">
        <v>1</v>
      </c>
      <c r="N196">
        <v>12</v>
      </c>
      <c r="O196">
        <v>12</v>
      </c>
    </row>
    <row r="197" spans="1:15">
      <c r="A197" s="1" t="s">
        <v>209</v>
      </c>
      <c r="B197" t="s">
        <v>507</v>
      </c>
      <c r="C197" t="s">
        <v>511</v>
      </c>
      <c r="D197">
        <f>HYPERLINK("http://www.reserveamerica.com/camping/hermit-gulch/r/facilityDetails.do?contractCode=CTLN&amp;parkId=940012", "HERMIT GULCH")</f>
        <v>0</v>
      </c>
      <c r="E197">
        <v>33.3311111</v>
      </c>
      <c r="F197">
        <v>-118.3488889</v>
      </c>
      <c r="G197" t="s">
        <v>704</v>
      </c>
      <c r="I197" t="s">
        <v>505</v>
      </c>
      <c r="J197">
        <f>HYPERLINK("http://maps.google.com/maps?z=10&amp;t=m&amp;q=loc:33.3311111+-118.3488889", 548)</f>
        <v>0</v>
      </c>
      <c r="K197">
        <v>142</v>
      </c>
      <c r="L197">
        <v>37</v>
      </c>
      <c r="M197">
        <v>0</v>
      </c>
      <c r="N197">
        <v>37</v>
      </c>
      <c r="O197">
        <v>37</v>
      </c>
    </row>
    <row r="198" spans="1:15">
      <c r="A198" s="1" t="s">
        <v>210</v>
      </c>
      <c r="B198" t="s">
        <v>504</v>
      </c>
      <c r="C198" t="s">
        <v>509</v>
      </c>
      <c r="D198">
        <f>HYPERLINK("http://www.reserveamerica.com/camping/hidden-view/r/facilityDetails.do?contractCode=NRSO&amp;parkId=73203", "HIDDEN VIEW")</f>
        <v>0</v>
      </c>
      <c r="E198">
        <v>37.1247222</v>
      </c>
      <c r="F198">
        <v>-119.8972222</v>
      </c>
      <c r="G198" t="s">
        <v>705</v>
      </c>
      <c r="I198" t="s">
        <v>505</v>
      </c>
      <c r="J198">
        <f>HYPERLINK("http://maps.google.com/maps?z=10&amp;t=m&amp;q=loc:37.1247222+-119.8972222", 179)</f>
        <v>0</v>
      </c>
      <c r="K198">
        <v>96</v>
      </c>
      <c r="L198">
        <v>52</v>
      </c>
      <c r="M198">
        <v>1</v>
      </c>
      <c r="N198">
        <v>51</v>
      </c>
      <c r="O198">
        <v>51</v>
      </c>
    </row>
    <row r="199" spans="1:15">
      <c r="A199" s="1" t="s">
        <v>211</v>
      </c>
      <c r="B199" t="s">
        <v>504</v>
      </c>
      <c r="C199" t="s">
        <v>509</v>
      </c>
      <c r="D199">
        <f>HYPERLINK("http://www.reserveamerica.com/camping/hirz-bay/r/facilityDetails.do?contractCode=NRSO&amp;parkId=71523", "HIRZ BAY")</f>
        <v>0</v>
      </c>
      <c r="E199">
        <v>40.8666667</v>
      </c>
      <c r="F199">
        <v>-122.2530556</v>
      </c>
      <c r="G199" t="s">
        <v>706</v>
      </c>
      <c r="I199" t="s">
        <v>505</v>
      </c>
      <c r="J199">
        <f>HYPERLINK("http://maps.google.com/maps?z=10&amp;t=m&amp;q=loc:40.8666667+-122.2530556", 394)</f>
        <v>0</v>
      </c>
      <c r="K199">
        <v>355</v>
      </c>
      <c r="L199">
        <v>0</v>
      </c>
      <c r="M199">
        <v>0</v>
      </c>
      <c r="N199">
        <v>0</v>
      </c>
      <c r="O199">
        <v>0</v>
      </c>
    </row>
    <row r="200" spans="1:15">
      <c r="A200" s="1" t="s">
        <v>212</v>
      </c>
      <c r="B200" t="s">
        <v>504</v>
      </c>
      <c r="C200" t="s">
        <v>509</v>
      </c>
      <c r="D200">
        <f>HYPERLINK("http://www.reserveamerica.com/camping/hirz-bay-group-1/r/facilityDetails.do?contractCode=NRSO&amp;parkId=71927", "HIRZ BAY GROUP 1")</f>
        <v>0</v>
      </c>
      <c r="E200">
        <v>40.8666667</v>
      </c>
      <c r="F200">
        <v>-122.2530556</v>
      </c>
      <c r="G200" t="s">
        <v>707</v>
      </c>
      <c r="I200" t="s">
        <v>505</v>
      </c>
      <c r="J200">
        <f>HYPERLINK("http://maps.google.com/maps?z=10&amp;t=m&amp;q=loc:40.8666667+-122.2530556", 394)</f>
        <v>0</v>
      </c>
      <c r="K200">
        <v>355</v>
      </c>
      <c r="L200">
        <v>1</v>
      </c>
      <c r="M200">
        <v>0</v>
      </c>
      <c r="N200">
        <v>1</v>
      </c>
      <c r="O200">
        <v>1</v>
      </c>
    </row>
    <row r="201" spans="1:15">
      <c r="A201" s="1" t="s">
        <v>213</v>
      </c>
      <c r="B201" t="s">
        <v>504</v>
      </c>
      <c r="C201" t="s">
        <v>509</v>
      </c>
      <c r="D201">
        <f>HYPERLINK("http://www.reserveamerica.com/camping/hirz-bay-group-2/r/facilityDetails.do?contractCode=NRSO&amp;parkId=71928", "HIRZ BAY GROUP 2")</f>
        <v>0</v>
      </c>
      <c r="E201">
        <v>40.8666667</v>
      </c>
      <c r="F201">
        <v>-122.2530556</v>
      </c>
      <c r="G201" t="s">
        <v>708</v>
      </c>
      <c r="I201" t="s">
        <v>505</v>
      </c>
      <c r="J201">
        <f>HYPERLINK("http://maps.google.com/maps?z=10&amp;t=m&amp;q=loc:40.8666667+-122.2530556", 394)</f>
        <v>0</v>
      </c>
      <c r="K201">
        <v>355</v>
      </c>
      <c r="L201">
        <v>1</v>
      </c>
      <c r="M201">
        <v>0</v>
      </c>
      <c r="N201">
        <v>1</v>
      </c>
      <c r="O201">
        <v>1</v>
      </c>
    </row>
    <row r="202" spans="1:15">
      <c r="A202" s="1" t="s">
        <v>214</v>
      </c>
      <c r="B202" t="s">
        <v>504</v>
      </c>
      <c r="C202" t="s">
        <v>509</v>
      </c>
      <c r="D202">
        <f>HYPERLINK("http://www.reserveamerica.com/camping/hodgdon-meadow/r/facilityDetails.do?contractCode=NRSO&amp;parkId=70929", "HODGDON MEADOW")</f>
        <v>0</v>
      </c>
      <c r="E202">
        <v>37.7988889</v>
      </c>
      <c r="F202">
        <v>-119.8658333</v>
      </c>
      <c r="G202" t="s">
        <v>709</v>
      </c>
      <c r="I202" t="s">
        <v>505</v>
      </c>
      <c r="J202">
        <f>HYPERLINK("http://maps.google.com/maps?z=10&amp;t=m&amp;q=loc:37.7988889+-119.8658333", 187)</f>
        <v>0</v>
      </c>
      <c r="K202">
        <v>73</v>
      </c>
      <c r="L202">
        <v>0</v>
      </c>
      <c r="M202">
        <v>0</v>
      </c>
      <c r="N202">
        <v>0</v>
      </c>
      <c r="O202">
        <v>0</v>
      </c>
    </row>
    <row r="203" spans="1:15">
      <c r="A203" s="1" t="s">
        <v>215</v>
      </c>
      <c r="B203" t="s">
        <v>504</v>
      </c>
      <c r="C203" t="s">
        <v>509</v>
      </c>
      <c r="D203">
        <f>HYPERLINK("http://www.reserveamerica.com/camping/holey-meadow/r/facilityDetails.do?contractCode=NRSO&amp;parkId=71606", "HOLEY MEADOW")</f>
        <v>0</v>
      </c>
      <c r="E203">
        <v>35.9541667</v>
      </c>
      <c r="F203">
        <v>-118.6180556</v>
      </c>
      <c r="G203" t="s">
        <v>710</v>
      </c>
      <c r="I203" t="s">
        <v>505</v>
      </c>
      <c r="J203">
        <f>HYPERLINK("http://maps.google.com/maps?z=10&amp;t=m&amp;q=loc:35.9541667+-118.6180556", 330)</f>
        <v>0</v>
      </c>
      <c r="K203">
        <v>116</v>
      </c>
      <c r="L203">
        <v>9</v>
      </c>
      <c r="M203">
        <v>0</v>
      </c>
      <c r="N203">
        <v>9</v>
      </c>
      <c r="O203">
        <v>9</v>
      </c>
    </row>
    <row r="204" spans="1:15">
      <c r="A204" s="1" t="s">
        <v>216</v>
      </c>
      <c r="B204" t="s">
        <v>504</v>
      </c>
      <c r="C204" t="s">
        <v>509</v>
      </c>
      <c r="D204">
        <f>HYPERLINK("http://www.reserveamerica.com/camping/holiday-group-campground/r/facilityDetails.do?contractCode=NRSO&amp;parkId=70687", "HOLIDAY GROUP CAMPGROUND")</f>
        <v>0</v>
      </c>
      <c r="E204">
        <v>34.5172222</v>
      </c>
      <c r="F204">
        <v>-119.2769444</v>
      </c>
      <c r="G204" t="s">
        <v>711</v>
      </c>
      <c r="I204" t="s">
        <v>505</v>
      </c>
      <c r="J204">
        <f>HYPERLINK("http://maps.google.com/maps?z=10&amp;t=m&amp;q=loc:34.5172222+-119.2769444", 391)</f>
        <v>0</v>
      </c>
      <c r="K204">
        <v>142</v>
      </c>
      <c r="L204">
        <v>0</v>
      </c>
      <c r="M204">
        <v>0</v>
      </c>
      <c r="N204">
        <v>0</v>
      </c>
      <c r="O204">
        <v>0</v>
      </c>
    </row>
    <row r="205" spans="1:15">
      <c r="A205" s="1" t="s">
        <v>217</v>
      </c>
      <c r="B205" t="s">
        <v>504</v>
      </c>
      <c r="C205" t="s">
        <v>509</v>
      </c>
      <c r="D205">
        <f>HYPERLINK("http://www.reserveamerica.com/camping/honeymoon-flat/r/facilityDetails.do?contractCode=NRSO&amp;parkId=70280", "HONEYMOON FLAT")</f>
        <v>0</v>
      </c>
      <c r="E205">
        <v>38.2013889</v>
      </c>
      <c r="F205">
        <v>-119.32</v>
      </c>
      <c r="G205" t="s">
        <v>712</v>
      </c>
      <c r="I205" t="s">
        <v>505</v>
      </c>
      <c r="J205">
        <f>HYPERLINK("http://maps.google.com/maps?z=10&amp;t=m&amp;q=loc:38.2013889+-119.32", 247)</f>
        <v>0</v>
      </c>
      <c r="K205">
        <v>66</v>
      </c>
      <c r="L205">
        <v>0</v>
      </c>
      <c r="M205">
        <v>0</v>
      </c>
      <c r="N205">
        <v>0</v>
      </c>
      <c r="O205">
        <v>0</v>
      </c>
    </row>
    <row r="206" spans="1:15">
      <c r="A206" s="1" t="s">
        <v>218</v>
      </c>
      <c r="B206" t="s">
        <v>504</v>
      </c>
      <c r="C206" t="s">
        <v>509</v>
      </c>
      <c r="D206">
        <f>HYPERLINK("http://www.reserveamerica.com/camping/hope-valley/r/facilityDetails.do?contractCode=NRSO&amp;parkId=70458", "HOPE VALLEY")</f>
        <v>0</v>
      </c>
      <c r="E206">
        <v>38.8972778</v>
      </c>
      <c r="F206">
        <v>-119.930125</v>
      </c>
      <c r="G206" t="s">
        <v>713</v>
      </c>
      <c r="H206" t="s">
        <v>997</v>
      </c>
      <c r="I206" t="s">
        <v>505</v>
      </c>
      <c r="J206">
        <f>HYPERLINK("http://maps.google.com/maps?z=10&amp;t=m&amp;q=loc:38.8972778+-119.930125", 245)</f>
        <v>0</v>
      </c>
      <c r="K206">
        <v>44</v>
      </c>
      <c r="L206">
        <v>0</v>
      </c>
      <c r="M206">
        <v>0</v>
      </c>
      <c r="N206">
        <v>0</v>
      </c>
      <c r="O206">
        <v>0</v>
      </c>
    </row>
    <row r="207" spans="1:15">
      <c r="A207" s="1" t="s">
        <v>219</v>
      </c>
      <c r="B207" t="s">
        <v>504</v>
      </c>
      <c r="C207" t="s">
        <v>509</v>
      </c>
      <c r="D207">
        <f>HYPERLINK("http://www.reserveamerica.com/camping/horse-creek/r/facilityDetails.do?contractCode=NRSO&amp;parkId=73511", "HORSE CREEK")</f>
        <v>0</v>
      </c>
      <c r="E207">
        <v>36.3905556</v>
      </c>
      <c r="F207">
        <v>-118.9547222</v>
      </c>
      <c r="G207" t="s">
        <v>714</v>
      </c>
      <c r="I207" t="s">
        <v>505</v>
      </c>
      <c r="J207">
        <f>HYPERLINK("http://maps.google.com/maps?z=10&amp;t=m&amp;q=loc:36.3905556+-118.9547222", 282)</f>
        <v>0</v>
      </c>
      <c r="K207">
        <v>110</v>
      </c>
      <c r="L207">
        <v>19</v>
      </c>
      <c r="M207">
        <v>0</v>
      </c>
      <c r="N207">
        <v>19</v>
      </c>
      <c r="O207">
        <v>19</v>
      </c>
    </row>
    <row r="208" spans="1:15">
      <c r="A208" s="1" t="s">
        <v>220</v>
      </c>
      <c r="B208" t="s">
        <v>504</v>
      </c>
      <c r="C208" t="s">
        <v>509</v>
      </c>
      <c r="D208">
        <f>HYPERLINK("http://www.reserveamerica.com/camping/horse-heaven-group/r/facilityDetails.do?contractCode=NRSO&amp;parkId=70149", "HORSE HEAVEN GROUP")</f>
        <v>0</v>
      </c>
      <c r="E208">
        <v>32.8875</v>
      </c>
      <c r="F208">
        <v>-116.4408333</v>
      </c>
      <c r="G208" t="s">
        <v>715</v>
      </c>
      <c r="I208" t="s">
        <v>505</v>
      </c>
      <c r="J208">
        <f>HYPERLINK("http://maps.google.com/maps?z=10&amp;t=m&amp;q=loc:32.8875+-116.4408333", 699)</f>
        <v>0</v>
      </c>
      <c r="K208">
        <v>133</v>
      </c>
      <c r="L208">
        <v>0</v>
      </c>
      <c r="M208">
        <v>0</v>
      </c>
      <c r="N208">
        <v>0</v>
      </c>
      <c r="O208">
        <v>0</v>
      </c>
    </row>
    <row r="209" spans="1:15">
      <c r="A209" s="1" t="s">
        <v>221</v>
      </c>
      <c r="B209" t="s">
        <v>504</v>
      </c>
      <c r="C209" t="s">
        <v>509</v>
      </c>
      <c r="D209">
        <f>HYPERLINK("http://www.reserveamerica.com/camping/hospital-flat/r/facilityDetails.do?contractCode=NRSO&amp;parkId=71595", "HOSPITAL FLAT")</f>
        <v>0</v>
      </c>
      <c r="E209">
        <v>35.8286111</v>
      </c>
      <c r="F209">
        <v>-118.4577778</v>
      </c>
      <c r="G209" t="s">
        <v>716</v>
      </c>
      <c r="I209" t="s">
        <v>505</v>
      </c>
      <c r="J209">
        <f>HYPERLINK("http://maps.google.com/maps?z=10&amp;t=m&amp;q=loc:35.8286111+-118.4577778", 349)</f>
        <v>0</v>
      </c>
      <c r="K209">
        <v>117</v>
      </c>
      <c r="L209">
        <v>0</v>
      </c>
      <c r="M209">
        <v>0</v>
      </c>
      <c r="N209">
        <v>0</v>
      </c>
      <c r="O209">
        <v>0</v>
      </c>
    </row>
    <row r="210" spans="1:15">
      <c r="A210" s="1" t="s">
        <v>222</v>
      </c>
      <c r="B210" t="s">
        <v>505</v>
      </c>
      <c r="C210" t="s">
        <v>510</v>
      </c>
      <c r="D210">
        <f>HYPERLINK("http://www.reserveamerica.com/camping/humboldt-redwoods-sp/r/facilityDetails.do?contractCode=CA&amp;parkId=120042", "HUMBOLDT REDWOODS SP")</f>
        <v>0</v>
      </c>
      <c r="E210">
        <v>40.3144444</v>
      </c>
      <c r="F210">
        <v>-123.915</v>
      </c>
      <c r="G210" t="s">
        <v>717</v>
      </c>
      <c r="I210" t="s">
        <v>505</v>
      </c>
      <c r="J210">
        <f>HYPERLINK("http://maps.google.com/maps?z=10&amp;t=m&amp;q=loc:40.3144444+-123.915", 374)</f>
        <v>0</v>
      </c>
      <c r="K210">
        <v>332</v>
      </c>
      <c r="L210">
        <v>18</v>
      </c>
      <c r="M210">
        <v>2</v>
      </c>
      <c r="N210">
        <v>16</v>
      </c>
      <c r="O210">
        <v>16</v>
      </c>
    </row>
    <row r="211" spans="1:15">
      <c r="A211" s="1" t="s">
        <v>223</v>
      </c>
      <c r="B211" t="s">
        <v>504</v>
      </c>
      <c r="C211" t="s">
        <v>509</v>
      </c>
      <c r="D211">
        <f>HYPERLINK("http://www.reserveamerica.com/camping/hume-lake/r/facilityDetails.do?contractCode=NRSO&amp;parkId=71547", "HUME LAKE")</f>
        <v>0</v>
      </c>
      <c r="E211">
        <v>36.7947222</v>
      </c>
      <c r="F211">
        <v>-118.9047222</v>
      </c>
      <c r="G211" t="s">
        <v>718</v>
      </c>
      <c r="I211" t="s">
        <v>505</v>
      </c>
      <c r="J211">
        <f>HYPERLINK("http://maps.google.com/maps?z=10&amp;t=m&amp;q=loc:36.7947222+-118.9047222", 272)</f>
        <v>0</v>
      </c>
      <c r="K211">
        <v>101</v>
      </c>
      <c r="L211">
        <v>51</v>
      </c>
      <c r="M211">
        <v>0</v>
      </c>
      <c r="N211">
        <v>51</v>
      </c>
      <c r="O211">
        <v>51</v>
      </c>
    </row>
    <row r="212" spans="1:15">
      <c r="A212" s="1" t="s">
        <v>224</v>
      </c>
      <c r="B212" t="s">
        <v>504</v>
      </c>
      <c r="C212" t="s">
        <v>509</v>
      </c>
      <c r="D212">
        <f>HYPERLINK("http://www.reserveamerica.com/camping/hungry-gulch/r/facilityDetails.do?contractCode=NRSO&amp;parkId=71568", "HUNGRY GULCH")</f>
        <v>0</v>
      </c>
      <c r="E212">
        <v>35.6719444</v>
      </c>
      <c r="F212">
        <v>-118.4722222</v>
      </c>
      <c r="G212" t="s">
        <v>719</v>
      </c>
      <c r="I212" t="s">
        <v>505</v>
      </c>
      <c r="J212">
        <f>HYPERLINK("http://maps.google.com/maps?z=10&amp;t=m&amp;q=loc:35.6719444+-118.4722222", 357)</f>
        <v>0</v>
      </c>
      <c r="K212">
        <v>119</v>
      </c>
      <c r="L212">
        <v>0</v>
      </c>
      <c r="M212">
        <v>0</v>
      </c>
      <c r="N212">
        <v>0</v>
      </c>
      <c r="O212">
        <v>0</v>
      </c>
    </row>
    <row r="213" spans="1:15">
      <c r="A213" s="1" t="s">
        <v>225</v>
      </c>
      <c r="B213" t="s">
        <v>504</v>
      </c>
      <c r="C213" t="s">
        <v>509</v>
      </c>
      <c r="D213">
        <f>HYPERLINK("http://www.reserveamerica.com/camping/hutchins/r/facilityDetails.do?contractCode=NRSO&amp;parkId=70561", "HUTCHINS")</f>
        <v>0</v>
      </c>
      <c r="E213">
        <v>39.8830556</v>
      </c>
      <c r="F213">
        <v>-121.1991667</v>
      </c>
      <c r="G213" t="s">
        <v>720</v>
      </c>
      <c r="I213" t="s">
        <v>505</v>
      </c>
      <c r="J213">
        <f>HYPERLINK("http://maps.google.com/maps?z=10&amp;t=m&amp;q=loc:39.8830556+-121.1991667", 290)</f>
        <v>0</v>
      </c>
      <c r="K213">
        <v>11</v>
      </c>
      <c r="L213">
        <v>0</v>
      </c>
      <c r="M213">
        <v>0</v>
      </c>
      <c r="N213">
        <v>0</v>
      </c>
      <c r="O213">
        <v>0</v>
      </c>
    </row>
    <row r="214" spans="1:15">
      <c r="A214" s="1" t="s">
        <v>226</v>
      </c>
      <c r="B214" t="s">
        <v>504</v>
      </c>
      <c r="C214" t="s">
        <v>509</v>
      </c>
      <c r="D214">
        <f>HYPERLINK("http://www.reserveamerica.com/camping/ice-house/r/facilityDetails.do?contractCode=NRSO&amp;parkId=70283", "ICE HOUSE")</f>
        <v>0</v>
      </c>
      <c r="E214">
        <v>38.8233333</v>
      </c>
      <c r="F214">
        <v>-120.3588889</v>
      </c>
      <c r="G214" t="s">
        <v>721</v>
      </c>
      <c r="I214" t="s">
        <v>505</v>
      </c>
      <c r="J214">
        <f>HYPERLINK("http://maps.google.com/maps?z=10&amp;t=m&amp;q=loc:38.8233333+-120.3588889", 214)</f>
        <v>0</v>
      </c>
      <c r="K214">
        <v>38</v>
      </c>
      <c r="L214">
        <v>0</v>
      </c>
      <c r="M214">
        <v>0</v>
      </c>
      <c r="N214">
        <v>0</v>
      </c>
      <c r="O214">
        <v>0</v>
      </c>
    </row>
    <row r="215" spans="1:15">
      <c r="A215" s="1" t="s">
        <v>227</v>
      </c>
      <c r="B215" t="s">
        <v>504</v>
      </c>
      <c r="C215" t="s">
        <v>509</v>
      </c>
      <c r="D215">
        <f>HYPERLINK("http://www.reserveamerica.com/camping/indian-cove-campground/r/facilityDetails.do?contractCode=NRSO&amp;parkId=70952", "INDIAN COVE CAMPGROUND")</f>
        <v>0</v>
      </c>
      <c r="E215">
        <v>34.12</v>
      </c>
      <c r="F215">
        <v>-116.1558333</v>
      </c>
      <c r="G215" t="s">
        <v>722</v>
      </c>
      <c r="I215" t="s">
        <v>505</v>
      </c>
      <c r="J215">
        <f>HYPERLINK("http://maps.google.com/maps?z=10&amp;t=m&amp;q=loc:34.12+-116.1558333", 629)</f>
        <v>0</v>
      </c>
      <c r="K215">
        <v>122</v>
      </c>
      <c r="L215">
        <v>0</v>
      </c>
      <c r="M215">
        <v>0</v>
      </c>
      <c r="N215">
        <v>0</v>
      </c>
      <c r="O215">
        <v>0</v>
      </c>
    </row>
    <row r="216" spans="1:15">
      <c r="A216" s="1" t="s">
        <v>228</v>
      </c>
      <c r="B216" t="s">
        <v>505</v>
      </c>
      <c r="C216" t="s">
        <v>510</v>
      </c>
      <c r="D216">
        <f>HYPERLINK("http://www.reserveamerica.com/camping/indian-grinding-rock-shp/r/facilityDetails.do?contractCode=CA&amp;parkId=120043", "INDIAN GRINDING ROCK SHP")</f>
        <v>0</v>
      </c>
      <c r="G216" t="s">
        <v>723</v>
      </c>
      <c r="I216" t="s">
        <v>505</v>
      </c>
      <c r="J216">
        <f>HYPERLINK("http://maps.google.com/maps?z=10&amp;t=m&amp;q=loc:nan+nan", 0)</f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>
      <c r="A217" s="1" t="s">
        <v>229</v>
      </c>
      <c r="B217" t="s">
        <v>504</v>
      </c>
      <c r="C217" t="s">
        <v>509</v>
      </c>
      <c r="D217">
        <f>HYPERLINK("http://www.reserveamerica.com/camping/indian-scotty-group-site/r/facilityDetails.do?contractCode=NRSO&amp;parkId=75213", "INDIAN SCOTTY GROUP SITE")</f>
        <v>0</v>
      </c>
      <c r="E217">
        <v>41.6322222</v>
      </c>
      <c r="F217">
        <v>-123.0819444</v>
      </c>
      <c r="G217" t="s">
        <v>724</v>
      </c>
      <c r="H217" t="s">
        <v>997</v>
      </c>
      <c r="I217" t="s">
        <v>505</v>
      </c>
      <c r="J217">
        <f>HYPERLINK("http://maps.google.com/maps?z=10&amp;t=m&amp;q=loc:41.6322222+-123.0819444", 488)</f>
        <v>0</v>
      </c>
      <c r="K217">
        <v>348</v>
      </c>
      <c r="L217">
        <v>1</v>
      </c>
      <c r="M217">
        <v>0</v>
      </c>
      <c r="N217">
        <v>1</v>
      </c>
      <c r="O217">
        <v>1</v>
      </c>
    </row>
    <row r="218" spans="1:15">
      <c r="A218" s="1" t="s">
        <v>230</v>
      </c>
      <c r="B218" t="s">
        <v>504</v>
      </c>
      <c r="C218" t="s">
        <v>509</v>
      </c>
      <c r="D218">
        <f>HYPERLINK("http://www.reserveamerica.com/camping/indian-springs/r/facilityDetails.do?contractCode=NRSO&amp;parkId=75486", "INDIAN SPRINGS")</f>
        <v>0</v>
      </c>
      <c r="E218">
        <v>39.3293389</v>
      </c>
      <c r="F218">
        <v>-120.5694306</v>
      </c>
      <c r="G218" t="s">
        <v>725</v>
      </c>
      <c r="I218" t="s">
        <v>505</v>
      </c>
      <c r="J218">
        <f>HYPERLINK("http://maps.google.com/maps?z=10&amp;t=m&amp;q=loc:39.3293389+-120.5694306", 251)</f>
        <v>0</v>
      </c>
      <c r="K218">
        <v>27</v>
      </c>
      <c r="L218">
        <v>25</v>
      </c>
      <c r="M218">
        <v>0</v>
      </c>
      <c r="N218">
        <v>25</v>
      </c>
      <c r="O218">
        <v>25</v>
      </c>
    </row>
    <row r="219" spans="1:15">
      <c r="A219" s="1" t="s">
        <v>231</v>
      </c>
      <c r="B219" t="s">
        <v>504</v>
      </c>
      <c r="C219" t="s">
        <v>509</v>
      </c>
      <c r="D219">
        <f>HYPERLINK("http://www.reserveamerica.com/camping/indian-valley/r/facilityDetails.do?contractCode=NRSO&amp;parkId=75438", "INDIAN VALLEY")</f>
        <v>0</v>
      </c>
      <c r="E219">
        <v>39.5133333</v>
      </c>
      <c r="F219">
        <v>-120.9833333</v>
      </c>
      <c r="G219" t="s">
        <v>726</v>
      </c>
      <c r="I219" t="s">
        <v>505</v>
      </c>
      <c r="J219">
        <f>HYPERLINK("http://maps.google.com/maps?z=10&amp;t=m&amp;q=loc:39.5133333+-120.9833333", 255)</f>
        <v>0</v>
      </c>
      <c r="K219">
        <v>18</v>
      </c>
      <c r="L219">
        <v>0</v>
      </c>
      <c r="M219">
        <v>0</v>
      </c>
      <c r="N219">
        <v>0</v>
      </c>
      <c r="O219">
        <v>0</v>
      </c>
    </row>
    <row r="220" spans="1:15">
      <c r="A220" s="1" t="s">
        <v>232</v>
      </c>
      <c r="B220" t="s">
        <v>504</v>
      </c>
      <c r="C220" t="s">
        <v>509</v>
      </c>
      <c r="D220">
        <f>HYPERLINK("http://www.reserveamerica.com/camping/ironwood-group-camp/r/facilityDetails.do?contractCode=NRSO&amp;parkId=70176", "IRONWOOD GROUP CAMP")</f>
        <v>0</v>
      </c>
      <c r="E220">
        <v>34.3038889</v>
      </c>
      <c r="F220">
        <v>-117.0119444</v>
      </c>
      <c r="G220" t="s">
        <v>727</v>
      </c>
      <c r="I220" t="s">
        <v>505</v>
      </c>
      <c r="J220">
        <f>HYPERLINK("http://maps.google.com/maps?z=10&amp;t=m&amp;q=loc:34.3038889+-117.0119444", 554)</f>
        <v>0</v>
      </c>
      <c r="K220">
        <v>125</v>
      </c>
      <c r="L220">
        <v>1</v>
      </c>
      <c r="M220">
        <v>0</v>
      </c>
      <c r="N220">
        <v>1</v>
      </c>
      <c r="O220">
        <v>1</v>
      </c>
    </row>
    <row r="221" spans="1:15">
      <c r="A221" s="1" t="s">
        <v>233</v>
      </c>
      <c r="B221" t="s">
        <v>504</v>
      </c>
      <c r="C221" t="s">
        <v>509</v>
      </c>
      <c r="D221">
        <f>HYPERLINK("http://www.reserveamerica.com/camping/island-park/r/facilityDetails.do?contractCode=NRSO&amp;parkId=73223", "ISLAND PARK")</f>
        <v>0</v>
      </c>
      <c r="E221">
        <v>36.8646444</v>
      </c>
      <c r="F221">
        <v>-119.3157278</v>
      </c>
      <c r="G221" t="s">
        <v>728</v>
      </c>
      <c r="I221" t="s">
        <v>505</v>
      </c>
      <c r="J221">
        <f>HYPERLINK("http://maps.google.com/maps?z=10&amp;t=m&amp;q=loc:36.8646444+-119.3157278", 235)</f>
        <v>0</v>
      </c>
      <c r="K221">
        <v>101</v>
      </c>
      <c r="L221">
        <v>1</v>
      </c>
      <c r="M221">
        <v>0</v>
      </c>
      <c r="N221">
        <v>1</v>
      </c>
      <c r="O221">
        <v>1</v>
      </c>
    </row>
    <row r="222" spans="1:15">
      <c r="A222" s="1" t="s">
        <v>234</v>
      </c>
      <c r="B222" t="s">
        <v>504</v>
      </c>
      <c r="C222" t="s">
        <v>509</v>
      </c>
      <c r="D222">
        <f>HYPERLINK("http://www.reserveamerica.com/camping/jackass-meadow/r/facilityDetails.do?contractCode=NRSO&amp;parkId=71581", "JACKASS MEADOW")</f>
        <v>0</v>
      </c>
      <c r="E222">
        <v>37.2797222</v>
      </c>
      <c r="F222">
        <v>-118.9636111</v>
      </c>
      <c r="G222" t="s">
        <v>729</v>
      </c>
      <c r="I222" t="s">
        <v>505</v>
      </c>
      <c r="J222">
        <f>HYPERLINK("http://maps.google.com/maps?z=10&amp;t=m&amp;q=loc:37.2797222+-118.9636111", 260)</f>
        <v>0</v>
      </c>
      <c r="K222">
        <v>90</v>
      </c>
      <c r="L222">
        <v>38</v>
      </c>
      <c r="M222">
        <v>0</v>
      </c>
      <c r="N222">
        <v>38</v>
      </c>
      <c r="O222">
        <v>38</v>
      </c>
    </row>
    <row r="223" spans="1:15">
      <c r="A223" s="1" t="s">
        <v>235</v>
      </c>
      <c r="B223" t="s">
        <v>504</v>
      </c>
      <c r="C223" t="s">
        <v>509</v>
      </c>
      <c r="D223">
        <f>HYPERLINK("http://www.reserveamerica.com/camping/jackson-flats/r/facilityDetails.do?contractCode=NRSO&amp;parkId=73582", "JACKSON FLATS")</f>
        <v>0</v>
      </c>
      <c r="E223">
        <v>34.3608333</v>
      </c>
      <c r="F223">
        <v>-117.7991667</v>
      </c>
      <c r="G223" t="s">
        <v>730</v>
      </c>
      <c r="I223" t="s">
        <v>505</v>
      </c>
      <c r="J223">
        <f>HYPERLINK("http://maps.google.com/maps?z=10&amp;t=m&amp;q=loc:34.3608333+-117.7991667", 495)</f>
        <v>0</v>
      </c>
      <c r="K223">
        <v>130</v>
      </c>
      <c r="L223">
        <v>0</v>
      </c>
      <c r="M223">
        <v>0</v>
      </c>
      <c r="N223">
        <v>0</v>
      </c>
      <c r="O223">
        <v>0</v>
      </c>
    </row>
    <row r="224" spans="1:15">
      <c r="A224" s="1" t="s">
        <v>236</v>
      </c>
      <c r="B224" t="s">
        <v>505</v>
      </c>
      <c r="C224" t="s">
        <v>510</v>
      </c>
      <c r="D224">
        <f>HYPERLINK("http://www.reserveamerica.com/camping/jedediah-smith-redwoods-sp/r/facilityDetails.do?contractCode=CA&amp;parkId=120044", "JEDEDIAH SMITH REDWOODS SP")</f>
        <v>0</v>
      </c>
      <c r="E224">
        <v>41.7816667</v>
      </c>
      <c r="F224">
        <v>-124.1008333</v>
      </c>
      <c r="G224" t="s">
        <v>731</v>
      </c>
      <c r="I224" t="s">
        <v>505</v>
      </c>
      <c r="J224">
        <f>HYPERLINK("http://maps.google.com/maps?z=10&amp;t=m&amp;q=loc:41.7816667+-124.1008333", 529)</f>
        <v>0</v>
      </c>
      <c r="K224">
        <v>339</v>
      </c>
      <c r="L224">
        <v>31</v>
      </c>
      <c r="M224">
        <v>6</v>
      </c>
      <c r="N224">
        <v>25</v>
      </c>
      <c r="O224">
        <v>25</v>
      </c>
    </row>
    <row r="225" spans="1:15">
      <c r="A225" s="1" t="s">
        <v>237</v>
      </c>
      <c r="B225" t="s">
        <v>504</v>
      </c>
      <c r="C225" t="s">
        <v>509</v>
      </c>
      <c r="E225">
        <v>41.8161111</v>
      </c>
      <c r="F225">
        <v>-122.1216667</v>
      </c>
      <c r="G225" t="s">
        <v>732</v>
      </c>
      <c r="H225" t="s">
        <v>998</v>
      </c>
      <c r="I225" t="s">
        <v>505</v>
      </c>
      <c r="J225">
        <f>HYPERLINK("http://maps.google.com/maps?z=10&amp;t=m&amp;q=loc:41.8161111+-122.1216667", 499)</f>
        <v>0</v>
      </c>
      <c r="K225">
        <v>357</v>
      </c>
      <c r="L225">
        <v>0</v>
      </c>
      <c r="M225">
        <v>0</v>
      </c>
      <c r="N225">
        <v>0</v>
      </c>
      <c r="O225">
        <v>0</v>
      </c>
    </row>
    <row r="226" spans="1:15">
      <c r="A226" s="1" t="s">
        <v>238</v>
      </c>
      <c r="B226" t="s">
        <v>505</v>
      </c>
      <c r="C226" t="s">
        <v>510</v>
      </c>
      <c r="D226">
        <f>HYPERLINK("http://www.reserveamerica.com/camping/julia-pfeiffer-burns-sp/r/facilityDetails.do?contractCode=CA&amp;parkId=120045", "JULIA PFEIFFER BURNS SP")</f>
        <v>0</v>
      </c>
      <c r="E226">
        <v>36.1711111</v>
      </c>
      <c r="F226">
        <v>-121.6722222</v>
      </c>
      <c r="G226" t="s">
        <v>733</v>
      </c>
      <c r="I226" t="s">
        <v>505</v>
      </c>
      <c r="J226">
        <f>HYPERLINK("http://maps.google.com/maps?z=10&amp;t=m&amp;q=loc:36.1711111+-121.6722222", 130)</f>
        <v>0</v>
      </c>
      <c r="K226">
        <v>170</v>
      </c>
      <c r="L226">
        <v>0</v>
      </c>
      <c r="M226">
        <v>0</v>
      </c>
      <c r="N226">
        <v>0</v>
      </c>
      <c r="O226">
        <v>0</v>
      </c>
    </row>
    <row r="227" spans="1:15">
      <c r="A227" s="1" t="s">
        <v>239</v>
      </c>
      <c r="B227" t="s">
        <v>504</v>
      </c>
      <c r="C227" t="s">
        <v>509</v>
      </c>
      <c r="D227">
        <f>HYPERLINK("http://www.reserveamerica.com/camping/june-lake/r/facilityDetails.do?contractCode=NRSO&amp;parkId=70564", "JUNE LAKE")</f>
        <v>0</v>
      </c>
      <c r="E227">
        <v>37.7819444</v>
      </c>
      <c r="F227">
        <v>-119.0738889</v>
      </c>
      <c r="G227" t="s">
        <v>734</v>
      </c>
      <c r="I227" t="s">
        <v>505</v>
      </c>
      <c r="J227">
        <f>HYPERLINK("http://maps.google.com/maps?z=10&amp;t=m&amp;q=loc:37.7819444+-119.0738889", 254)</f>
        <v>0</v>
      </c>
      <c r="K227">
        <v>77</v>
      </c>
      <c r="L227">
        <v>0</v>
      </c>
      <c r="M227">
        <v>0</v>
      </c>
      <c r="N227">
        <v>0</v>
      </c>
      <c r="O227">
        <v>0</v>
      </c>
    </row>
    <row r="228" spans="1:15">
      <c r="A228" s="1" t="s">
        <v>240</v>
      </c>
      <c r="B228" t="s">
        <v>504</v>
      </c>
      <c r="C228" t="s">
        <v>509</v>
      </c>
      <c r="E228">
        <v>40.4511111</v>
      </c>
      <c r="F228">
        <v>-121.2958333</v>
      </c>
      <c r="G228" t="s">
        <v>735</v>
      </c>
      <c r="I228" t="s">
        <v>505</v>
      </c>
      <c r="J228">
        <f>HYPERLINK("http://maps.google.com/maps?z=10&amp;t=m&amp;q=loc:40.4511111+-121.2958333", 351)</f>
        <v>0</v>
      </c>
      <c r="K228">
        <v>8</v>
      </c>
      <c r="L228">
        <v>0</v>
      </c>
      <c r="M228">
        <v>0</v>
      </c>
      <c r="N228">
        <v>0</v>
      </c>
      <c r="O228">
        <v>0</v>
      </c>
    </row>
    <row r="229" spans="1:15">
      <c r="A229" s="1" t="s">
        <v>241</v>
      </c>
      <c r="B229" t="s">
        <v>504</v>
      </c>
      <c r="C229" t="s">
        <v>509</v>
      </c>
      <c r="D229">
        <f>HYPERLINK("http://www.reserveamerica.com/camping/juniper-springs-group-camp/r/facilityDetails.do?contractCode=NRSO&amp;parkId=70177", "JUNIPER SPRINGS GROUP CAMP")</f>
        <v>0</v>
      </c>
      <c r="E229">
        <v>34.2197222</v>
      </c>
      <c r="F229">
        <v>-116.7163889</v>
      </c>
      <c r="G229" t="s">
        <v>736</v>
      </c>
      <c r="I229" t="s">
        <v>505</v>
      </c>
      <c r="J229">
        <f>HYPERLINK("http://maps.google.com/maps?z=10&amp;t=m&amp;q=loc:34.2197222+-116.7163889", 581)</f>
        <v>0</v>
      </c>
      <c r="K229">
        <v>124</v>
      </c>
      <c r="L229">
        <v>1</v>
      </c>
      <c r="M229">
        <v>0</v>
      </c>
      <c r="N229">
        <v>1</v>
      </c>
      <c r="O229">
        <v>1</v>
      </c>
    </row>
    <row r="230" spans="1:15">
      <c r="A230" s="1" t="s">
        <v>242</v>
      </c>
      <c r="B230" t="s">
        <v>504</v>
      </c>
      <c r="C230" t="s">
        <v>509</v>
      </c>
      <c r="D230">
        <f>HYPERLINK("http://www.reserveamerica.com/camping/kaspian-campground/r/facilityDetails.do?contractCode=NRSO&amp;parkId=71663", "KASPIAN CAMPGROUND")</f>
        <v>0</v>
      </c>
      <c r="E230">
        <v>39.1144444</v>
      </c>
      <c r="F230">
        <v>-120.1586111</v>
      </c>
      <c r="G230" t="s">
        <v>737</v>
      </c>
      <c r="I230" t="s">
        <v>505</v>
      </c>
      <c r="J230">
        <f>HYPERLINK("http://maps.google.com/maps?z=10&amp;t=m&amp;q=loc:39.1144444+-120.1586111", 250)</f>
        <v>0</v>
      </c>
      <c r="K230">
        <v>37</v>
      </c>
      <c r="L230">
        <v>1</v>
      </c>
      <c r="M230">
        <v>1</v>
      </c>
      <c r="N230">
        <v>0</v>
      </c>
      <c r="O230">
        <v>0</v>
      </c>
    </row>
    <row r="231" spans="1:15">
      <c r="A231" s="1" t="s">
        <v>243</v>
      </c>
      <c r="B231" t="s">
        <v>504</v>
      </c>
      <c r="C231" t="s">
        <v>509</v>
      </c>
      <c r="D231">
        <f>HYPERLINK("http://www.reserveamerica.com/camping/kelty-meadow/r/facilityDetails.do?contractCode=NRSO&amp;parkId=71668", "KELTY MEADOW")</f>
        <v>0</v>
      </c>
      <c r="E231">
        <v>37.4402778</v>
      </c>
      <c r="F231">
        <v>-119.5438889</v>
      </c>
      <c r="G231" t="s">
        <v>738</v>
      </c>
      <c r="I231" t="s">
        <v>505</v>
      </c>
      <c r="J231">
        <f>HYPERLINK("http://maps.google.com/maps?z=10&amp;t=m&amp;q=loc:37.4402778+-119.5438889", 208)</f>
        <v>0</v>
      </c>
      <c r="K231">
        <v>85</v>
      </c>
      <c r="L231">
        <v>7</v>
      </c>
      <c r="M231">
        <v>0</v>
      </c>
      <c r="N231">
        <v>7</v>
      </c>
      <c r="O231">
        <v>7</v>
      </c>
    </row>
    <row r="232" spans="1:15">
      <c r="A232" s="1" t="s">
        <v>244</v>
      </c>
      <c r="B232" t="s">
        <v>504</v>
      </c>
      <c r="C232" t="s">
        <v>509</v>
      </c>
      <c r="D232">
        <f>HYPERLINK("http://www.reserveamerica.com/camping/kinnikinnick/r/facilityDetails.do?contractCode=NRSO&amp;parkId=71592", "KINNIKINNICK")</f>
        <v>0</v>
      </c>
      <c r="E232">
        <v>37.2527778</v>
      </c>
      <c r="F232">
        <v>-119.1777778</v>
      </c>
      <c r="G232" t="s">
        <v>739</v>
      </c>
      <c r="I232" t="s">
        <v>505</v>
      </c>
      <c r="J232">
        <f>HYPERLINK("http://maps.google.com/maps?z=10&amp;t=m&amp;q=loc:37.2527778+-119.1777778", 241)</f>
        <v>0</v>
      </c>
      <c r="K232">
        <v>91</v>
      </c>
      <c r="L232">
        <v>0</v>
      </c>
      <c r="M232">
        <v>0</v>
      </c>
      <c r="N232">
        <v>0</v>
      </c>
      <c r="O232">
        <v>0</v>
      </c>
    </row>
    <row r="233" spans="1:15">
      <c r="A233" s="1" t="s">
        <v>245</v>
      </c>
      <c r="B233" t="s">
        <v>504</v>
      </c>
      <c r="C233" t="s">
        <v>509</v>
      </c>
      <c r="D233">
        <f>HYPERLINK("http://www.reserveamerica.com/camping/kirby-cove-campground/r/facilityDetails.do?contractCode=NRSO&amp;parkId=70972", "KIRBY COVE CAMPGROUND")</f>
        <v>0</v>
      </c>
      <c r="E233">
        <v>37.84035</v>
      </c>
      <c r="F233">
        <v>-122.4888889</v>
      </c>
      <c r="G233" t="s">
        <v>740</v>
      </c>
      <c r="H233" t="s">
        <v>999</v>
      </c>
      <c r="I233" t="s">
        <v>505</v>
      </c>
      <c r="J233">
        <f>HYPERLINK("http://maps.google.com/maps?z=10&amp;t=m&amp;q=loc:37.84035+-122.4888889", 76)</f>
        <v>0</v>
      </c>
      <c r="K233">
        <v>318</v>
      </c>
      <c r="L233">
        <v>0</v>
      </c>
      <c r="M233">
        <v>0</v>
      </c>
      <c r="N233">
        <v>0</v>
      </c>
      <c r="O233">
        <v>0</v>
      </c>
    </row>
    <row r="234" spans="1:15">
      <c r="A234" s="1" t="s">
        <v>246</v>
      </c>
      <c r="B234" t="s">
        <v>504</v>
      </c>
      <c r="C234" t="s">
        <v>509</v>
      </c>
      <c r="D234">
        <f>HYPERLINK("http://www.reserveamerica.com/camping/kirk-creek-campground/r/facilityDetails.do?contractCode=NRSO&amp;parkId=71993", "KIRK CREEK CAMPGROUND")</f>
        <v>0</v>
      </c>
      <c r="E234">
        <v>35.9916667</v>
      </c>
      <c r="F234">
        <v>-121.4941667</v>
      </c>
      <c r="G234" t="s">
        <v>741</v>
      </c>
      <c r="I234" t="s">
        <v>505</v>
      </c>
      <c r="J234">
        <f>HYPERLINK("http://maps.google.com/maps?z=10&amp;t=m&amp;q=loc:35.9916667+-121.4941667", 152)</f>
        <v>0</v>
      </c>
      <c r="K234">
        <v>165</v>
      </c>
      <c r="L234">
        <v>0</v>
      </c>
      <c r="M234">
        <v>0</v>
      </c>
      <c r="N234">
        <v>0</v>
      </c>
      <c r="O234">
        <v>0</v>
      </c>
    </row>
    <row r="235" spans="1:15">
      <c r="A235" s="1" t="s">
        <v>247</v>
      </c>
      <c r="B235" t="s">
        <v>504</v>
      </c>
      <c r="C235" t="s">
        <v>509</v>
      </c>
      <c r="D235">
        <f>HYPERLINK("http://www.reserveamerica.com/camping/kit-carson-campground/r/facilityDetails.do?contractCode=NRSO&amp;parkId=109334", "KIT CARSON CAMPGROUND")</f>
        <v>0</v>
      </c>
      <c r="E235">
        <v>38.7767778</v>
      </c>
      <c r="F235">
        <v>-119.8946111</v>
      </c>
      <c r="G235" t="s">
        <v>742</v>
      </c>
      <c r="H235" t="s">
        <v>997</v>
      </c>
      <c r="I235" t="s">
        <v>505</v>
      </c>
      <c r="J235">
        <f>HYPERLINK("http://maps.google.com/maps?z=10&amp;t=m&amp;q=loc:38.7767778+-119.8946111", 238)</f>
        <v>0</v>
      </c>
      <c r="K235">
        <v>46</v>
      </c>
      <c r="L235">
        <v>0</v>
      </c>
      <c r="M235">
        <v>0</v>
      </c>
      <c r="N235">
        <v>0</v>
      </c>
      <c r="O235">
        <v>0</v>
      </c>
    </row>
    <row r="236" spans="1:15">
      <c r="A236" s="1" t="s">
        <v>248</v>
      </c>
      <c r="B236" t="s">
        <v>504</v>
      </c>
      <c r="C236" t="s">
        <v>509</v>
      </c>
      <c r="D236">
        <f>HYPERLINK("http://www.reserveamerica.com/camping/kyen-campground-and-oak-grove-day-use-area/r/facilityDetails.do?contractCode=NRSO&amp;parkId=73240", "KYEN CAMPGROUND AND OAK GROVE DAY USE AREA")</f>
        <v>0</v>
      </c>
      <c r="E236">
        <v>39.2366667</v>
      </c>
      <c r="F236">
        <v>-123.1777778</v>
      </c>
      <c r="G236" t="s">
        <v>743</v>
      </c>
      <c r="I236" t="s">
        <v>505</v>
      </c>
      <c r="J236">
        <f>HYPERLINK("http://maps.google.com/maps?z=10&amp;t=m&amp;q=loc:39.2366667+-123.1777778", 239)</f>
        <v>0</v>
      </c>
      <c r="K236">
        <v>332</v>
      </c>
      <c r="L236">
        <v>49</v>
      </c>
      <c r="M236">
        <v>3</v>
      </c>
      <c r="N236">
        <v>46</v>
      </c>
      <c r="O236">
        <v>46</v>
      </c>
    </row>
    <row r="237" spans="1:15">
      <c r="A237" s="1" t="s">
        <v>249</v>
      </c>
      <c r="B237" t="s">
        <v>504</v>
      </c>
      <c r="C237" t="s">
        <v>509</v>
      </c>
      <c r="D237">
        <f>HYPERLINK("http://www.reserveamerica.com/camping/laguna/r/facilityDetails.do?contractCode=NRSO&amp;parkId=70576", "LAGUNA")</f>
        <v>0</v>
      </c>
      <c r="E237">
        <v>32.8872222</v>
      </c>
      <c r="F237">
        <v>-116.4463889</v>
      </c>
      <c r="G237" t="s">
        <v>744</v>
      </c>
      <c r="I237" t="s">
        <v>505</v>
      </c>
      <c r="J237">
        <f>HYPERLINK("http://maps.google.com/maps?z=10&amp;t=m&amp;q=loc:32.8872222+-116.4463889", 699)</f>
        <v>0</v>
      </c>
      <c r="K237">
        <v>133</v>
      </c>
      <c r="L237">
        <v>16</v>
      </c>
      <c r="M237">
        <v>0</v>
      </c>
      <c r="N237">
        <v>16</v>
      </c>
      <c r="O237">
        <v>17</v>
      </c>
    </row>
    <row r="238" spans="1:15">
      <c r="A238" s="1" t="s">
        <v>250</v>
      </c>
      <c r="B238" t="s">
        <v>504</v>
      </c>
      <c r="C238" t="s">
        <v>509</v>
      </c>
      <c r="D238">
        <f>HYPERLINK("http://www.reserveamerica.com/camping/lake-campground/r/facilityDetails.do?contractCode=NRSO&amp;parkId=73584", "LAKE CAMPGROUND")</f>
        <v>0</v>
      </c>
      <c r="E238">
        <v>34.3905556</v>
      </c>
      <c r="F238">
        <v>-117.7233333</v>
      </c>
      <c r="G238" t="s">
        <v>745</v>
      </c>
      <c r="I238" t="s">
        <v>505</v>
      </c>
      <c r="J238">
        <f>HYPERLINK("http://maps.google.com/maps?z=10&amp;t=m&amp;q=loc:34.3905556+-117.7233333", 498)</f>
        <v>0</v>
      </c>
      <c r="K238">
        <v>129</v>
      </c>
      <c r="L238">
        <v>3</v>
      </c>
      <c r="M238">
        <v>0</v>
      </c>
      <c r="N238">
        <v>3</v>
      </c>
      <c r="O238">
        <v>3</v>
      </c>
    </row>
    <row r="239" spans="1:15">
      <c r="A239" s="1" t="s">
        <v>251</v>
      </c>
      <c r="B239" t="s">
        <v>504</v>
      </c>
      <c r="C239" t="s">
        <v>509</v>
      </c>
      <c r="D239">
        <f>HYPERLINK("http://www.reserveamerica.com/camping/lake-mary-campground/r/facilityDetails.do?contractCode=NRSO&amp;parkId=72775", "LAKE MARY CAMPGROUND")</f>
        <v>0</v>
      </c>
      <c r="E239">
        <v>37.6069444</v>
      </c>
      <c r="F239">
        <v>-119.0075</v>
      </c>
      <c r="G239" t="s">
        <v>746</v>
      </c>
      <c r="I239" t="s">
        <v>505</v>
      </c>
      <c r="J239">
        <f>HYPERLINK("http://maps.google.com/maps?z=10&amp;t=m&amp;q=loc:37.6069444+-119.0075", 257)</f>
        <v>0</v>
      </c>
      <c r="K239">
        <v>82</v>
      </c>
      <c r="L239">
        <v>0</v>
      </c>
      <c r="M239">
        <v>0</v>
      </c>
      <c r="N239">
        <v>0</v>
      </c>
      <c r="O239">
        <v>0</v>
      </c>
    </row>
    <row r="240" spans="1:15">
      <c r="A240" s="1" t="s">
        <v>252</v>
      </c>
      <c r="B240" t="s">
        <v>505</v>
      </c>
      <c r="C240" t="s">
        <v>510</v>
      </c>
      <c r="D240">
        <f>HYPERLINK("http://www.reserveamerica.com/camping/lake-oroville-sra/r/facilityDetails.do?contractCode=CA&amp;parkId=120046", "LAKE OROVILLE SRA")</f>
        <v>0</v>
      </c>
      <c r="E240">
        <v>39.528225</v>
      </c>
      <c r="F240">
        <v>-121.4455222</v>
      </c>
      <c r="G240" t="s">
        <v>747</v>
      </c>
      <c r="H240" t="s">
        <v>998</v>
      </c>
      <c r="I240" t="s">
        <v>505</v>
      </c>
      <c r="J240">
        <f>HYPERLINK("http://maps.google.com/maps?z=10&amp;t=m&amp;q=loc:39.528225+-121.4455222", 247)</f>
        <v>0</v>
      </c>
      <c r="K240">
        <v>9</v>
      </c>
      <c r="L240">
        <v>202</v>
      </c>
      <c r="M240">
        <v>10</v>
      </c>
      <c r="N240">
        <v>192</v>
      </c>
      <c r="O240">
        <v>192</v>
      </c>
    </row>
    <row r="241" spans="1:15">
      <c r="A241" s="1" t="s">
        <v>253</v>
      </c>
      <c r="B241" t="s">
        <v>505</v>
      </c>
      <c r="C241" t="s">
        <v>510</v>
      </c>
      <c r="D241">
        <f>HYPERLINK("http://www.reserveamerica.com/camping/lake-perris-sra/r/facilityDetails.do?contractCode=CA&amp;parkId=120069", "LAKE PERRIS SRA")</f>
        <v>0</v>
      </c>
      <c r="E241">
        <v>33.8491667</v>
      </c>
      <c r="F241">
        <v>-117.1886111</v>
      </c>
      <c r="G241" t="s">
        <v>748</v>
      </c>
      <c r="I241" t="s">
        <v>505</v>
      </c>
      <c r="J241">
        <f>HYPERLINK("http://maps.google.com/maps?z=10&amp;t=m&amp;q=loc:33.8491667+-117.1886111", 575)</f>
        <v>0</v>
      </c>
      <c r="K241">
        <v>130</v>
      </c>
      <c r="L241">
        <v>405</v>
      </c>
      <c r="M241">
        <v>16</v>
      </c>
      <c r="N241">
        <v>389</v>
      </c>
      <c r="O241">
        <v>389</v>
      </c>
    </row>
    <row r="242" spans="1:15">
      <c r="A242" s="1" t="s">
        <v>254</v>
      </c>
      <c r="B242" t="s">
        <v>504</v>
      </c>
      <c r="C242" t="s">
        <v>509</v>
      </c>
      <c r="D242">
        <f>HYPERLINK("http://www.reserveamerica.com/camping/lakes-basin/r/facilityDetails.do?contractCode=NRSO&amp;parkId=70167", "LAKES BASIN")</f>
        <v>0</v>
      </c>
      <c r="E242">
        <v>39.6666667</v>
      </c>
      <c r="F242">
        <v>-120.6577778</v>
      </c>
      <c r="G242" t="s">
        <v>749</v>
      </c>
      <c r="I242" t="s">
        <v>505</v>
      </c>
      <c r="J242">
        <f>HYPERLINK("http://maps.google.com/maps?z=10&amp;t=m&amp;q=loc:39.6666667+-120.6577778", 281)</f>
        <v>0</v>
      </c>
      <c r="K242">
        <v>22</v>
      </c>
      <c r="L242">
        <v>0</v>
      </c>
      <c r="M242">
        <v>0</v>
      </c>
      <c r="N242">
        <v>0</v>
      </c>
      <c r="O242">
        <v>0</v>
      </c>
    </row>
    <row r="243" spans="1:15">
      <c r="A243" s="1" t="s">
        <v>255</v>
      </c>
      <c r="B243" t="s">
        <v>504</v>
      </c>
      <c r="C243" t="s">
        <v>509</v>
      </c>
      <c r="D243">
        <f>HYPERLINK("http://www.reserveamerica.com/camping/lakeshore-east/r/facilityDetails.do?contractCode=NRSO&amp;parkId=71519", "LAKESHORE EAST")</f>
        <v>0</v>
      </c>
      <c r="E243">
        <v>40.8719444</v>
      </c>
      <c r="F243">
        <v>-122.3880556</v>
      </c>
      <c r="G243" t="s">
        <v>750</v>
      </c>
      <c r="I243" t="s">
        <v>505</v>
      </c>
      <c r="J243">
        <f>HYPERLINK("http://maps.google.com/maps?z=10&amp;t=m&amp;q=loc:40.8719444+-122.3880556", 396)</f>
        <v>0</v>
      </c>
      <c r="K243">
        <v>354</v>
      </c>
      <c r="L243">
        <v>2</v>
      </c>
      <c r="M243">
        <v>1</v>
      </c>
      <c r="N243">
        <v>1</v>
      </c>
      <c r="O243">
        <v>1</v>
      </c>
    </row>
    <row r="244" spans="1:15">
      <c r="A244" s="1" t="s">
        <v>256</v>
      </c>
      <c r="B244" t="s">
        <v>504</v>
      </c>
      <c r="C244" t="s">
        <v>509</v>
      </c>
      <c r="D244">
        <f>HYPERLINK("http://www.reserveamerica.com/camping/lakeside-truckee/r/facilityDetails.do?contractCode=NRSO&amp;parkId=74131", "LAKESIDE (TRUCKEE)")</f>
        <v>0</v>
      </c>
      <c r="E244">
        <v>39.3844444</v>
      </c>
      <c r="F244">
        <v>-120.1722222</v>
      </c>
      <c r="G244" t="s">
        <v>751</v>
      </c>
      <c r="I244" t="s">
        <v>505</v>
      </c>
      <c r="J244">
        <f>HYPERLINK("http://maps.google.com/maps?z=10&amp;t=m&amp;q=loc:39.3844444+-120.1722222", 273)</f>
        <v>0</v>
      </c>
      <c r="K244">
        <v>32</v>
      </c>
      <c r="L244">
        <v>25</v>
      </c>
      <c r="M244">
        <v>0</v>
      </c>
      <c r="N244">
        <v>25</v>
      </c>
      <c r="O244">
        <v>25</v>
      </c>
    </row>
    <row r="245" spans="1:15">
      <c r="A245" s="1" t="s">
        <v>257</v>
      </c>
      <c r="B245" t="s">
        <v>505</v>
      </c>
      <c r="C245" t="s">
        <v>510</v>
      </c>
      <c r="D245">
        <f>HYPERLINK("http://www.reserveamerica.com/camping/leo-carrillo-sb/r/facilityDetails.do?contractCode=CA&amp;parkId=120047", "LEO CARRILLO SB")</f>
        <v>0</v>
      </c>
      <c r="E245">
        <v>34.0441667</v>
      </c>
      <c r="F245">
        <v>-118.9383333</v>
      </c>
      <c r="G245" t="s">
        <v>752</v>
      </c>
      <c r="I245" t="s">
        <v>505</v>
      </c>
      <c r="J245">
        <f>HYPERLINK("http://maps.google.com/maps?z=10&amp;t=m&amp;q=loc:34.0441667+-118.9383333", 452)</f>
        <v>0</v>
      </c>
      <c r="K245">
        <v>142</v>
      </c>
      <c r="L245">
        <v>0</v>
      </c>
      <c r="M245">
        <v>0</v>
      </c>
      <c r="N245">
        <v>0</v>
      </c>
      <c r="O245">
        <v>0</v>
      </c>
    </row>
    <row r="246" spans="1:15">
      <c r="A246" s="1" t="s">
        <v>258</v>
      </c>
      <c r="B246" t="s">
        <v>504</v>
      </c>
      <c r="C246" t="s">
        <v>509</v>
      </c>
      <c r="D246">
        <f>HYPERLINK("http://www.reserveamerica.com/camping/lewis-at-french-meadows/r/facilityDetails.do?contractCode=NRSO&amp;parkId=72074", "LEWIS at FRENCH MEADOWS")</f>
        <v>0</v>
      </c>
      <c r="E246">
        <v>39.1302778</v>
      </c>
      <c r="F246">
        <v>-120.4169444</v>
      </c>
      <c r="G246" t="s">
        <v>753</v>
      </c>
      <c r="I246" t="s">
        <v>505</v>
      </c>
      <c r="J246">
        <f>HYPERLINK("http://maps.google.com/maps?z=10&amp;t=m&amp;q=loc:39.1302778+-120.4169444", 238)</f>
        <v>0</v>
      </c>
      <c r="K246">
        <v>32</v>
      </c>
      <c r="L246">
        <v>0</v>
      </c>
      <c r="M246">
        <v>0</v>
      </c>
      <c r="N246">
        <v>0</v>
      </c>
      <c r="O246">
        <v>0</v>
      </c>
    </row>
    <row r="247" spans="1:15">
      <c r="A247" s="1" t="s">
        <v>259</v>
      </c>
      <c r="B247" t="s">
        <v>504</v>
      </c>
      <c r="C247" t="s">
        <v>509</v>
      </c>
      <c r="D247">
        <f>HYPERLINK("http://www.reserveamerica.com/camping/liberty-glen-lake-sonoma/r/facilityDetails.do?contractCode=NRSO&amp;parkId=73251", "LIBERTY GLEN (LAKE SONOMA)")</f>
        <v>0</v>
      </c>
      <c r="E247">
        <v>38.7136111</v>
      </c>
      <c r="F247">
        <v>-123.0563889</v>
      </c>
      <c r="G247" t="s">
        <v>754</v>
      </c>
      <c r="I247" t="s">
        <v>505</v>
      </c>
      <c r="J247">
        <f>HYPERLINK("http://maps.google.com/maps?z=10&amp;t=m&amp;q=loc:38.7136111+-123.0563889", 184)</f>
        <v>0</v>
      </c>
      <c r="K247">
        <v>327</v>
      </c>
      <c r="L247">
        <v>97</v>
      </c>
      <c r="M247">
        <v>4</v>
      </c>
      <c r="N247">
        <v>93</v>
      </c>
      <c r="O247">
        <v>93</v>
      </c>
    </row>
    <row r="248" spans="1:15">
      <c r="A248" s="1" t="s">
        <v>260</v>
      </c>
      <c r="B248" t="s">
        <v>504</v>
      </c>
      <c r="C248" t="s">
        <v>509</v>
      </c>
      <c r="D248">
        <f>HYPERLINK("http://www.reserveamerica.com/camping/lightning-point-group-campground/r/facilityDetails.do?contractCode=NRSO&amp;parkId=75443", "LIGHTNING POINT GROUP CAMPGROUND")</f>
        <v>0</v>
      </c>
      <c r="E248">
        <v>34.3719444</v>
      </c>
      <c r="F248">
        <v>-118.1830556</v>
      </c>
      <c r="G248" t="s">
        <v>755</v>
      </c>
      <c r="I248" t="s">
        <v>505</v>
      </c>
      <c r="J248">
        <f>HYPERLINK("http://maps.google.com/maps?z=10&amp;t=m&amp;q=loc:34.3719444+-118.1830556", 469)</f>
        <v>0</v>
      </c>
      <c r="K248">
        <v>133</v>
      </c>
      <c r="L248">
        <v>0</v>
      </c>
      <c r="M248">
        <v>0</v>
      </c>
      <c r="N248">
        <v>0</v>
      </c>
      <c r="O248">
        <v>0</v>
      </c>
    </row>
    <row r="249" spans="1:15">
      <c r="A249" s="1" t="s">
        <v>261</v>
      </c>
      <c r="B249" t="s">
        <v>504</v>
      </c>
      <c r="C249" t="s">
        <v>509</v>
      </c>
      <c r="D249">
        <f>HYPERLINK("http://www.reserveamerica.com/camping/lightning-tree/r/facilityDetails.do?contractCode=NRSO&amp;parkId=71615", "LIGHTNING TREE")</f>
        <v>0</v>
      </c>
      <c r="E249">
        <v>39.9254556</v>
      </c>
      <c r="F249">
        <v>-120.5104944</v>
      </c>
      <c r="G249" t="s">
        <v>756</v>
      </c>
      <c r="I249" t="s">
        <v>505</v>
      </c>
      <c r="J249">
        <f>HYPERLINK("http://maps.google.com/maps?z=10&amp;t=m&amp;q=loc:39.9254556+-120.5104944", 313)</f>
        <v>0</v>
      </c>
      <c r="K249">
        <v>22</v>
      </c>
      <c r="L249">
        <v>0</v>
      </c>
      <c r="M249">
        <v>0</v>
      </c>
      <c r="N249">
        <v>0</v>
      </c>
      <c r="O249">
        <v>0</v>
      </c>
    </row>
    <row r="250" spans="1:15">
      <c r="A250" s="1" t="s">
        <v>262</v>
      </c>
      <c r="B250" t="s">
        <v>505</v>
      </c>
      <c r="C250" t="s">
        <v>510</v>
      </c>
      <c r="D250">
        <f>HYPERLINK("http://www.reserveamerica.com/camping/limekiln-sp/r/facilityDetails.do?contractCode=CA&amp;parkId=120048", "LIMEKILN SP")</f>
        <v>0</v>
      </c>
      <c r="E250">
        <v>36.0530556</v>
      </c>
      <c r="F250">
        <v>-121.5694444</v>
      </c>
      <c r="G250" t="s">
        <v>757</v>
      </c>
      <c r="H250" t="s">
        <v>997</v>
      </c>
      <c r="I250" t="s">
        <v>505</v>
      </c>
      <c r="J250">
        <f>HYPERLINK("http://maps.google.com/maps?z=10&amp;t=m&amp;q=loc:36.0530556+-121.5694444", 144)</f>
        <v>0</v>
      </c>
      <c r="K250">
        <v>167</v>
      </c>
      <c r="L250">
        <v>0</v>
      </c>
      <c r="M250">
        <v>0</v>
      </c>
      <c r="N250">
        <v>0</v>
      </c>
      <c r="O250">
        <v>0</v>
      </c>
    </row>
    <row r="251" spans="1:15">
      <c r="A251" s="1" t="s">
        <v>263</v>
      </c>
      <c r="B251" t="s">
        <v>504</v>
      </c>
      <c r="C251" t="s">
        <v>509</v>
      </c>
      <c r="D251">
        <f>HYPERLINK("http://www.reserveamerica.com/camping/limestone-campground/r/facilityDetails.do?contractCode=NRSO&amp;parkId=123440", "LIMESTONE CAMPGROUND")</f>
        <v>0</v>
      </c>
      <c r="E251">
        <v>35.9633333</v>
      </c>
      <c r="F251">
        <v>-118.4788889</v>
      </c>
      <c r="G251" t="s">
        <v>758</v>
      </c>
      <c r="I251" t="s">
        <v>505</v>
      </c>
      <c r="J251">
        <f>HYPERLINK("http://maps.google.com/maps?z=10&amp;t=m&amp;q=loc:35.9633333+-118.4788889", 341)</f>
        <v>0</v>
      </c>
      <c r="K251">
        <v>115</v>
      </c>
      <c r="L251">
        <v>10</v>
      </c>
      <c r="M251">
        <v>0</v>
      </c>
      <c r="N251">
        <v>10</v>
      </c>
      <c r="O251">
        <v>10</v>
      </c>
    </row>
    <row r="252" spans="1:15">
      <c r="A252" s="1" t="s">
        <v>264</v>
      </c>
      <c r="B252" t="s">
        <v>505</v>
      </c>
      <c r="C252" t="s">
        <v>510</v>
      </c>
      <c r="E252">
        <v>37.1553333</v>
      </c>
      <c r="F252">
        <v>-122.2031667</v>
      </c>
      <c r="G252" t="s">
        <v>759</v>
      </c>
      <c r="I252" t="s">
        <v>505</v>
      </c>
      <c r="J252">
        <f>HYPERLINK("http://maps.google.com/maps?z=10&amp;t=m&amp;q=loc:37.1553333+-122.2031667", 32)</f>
        <v>0</v>
      </c>
      <c r="K252">
        <v>234</v>
      </c>
      <c r="L252">
        <v>0</v>
      </c>
      <c r="M252">
        <v>0</v>
      </c>
      <c r="N252">
        <v>0</v>
      </c>
      <c r="O252">
        <v>0</v>
      </c>
    </row>
    <row r="253" spans="1:15">
      <c r="A253" s="1" t="s">
        <v>265</v>
      </c>
      <c r="B253" t="s">
        <v>504</v>
      </c>
      <c r="C253" t="s">
        <v>509</v>
      </c>
      <c r="D253">
        <f>HYPERLINK("http://www.reserveamerica.com/camping/little-beaver-a-campground/r/facilityDetails.do?contractCode=NRSO&amp;parkId=72431", "LITTLE BEAVER A CAMPGROUND")</f>
        <v>0</v>
      </c>
      <c r="E253">
        <v>39.745</v>
      </c>
      <c r="F253">
        <v>-120.9875</v>
      </c>
      <c r="G253" t="s">
        <v>760</v>
      </c>
      <c r="H253" t="s">
        <v>997</v>
      </c>
      <c r="I253" t="s">
        <v>505</v>
      </c>
      <c r="J253">
        <f>HYPERLINK("http://maps.google.com/maps?z=10&amp;t=m&amp;q=loc:39.745+-120.9875", 280)</f>
        <v>0</v>
      </c>
      <c r="K253">
        <v>16</v>
      </c>
      <c r="L253">
        <v>28</v>
      </c>
      <c r="M253">
        <v>0</v>
      </c>
      <c r="N253">
        <v>28</v>
      </c>
      <c r="O253">
        <v>28</v>
      </c>
    </row>
    <row r="254" spans="1:15">
      <c r="A254" s="1" t="s">
        <v>266</v>
      </c>
      <c r="B254" t="s">
        <v>507</v>
      </c>
      <c r="C254" t="s">
        <v>511</v>
      </c>
      <c r="D254">
        <f>HYPERLINK("http://www.reserveamerica.com/camping/little-harbor-campground/r/facilityDetails.do?contractCode=CTLN&amp;parkId=940021", "LITTLE HARBOR CAMPGROUND")</f>
        <v>0</v>
      </c>
      <c r="E254">
        <v>33.3866667</v>
      </c>
      <c r="F254">
        <v>-118.4730556</v>
      </c>
      <c r="G254" t="s">
        <v>761</v>
      </c>
      <c r="I254" t="s">
        <v>505</v>
      </c>
      <c r="J254">
        <f>HYPERLINK("http://maps.google.com/maps?z=10&amp;t=m&amp;q=loc:33.3866667+-118.4730556", 537)</f>
        <v>0</v>
      </c>
      <c r="K254">
        <v>143</v>
      </c>
      <c r="L254">
        <v>0</v>
      </c>
      <c r="M254">
        <v>0</v>
      </c>
      <c r="N254">
        <v>0</v>
      </c>
      <c r="O254">
        <v>0</v>
      </c>
    </row>
    <row r="255" spans="1:15">
      <c r="A255" s="1" t="s">
        <v>267</v>
      </c>
      <c r="B255" t="s">
        <v>504</v>
      </c>
      <c r="C255" t="s">
        <v>509</v>
      </c>
      <c r="D255">
        <f>HYPERLINK("http://www.reserveamerica.com/camping/live-oak/r/facilityDetails.do?contractCode=NRSO&amp;parkId=71563", "LIVE OAK")</f>
        <v>0</v>
      </c>
      <c r="E255">
        <v>35.7027778</v>
      </c>
      <c r="F255">
        <v>-118.4611111</v>
      </c>
      <c r="G255" t="s">
        <v>762</v>
      </c>
      <c r="I255" t="s">
        <v>505</v>
      </c>
      <c r="J255">
        <f>HYPERLINK("http://maps.google.com/maps?z=10&amp;t=m&amp;q=loc:35.7027778+-118.4611111", 356)</f>
        <v>0</v>
      </c>
      <c r="K255">
        <v>119</v>
      </c>
      <c r="L255">
        <v>0</v>
      </c>
      <c r="M255">
        <v>0</v>
      </c>
      <c r="N255">
        <v>0</v>
      </c>
      <c r="O255">
        <v>0</v>
      </c>
    </row>
    <row r="256" spans="1:15">
      <c r="A256" s="1" t="s">
        <v>268</v>
      </c>
      <c r="B256" t="s">
        <v>504</v>
      </c>
      <c r="C256" t="s">
        <v>509</v>
      </c>
      <c r="D256">
        <f>HYPERLINK("http://www.reserveamerica.com/camping/live-oak-south/r/facilityDetails.do?contractCode=NRSO&amp;parkId=75185", "LIVE OAK SOUTH")</f>
        <v>0</v>
      </c>
      <c r="E256">
        <v>35.7027778</v>
      </c>
      <c r="F256">
        <v>-118.4611111</v>
      </c>
      <c r="G256" t="s">
        <v>763</v>
      </c>
      <c r="I256" t="s">
        <v>505</v>
      </c>
      <c r="J256">
        <f>HYPERLINK("http://maps.google.com/maps?z=10&amp;t=m&amp;q=loc:35.7027778+-118.4611111", 356)</f>
        <v>0</v>
      </c>
      <c r="K256">
        <v>119</v>
      </c>
      <c r="L256">
        <v>0</v>
      </c>
      <c r="M256">
        <v>0</v>
      </c>
      <c r="N256">
        <v>0</v>
      </c>
      <c r="O256">
        <v>0</v>
      </c>
    </row>
    <row r="257" spans="1:15">
      <c r="A257" s="1" t="s">
        <v>269</v>
      </c>
      <c r="B257" t="s">
        <v>504</v>
      </c>
      <c r="C257" t="s">
        <v>509</v>
      </c>
      <c r="D257">
        <f>HYPERLINK("http://www.reserveamerica.com/camping/lobo-group/r/facilityDetails.do?contractCode=NRSO&amp;parkId=70291", "LOBO GROUP")</f>
        <v>0</v>
      </c>
      <c r="E257">
        <v>34.1755556</v>
      </c>
      <c r="F257">
        <v>-116.8625</v>
      </c>
      <c r="G257" t="s">
        <v>764</v>
      </c>
      <c r="I257" t="s">
        <v>505</v>
      </c>
      <c r="J257">
        <f>HYPERLINK("http://maps.google.com/maps?z=10&amp;t=m&amp;q=loc:34.1755556+-116.8625", 573)</f>
        <v>0</v>
      </c>
      <c r="K257">
        <v>126</v>
      </c>
      <c r="L257">
        <v>0</v>
      </c>
      <c r="M257">
        <v>0</v>
      </c>
      <c r="N257">
        <v>0</v>
      </c>
      <c r="O257">
        <v>0</v>
      </c>
    </row>
    <row r="258" spans="1:15">
      <c r="A258" s="1" t="s">
        <v>270</v>
      </c>
      <c r="B258" t="s">
        <v>504</v>
      </c>
      <c r="C258" t="s">
        <v>509</v>
      </c>
      <c r="D258">
        <f>HYPERLINK("http://www.reserveamerica.com/camping/lodgepole-campgroundsequoia-and-kings-canyon-national-park/r/facilityDetails.do?contractCode=NRSO&amp;parkId=70941", "Lodgepole Campground-Sequoia and Kings Canyon National Park")</f>
        <v>0</v>
      </c>
      <c r="E258">
        <v>36.6067111</v>
      </c>
      <c r="F258">
        <v>-118.7258</v>
      </c>
      <c r="G258" t="s">
        <v>765</v>
      </c>
      <c r="H258" t="s">
        <v>997</v>
      </c>
      <c r="I258" t="s">
        <v>505</v>
      </c>
      <c r="J258">
        <f>HYPERLINK("http://maps.google.com/maps?z=10&amp;t=m&amp;q=loc:36.6067111+-118.7258", 293)</f>
        <v>0</v>
      </c>
      <c r="K258">
        <v>104</v>
      </c>
      <c r="L258">
        <v>0</v>
      </c>
      <c r="M258">
        <v>0</v>
      </c>
      <c r="N258">
        <v>0</v>
      </c>
      <c r="O258">
        <v>0</v>
      </c>
    </row>
    <row r="259" spans="1:15">
      <c r="A259" s="1" t="s">
        <v>271</v>
      </c>
      <c r="B259" t="s">
        <v>504</v>
      </c>
      <c r="C259" t="s">
        <v>509</v>
      </c>
      <c r="D259">
        <f>HYPERLINK("http://www.reserveamerica.com/camping/lodgepole-group-lake-alpine/r/facilityDetails.do?contractCode=NRSO&amp;parkId=70688", "LODGEPOLE GROUP LAKE ALPINE")</f>
        <v>0</v>
      </c>
      <c r="E259">
        <v>38.4163889</v>
      </c>
      <c r="F259">
        <v>-120.105</v>
      </c>
      <c r="G259" t="s">
        <v>766</v>
      </c>
      <c r="I259" t="s">
        <v>505</v>
      </c>
      <c r="J259">
        <f>HYPERLINK("http://maps.google.com/maps?z=10&amp;t=m&amp;q=loc:38.4163889+-120.105", 198)</f>
        <v>0</v>
      </c>
      <c r="K259">
        <v>52</v>
      </c>
      <c r="L259">
        <v>0</v>
      </c>
      <c r="M259">
        <v>0</v>
      </c>
      <c r="N259">
        <v>0</v>
      </c>
      <c r="O259">
        <v>0</v>
      </c>
    </row>
    <row r="260" spans="1:15">
      <c r="A260" s="1" t="s">
        <v>272</v>
      </c>
      <c r="B260" t="s">
        <v>504</v>
      </c>
      <c r="C260" t="s">
        <v>509</v>
      </c>
      <c r="D260">
        <f>HYPERLINK("http://www.reserveamerica.com/camping/loganville/r/facilityDetails.do?contractCode=NRSO&amp;parkId=75431", "LOGANVILLE")</f>
        <v>0</v>
      </c>
      <c r="E260">
        <v>39.5647222</v>
      </c>
      <c r="F260">
        <v>-120.6611111</v>
      </c>
      <c r="G260" t="s">
        <v>767</v>
      </c>
      <c r="I260" t="s">
        <v>505</v>
      </c>
      <c r="J260">
        <f>HYPERLINK("http://maps.google.com/maps?z=10&amp;t=m&amp;q=loc:39.5647222+-120.6611111", 271)</f>
        <v>0</v>
      </c>
      <c r="K260">
        <v>23</v>
      </c>
      <c r="L260">
        <v>16</v>
      </c>
      <c r="M260">
        <v>0</v>
      </c>
      <c r="N260">
        <v>16</v>
      </c>
      <c r="O260">
        <v>16</v>
      </c>
    </row>
    <row r="261" spans="1:15">
      <c r="A261" s="1" t="s">
        <v>273</v>
      </c>
      <c r="B261" t="s">
        <v>504</v>
      </c>
      <c r="C261" t="s">
        <v>509</v>
      </c>
      <c r="D261">
        <f>HYPERLINK("http://www.reserveamerica.com/camping/logger-campground/r/facilityDetails.do?contractCode=NRSO&amp;parkId=71643", "LOGGER CAMPGROUND")</f>
        <v>0</v>
      </c>
      <c r="E261">
        <v>39.4663889</v>
      </c>
      <c r="F261">
        <v>-120.1286111</v>
      </c>
      <c r="G261" t="s">
        <v>768</v>
      </c>
      <c r="I261" t="s">
        <v>505</v>
      </c>
      <c r="J261">
        <f>HYPERLINK("http://maps.google.com/maps?z=10&amp;t=m&amp;q=loc:39.4663889+-120.1286111", 283)</f>
        <v>0</v>
      </c>
      <c r="K261">
        <v>32</v>
      </c>
      <c r="L261">
        <v>186</v>
      </c>
      <c r="M261">
        <v>0</v>
      </c>
      <c r="N261">
        <v>186</v>
      </c>
      <c r="O261">
        <v>186</v>
      </c>
    </row>
    <row r="262" spans="1:15">
      <c r="A262" s="1" t="s">
        <v>274</v>
      </c>
      <c r="B262" t="s">
        <v>504</v>
      </c>
      <c r="C262" t="s">
        <v>509</v>
      </c>
      <c r="D262">
        <f>HYPERLINK("http://www.reserveamerica.com/camping/logger-flat-group/r/facilityDetails.do?contractCode=NRSO&amp;parkId=71541", "LOGGER FLAT GROUP")</f>
        <v>0</v>
      </c>
      <c r="E262">
        <v>36.7755556</v>
      </c>
      <c r="F262">
        <v>-118.8936111</v>
      </c>
      <c r="G262" t="s">
        <v>769</v>
      </c>
      <c r="I262" t="s">
        <v>505</v>
      </c>
      <c r="J262">
        <f>HYPERLINK("http://maps.google.com/maps?z=10&amp;t=m&amp;q=loc:36.7755556+-118.8936111", 274)</f>
        <v>0</v>
      </c>
      <c r="K262">
        <v>102</v>
      </c>
      <c r="L262">
        <v>1</v>
      </c>
      <c r="M262">
        <v>0</v>
      </c>
      <c r="N262">
        <v>1</v>
      </c>
      <c r="O262">
        <v>1</v>
      </c>
    </row>
    <row r="263" spans="1:15">
      <c r="A263" s="1" t="s">
        <v>275</v>
      </c>
      <c r="B263" t="s">
        <v>504</v>
      </c>
      <c r="C263" t="s">
        <v>509</v>
      </c>
      <c r="D263">
        <f>HYPERLINK("http://www.reserveamerica.com/camping/lone-pine/r/facilityDetails.do?contractCode=NRSO&amp;parkId=70292", "LONE PINE")</f>
        <v>0</v>
      </c>
      <c r="E263">
        <v>36.5976111</v>
      </c>
      <c r="F263">
        <v>-118.1848056</v>
      </c>
      <c r="G263" t="s">
        <v>770</v>
      </c>
      <c r="I263" t="s">
        <v>505</v>
      </c>
      <c r="J263">
        <f>HYPERLINK("http://maps.google.com/maps?z=10&amp;t=m&amp;q=loc:36.5976111+-118.1848056", 340)</f>
        <v>0</v>
      </c>
      <c r="K263">
        <v>102</v>
      </c>
      <c r="L263">
        <v>19</v>
      </c>
      <c r="M263">
        <v>0</v>
      </c>
      <c r="N263">
        <v>19</v>
      </c>
      <c r="O263">
        <v>19</v>
      </c>
    </row>
    <row r="264" spans="1:15">
      <c r="A264" s="1" t="s">
        <v>276</v>
      </c>
      <c r="B264" t="s">
        <v>504</v>
      </c>
      <c r="C264" t="s">
        <v>509</v>
      </c>
      <c r="D264">
        <f>HYPERLINK("http://www.reserveamerica.com/camping/lone-rock-ca/r/facilityDetails.do?contractCode=NRSO&amp;parkId=71723", "LONE ROCK (CA)")</f>
        <v>0</v>
      </c>
      <c r="E264">
        <v>40.1952778</v>
      </c>
      <c r="F264">
        <v>-120.6172222</v>
      </c>
      <c r="G264" t="s">
        <v>771</v>
      </c>
      <c r="H264" t="s">
        <v>998</v>
      </c>
      <c r="I264" t="s">
        <v>505</v>
      </c>
      <c r="J264">
        <f>HYPERLINK("http://maps.google.com/maps?z=10&amp;t=m&amp;q=loc:40.1952778+-120.6172222", 337)</f>
        <v>0</v>
      </c>
      <c r="K264">
        <v>18</v>
      </c>
      <c r="L264">
        <v>0</v>
      </c>
      <c r="M264">
        <v>0</v>
      </c>
      <c r="N264">
        <v>0</v>
      </c>
      <c r="O264">
        <v>0</v>
      </c>
    </row>
    <row r="265" spans="1:15">
      <c r="A265" s="1" t="s">
        <v>277</v>
      </c>
      <c r="B265" t="s">
        <v>504</v>
      </c>
      <c r="C265" t="s">
        <v>509</v>
      </c>
      <c r="D265">
        <f>HYPERLINK("http://www.reserveamerica.com/camping/long-meadow-group/r/facilityDetails.do?contractCode=NRSO&amp;parkId=71605", "LONG MEADOW GROUP")</f>
        <v>0</v>
      </c>
      <c r="E265">
        <v>35.9791667</v>
      </c>
      <c r="F265">
        <v>-118.5805556</v>
      </c>
      <c r="G265" t="s">
        <v>772</v>
      </c>
      <c r="I265" t="s">
        <v>505</v>
      </c>
      <c r="J265">
        <f>HYPERLINK("http://maps.google.com/maps?z=10&amp;t=m&amp;q=loc:35.9791667+-118.5805556", 332)</f>
        <v>0</v>
      </c>
      <c r="K265">
        <v>115</v>
      </c>
      <c r="L265">
        <v>0</v>
      </c>
      <c r="M265">
        <v>0</v>
      </c>
      <c r="N265">
        <v>0</v>
      </c>
      <c r="O265">
        <v>0</v>
      </c>
    </row>
    <row r="266" spans="1:15">
      <c r="A266" s="1" t="s">
        <v>278</v>
      </c>
      <c r="B266" t="s">
        <v>504</v>
      </c>
      <c r="C266" t="s">
        <v>509</v>
      </c>
      <c r="D266">
        <f>HYPERLINK("http://www.reserveamerica.com/camping/long-point-ca/r/facilityDetails.do?contractCode=NRSO&amp;parkId=71724", "LONG POINT (CA)")</f>
        <v>0</v>
      </c>
      <c r="E266">
        <v>40.1783333</v>
      </c>
      <c r="F266">
        <v>-120.5783333</v>
      </c>
      <c r="G266" t="s">
        <v>773</v>
      </c>
      <c r="H266" t="s">
        <v>998</v>
      </c>
      <c r="I266" t="s">
        <v>505</v>
      </c>
      <c r="J266">
        <f>HYPERLINK("http://maps.google.com/maps?z=10&amp;t=m&amp;q=loc:40.1783333+-120.5783333", 337)</f>
        <v>0</v>
      </c>
      <c r="K266">
        <v>19</v>
      </c>
      <c r="L266">
        <v>0</v>
      </c>
      <c r="M266">
        <v>0</v>
      </c>
      <c r="N266">
        <v>0</v>
      </c>
      <c r="O266">
        <v>0</v>
      </c>
    </row>
    <row r="267" spans="1:15">
      <c r="A267" s="1" t="s">
        <v>279</v>
      </c>
      <c r="B267" t="s">
        <v>504</v>
      </c>
      <c r="C267" t="s">
        <v>509</v>
      </c>
      <c r="D267">
        <f>HYPERLINK("http://www.reserveamerica.com/camping/lookout-campground/r/facilityDetails.do?contractCode=NRSO&amp;parkId=108733", "Lookout Campground")</f>
        <v>0</v>
      </c>
      <c r="E267">
        <v>39.5888972</v>
      </c>
      <c r="F267">
        <v>-120.0736111</v>
      </c>
      <c r="G267" t="s">
        <v>774</v>
      </c>
      <c r="I267" t="s">
        <v>505</v>
      </c>
      <c r="J267">
        <f>HYPERLINK("http://maps.google.com/maps?z=10&amp;t=m&amp;q=loc:39.5888972+-120.0736111", 297)</f>
        <v>0</v>
      </c>
      <c r="K267">
        <v>31</v>
      </c>
      <c r="L267">
        <v>0</v>
      </c>
      <c r="M267">
        <v>0</v>
      </c>
      <c r="N267">
        <v>0</v>
      </c>
      <c r="O267">
        <v>0</v>
      </c>
    </row>
    <row r="268" spans="1:15">
      <c r="A268" s="1" t="s">
        <v>280</v>
      </c>
      <c r="B268" t="s">
        <v>504</v>
      </c>
      <c r="C268" t="s">
        <v>509</v>
      </c>
      <c r="D268">
        <f>HYPERLINK("http://www.reserveamerica.com/camping/loon-lake/r/facilityDetails.do?contractCode=NRSO&amp;parkId=70293", "LOON LAKE")</f>
        <v>0</v>
      </c>
      <c r="E268">
        <v>38.9833333</v>
      </c>
      <c r="F268">
        <v>-120.33</v>
      </c>
      <c r="G268" t="s">
        <v>775</v>
      </c>
      <c r="I268" t="s">
        <v>505</v>
      </c>
      <c r="J268">
        <f>HYPERLINK("http://maps.google.com/maps?z=10&amp;t=m&amp;q=loc:38.9833333+-120.33", 229)</f>
        <v>0</v>
      </c>
      <c r="K268">
        <v>36</v>
      </c>
      <c r="L268">
        <v>0</v>
      </c>
      <c r="M268">
        <v>0</v>
      </c>
      <c r="N268">
        <v>0</v>
      </c>
      <c r="O268">
        <v>0</v>
      </c>
    </row>
    <row r="269" spans="1:15">
      <c r="A269" s="1" t="s">
        <v>281</v>
      </c>
      <c r="B269" t="s">
        <v>504</v>
      </c>
      <c r="C269" t="s">
        <v>509</v>
      </c>
      <c r="D269">
        <f>HYPERLINK("http://www.reserveamerica.com/camping/los-prietos/r/facilityDetails.do?contractCode=NRSO&amp;parkId=73962", "LOS PRIETOS")</f>
        <v>0</v>
      </c>
      <c r="E269">
        <v>34.5416667</v>
      </c>
      <c r="F269">
        <v>-119.8091667</v>
      </c>
      <c r="G269" t="s">
        <v>776</v>
      </c>
      <c r="I269" t="s">
        <v>505</v>
      </c>
      <c r="J269">
        <f>HYPERLINK("http://maps.google.com/maps?z=10&amp;t=m&amp;q=loc:34.5416667+-119.8091667", 362)</f>
        <v>0</v>
      </c>
      <c r="K269">
        <v>148</v>
      </c>
      <c r="L269">
        <v>18</v>
      </c>
      <c r="M269">
        <v>0</v>
      </c>
      <c r="N269">
        <v>18</v>
      </c>
      <c r="O269">
        <v>18</v>
      </c>
    </row>
    <row r="270" spans="1:15">
      <c r="A270" s="1" t="s">
        <v>282</v>
      </c>
      <c r="B270" t="s">
        <v>504</v>
      </c>
      <c r="C270" t="s">
        <v>509</v>
      </c>
      <c r="D270">
        <f>HYPERLINK("http://www.reserveamerica.com/camping/lost-claim/r/facilityDetails.do?contractCode=NRSO&amp;parkId=110538", "LOST CLAIM")</f>
        <v>0</v>
      </c>
      <c r="E270">
        <v>37.8211111</v>
      </c>
      <c r="F270">
        <v>-120.0486111</v>
      </c>
      <c r="G270" t="s">
        <v>777</v>
      </c>
      <c r="I270" t="s">
        <v>505</v>
      </c>
      <c r="J270">
        <f>HYPERLINK("http://maps.google.com/maps?z=10&amp;t=m&amp;q=loc:37.8211111+-120.0486111", 172)</f>
        <v>0</v>
      </c>
      <c r="K270">
        <v>70</v>
      </c>
      <c r="L270">
        <v>0</v>
      </c>
      <c r="M270">
        <v>0</v>
      </c>
      <c r="N270">
        <v>0</v>
      </c>
      <c r="O270">
        <v>0</v>
      </c>
    </row>
    <row r="271" spans="1:15">
      <c r="A271" s="1" t="s">
        <v>283</v>
      </c>
      <c r="B271" t="s">
        <v>504</v>
      </c>
      <c r="C271" t="s">
        <v>509</v>
      </c>
      <c r="E271">
        <v>40.5625</v>
      </c>
      <c r="F271">
        <v>-121.5166667</v>
      </c>
      <c r="G271" t="s">
        <v>778</v>
      </c>
      <c r="I271" t="s">
        <v>505</v>
      </c>
      <c r="J271">
        <f>HYPERLINK("http://maps.google.com/maps?z=10&amp;t=m&amp;q=loc:40.5625+-121.5166667", 361)</f>
        <v>0</v>
      </c>
      <c r="K271">
        <v>5</v>
      </c>
      <c r="L271">
        <v>0</v>
      </c>
      <c r="M271">
        <v>0</v>
      </c>
      <c r="N271">
        <v>0</v>
      </c>
      <c r="O271">
        <v>0</v>
      </c>
    </row>
    <row r="272" spans="1:15">
      <c r="A272" s="1" t="s">
        <v>284</v>
      </c>
      <c r="B272" t="s">
        <v>504</v>
      </c>
      <c r="C272" t="s">
        <v>509</v>
      </c>
      <c r="D272">
        <f>HYPERLINK("http://www.reserveamerica.com/camping/lower-billy-creek/r/facilityDetails.do?contractCode=NRSO&amp;parkId=71714", "LOWER BILLY CREEK")</f>
        <v>0</v>
      </c>
      <c r="E272">
        <v>37.2380556</v>
      </c>
      <c r="F272">
        <v>-119.2277778</v>
      </c>
      <c r="G272" t="s">
        <v>779</v>
      </c>
      <c r="H272" t="s">
        <v>998</v>
      </c>
      <c r="I272" t="s">
        <v>505</v>
      </c>
      <c r="J272">
        <f>HYPERLINK("http://maps.google.com/maps?z=10&amp;t=m&amp;q=loc:37.2380556+-119.2277778", 237)</f>
        <v>0</v>
      </c>
      <c r="K272">
        <v>91</v>
      </c>
      <c r="L272">
        <v>4</v>
      </c>
      <c r="M272">
        <v>0</v>
      </c>
      <c r="N272">
        <v>4</v>
      </c>
      <c r="O272">
        <v>4</v>
      </c>
    </row>
    <row r="273" spans="1:15">
      <c r="A273" s="1" t="s">
        <v>285</v>
      </c>
      <c r="B273" t="s">
        <v>504</v>
      </c>
      <c r="C273" t="s">
        <v>509</v>
      </c>
      <c r="D273">
        <f>HYPERLINK("http://www.reserveamerica.com/camping/lower-little-truckee/r/facilityDetails.do?contractCode=NRSO&amp;parkId=71717", "LOWER LITTLE TRUCKEE")</f>
        <v>0</v>
      </c>
      <c r="E273">
        <v>39.4855556</v>
      </c>
      <c r="F273">
        <v>-120.2363889</v>
      </c>
      <c r="G273" t="s">
        <v>780</v>
      </c>
      <c r="I273" t="s">
        <v>505</v>
      </c>
      <c r="J273">
        <f>HYPERLINK("http://maps.google.com/maps?z=10&amp;t=m&amp;q=loc:39.4855556+-120.2363889", 280)</f>
        <v>0</v>
      </c>
      <c r="K273">
        <v>30</v>
      </c>
      <c r="L273">
        <v>14</v>
      </c>
      <c r="M273">
        <v>0</v>
      </c>
      <c r="N273">
        <v>14</v>
      </c>
      <c r="O273">
        <v>14</v>
      </c>
    </row>
    <row r="274" spans="1:15">
      <c r="A274" s="1" t="s">
        <v>286</v>
      </c>
      <c r="B274" t="s">
        <v>504</v>
      </c>
      <c r="C274" t="s">
        <v>509</v>
      </c>
      <c r="D274">
        <f>HYPERLINK("http://www.reserveamerica.com/camping/lower-pines/r/facilityDetails.do?contractCode=NRSO&amp;parkId=70928", "LOWER PINES")</f>
        <v>0</v>
      </c>
      <c r="E274">
        <v>37.7408333</v>
      </c>
      <c r="F274">
        <v>-119.5666667</v>
      </c>
      <c r="G274" t="s">
        <v>781</v>
      </c>
      <c r="I274" t="s">
        <v>505</v>
      </c>
      <c r="J274">
        <f>HYPERLINK("http://maps.google.com/maps?z=10&amp;t=m&amp;q=loc:37.7408333+-119.5666667", 211)</f>
        <v>0</v>
      </c>
      <c r="K274">
        <v>76</v>
      </c>
      <c r="L274">
        <v>0</v>
      </c>
      <c r="M274">
        <v>0</v>
      </c>
      <c r="N274">
        <v>0</v>
      </c>
      <c r="O274">
        <v>0</v>
      </c>
    </row>
    <row r="275" spans="1:15">
      <c r="A275" s="1" t="s">
        <v>287</v>
      </c>
      <c r="B275" t="s">
        <v>504</v>
      </c>
      <c r="C275" t="s">
        <v>509</v>
      </c>
      <c r="D275">
        <f>HYPERLINK("http://www.reserveamerica.com/camping/lower-twin-lakes-at-bridgeport/r/facilityDetails.do?contractCode=NRSO&amp;parkId=70352", "LOWER TWIN LAKES AT BRIDGEPORT")</f>
        <v>0</v>
      </c>
      <c r="E275">
        <v>38.1727778</v>
      </c>
      <c r="F275">
        <v>-119.3311111</v>
      </c>
      <c r="G275" t="s">
        <v>782</v>
      </c>
      <c r="I275" t="s">
        <v>505</v>
      </c>
      <c r="J275">
        <f>HYPERLINK("http://maps.google.com/maps?z=10&amp;t=m&amp;q=loc:38.1727778+-119.3311111", 244)</f>
        <v>0</v>
      </c>
      <c r="K275">
        <v>66</v>
      </c>
      <c r="L275">
        <v>0</v>
      </c>
      <c r="M275">
        <v>0</v>
      </c>
      <c r="N275">
        <v>0</v>
      </c>
      <c r="O275">
        <v>0</v>
      </c>
    </row>
    <row r="276" spans="1:15">
      <c r="A276" s="1" t="s">
        <v>288</v>
      </c>
      <c r="B276" t="s">
        <v>504</v>
      </c>
      <c r="C276" t="s">
        <v>509</v>
      </c>
      <c r="D276">
        <f>HYPERLINK("http://www.reserveamerica.com/camping/lupine/r/facilityDetails.do?contractCode=NRSO&amp;parkId=71579", "LUPINE")</f>
        <v>0</v>
      </c>
      <c r="E276">
        <v>37.3077778</v>
      </c>
      <c r="F276">
        <v>-119.5441667</v>
      </c>
      <c r="G276" t="s">
        <v>783</v>
      </c>
      <c r="I276" t="s">
        <v>505</v>
      </c>
      <c r="J276">
        <f>HYPERLINK("http://maps.google.com/maps?z=10&amp;t=m&amp;q=loc:37.3077778+-119.5441667", 208)</f>
        <v>0</v>
      </c>
      <c r="K276">
        <v>89</v>
      </c>
      <c r="L276">
        <v>37</v>
      </c>
      <c r="M276">
        <v>0</v>
      </c>
      <c r="N276">
        <v>37</v>
      </c>
      <c r="O276">
        <v>37</v>
      </c>
    </row>
    <row r="277" spans="1:15">
      <c r="A277" s="1" t="s">
        <v>289</v>
      </c>
      <c r="B277" t="s">
        <v>505</v>
      </c>
      <c r="C277" t="s">
        <v>510</v>
      </c>
      <c r="D277">
        <f>HYPERLINK("http://www.reserveamerica.com/camping/mackerricher-sp/r/facilityDetails.do?contractCode=CA&amp;parkId=120049", "MACKERRICHER SP")</f>
        <v>0</v>
      </c>
      <c r="E277">
        <v>39.4933333</v>
      </c>
      <c r="F277">
        <v>-123.7925</v>
      </c>
      <c r="G277" t="s">
        <v>784</v>
      </c>
      <c r="I277" t="s">
        <v>505</v>
      </c>
      <c r="J277">
        <f>HYPERLINK("http://maps.google.com/maps?z=10&amp;t=m&amp;q=loc:39.4933333+-123.7925", 291)</f>
        <v>0</v>
      </c>
      <c r="K277">
        <v>326</v>
      </c>
      <c r="L277">
        <v>0</v>
      </c>
      <c r="M277">
        <v>0</v>
      </c>
      <c r="N277">
        <v>0</v>
      </c>
      <c r="O277">
        <v>0</v>
      </c>
    </row>
    <row r="278" spans="1:15">
      <c r="A278" s="1" t="s">
        <v>290</v>
      </c>
      <c r="B278" t="s">
        <v>505</v>
      </c>
      <c r="C278" t="s">
        <v>510</v>
      </c>
      <c r="D278">
        <f>HYPERLINK("http://www.reserveamerica.com/camping/malakoff-diggins-shp/r/facilityDetails.do?contractCode=CA&amp;parkId=120050", "MALAKOFF DIGGINS SHP")</f>
        <v>0</v>
      </c>
      <c r="E278">
        <v>39.3738889</v>
      </c>
      <c r="F278">
        <v>-120.9136111</v>
      </c>
      <c r="G278" t="s">
        <v>785</v>
      </c>
      <c r="I278" t="s">
        <v>505</v>
      </c>
      <c r="J278">
        <f>HYPERLINK("http://maps.google.com/maps?z=10&amp;t=m&amp;q=loc:39.3738889+-120.9136111", 243)</f>
        <v>0</v>
      </c>
      <c r="K278">
        <v>20</v>
      </c>
      <c r="L278">
        <v>28</v>
      </c>
      <c r="M278">
        <v>0</v>
      </c>
      <c r="N278">
        <v>28</v>
      </c>
      <c r="O278">
        <v>28</v>
      </c>
    </row>
    <row r="279" spans="1:15">
      <c r="A279" s="1" t="s">
        <v>291</v>
      </c>
      <c r="B279" t="s">
        <v>505</v>
      </c>
      <c r="C279" t="s">
        <v>510</v>
      </c>
      <c r="D279">
        <f>HYPERLINK("http://www.reserveamerica.com/camping/malibu-creek-sp/r/facilityDetails.do?contractCode=CA&amp;parkId=120051", "MALIBU CREEK SP")</f>
        <v>0</v>
      </c>
      <c r="E279">
        <v>34.1033333</v>
      </c>
      <c r="F279">
        <v>-118.7330556</v>
      </c>
      <c r="G279" t="s">
        <v>786</v>
      </c>
      <c r="I279" t="s">
        <v>505</v>
      </c>
      <c r="J279">
        <f>HYPERLINK("http://maps.google.com/maps?z=10&amp;t=m&amp;q=loc:34.1033333+-118.7330556", 458)</f>
        <v>0</v>
      </c>
      <c r="K279">
        <v>140</v>
      </c>
      <c r="L279">
        <v>27</v>
      </c>
      <c r="M279">
        <v>0</v>
      </c>
      <c r="N279">
        <v>27</v>
      </c>
      <c r="O279">
        <v>27</v>
      </c>
    </row>
    <row r="280" spans="1:15">
      <c r="A280" s="1" t="s">
        <v>292</v>
      </c>
      <c r="B280" t="s">
        <v>504</v>
      </c>
      <c r="C280" t="s">
        <v>509</v>
      </c>
      <c r="D280">
        <f>HYPERLINK("http://www.reserveamerica.com/camping/mammoth-pool/r/facilityDetails.do?contractCode=NRSO&amp;parkId=71597", "MAMMOTH POOL")</f>
        <v>0</v>
      </c>
      <c r="E280">
        <v>37.3441667</v>
      </c>
      <c r="F280">
        <v>-119.3311111</v>
      </c>
      <c r="G280" t="s">
        <v>787</v>
      </c>
      <c r="I280" t="s">
        <v>505</v>
      </c>
      <c r="J280">
        <f>HYPERLINK("http://maps.google.com/maps?z=10&amp;t=m&amp;q=loc:37.3441667+-119.3311111", 227)</f>
        <v>0</v>
      </c>
      <c r="K280">
        <v>88</v>
      </c>
      <c r="L280">
        <v>0</v>
      </c>
      <c r="M280">
        <v>0</v>
      </c>
      <c r="N280">
        <v>0</v>
      </c>
      <c r="O280">
        <v>0</v>
      </c>
    </row>
    <row r="281" spans="1:15">
      <c r="A281" s="1" t="s">
        <v>293</v>
      </c>
      <c r="B281" t="s">
        <v>505</v>
      </c>
      <c r="C281" t="s">
        <v>510</v>
      </c>
      <c r="E281">
        <v>38.9738889</v>
      </c>
      <c r="F281">
        <v>-123.7113889</v>
      </c>
      <c r="G281" t="s">
        <v>788</v>
      </c>
      <c r="I281" t="s">
        <v>505</v>
      </c>
      <c r="J281">
        <f>HYPERLINK("http://maps.google.com/maps?z=10&amp;t=m&amp;q=loc:38.9738889+-123.7113889", 241)</f>
        <v>0</v>
      </c>
      <c r="K281">
        <v>319</v>
      </c>
      <c r="L281">
        <v>0</v>
      </c>
      <c r="M281">
        <v>0</v>
      </c>
      <c r="N281">
        <v>0</v>
      </c>
      <c r="O281">
        <v>0</v>
      </c>
    </row>
    <row r="282" spans="1:15">
      <c r="A282" s="1" t="s">
        <v>294</v>
      </c>
      <c r="B282" t="s">
        <v>505</v>
      </c>
      <c r="C282" t="s">
        <v>510</v>
      </c>
      <c r="D282">
        <f>HYPERLINK("http://www.reserveamerica.com/camping/manresa-sb/r/facilityDetails.do?contractCode=CA&amp;parkId=120053", "MANRESA SB")</f>
        <v>0</v>
      </c>
      <c r="E282">
        <v>36.9241667</v>
      </c>
      <c r="F282">
        <v>-121.8555556</v>
      </c>
      <c r="G282" t="s">
        <v>789</v>
      </c>
      <c r="I282" t="s">
        <v>505</v>
      </c>
      <c r="J282">
        <f>HYPERLINK("http://maps.google.com/maps?z=10&amp;t=m&amp;q=loc:36.9241667+-121.8555556", 45)</f>
        <v>0</v>
      </c>
      <c r="K282">
        <v>174</v>
      </c>
      <c r="L282">
        <v>0</v>
      </c>
      <c r="M282">
        <v>0</v>
      </c>
      <c r="N282">
        <v>0</v>
      </c>
      <c r="O282">
        <v>0</v>
      </c>
    </row>
    <row r="283" spans="1:15">
      <c r="A283" s="1" t="s">
        <v>295</v>
      </c>
      <c r="B283" t="s">
        <v>504</v>
      </c>
      <c r="C283" t="s">
        <v>509</v>
      </c>
      <c r="D283">
        <f>HYPERLINK("http://www.reserveamerica.com/camping/manzanita-lake/r/facilityDetails.do?contractCode=NRSO&amp;parkId=74045", "MANZANITA LAKE")</f>
        <v>0</v>
      </c>
      <c r="E283">
        <v>40.5291667</v>
      </c>
      <c r="F283">
        <v>-121.5638889</v>
      </c>
      <c r="G283" t="s">
        <v>790</v>
      </c>
      <c r="I283" t="s">
        <v>505</v>
      </c>
      <c r="J283">
        <f>HYPERLINK("http://maps.google.com/maps?z=10&amp;t=m&amp;q=loc:40.5291667+-121.5638889", 356)</f>
        <v>0</v>
      </c>
      <c r="K283">
        <v>4</v>
      </c>
      <c r="L283">
        <v>70</v>
      </c>
      <c r="M283">
        <v>0</v>
      </c>
      <c r="N283">
        <v>70</v>
      </c>
      <c r="O283">
        <v>70</v>
      </c>
    </row>
    <row r="284" spans="1:15">
      <c r="A284" s="1" t="s">
        <v>296</v>
      </c>
      <c r="B284" t="s">
        <v>504</v>
      </c>
      <c r="C284" t="s">
        <v>509</v>
      </c>
      <c r="D284">
        <f>HYPERLINK("http://www.reserveamerica.com/camping/marion-mountain/r/facilityDetails.do?contractCode=NRSO&amp;parkId=70178", "MARION MOUNTAIN")</f>
        <v>0</v>
      </c>
      <c r="E284">
        <v>33.7916667</v>
      </c>
      <c r="F284">
        <v>-116.7319444</v>
      </c>
      <c r="G284" t="s">
        <v>791</v>
      </c>
      <c r="I284" t="s">
        <v>505</v>
      </c>
      <c r="J284">
        <f>HYPERLINK("http://maps.google.com/maps?z=10&amp;t=m&amp;q=loc:33.7916667+-116.7319444", 610)</f>
        <v>0</v>
      </c>
      <c r="K284">
        <v>128</v>
      </c>
      <c r="L284">
        <v>10</v>
      </c>
      <c r="M284">
        <v>0</v>
      </c>
      <c r="N284">
        <v>10</v>
      </c>
      <c r="O284">
        <v>10</v>
      </c>
    </row>
    <row r="285" spans="1:15">
      <c r="A285" s="1" t="s">
        <v>297</v>
      </c>
      <c r="B285" t="s">
        <v>504</v>
      </c>
      <c r="C285" t="s">
        <v>509</v>
      </c>
      <c r="D285">
        <f>HYPERLINK("http://www.reserveamerica.com/camping/mary-smith-campground/r/facilityDetails.do?contractCode=NRSO&amp;parkId=72375", "MARY SMITH CAMPGROUND")</f>
        <v>0</v>
      </c>
      <c r="E285">
        <v>40.9261111</v>
      </c>
      <c r="F285">
        <v>-122.9152778</v>
      </c>
      <c r="G285" t="s">
        <v>792</v>
      </c>
      <c r="I285" t="s">
        <v>505</v>
      </c>
      <c r="J285">
        <f>HYPERLINK("http://maps.google.com/maps?z=10&amp;t=m&amp;q=loc:40.9261111+-122.9152778", 409)</f>
        <v>0</v>
      </c>
      <c r="K285">
        <v>348</v>
      </c>
      <c r="L285">
        <v>11</v>
      </c>
      <c r="M285">
        <v>0</v>
      </c>
      <c r="N285">
        <v>11</v>
      </c>
      <c r="O285">
        <v>11</v>
      </c>
    </row>
    <row r="286" spans="1:15">
      <c r="A286" s="1" t="s">
        <v>298</v>
      </c>
      <c r="B286" t="s">
        <v>505</v>
      </c>
      <c r="C286" t="s">
        <v>510</v>
      </c>
      <c r="D286">
        <f>HYPERLINK("http://www.reserveamerica.com/camping/mcarthurburney-falls-mem-sp/r/facilityDetails.do?contractCode=CA&amp;parkId=120054", "MCARTHUR-BURNEY FALLS MEM SP")</f>
        <v>0</v>
      </c>
      <c r="E286">
        <v>41.0188889</v>
      </c>
      <c r="F286">
        <v>-121.6502778</v>
      </c>
      <c r="G286" t="s">
        <v>793</v>
      </c>
      <c r="I286" t="s">
        <v>505</v>
      </c>
      <c r="J286">
        <f>HYPERLINK("http://maps.google.com/maps?z=10&amp;t=m&amp;q=loc:41.0188889+-121.6502778", 410)</f>
        <v>0</v>
      </c>
      <c r="K286">
        <v>2</v>
      </c>
      <c r="L286">
        <v>0</v>
      </c>
      <c r="M286">
        <v>0</v>
      </c>
      <c r="N286">
        <v>0</v>
      </c>
      <c r="O286">
        <v>0</v>
      </c>
    </row>
    <row r="287" spans="1:15">
      <c r="A287" s="1" t="s">
        <v>299</v>
      </c>
      <c r="B287" t="s">
        <v>505</v>
      </c>
      <c r="C287" t="s">
        <v>510</v>
      </c>
      <c r="D287">
        <f>HYPERLINK("http://www.reserveamerica.com/camping/mcconnell-sra/r/facilityDetails.do?contractCode=CA&amp;parkId=120055", "MCCONNELL SRA")</f>
        <v>0</v>
      </c>
      <c r="E287">
        <v>37.4152778</v>
      </c>
      <c r="F287">
        <v>-120.71</v>
      </c>
      <c r="G287" t="s">
        <v>794</v>
      </c>
      <c r="I287" t="s">
        <v>505</v>
      </c>
      <c r="J287">
        <f>HYPERLINK("http://maps.google.com/maps?z=10&amp;t=m&amp;q=loc:37.4152778+-120.71", 106)</f>
        <v>0</v>
      </c>
      <c r="K287">
        <v>84</v>
      </c>
      <c r="L287">
        <v>19</v>
      </c>
      <c r="M287">
        <v>1</v>
      </c>
      <c r="N287">
        <v>18</v>
      </c>
      <c r="O287">
        <v>18</v>
      </c>
    </row>
    <row r="288" spans="1:15">
      <c r="A288" s="1" t="s">
        <v>300</v>
      </c>
      <c r="B288" t="s">
        <v>504</v>
      </c>
      <c r="C288" t="s">
        <v>509</v>
      </c>
      <c r="D288">
        <f>HYPERLINK("http://www.reserveamerica.com/camping/mcgee-creek/r/facilityDetails.do?contractCode=NRSO&amp;parkId=70520", "MCGEE CREEK")</f>
        <v>0</v>
      </c>
      <c r="E288">
        <v>37.5644444</v>
      </c>
      <c r="F288">
        <v>-118.7847222</v>
      </c>
      <c r="G288" t="s">
        <v>795</v>
      </c>
      <c r="I288" t="s">
        <v>505</v>
      </c>
      <c r="J288">
        <f>HYPERLINK("http://maps.google.com/maps?z=10&amp;t=m&amp;q=loc:37.5644444+-118.7847222", 276)</f>
        <v>0</v>
      </c>
      <c r="K288">
        <v>83</v>
      </c>
      <c r="L288">
        <v>15</v>
      </c>
      <c r="M288">
        <v>0</v>
      </c>
      <c r="N288">
        <v>15</v>
      </c>
      <c r="O288">
        <v>15</v>
      </c>
    </row>
    <row r="289" spans="1:15">
      <c r="A289" s="1" t="s">
        <v>301</v>
      </c>
      <c r="B289" t="s">
        <v>504</v>
      </c>
      <c r="C289" t="s">
        <v>509</v>
      </c>
      <c r="D289">
        <f>HYPERLINK("http://www.reserveamerica.com/camping/mcgill-campground/r/facilityDetails.do?contractCode=NRSO&amp;parkId=70166", "MCGILL CAMPGROUND")</f>
        <v>0</v>
      </c>
      <c r="E289">
        <v>34.8155556</v>
      </c>
      <c r="F289">
        <v>-119.0983333</v>
      </c>
      <c r="G289" t="s">
        <v>796</v>
      </c>
      <c r="I289" t="s">
        <v>505</v>
      </c>
      <c r="J289">
        <f>HYPERLINK("http://maps.google.com/maps?z=10&amp;t=m&amp;q=loc:34.8155556+-119.0983333", 376)</f>
        <v>0</v>
      </c>
      <c r="K289">
        <v>137</v>
      </c>
      <c r="L289">
        <v>1</v>
      </c>
      <c r="M289">
        <v>0</v>
      </c>
      <c r="N289">
        <v>1</v>
      </c>
      <c r="O289">
        <v>1</v>
      </c>
    </row>
    <row r="290" spans="1:15">
      <c r="A290" s="1" t="s">
        <v>302</v>
      </c>
      <c r="B290" t="s">
        <v>505</v>
      </c>
      <c r="C290" t="s">
        <v>510</v>
      </c>
      <c r="D290">
        <f>HYPERLINK("http://www.reserveamerica.com/camping/mcgrath-sb/r/facilityDetails.do?contractCode=CA&amp;parkId=120056", "MCGRATH SB")</f>
        <v>0</v>
      </c>
      <c r="E290">
        <v>34.2263889</v>
      </c>
      <c r="F290">
        <v>-119.2613889</v>
      </c>
      <c r="G290" t="s">
        <v>797</v>
      </c>
      <c r="I290" t="s">
        <v>505</v>
      </c>
      <c r="J290">
        <f>HYPERLINK("http://maps.google.com/maps?z=10&amp;t=m&amp;q=loc:34.2263889+-119.2613889", 419)</f>
        <v>0</v>
      </c>
      <c r="K290">
        <v>144</v>
      </c>
      <c r="L290">
        <v>0</v>
      </c>
      <c r="M290">
        <v>0</v>
      </c>
      <c r="N290">
        <v>0</v>
      </c>
      <c r="O290">
        <v>0</v>
      </c>
    </row>
    <row r="291" spans="1:15">
      <c r="A291" s="1" t="s">
        <v>303</v>
      </c>
      <c r="B291" t="s">
        <v>504</v>
      </c>
      <c r="C291" t="s">
        <v>509</v>
      </c>
      <c r="D291">
        <f>HYPERLINK("http://www.reserveamerica.com/camping/meeks-bay/r/facilityDetails.do?contractCode=NRSO&amp;parkId=71664", "MEEKS BAY")</f>
        <v>0</v>
      </c>
      <c r="E291">
        <v>39.0377778</v>
      </c>
      <c r="F291">
        <v>-120.1236111</v>
      </c>
      <c r="G291" t="s">
        <v>798</v>
      </c>
      <c r="I291" t="s">
        <v>505</v>
      </c>
      <c r="J291">
        <f>HYPERLINK("http://maps.google.com/maps?z=10&amp;t=m&amp;q=loc:39.0377778+-120.1236111", 245)</f>
        <v>0</v>
      </c>
      <c r="K291">
        <v>38</v>
      </c>
      <c r="L291">
        <v>5</v>
      </c>
      <c r="M291">
        <v>0</v>
      </c>
      <c r="N291">
        <v>5</v>
      </c>
      <c r="O291">
        <v>5</v>
      </c>
    </row>
    <row r="292" spans="1:15">
      <c r="A292" s="1" t="s">
        <v>304</v>
      </c>
      <c r="B292" t="s">
        <v>504</v>
      </c>
      <c r="C292" t="s">
        <v>509</v>
      </c>
      <c r="D292">
        <f>HYPERLINK("http://www.reserveamerica.com/camping/merrill-campground/r/facilityDetails.do?contractCode=NRSO&amp;parkId=71706", "MERRILL CAMPGROUND")</f>
        <v>0</v>
      </c>
      <c r="E292">
        <v>40.5481194</v>
      </c>
      <c r="F292">
        <v>-120.8120056</v>
      </c>
      <c r="G292" t="s">
        <v>799</v>
      </c>
      <c r="I292" t="s">
        <v>505</v>
      </c>
      <c r="J292">
        <f>HYPERLINK("http://maps.google.com/maps?z=10&amp;t=m&amp;q=loc:40.5481194+-120.8120056", 370)</f>
        <v>0</v>
      </c>
      <c r="K292">
        <v>14</v>
      </c>
      <c r="L292">
        <v>0</v>
      </c>
      <c r="M292">
        <v>0</v>
      </c>
      <c r="N292">
        <v>0</v>
      </c>
      <c r="O292">
        <v>0</v>
      </c>
    </row>
    <row r="293" spans="1:15">
      <c r="A293" s="1" t="s">
        <v>305</v>
      </c>
      <c r="B293" t="s">
        <v>504</v>
      </c>
      <c r="C293" t="s">
        <v>509</v>
      </c>
      <c r="D293">
        <f>HYPERLINK("http://www.reserveamerica.com/camping/middle-meadows/r/facilityDetails.do?contractCode=NRSO&amp;parkId=70151", "MIDDLE MEADOWS")</f>
        <v>0</v>
      </c>
      <c r="E293">
        <v>39.0511111</v>
      </c>
      <c r="F293">
        <v>-120.4661111</v>
      </c>
      <c r="G293" t="s">
        <v>800</v>
      </c>
      <c r="I293" t="s">
        <v>505</v>
      </c>
      <c r="J293">
        <f>HYPERLINK("http://maps.google.com/maps?z=10&amp;t=m&amp;q=loc:39.0511111+-120.4661111", 229)</f>
        <v>0</v>
      </c>
      <c r="K293">
        <v>32</v>
      </c>
      <c r="L293">
        <v>0</v>
      </c>
      <c r="M293">
        <v>0</v>
      </c>
      <c r="N293">
        <v>0</v>
      </c>
      <c r="O293">
        <v>0</v>
      </c>
    </row>
    <row r="294" spans="1:15">
      <c r="A294" s="1" t="s">
        <v>306</v>
      </c>
      <c r="B294" t="s">
        <v>505</v>
      </c>
      <c r="C294" t="s">
        <v>510</v>
      </c>
      <c r="D294">
        <f>HYPERLINK("http://www.reserveamerica.com/camping/millerton-lake-sra/r/facilityDetails.do?contractCode=CA&amp;parkId=120057", "MILLERTON LAKE SRA")</f>
        <v>0</v>
      </c>
      <c r="E294">
        <v>37.0202778</v>
      </c>
      <c r="F294">
        <v>-119.6669444</v>
      </c>
      <c r="G294" t="s">
        <v>801</v>
      </c>
      <c r="I294" t="s">
        <v>505</v>
      </c>
      <c r="J294">
        <f>HYPERLINK("http://maps.google.com/maps?z=10&amp;t=m&amp;q=loc:37.0202778+-119.6669444", 201)</f>
        <v>0</v>
      </c>
      <c r="K294">
        <v>99</v>
      </c>
      <c r="L294">
        <v>133</v>
      </c>
      <c r="M294">
        <v>7</v>
      </c>
      <c r="N294">
        <v>126</v>
      </c>
      <c r="O294">
        <v>126</v>
      </c>
    </row>
    <row r="295" spans="1:15">
      <c r="A295" s="1" t="s">
        <v>307</v>
      </c>
      <c r="B295" t="s">
        <v>504</v>
      </c>
      <c r="C295" t="s">
        <v>509</v>
      </c>
      <c r="D295">
        <f>HYPERLINK("http://www.reserveamerica.com/camping/minersville-campground/r/facilityDetails.do?contractCode=NRSO&amp;parkId=72378", "MINERSVILLE CAMPGROUND")</f>
        <v>0</v>
      </c>
      <c r="E295">
        <v>40.8516667</v>
      </c>
      <c r="F295">
        <v>-122.8113889</v>
      </c>
      <c r="G295" t="s">
        <v>802</v>
      </c>
      <c r="I295" t="s">
        <v>505</v>
      </c>
      <c r="J295">
        <f>HYPERLINK("http://maps.google.com/maps?z=10&amp;t=m&amp;q=loc:40.8516667+-122.8113889", 399)</f>
        <v>0</v>
      </c>
      <c r="K295">
        <v>349</v>
      </c>
      <c r="L295">
        <v>0</v>
      </c>
      <c r="M295">
        <v>0</v>
      </c>
      <c r="N295">
        <v>0</v>
      </c>
      <c r="O295">
        <v>0</v>
      </c>
    </row>
    <row r="296" spans="1:15">
      <c r="A296" s="1" t="s">
        <v>308</v>
      </c>
      <c r="B296" t="s">
        <v>508</v>
      </c>
      <c r="C296" t="s">
        <v>511</v>
      </c>
      <c r="D296">
        <f>HYPERLINK("http://www.reserveamerica.com/camping/modesto-reservoir-regional-park/r/facilityDetails.do?contractCode=STAN&amp;parkId=1040011", "MODESTO RESERVOIR REGIONAL PARK")</f>
        <v>0</v>
      </c>
      <c r="E296">
        <v>37.6597222</v>
      </c>
      <c r="F296">
        <v>-120.6555556</v>
      </c>
      <c r="G296" t="s">
        <v>803</v>
      </c>
      <c r="H296" t="s">
        <v>1000</v>
      </c>
      <c r="I296" t="s">
        <v>505</v>
      </c>
      <c r="J296">
        <f>HYPERLINK("http://maps.google.com/maps?z=10&amp;t=m&amp;q=loc:37.6597222+-120.6555556", 116)</f>
        <v>0</v>
      </c>
      <c r="K296">
        <v>71</v>
      </c>
      <c r="L296">
        <v>78</v>
      </c>
      <c r="M296">
        <v>2</v>
      </c>
      <c r="N296">
        <v>76</v>
      </c>
      <c r="O296">
        <v>76</v>
      </c>
    </row>
    <row r="297" spans="1:15">
      <c r="A297" s="1" t="s">
        <v>309</v>
      </c>
      <c r="B297" t="s">
        <v>504</v>
      </c>
      <c r="C297" t="s">
        <v>509</v>
      </c>
      <c r="D297">
        <f>HYPERLINK("http://www.reserveamerica.com/camping/mono-creek/r/facilityDetails.do?contractCode=NRSO&amp;parkId=71582", "MONO CREEK")</f>
        <v>0</v>
      </c>
      <c r="E297">
        <v>37.3586111</v>
      </c>
      <c r="F297">
        <v>-118.9975</v>
      </c>
      <c r="G297" t="s">
        <v>804</v>
      </c>
      <c r="I297" t="s">
        <v>505</v>
      </c>
      <c r="J297">
        <f>HYPERLINK("http://maps.google.com/maps?z=10&amp;t=m&amp;q=loc:37.3586111+-118.9975", 256)</f>
        <v>0</v>
      </c>
      <c r="K297">
        <v>88</v>
      </c>
      <c r="L297">
        <v>11</v>
      </c>
      <c r="M297">
        <v>0</v>
      </c>
      <c r="N297">
        <v>11</v>
      </c>
      <c r="O297">
        <v>11</v>
      </c>
    </row>
    <row r="298" spans="1:15">
      <c r="A298" s="1" t="s">
        <v>310</v>
      </c>
      <c r="B298" t="s">
        <v>504</v>
      </c>
      <c r="C298" t="s">
        <v>509</v>
      </c>
      <c r="D298">
        <f>HYPERLINK("http://www.reserveamerica.com/camping/mono-hot-springs/r/facilityDetails.do?contractCode=NRSO&amp;parkId=71583", "MONO HOT SPRINGS")</f>
        <v>0</v>
      </c>
      <c r="E298">
        <v>37.3263889</v>
      </c>
      <c r="F298">
        <v>-119.0177778</v>
      </c>
      <c r="G298" t="s">
        <v>805</v>
      </c>
      <c r="I298" t="s">
        <v>505</v>
      </c>
      <c r="J298">
        <f>HYPERLINK("http://maps.google.com/maps?z=10&amp;t=m&amp;q=loc:37.3263889+-119.0177778", 255)</f>
        <v>0</v>
      </c>
      <c r="K298">
        <v>89</v>
      </c>
      <c r="L298">
        <v>4</v>
      </c>
      <c r="M298">
        <v>0</v>
      </c>
      <c r="N298">
        <v>4</v>
      </c>
      <c r="O298">
        <v>4</v>
      </c>
    </row>
    <row r="299" spans="1:15">
      <c r="A299" s="1" t="s">
        <v>311</v>
      </c>
      <c r="B299" t="s">
        <v>505</v>
      </c>
      <c r="C299" t="s">
        <v>510</v>
      </c>
      <c r="D299">
        <f>HYPERLINK("http://www.reserveamerica.com/camping/montana-de-oro-sp/r/facilityDetails.do?contractCode=CA&amp;parkId=120058", "MONTANA DE ORO SP")</f>
        <v>0</v>
      </c>
      <c r="E299">
        <v>35.2638889</v>
      </c>
      <c r="F299">
        <v>-120.8622222</v>
      </c>
      <c r="G299" t="s">
        <v>806</v>
      </c>
      <c r="I299" t="s">
        <v>505</v>
      </c>
      <c r="J299">
        <f>HYPERLINK("http://maps.google.com/maps?z=10&amp;t=m&amp;q=loc:35.2638889+-120.8622222", 247)</f>
        <v>0</v>
      </c>
      <c r="K299">
        <v>157</v>
      </c>
      <c r="L299">
        <v>3</v>
      </c>
      <c r="M299">
        <v>3</v>
      </c>
      <c r="N299">
        <v>0</v>
      </c>
      <c r="O299">
        <v>0</v>
      </c>
    </row>
    <row r="300" spans="1:15">
      <c r="A300" s="1" t="s">
        <v>312</v>
      </c>
      <c r="B300" t="s">
        <v>504</v>
      </c>
      <c r="C300" t="s">
        <v>509</v>
      </c>
      <c r="D300">
        <f>HYPERLINK("http://www.reserveamerica.com/camping/moore-creek/r/facilityDetails.do?contractCode=NRSO&amp;parkId=71524", "MOORE CREEK")</f>
        <v>0</v>
      </c>
      <c r="E300">
        <v>40.8838889</v>
      </c>
      <c r="F300">
        <v>-122.2177778</v>
      </c>
      <c r="G300" t="s">
        <v>807</v>
      </c>
      <c r="I300" t="s">
        <v>505</v>
      </c>
      <c r="J300">
        <f>HYPERLINK("http://maps.google.com/maps?z=10&amp;t=m&amp;q=loc:40.8838889+-122.2177778", 396)</f>
        <v>0</v>
      </c>
      <c r="K300">
        <v>356</v>
      </c>
      <c r="L300">
        <v>0</v>
      </c>
      <c r="M300">
        <v>0</v>
      </c>
      <c r="N300">
        <v>0</v>
      </c>
      <c r="O300">
        <v>0</v>
      </c>
    </row>
    <row r="301" spans="1:15">
      <c r="A301" s="1" t="s">
        <v>313</v>
      </c>
      <c r="B301" t="s">
        <v>506</v>
      </c>
      <c r="C301" t="s">
        <v>511</v>
      </c>
      <c r="D301">
        <f>HYPERLINK("http://www.reserveamerica.com/camping/morgan-territory-regional-preserve/r/facilityDetails.do?contractCode=EB&amp;parkId=110456", "Morgan Territory Regional Preserve")</f>
        <v>0</v>
      </c>
      <c r="E301">
        <v>37.8191667</v>
      </c>
      <c r="F301">
        <v>-121.7955556</v>
      </c>
      <c r="G301" t="s">
        <v>808</v>
      </c>
      <c r="I301" t="s">
        <v>505</v>
      </c>
      <c r="J301">
        <f>HYPERLINK("http://maps.google.com/maps?z=10&amp;t=m&amp;q=loc:37.8191667+-121.7955556", 55)</f>
        <v>0</v>
      </c>
      <c r="K301">
        <v>10</v>
      </c>
      <c r="L301">
        <v>0</v>
      </c>
      <c r="M301">
        <v>0</v>
      </c>
      <c r="N301">
        <v>0</v>
      </c>
      <c r="O301">
        <v>0</v>
      </c>
    </row>
    <row r="302" spans="1:15">
      <c r="A302" s="1" t="s">
        <v>314</v>
      </c>
      <c r="B302" t="s">
        <v>505</v>
      </c>
      <c r="C302" t="s">
        <v>510</v>
      </c>
      <c r="D302">
        <f>HYPERLINK("http://www.reserveamerica.com/camping/morro-bay-sp/r/facilityDetails.do?contractCode=CA&amp;parkId=120059", "MORRO BAY SP")</f>
        <v>0</v>
      </c>
      <c r="E302">
        <v>35.3538889</v>
      </c>
      <c r="F302">
        <v>-120.8316667</v>
      </c>
      <c r="G302" t="s">
        <v>809</v>
      </c>
      <c r="I302" t="s">
        <v>505</v>
      </c>
      <c r="J302">
        <f>HYPERLINK("http://maps.google.com/maps?z=10&amp;t=m&amp;q=loc:35.3538889+-120.8316667", 239)</f>
        <v>0</v>
      </c>
      <c r="K302">
        <v>156</v>
      </c>
      <c r="L302">
        <v>0</v>
      </c>
      <c r="M302">
        <v>0</v>
      </c>
      <c r="N302">
        <v>0</v>
      </c>
      <c r="O302">
        <v>0</v>
      </c>
    </row>
    <row r="303" spans="1:15">
      <c r="A303" s="1" t="s">
        <v>315</v>
      </c>
      <c r="B303" t="s">
        <v>505</v>
      </c>
      <c r="C303" t="s">
        <v>510</v>
      </c>
      <c r="D303">
        <f>HYPERLINK("http://www.reserveamerica.com/camping/morro-strand-sb/r/facilityDetails.do?contractCode=CA&amp;parkId=120060", "MORRO STRAND SB")</f>
        <v>0</v>
      </c>
      <c r="E303">
        <v>35.4277778</v>
      </c>
      <c r="F303">
        <v>-120.8819444</v>
      </c>
      <c r="G303" t="s">
        <v>810</v>
      </c>
      <c r="I303" t="s">
        <v>505</v>
      </c>
      <c r="J303">
        <f>HYPERLINK("http://maps.google.com/maps?z=10&amp;t=m&amp;q=loc:35.4277778+-120.8819444", 230)</f>
        <v>0</v>
      </c>
      <c r="K303">
        <v>156</v>
      </c>
      <c r="L303">
        <v>14</v>
      </c>
      <c r="M303">
        <v>0</v>
      </c>
      <c r="N303">
        <v>14</v>
      </c>
      <c r="O303">
        <v>14</v>
      </c>
    </row>
    <row r="304" spans="1:15">
      <c r="A304" s="1" t="s">
        <v>316</v>
      </c>
      <c r="B304" t="s">
        <v>504</v>
      </c>
      <c r="C304" t="s">
        <v>509</v>
      </c>
      <c r="D304">
        <f>HYPERLINK("http://www.reserveamerica.com/camping/mount-rose-nv/r/facilityDetails.do?contractCode=NRSO&amp;parkId=70459", "MOUNT ROSE (NV)")</f>
        <v>0</v>
      </c>
      <c r="E304">
        <v>39.3122778</v>
      </c>
      <c r="F304">
        <v>-119.8973611</v>
      </c>
      <c r="G304" t="s">
        <v>811</v>
      </c>
      <c r="I304" t="s">
        <v>505</v>
      </c>
      <c r="J304">
        <f>HYPERLINK("http://maps.google.com/maps?z=10&amp;t=m&amp;q=loc:39.3122778+-119.8973611", 281)</f>
        <v>0</v>
      </c>
      <c r="K304">
        <v>37</v>
      </c>
      <c r="L304">
        <v>0</v>
      </c>
      <c r="M304">
        <v>0</v>
      </c>
      <c r="N304">
        <v>0</v>
      </c>
      <c r="O304">
        <v>0</v>
      </c>
    </row>
    <row r="305" spans="1:15">
      <c r="A305" s="1" t="s">
        <v>317</v>
      </c>
      <c r="B305" t="s">
        <v>505</v>
      </c>
      <c r="C305" t="s">
        <v>510</v>
      </c>
      <c r="D305">
        <f>HYPERLINK("http://www.reserveamerica.com/camping/mount-tamalpais-sp/r/facilityDetails.do?contractCode=CA&amp;parkId=120063", "MOUNT TAMALPAIS SP")</f>
        <v>0</v>
      </c>
      <c r="E305">
        <v>37.9038889</v>
      </c>
      <c r="F305">
        <v>-122.595</v>
      </c>
      <c r="G305" t="s">
        <v>812</v>
      </c>
      <c r="I305" t="s">
        <v>505</v>
      </c>
      <c r="J305">
        <f>HYPERLINK("http://maps.google.com/maps?z=10&amp;t=m&amp;q=loc:37.9038889+-122.595", 88)</f>
        <v>0</v>
      </c>
      <c r="K305">
        <v>316</v>
      </c>
      <c r="L305">
        <v>0</v>
      </c>
      <c r="M305">
        <v>0</v>
      </c>
      <c r="N305">
        <v>0</v>
      </c>
      <c r="O305">
        <v>0</v>
      </c>
    </row>
    <row r="306" spans="1:15">
      <c r="A306" s="1" t="s">
        <v>318</v>
      </c>
      <c r="B306" t="s">
        <v>504</v>
      </c>
      <c r="C306" t="s">
        <v>509</v>
      </c>
      <c r="D306">
        <f>HYPERLINK("http://www.reserveamerica.com/camping/mountain-oak/r/facilityDetails.do?contractCode=NRSO&amp;parkId=73583", "MOUNTAIN OAK")</f>
        <v>0</v>
      </c>
      <c r="E306">
        <v>34.3947222</v>
      </c>
      <c r="F306">
        <v>-117.7294444</v>
      </c>
      <c r="G306" t="s">
        <v>813</v>
      </c>
      <c r="I306" t="s">
        <v>505</v>
      </c>
      <c r="J306">
        <f>HYPERLINK("http://maps.google.com/maps?z=10&amp;t=m&amp;q=loc:34.3947222+-117.7294444", 497)</f>
        <v>0</v>
      </c>
      <c r="K306">
        <v>129</v>
      </c>
      <c r="L306">
        <v>4</v>
      </c>
      <c r="M306">
        <v>0</v>
      </c>
      <c r="N306">
        <v>4</v>
      </c>
      <c r="O306">
        <v>4</v>
      </c>
    </row>
    <row r="307" spans="1:15">
      <c r="A307" s="1" t="s">
        <v>319</v>
      </c>
      <c r="B307" t="s">
        <v>505</v>
      </c>
      <c r="C307" t="s">
        <v>510</v>
      </c>
      <c r="D307">
        <f>HYPERLINK("http://www.reserveamerica.com/camping/mt-diablo-sp/r/facilityDetails.do?contractCode=CA&amp;parkId=120061", "MT. DIABLO SP")</f>
        <v>0</v>
      </c>
      <c r="E307">
        <v>37.8627778</v>
      </c>
      <c r="F307">
        <v>-121.93</v>
      </c>
      <c r="G307" t="s">
        <v>814</v>
      </c>
      <c r="I307" t="s">
        <v>505</v>
      </c>
      <c r="J307">
        <f>HYPERLINK("http://maps.google.com/maps?z=10&amp;t=m&amp;q=loc:37.8627778+-121.93", 59)</f>
        <v>0</v>
      </c>
      <c r="K307">
        <v>357</v>
      </c>
      <c r="L307">
        <v>0</v>
      </c>
      <c r="M307">
        <v>0</v>
      </c>
      <c r="N307">
        <v>0</v>
      </c>
      <c r="O307">
        <v>0</v>
      </c>
    </row>
    <row r="308" spans="1:15">
      <c r="A308" s="1" t="s">
        <v>320</v>
      </c>
      <c r="B308" t="s">
        <v>505</v>
      </c>
      <c r="C308" t="s">
        <v>510</v>
      </c>
      <c r="D308">
        <f>HYPERLINK("http://www.reserveamerica.com/camping/mt-san-jacinto-sp/r/facilityDetails.do?contractCode=CA&amp;parkId=120062", "MT. SAN JACINTO SP")</f>
        <v>0</v>
      </c>
      <c r="E308">
        <v>33.8102778</v>
      </c>
      <c r="F308">
        <v>-116.675</v>
      </c>
      <c r="G308" t="s">
        <v>815</v>
      </c>
      <c r="I308" t="s">
        <v>505</v>
      </c>
      <c r="J308">
        <f>HYPERLINK("http://maps.google.com/maps?z=10&amp;t=m&amp;q=loc:33.8102778+-116.675", 613)</f>
        <v>0</v>
      </c>
      <c r="K308">
        <v>128</v>
      </c>
      <c r="L308">
        <v>11</v>
      </c>
      <c r="M308">
        <v>4</v>
      </c>
      <c r="N308">
        <v>7</v>
      </c>
      <c r="O308">
        <v>7</v>
      </c>
    </row>
    <row r="309" spans="1:15">
      <c r="A309" s="1" t="s">
        <v>321</v>
      </c>
      <c r="B309" t="s">
        <v>504</v>
      </c>
      <c r="C309" t="s">
        <v>509</v>
      </c>
      <c r="D309">
        <f>HYPERLINK("http://www.reserveamerica.com/camping/nelson-point/r/facilityDetails.do?contractCode=NRSO&amp;parkId=71525", "NELSON POINT")</f>
        <v>0</v>
      </c>
      <c r="E309">
        <v>40.8483333</v>
      </c>
      <c r="F309">
        <v>-122.3458333</v>
      </c>
      <c r="G309" t="s">
        <v>816</v>
      </c>
      <c r="I309" t="s">
        <v>505</v>
      </c>
      <c r="J309">
        <f>HYPERLINK("http://maps.google.com/maps?z=10&amp;t=m&amp;q=loc:40.8483333+-122.3458333", 393)</f>
        <v>0</v>
      </c>
      <c r="K309">
        <v>354</v>
      </c>
      <c r="L309">
        <v>0</v>
      </c>
      <c r="M309">
        <v>0</v>
      </c>
      <c r="N309">
        <v>0</v>
      </c>
      <c r="O309">
        <v>0</v>
      </c>
    </row>
    <row r="310" spans="1:15">
      <c r="A310" s="1" t="s">
        <v>322</v>
      </c>
      <c r="B310" t="s">
        <v>504</v>
      </c>
      <c r="C310" t="s">
        <v>509</v>
      </c>
      <c r="D310">
        <f>HYPERLINK("http://www.reserveamerica.com/camping/nevada-beach-campground-and-day-use-pavilion/r/facilityDetails.do?contractCode=NRSO&amp;parkId=71530", "Nevada Beach Campground and Day Use Pavilion")</f>
        <v>0</v>
      </c>
      <c r="E310">
        <v>38.9819444</v>
      </c>
      <c r="F310">
        <v>-119.9486111</v>
      </c>
      <c r="G310" t="s">
        <v>817</v>
      </c>
      <c r="H310" t="s">
        <v>998</v>
      </c>
      <c r="I310" t="s">
        <v>505</v>
      </c>
      <c r="J310">
        <f>HYPERLINK("http://maps.google.com/maps?z=10&amp;t=m&amp;q=loc:38.9819444+-119.9486111", 251)</f>
        <v>0</v>
      </c>
      <c r="K310">
        <v>42</v>
      </c>
      <c r="L310">
        <v>0</v>
      </c>
      <c r="M310">
        <v>0</v>
      </c>
      <c r="N310">
        <v>0</v>
      </c>
      <c r="O310">
        <v>0</v>
      </c>
    </row>
    <row r="311" spans="1:15">
      <c r="A311" s="1" t="s">
        <v>323</v>
      </c>
      <c r="B311" t="s">
        <v>505</v>
      </c>
      <c r="C311" t="s">
        <v>510</v>
      </c>
      <c r="D311">
        <f>HYPERLINK("http://www.reserveamerica.com/camping/new-brighton-sb/r/facilityDetails.do?contractCode=CA&amp;parkId=120064", "NEW BRIGHTON SB")</f>
        <v>0</v>
      </c>
      <c r="E311">
        <v>36.9786111</v>
      </c>
      <c r="F311">
        <v>-121.9347222</v>
      </c>
      <c r="G311" t="s">
        <v>818</v>
      </c>
      <c r="I311" t="s">
        <v>505</v>
      </c>
      <c r="J311">
        <f>HYPERLINK("http://maps.google.com/maps?z=10&amp;t=m&amp;q=loc:36.9786111+-121.9347222", 38)</f>
        <v>0</v>
      </c>
      <c r="K311">
        <v>183</v>
      </c>
      <c r="L311">
        <v>0</v>
      </c>
      <c r="M311">
        <v>0</v>
      </c>
      <c r="N311">
        <v>0</v>
      </c>
      <c r="O311">
        <v>0</v>
      </c>
    </row>
    <row r="312" spans="1:15">
      <c r="A312" s="1" t="s">
        <v>324</v>
      </c>
      <c r="B312" t="s">
        <v>504</v>
      </c>
      <c r="C312" t="s">
        <v>509</v>
      </c>
      <c r="D312">
        <f>HYPERLINK("http://www.reserveamerica.com/camping/new-shady-rest-campground/r/facilityDetails.do?contractCode=NRSO&amp;parkId=73771", "NEW SHADY REST CAMPGROUND")</f>
        <v>0</v>
      </c>
      <c r="E312">
        <v>37.65</v>
      </c>
      <c r="F312">
        <v>-118.9591667</v>
      </c>
      <c r="G312" t="s">
        <v>819</v>
      </c>
      <c r="I312" t="s">
        <v>505</v>
      </c>
      <c r="J312">
        <f>HYPERLINK("http://maps.google.com/maps?z=10&amp;t=m&amp;q=loc:37.65+-118.9591667", 262)</f>
        <v>0</v>
      </c>
      <c r="K312">
        <v>81</v>
      </c>
      <c r="L312">
        <v>67</v>
      </c>
      <c r="M312">
        <v>0</v>
      </c>
      <c r="N312">
        <v>67</v>
      </c>
      <c r="O312">
        <v>67</v>
      </c>
    </row>
    <row r="313" spans="1:15">
      <c r="A313" s="1" t="s">
        <v>325</v>
      </c>
      <c r="B313" t="s">
        <v>504</v>
      </c>
      <c r="C313" t="s">
        <v>509</v>
      </c>
      <c r="D313">
        <f>HYPERLINK("http://www.reserveamerica.com/camping/nordheimer-group-sites/r/facilityDetails.do?contractCode=NRSO&amp;parkId=75212", "NORDHEIMER GROUP SITES")</f>
        <v>0</v>
      </c>
      <c r="E313">
        <v>41.2986111</v>
      </c>
      <c r="F313">
        <v>-123.3638889</v>
      </c>
      <c r="G313" t="s">
        <v>820</v>
      </c>
      <c r="I313" t="s">
        <v>505</v>
      </c>
      <c r="J313">
        <f>HYPERLINK("http://maps.google.com/maps?z=10&amp;t=m&amp;q=loc:41.2986111+-123.3638889", 458)</f>
        <v>0</v>
      </c>
      <c r="K313">
        <v>344</v>
      </c>
      <c r="L313">
        <v>4</v>
      </c>
      <c r="M313">
        <v>0</v>
      </c>
      <c r="N313">
        <v>4</v>
      </c>
      <c r="O313">
        <v>4</v>
      </c>
    </row>
    <row r="314" spans="1:15">
      <c r="A314" s="1" t="s">
        <v>326</v>
      </c>
      <c r="B314" t="s">
        <v>504</v>
      </c>
      <c r="C314" t="s">
        <v>509</v>
      </c>
      <c r="D314">
        <f>HYPERLINK("http://www.reserveamerica.com/camping/north-fork-ca/r/facilityDetails.do?contractCode=NRSO&amp;parkId=75481", "NORTH FORK (CA)")</f>
        <v>0</v>
      </c>
      <c r="E314">
        <v>39.2705556</v>
      </c>
      <c r="F314">
        <v>-120.6588889</v>
      </c>
      <c r="G314" t="s">
        <v>821</v>
      </c>
      <c r="I314" t="s">
        <v>505</v>
      </c>
      <c r="J314">
        <f>HYPERLINK("http://maps.google.com/maps?z=10&amp;t=m&amp;q=loc:39.2705556+-120.6588889", 241)</f>
        <v>0</v>
      </c>
      <c r="K314">
        <v>26</v>
      </c>
      <c r="L314">
        <v>5</v>
      </c>
      <c r="M314">
        <v>0</v>
      </c>
      <c r="N314">
        <v>5</v>
      </c>
      <c r="O314">
        <v>5</v>
      </c>
    </row>
    <row r="315" spans="1:15">
      <c r="A315" s="1" t="s">
        <v>327</v>
      </c>
      <c r="B315" t="s">
        <v>504</v>
      </c>
      <c r="C315" t="s">
        <v>509</v>
      </c>
      <c r="D315">
        <f>HYPERLINK("http://www.reserveamerica.com/camping/north-pines/r/facilityDetails.do?contractCode=NRSO&amp;parkId=70927", "NORTH PINES")</f>
        <v>0</v>
      </c>
      <c r="E315">
        <v>37.7419444</v>
      </c>
      <c r="F315">
        <v>-119.5655556</v>
      </c>
      <c r="G315" t="s">
        <v>822</v>
      </c>
      <c r="I315" t="s">
        <v>505</v>
      </c>
      <c r="J315">
        <f>HYPERLINK("http://maps.google.com/maps?z=10&amp;t=m&amp;q=loc:37.7419444+-119.5655556", 211)</f>
        <v>0</v>
      </c>
      <c r="K315">
        <v>76</v>
      </c>
      <c r="L315">
        <v>0</v>
      </c>
      <c r="M315">
        <v>0</v>
      </c>
      <c r="N315">
        <v>0</v>
      </c>
      <c r="O315">
        <v>0</v>
      </c>
    </row>
    <row r="316" spans="1:15">
      <c r="A316" s="1" t="s">
        <v>328</v>
      </c>
      <c r="B316" t="s">
        <v>504</v>
      </c>
      <c r="C316" t="s">
        <v>509</v>
      </c>
      <c r="D316">
        <f>HYPERLINK("http://www.reserveamerica.com/camping/north-shore-ca/r/facilityDetails.do?contractCode=NRSO&amp;parkId=70604", "NORTH SHORE (CA)")</f>
        <v>0</v>
      </c>
      <c r="E316">
        <v>34.2672222</v>
      </c>
      <c r="F316">
        <v>-117.1633333</v>
      </c>
      <c r="G316" t="s">
        <v>823</v>
      </c>
      <c r="I316" t="s">
        <v>505</v>
      </c>
      <c r="J316">
        <f>HYPERLINK("http://maps.google.com/maps?z=10&amp;t=m&amp;q=loc:34.2672222+-117.1633333", 546)</f>
        <v>0</v>
      </c>
      <c r="K316">
        <v>127</v>
      </c>
      <c r="L316">
        <v>20</v>
      </c>
      <c r="M316">
        <v>0</v>
      </c>
      <c r="N316">
        <v>20</v>
      </c>
      <c r="O316">
        <v>20</v>
      </c>
    </row>
    <row r="317" spans="1:15">
      <c r="A317" s="1" t="s">
        <v>329</v>
      </c>
      <c r="B317" t="s">
        <v>504</v>
      </c>
      <c r="C317" t="s">
        <v>509</v>
      </c>
      <c r="D317">
        <f>HYPERLINK("http://www.reserveamerica.com/camping/oak-bottom-campground/r/facilityDetails.do?contractCode=NRSO&amp;parkId=75502", "OAK BOTTOM CAMPGROUND")</f>
        <v>0</v>
      </c>
      <c r="E317">
        <v>41.3772222</v>
      </c>
      <c r="F317">
        <v>-123.4513889</v>
      </c>
      <c r="G317" t="s">
        <v>824</v>
      </c>
      <c r="I317" t="s">
        <v>505</v>
      </c>
      <c r="J317">
        <f>HYPERLINK("http://maps.google.com/maps?z=10&amp;t=m&amp;q=loc:41.3772222+-123.4513889", 469)</f>
        <v>0</v>
      </c>
      <c r="K317">
        <v>344</v>
      </c>
      <c r="L317">
        <v>13</v>
      </c>
      <c r="M317">
        <v>0</v>
      </c>
      <c r="N317">
        <v>13</v>
      </c>
      <c r="O317">
        <v>13</v>
      </c>
    </row>
    <row r="318" spans="1:15">
      <c r="A318" s="1" t="s">
        <v>330</v>
      </c>
      <c r="B318" t="s">
        <v>504</v>
      </c>
      <c r="C318" t="s">
        <v>509</v>
      </c>
      <c r="D318">
        <f>HYPERLINK("http://www.reserveamerica.com/camping/oak-grove-campground/r/facilityDetails.do?contractCode=NRSO&amp;parkId=109083", "OAK GROVE CAMPGROUND")</f>
        <v>0</v>
      </c>
      <c r="E318">
        <v>33.386525</v>
      </c>
      <c r="F318">
        <v>-116.7913694</v>
      </c>
      <c r="G318" t="s">
        <v>825</v>
      </c>
      <c r="I318" t="s">
        <v>505</v>
      </c>
      <c r="J318">
        <f>HYPERLINK("http://maps.google.com/maps?z=10&amp;t=m&amp;q=loc:33.386525+-116.7913694", 637)</f>
        <v>0</v>
      </c>
      <c r="K318">
        <v>131</v>
      </c>
      <c r="L318">
        <v>55</v>
      </c>
      <c r="M318">
        <v>0</v>
      </c>
      <c r="N318">
        <v>55</v>
      </c>
      <c r="O318">
        <v>55</v>
      </c>
    </row>
    <row r="319" spans="1:15">
      <c r="A319" s="1" t="s">
        <v>331</v>
      </c>
      <c r="B319" t="s">
        <v>504</v>
      </c>
      <c r="C319" t="s">
        <v>509</v>
      </c>
      <c r="D319">
        <f>HYPERLINK("http://www.reserveamerica.com/camping/oak-knoll-campground/r/facilityDetails.do?contractCode=NRSO&amp;parkId=73639", "OAK KNOLL CAMPGROUND")</f>
        <v>0</v>
      </c>
      <c r="E319">
        <v>38.18265</v>
      </c>
      <c r="F319">
        <v>-120.8030556</v>
      </c>
      <c r="G319" t="s">
        <v>826</v>
      </c>
      <c r="I319" t="s">
        <v>505</v>
      </c>
      <c r="J319">
        <f>HYPERLINK("http://maps.google.com/maps?z=10&amp;t=m&amp;q=loc:38.18265+-120.8030556", 135)</f>
        <v>0</v>
      </c>
      <c r="K319">
        <v>45</v>
      </c>
      <c r="L319">
        <v>0</v>
      </c>
      <c r="M319">
        <v>0</v>
      </c>
      <c r="N319">
        <v>0</v>
      </c>
      <c r="O319">
        <v>0</v>
      </c>
    </row>
    <row r="320" spans="1:15">
      <c r="A320" s="1" t="s">
        <v>332</v>
      </c>
      <c r="B320" t="s">
        <v>504</v>
      </c>
      <c r="C320" t="s">
        <v>509</v>
      </c>
      <c r="D320">
        <f>HYPERLINK("http://www.reserveamerica.com/camping/observatory-campground/r/facilityDetails.do?contractCode=NRSO&amp;parkId=72310", "OBSERVATORY CAMPGROUND")</f>
        <v>0</v>
      </c>
      <c r="E320">
        <v>33.3416667</v>
      </c>
      <c r="F320">
        <v>-116.8786111</v>
      </c>
      <c r="G320" t="s">
        <v>827</v>
      </c>
      <c r="I320" t="s">
        <v>505</v>
      </c>
      <c r="J320">
        <f>HYPERLINK("http://maps.google.com/maps?z=10&amp;t=m&amp;q=loc:33.3416667+-116.8786111", 635)</f>
        <v>0</v>
      </c>
      <c r="K320">
        <v>132</v>
      </c>
      <c r="L320">
        <v>1</v>
      </c>
      <c r="M320">
        <v>1</v>
      </c>
      <c r="N320">
        <v>0</v>
      </c>
      <c r="O320">
        <v>0</v>
      </c>
    </row>
    <row r="321" spans="1:15">
      <c r="A321" s="1" t="s">
        <v>333</v>
      </c>
      <c r="B321" t="s">
        <v>504</v>
      </c>
      <c r="C321" t="s">
        <v>509</v>
      </c>
      <c r="D321">
        <f>HYPERLINK("http://www.reserveamerica.com/camping/obsidian-flat/r/facilityDetails.do?contractCode=NRSO&amp;parkId=70155", "OBSIDIAN FLAT")</f>
        <v>0</v>
      </c>
      <c r="E321">
        <v>37.7333333</v>
      </c>
      <c r="F321">
        <v>-119.0166667</v>
      </c>
      <c r="G321" t="s">
        <v>828</v>
      </c>
      <c r="I321" t="s">
        <v>505</v>
      </c>
      <c r="J321">
        <f>HYPERLINK("http://maps.google.com/maps?z=10&amp;t=m&amp;q=loc:37.7333333+-119.0166667", 258)</f>
        <v>0</v>
      </c>
      <c r="K321">
        <v>79</v>
      </c>
      <c r="L321">
        <v>0</v>
      </c>
      <c r="M321">
        <v>0</v>
      </c>
      <c r="N321">
        <v>0</v>
      </c>
      <c r="O321">
        <v>0</v>
      </c>
    </row>
    <row r="322" spans="1:15">
      <c r="A322" s="1" t="s">
        <v>334</v>
      </c>
      <c r="B322" t="s">
        <v>505</v>
      </c>
      <c r="C322" t="s">
        <v>510</v>
      </c>
      <c r="D322">
        <f>HYPERLINK("http://www.reserveamerica.com/camping/oceano-dunes-svra/r/facilityDetails.do?contractCode=CA&amp;parkId=120065", "OCEANO DUNES SVRA")</f>
        <v>0</v>
      </c>
      <c r="E322">
        <v>35.1055556</v>
      </c>
      <c r="F322">
        <v>-120.6291667</v>
      </c>
      <c r="G322" t="s">
        <v>829</v>
      </c>
      <c r="I322" t="s">
        <v>505</v>
      </c>
      <c r="J322">
        <f>HYPERLINK("http://maps.google.com/maps?z=10&amp;t=m&amp;q=loc:35.1055556+-120.6291667", 272)</f>
        <v>0</v>
      </c>
      <c r="K322">
        <v>154</v>
      </c>
      <c r="L322">
        <v>999</v>
      </c>
      <c r="M322">
        <v>0</v>
      </c>
      <c r="N322">
        <v>999</v>
      </c>
      <c r="O322">
        <v>999</v>
      </c>
    </row>
    <row r="323" spans="1:15">
      <c r="A323" s="1" t="s">
        <v>335</v>
      </c>
      <c r="B323" t="s">
        <v>504</v>
      </c>
      <c r="C323" t="s">
        <v>509</v>
      </c>
      <c r="D323">
        <f>HYPERLINK("http://www.reserveamerica.com/camping/oh-ridge/r/facilityDetails.do?contractCode=NRSO&amp;parkId=70565", "OH RIDGE")</f>
        <v>0</v>
      </c>
      <c r="E323">
        <v>37.7969444</v>
      </c>
      <c r="F323">
        <v>-119.0616667</v>
      </c>
      <c r="G323" t="s">
        <v>830</v>
      </c>
      <c r="I323" t="s">
        <v>505</v>
      </c>
      <c r="J323">
        <f>HYPERLINK("http://maps.google.com/maps?z=10&amp;t=m&amp;q=loc:37.7969444+-119.0616667", 255)</f>
        <v>0</v>
      </c>
      <c r="K323">
        <v>77</v>
      </c>
      <c r="L323">
        <v>109</v>
      </c>
      <c r="M323">
        <v>0</v>
      </c>
      <c r="N323">
        <v>109</v>
      </c>
      <c r="O323">
        <v>109</v>
      </c>
    </row>
    <row r="324" spans="1:15">
      <c r="A324" s="1" t="s">
        <v>336</v>
      </c>
      <c r="B324" t="s">
        <v>504</v>
      </c>
      <c r="C324" t="s">
        <v>509</v>
      </c>
      <c r="D324">
        <f>HYPERLINK("http://www.reserveamerica.com/camping/old-shady-rest-campground/r/facilityDetails.do?contractCode=NRSO&amp;parkId=73735", "OLD SHADY REST CAMPGROUND")</f>
        <v>0</v>
      </c>
      <c r="E324">
        <v>37.65</v>
      </c>
      <c r="F324">
        <v>-118.9616667</v>
      </c>
      <c r="G324" t="s">
        <v>831</v>
      </c>
      <c r="I324" t="s">
        <v>505</v>
      </c>
      <c r="J324">
        <f>HYPERLINK("http://maps.google.com/maps?z=10&amp;t=m&amp;q=loc:37.65+-118.9616667", 262)</f>
        <v>0</v>
      </c>
      <c r="K324">
        <v>81</v>
      </c>
      <c r="L324">
        <v>0</v>
      </c>
      <c r="M324">
        <v>0</v>
      </c>
      <c r="N324">
        <v>0</v>
      </c>
      <c r="O324">
        <v>0</v>
      </c>
    </row>
    <row r="325" spans="1:15">
      <c r="A325" s="1" t="s">
        <v>337</v>
      </c>
      <c r="B325" t="s">
        <v>504</v>
      </c>
      <c r="C325" t="s">
        <v>509</v>
      </c>
      <c r="D325">
        <f>HYPERLINK("http://www.reserveamerica.com/camping/onion-valley/r/facilityDetails.do?contractCode=NRSO&amp;parkId=70303", "ONION VALLEY")</f>
        <v>0</v>
      </c>
      <c r="E325">
        <v>36.7747222</v>
      </c>
      <c r="F325">
        <v>-118.3455556</v>
      </c>
      <c r="G325" t="s">
        <v>832</v>
      </c>
      <c r="I325" t="s">
        <v>505</v>
      </c>
      <c r="J325">
        <f>HYPERLINK("http://maps.google.com/maps?z=10&amp;t=m&amp;q=loc:36.7747222+-118.3455556", 321)</f>
        <v>0</v>
      </c>
      <c r="K325">
        <v>99</v>
      </c>
      <c r="L325">
        <v>0</v>
      </c>
      <c r="M325">
        <v>0</v>
      </c>
      <c r="N325">
        <v>0</v>
      </c>
      <c r="O325">
        <v>1</v>
      </c>
    </row>
    <row r="326" spans="1:15">
      <c r="A326" s="1" t="s">
        <v>338</v>
      </c>
      <c r="B326" t="s">
        <v>504</v>
      </c>
      <c r="C326" t="s">
        <v>509</v>
      </c>
      <c r="D326">
        <f>HYPERLINK("http://www.reserveamerica.com/camping/orland-buttes/r/facilityDetails.do?contractCode=NRSO&amp;parkId=73307", "ORLAND BUTTES")</f>
        <v>0</v>
      </c>
      <c r="E326">
        <v>39.7721972</v>
      </c>
      <c r="F326">
        <v>-122.3528472</v>
      </c>
      <c r="G326" t="s">
        <v>833</v>
      </c>
      <c r="I326" t="s">
        <v>505</v>
      </c>
      <c r="J326">
        <f>HYPERLINK("http://maps.google.com/maps?z=10&amp;t=m&amp;q=loc:39.7721972+-122.3528472", 274)</f>
        <v>0</v>
      </c>
      <c r="K326">
        <v>352</v>
      </c>
      <c r="L326">
        <v>0</v>
      </c>
      <c r="M326">
        <v>0</v>
      </c>
      <c r="N326">
        <v>0</v>
      </c>
      <c r="O326">
        <v>0</v>
      </c>
    </row>
    <row r="327" spans="1:15">
      <c r="A327" s="1" t="s">
        <v>339</v>
      </c>
      <c r="B327" t="s">
        <v>504</v>
      </c>
      <c r="C327" t="s">
        <v>509</v>
      </c>
      <c r="D327">
        <f>HYPERLINK("http://www.reserveamerica.com/camping/oso-group/r/facilityDetails.do?contractCode=NRSO&amp;parkId=73490", "OSO GROUP")</f>
        <v>0</v>
      </c>
      <c r="E327">
        <v>34.1755556</v>
      </c>
      <c r="F327">
        <v>-116.8625</v>
      </c>
      <c r="G327" t="s">
        <v>834</v>
      </c>
      <c r="I327" t="s">
        <v>505</v>
      </c>
      <c r="J327">
        <f>HYPERLINK("http://maps.google.com/maps?z=10&amp;t=m&amp;q=loc:34.1755556+-116.8625", 573)</f>
        <v>0</v>
      </c>
      <c r="K327">
        <v>126</v>
      </c>
      <c r="L327">
        <v>1</v>
      </c>
      <c r="M327">
        <v>0</v>
      </c>
      <c r="N327">
        <v>1</v>
      </c>
      <c r="O327">
        <v>1</v>
      </c>
    </row>
    <row r="328" spans="1:15">
      <c r="A328" s="1" t="s">
        <v>340</v>
      </c>
      <c r="B328" t="s">
        <v>504</v>
      </c>
      <c r="C328" t="s">
        <v>509</v>
      </c>
      <c r="D328">
        <f>HYPERLINK("http://www.reserveamerica.com/camping/packsaddle/r/facilityDetails.do?contractCode=NRSO&amp;parkId=75425", "PACKSADDLE")</f>
        <v>0</v>
      </c>
      <c r="E328">
        <v>39.6238889</v>
      </c>
      <c r="F328">
        <v>-120.6497222</v>
      </c>
      <c r="G328" t="s">
        <v>835</v>
      </c>
      <c r="I328" t="s">
        <v>505</v>
      </c>
      <c r="J328">
        <f>HYPERLINK("http://maps.google.com/maps?z=10&amp;t=m&amp;q=loc:39.6238889+-120.6497222", 277)</f>
        <v>0</v>
      </c>
      <c r="K328">
        <v>22</v>
      </c>
      <c r="L328">
        <v>0</v>
      </c>
      <c r="M328">
        <v>0</v>
      </c>
      <c r="N328">
        <v>0</v>
      </c>
      <c r="O328">
        <v>0</v>
      </c>
    </row>
    <row r="329" spans="1:15">
      <c r="A329" s="1" t="s">
        <v>341</v>
      </c>
      <c r="B329" t="s">
        <v>504</v>
      </c>
      <c r="C329" t="s">
        <v>509</v>
      </c>
      <c r="D329">
        <f>HYPERLINK("http://www.reserveamerica.com/camping/paha/r/facilityDetails.do?contractCode=NRSO&amp;parkId=70306", "PAHA")</f>
        <v>0</v>
      </c>
      <c r="E329">
        <v>38.1791667</v>
      </c>
      <c r="F329">
        <v>-119.325</v>
      </c>
      <c r="G329" t="s">
        <v>836</v>
      </c>
      <c r="I329" t="s">
        <v>505</v>
      </c>
      <c r="J329">
        <f>HYPERLINK("http://maps.google.com/maps?z=10&amp;t=m&amp;q=loc:38.1791667+-119.325", 245)</f>
        <v>0</v>
      </c>
      <c r="K329">
        <v>66</v>
      </c>
      <c r="L329">
        <v>0</v>
      </c>
      <c r="M329">
        <v>0</v>
      </c>
      <c r="N329">
        <v>0</v>
      </c>
      <c r="O329">
        <v>0</v>
      </c>
    </row>
    <row r="330" spans="1:15">
      <c r="A330" s="1" t="s">
        <v>342</v>
      </c>
      <c r="B330" t="s">
        <v>505</v>
      </c>
      <c r="C330" t="s">
        <v>510</v>
      </c>
      <c r="D330">
        <f>HYPERLINK("http://www.reserveamerica.com/camping/palomar-mountain-sp/r/facilityDetails.do?contractCode=CA&amp;parkId=120066", "PALOMAR MOUNTAIN SP")</f>
        <v>0</v>
      </c>
      <c r="E330">
        <v>33.3375</v>
      </c>
      <c r="F330">
        <v>-116.9094444</v>
      </c>
      <c r="G330" t="s">
        <v>837</v>
      </c>
      <c r="I330" t="s">
        <v>505</v>
      </c>
      <c r="J330">
        <f>HYPERLINK("http://maps.google.com/maps?z=10&amp;t=m&amp;q=loc:33.3375+-116.9094444", 633)</f>
        <v>0</v>
      </c>
      <c r="K330">
        <v>132</v>
      </c>
      <c r="L330">
        <v>1</v>
      </c>
      <c r="M330">
        <v>1</v>
      </c>
      <c r="N330">
        <v>0</v>
      </c>
      <c r="O330">
        <v>0</v>
      </c>
    </row>
    <row r="331" spans="1:15">
      <c r="A331" s="1" t="s">
        <v>343</v>
      </c>
      <c r="B331" t="s">
        <v>504</v>
      </c>
      <c r="C331" t="s">
        <v>509</v>
      </c>
      <c r="D331">
        <f>HYPERLINK("http://www.reserveamerica.com/camping/panther-flat-campground/r/facilityDetails.do?contractCode=NRSO&amp;parkId=70649", "PANTHER FLAT CAMPGROUND")</f>
        <v>0</v>
      </c>
      <c r="E331">
        <v>41.8430556</v>
      </c>
      <c r="F331">
        <v>-123.9305556</v>
      </c>
      <c r="G331" t="s">
        <v>838</v>
      </c>
      <c r="I331" t="s">
        <v>505</v>
      </c>
      <c r="J331">
        <f>HYPERLINK("http://maps.google.com/maps?z=10&amp;t=m&amp;q=loc:41.8430556+-123.9305556", 530)</f>
        <v>0</v>
      </c>
      <c r="K331">
        <v>341</v>
      </c>
      <c r="L331">
        <v>0</v>
      </c>
      <c r="M331">
        <v>0</v>
      </c>
      <c r="N331">
        <v>0</v>
      </c>
      <c r="O331">
        <v>0</v>
      </c>
    </row>
    <row r="332" spans="1:15">
      <c r="A332" s="1" t="s">
        <v>344</v>
      </c>
      <c r="B332" t="s">
        <v>504</v>
      </c>
      <c r="C332" t="s">
        <v>509</v>
      </c>
      <c r="D332">
        <f>HYPERLINK("http://www.reserveamerica.com/camping/paradise/r/facilityDetails.do?contractCode=NRSO&amp;parkId=73782", "PARADISE")</f>
        <v>0</v>
      </c>
      <c r="E332">
        <v>34.5422222</v>
      </c>
      <c r="F332">
        <v>-119.8127778</v>
      </c>
      <c r="G332" t="s">
        <v>839</v>
      </c>
      <c r="I332" t="s">
        <v>505</v>
      </c>
      <c r="J332">
        <f>HYPERLINK("http://maps.google.com/maps?z=10&amp;t=m&amp;q=loc:34.5422222+-119.8127778", 362)</f>
        <v>0</v>
      </c>
      <c r="K332">
        <v>148</v>
      </c>
      <c r="L332">
        <v>11</v>
      </c>
      <c r="M332">
        <v>0</v>
      </c>
      <c r="N332">
        <v>11</v>
      </c>
      <c r="O332">
        <v>11</v>
      </c>
    </row>
    <row r="333" spans="1:15">
      <c r="A333" s="1" t="s">
        <v>345</v>
      </c>
      <c r="B333" t="s">
        <v>504</v>
      </c>
      <c r="C333" t="s">
        <v>509</v>
      </c>
      <c r="D333">
        <f>HYPERLINK("http://www.reserveamerica.com/camping/paradise-cove/r/facilityDetails.do?contractCode=NRSO&amp;parkId=71566", "PARADISE COVE")</f>
        <v>0</v>
      </c>
      <c r="E333">
        <v>35.6491667</v>
      </c>
      <c r="F333">
        <v>-118.425</v>
      </c>
      <c r="G333" t="s">
        <v>840</v>
      </c>
      <c r="I333" t="s">
        <v>505</v>
      </c>
      <c r="J333">
        <f>HYPERLINK("http://maps.google.com/maps?z=10&amp;t=m&amp;q=loc:35.6491667+-118.425", 362)</f>
        <v>0</v>
      </c>
      <c r="K333">
        <v>119</v>
      </c>
      <c r="L333">
        <v>50</v>
      </c>
      <c r="M333">
        <v>0</v>
      </c>
      <c r="N333">
        <v>50</v>
      </c>
      <c r="O333">
        <v>50</v>
      </c>
    </row>
    <row r="334" spans="1:15">
      <c r="A334" s="1" t="s">
        <v>346</v>
      </c>
      <c r="B334" t="s">
        <v>507</v>
      </c>
      <c r="C334" t="s">
        <v>511</v>
      </c>
      <c r="D334">
        <f>HYPERLINK("http://www.reserveamerica.com/camping/parson-landing-campground/r/facilityDetails.do?contractCode=CTLN&amp;parkId=940022", "PARSON LANDING CAMPGROUND")</f>
        <v>0</v>
      </c>
      <c r="E334">
        <v>33.4722222</v>
      </c>
      <c r="F334">
        <v>-118.5502778</v>
      </c>
      <c r="G334" t="s">
        <v>841</v>
      </c>
      <c r="I334" t="s">
        <v>505</v>
      </c>
      <c r="J334">
        <f>HYPERLINK("http://maps.google.com/maps?z=10&amp;t=m&amp;q=loc:33.4722222+-118.5502778", 525)</f>
        <v>0</v>
      </c>
      <c r="K334">
        <v>143</v>
      </c>
      <c r="L334">
        <v>0</v>
      </c>
      <c r="M334">
        <v>0</v>
      </c>
      <c r="N334">
        <v>0</v>
      </c>
      <c r="O334">
        <v>0</v>
      </c>
    </row>
    <row r="335" spans="1:15">
      <c r="A335" s="1" t="s">
        <v>347</v>
      </c>
      <c r="B335" t="s">
        <v>504</v>
      </c>
      <c r="C335" t="s">
        <v>509</v>
      </c>
      <c r="D335">
        <f>HYPERLINK("http://www.reserveamerica.com/camping/pass-creek-campground/r/facilityDetails.do?contractCode=NRSO&amp;parkId=71527", "PASS CREEK CAMPGROUND")</f>
        <v>0</v>
      </c>
      <c r="E335">
        <v>39.5040667</v>
      </c>
      <c r="F335">
        <v>-120.5343778</v>
      </c>
      <c r="G335" t="s">
        <v>842</v>
      </c>
      <c r="I335" t="s">
        <v>505</v>
      </c>
      <c r="J335">
        <f>HYPERLINK("http://maps.google.com/maps?z=10&amp;t=m&amp;q=loc:39.5040667+-120.5343778", 269)</f>
        <v>0</v>
      </c>
      <c r="K335">
        <v>25</v>
      </c>
      <c r="L335">
        <v>9</v>
      </c>
      <c r="M335">
        <v>0</v>
      </c>
      <c r="N335">
        <v>9</v>
      </c>
      <c r="O335">
        <v>9</v>
      </c>
    </row>
    <row r="336" spans="1:15">
      <c r="A336" s="1" t="s">
        <v>348</v>
      </c>
      <c r="B336" t="s">
        <v>504</v>
      </c>
      <c r="C336" t="s">
        <v>509</v>
      </c>
      <c r="D336">
        <f>HYPERLINK("http://www.reserveamerica.com/camping/patrick-creek-campground/r/facilityDetails.do?contractCode=NRSO&amp;parkId=70640", "PATRICK CREEK CAMPGROUND")</f>
        <v>0</v>
      </c>
      <c r="E336">
        <v>41.8719444</v>
      </c>
      <c r="F336">
        <v>-123.8466667</v>
      </c>
      <c r="G336" t="s">
        <v>843</v>
      </c>
      <c r="I336" t="s">
        <v>505</v>
      </c>
      <c r="J336">
        <f>HYPERLINK("http://maps.google.com/maps?z=10&amp;t=m&amp;q=loc:41.8719444+-123.8466667", 531)</f>
        <v>0</v>
      </c>
      <c r="K336">
        <v>342</v>
      </c>
      <c r="L336">
        <v>0</v>
      </c>
      <c r="M336">
        <v>0</v>
      </c>
      <c r="N336">
        <v>0</v>
      </c>
      <c r="O336">
        <v>0</v>
      </c>
    </row>
    <row r="337" spans="1:15">
      <c r="A337" s="1" t="s">
        <v>349</v>
      </c>
      <c r="B337" t="s">
        <v>505</v>
      </c>
      <c r="C337" t="s">
        <v>510</v>
      </c>
      <c r="D337">
        <f>HYPERLINK("http://www.reserveamerica.com/camping/patricks-point-sp/r/facilityDetails.do?contractCode=CA&amp;parkId=120067", "PATRICKS POINT SP")</f>
        <v>0</v>
      </c>
      <c r="E337">
        <v>41.1361111</v>
      </c>
      <c r="F337">
        <v>-124.1602778</v>
      </c>
      <c r="G337" t="s">
        <v>843</v>
      </c>
      <c r="H337" t="s">
        <v>999</v>
      </c>
      <c r="I337" t="s">
        <v>505</v>
      </c>
      <c r="J337">
        <f>HYPERLINK("http://maps.google.com/maps?z=10&amp;t=m&amp;q=loc:41.1361111+-124.1602778", 465)</f>
        <v>0</v>
      </c>
      <c r="K337">
        <v>336</v>
      </c>
      <c r="L337">
        <v>0</v>
      </c>
      <c r="M337">
        <v>0</v>
      </c>
      <c r="N337">
        <v>0</v>
      </c>
      <c r="O337">
        <v>0</v>
      </c>
    </row>
    <row r="338" spans="1:15">
      <c r="A338" s="1" t="s">
        <v>350</v>
      </c>
      <c r="B338" t="s">
        <v>504</v>
      </c>
      <c r="C338" t="s">
        <v>509</v>
      </c>
      <c r="D338">
        <f>HYPERLINK("http://www.reserveamerica.com/camping/pearch-creek-campground/r/facilityDetails.do?contractCode=NRSO&amp;parkId=75492", "PEARCH CREEK CAMPGROUND")</f>
        <v>0</v>
      </c>
      <c r="E338">
        <v>41.3088889</v>
      </c>
      <c r="F338">
        <v>-123.5208333</v>
      </c>
      <c r="G338" t="s">
        <v>844</v>
      </c>
      <c r="I338" t="s">
        <v>505</v>
      </c>
      <c r="J338">
        <f>HYPERLINK("http://maps.google.com/maps?z=10&amp;t=m&amp;q=loc:41.3088889+-123.5208333", 463)</f>
        <v>0</v>
      </c>
      <c r="K338">
        <v>343</v>
      </c>
      <c r="L338">
        <v>4</v>
      </c>
      <c r="M338">
        <v>0</v>
      </c>
      <c r="N338">
        <v>4</v>
      </c>
      <c r="O338">
        <v>4</v>
      </c>
    </row>
    <row r="339" spans="1:15">
      <c r="A339" s="1" t="s">
        <v>351</v>
      </c>
      <c r="B339" t="s">
        <v>505</v>
      </c>
      <c r="C339" t="s">
        <v>510</v>
      </c>
      <c r="D339">
        <f>HYPERLINK("http://www.reserveamerica.com/camping/pfeiffer-big-sur-sp/r/facilityDetails.do?contractCode=CA&amp;parkId=120068", "PFEIFFER BIG SUR SP")</f>
        <v>0</v>
      </c>
      <c r="E339">
        <v>36.2530556</v>
      </c>
      <c r="F339">
        <v>-121.7811111</v>
      </c>
      <c r="G339" t="s">
        <v>845</v>
      </c>
      <c r="H339" t="s">
        <v>997</v>
      </c>
      <c r="I339" t="s">
        <v>505</v>
      </c>
      <c r="J339">
        <f>HYPERLINK("http://maps.google.com/maps?z=10&amp;t=m&amp;q=loc:36.2530556+-121.7811111", 119)</f>
        <v>0</v>
      </c>
      <c r="K339">
        <v>174</v>
      </c>
      <c r="L339">
        <v>0</v>
      </c>
      <c r="M339">
        <v>0</v>
      </c>
      <c r="N339">
        <v>0</v>
      </c>
      <c r="O339">
        <v>0</v>
      </c>
    </row>
    <row r="340" spans="1:15">
      <c r="A340" s="1" t="s">
        <v>352</v>
      </c>
      <c r="B340" t="s">
        <v>504</v>
      </c>
      <c r="C340" t="s">
        <v>509</v>
      </c>
      <c r="D340">
        <f>HYPERLINK("http://www.reserveamerica.com/camping/pine-glen/r/facilityDetails.do?contractCode=NRSO&amp;parkId=70566", "PINE GLEN")</f>
        <v>0</v>
      </c>
      <c r="E340">
        <v>37.6491667</v>
      </c>
      <c r="F340">
        <v>-118.9552778</v>
      </c>
      <c r="G340" t="s">
        <v>846</v>
      </c>
      <c r="I340" t="s">
        <v>505</v>
      </c>
      <c r="J340">
        <f>HYPERLINK("http://maps.google.com/maps?z=10&amp;t=m&amp;q=loc:37.6491667+-118.9552778", 262)</f>
        <v>0</v>
      </c>
      <c r="K340">
        <v>81</v>
      </c>
      <c r="L340">
        <v>8</v>
      </c>
      <c r="M340">
        <v>0</v>
      </c>
      <c r="N340">
        <v>8</v>
      </c>
      <c r="O340">
        <v>8</v>
      </c>
    </row>
    <row r="341" spans="1:15">
      <c r="A341" s="1" t="s">
        <v>353</v>
      </c>
      <c r="B341" t="s">
        <v>504</v>
      </c>
      <c r="C341" t="s">
        <v>509</v>
      </c>
      <c r="D341">
        <f>HYPERLINK("http://www.reserveamerica.com/camping/pine-point/r/facilityDetails.do?contractCode=NRSO&amp;parkId=71526", "PINE POINT")</f>
        <v>0</v>
      </c>
      <c r="E341">
        <v>40.9272222</v>
      </c>
      <c r="F341">
        <v>-122.2480556</v>
      </c>
      <c r="G341" t="s">
        <v>847</v>
      </c>
      <c r="I341" t="s">
        <v>505</v>
      </c>
      <c r="J341">
        <f>HYPERLINK("http://maps.google.com/maps?z=10&amp;t=m&amp;q=loc:40.9272222+-122.2480556", 401)</f>
        <v>0</v>
      </c>
      <c r="K341">
        <v>355</v>
      </c>
      <c r="L341">
        <v>0</v>
      </c>
      <c r="M341">
        <v>0</v>
      </c>
      <c r="N341">
        <v>0</v>
      </c>
      <c r="O341">
        <v>0</v>
      </c>
    </row>
    <row r="342" spans="1:15">
      <c r="A342" s="1" t="s">
        <v>354</v>
      </c>
      <c r="B342" t="s">
        <v>504</v>
      </c>
      <c r="C342" t="s">
        <v>509</v>
      </c>
      <c r="D342">
        <f>HYPERLINK("http://www.reserveamerica.com/camping/pinecrest/r/facilityDetails.do?contractCode=NRSO&amp;parkId=70541", "PINECREST")</f>
        <v>0</v>
      </c>
      <c r="E342">
        <v>38.1908333</v>
      </c>
      <c r="F342">
        <v>-119.9972222</v>
      </c>
      <c r="G342" t="s">
        <v>848</v>
      </c>
      <c r="I342" t="s">
        <v>505</v>
      </c>
      <c r="J342">
        <f>HYPERLINK("http://maps.google.com/maps?z=10&amp;t=m&amp;q=loc:38.1908333+-119.9972222", 193)</f>
        <v>0</v>
      </c>
      <c r="K342">
        <v>59</v>
      </c>
      <c r="L342">
        <v>6</v>
      </c>
      <c r="M342">
        <v>0</v>
      </c>
      <c r="N342">
        <v>6</v>
      </c>
      <c r="O342">
        <v>6</v>
      </c>
    </row>
    <row r="343" spans="1:15">
      <c r="A343" s="1" t="s">
        <v>355</v>
      </c>
      <c r="B343" t="s">
        <v>504</v>
      </c>
      <c r="C343" t="s">
        <v>509</v>
      </c>
      <c r="D343">
        <f>HYPERLINK("http://www.reserveamerica.com/camping/pineknot/r/facilityDetails.do?contractCode=NRSO&amp;parkId=70585", "PINEKNOT")</f>
        <v>0</v>
      </c>
      <c r="E343">
        <v>34.2352778</v>
      </c>
      <c r="F343">
        <v>-116.8830556</v>
      </c>
      <c r="G343" t="s">
        <v>849</v>
      </c>
      <c r="I343" t="s">
        <v>505</v>
      </c>
      <c r="J343">
        <f>HYPERLINK("http://maps.google.com/maps?z=10&amp;t=m&amp;q=loc:34.2352778+-116.8830556", 568)</f>
        <v>0</v>
      </c>
      <c r="K343">
        <v>125</v>
      </c>
      <c r="L343">
        <v>10</v>
      </c>
      <c r="M343">
        <v>0</v>
      </c>
      <c r="N343">
        <v>10</v>
      </c>
      <c r="O343">
        <v>10</v>
      </c>
    </row>
    <row r="344" spans="1:15">
      <c r="A344" s="1" t="s">
        <v>356</v>
      </c>
      <c r="B344" t="s">
        <v>504</v>
      </c>
      <c r="C344" t="s">
        <v>509</v>
      </c>
      <c r="D344">
        <f>HYPERLINK("http://www.reserveamerica.com/camping/pines-group-stanislaus/r/facilityDetails.do?contractCode=NRSO&amp;parkId=73635", "PINES GROUP STANISLAUS")</f>
        <v>0</v>
      </c>
      <c r="E344">
        <v>37.8166667</v>
      </c>
      <c r="F344">
        <v>-120.0833333</v>
      </c>
      <c r="G344" t="s">
        <v>850</v>
      </c>
      <c r="I344" t="s">
        <v>505</v>
      </c>
      <c r="J344">
        <f>HYPERLINK("http://maps.google.com/maps?z=10&amp;t=m&amp;q=loc:37.8166667+-120.0833333", 169)</f>
        <v>0</v>
      </c>
      <c r="K344">
        <v>70</v>
      </c>
      <c r="L344">
        <v>0</v>
      </c>
      <c r="M344">
        <v>0</v>
      </c>
      <c r="N344">
        <v>0</v>
      </c>
      <c r="O344">
        <v>0</v>
      </c>
    </row>
    <row r="345" spans="1:15">
      <c r="A345" s="1" t="s">
        <v>357</v>
      </c>
      <c r="B345" t="s">
        <v>504</v>
      </c>
      <c r="C345" t="s">
        <v>509</v>
      </c>
      <c r="D345">
        <f>HYPERLINK("http://www.reserveamerica.com/camping/pinnacles-campground/r/facilityDetails.do?contractCode=NRSO&amp;parkId=73984", "PINNACLES CAMPGROUND")</f>
        <v>0</v>
      </c>
      <c r="E345">
        <v>36.4663889</v>
      </c>
      <c r="F345">
        <v>-121.1761111</v>
      </c>
      <c r="G345" t="s">
        <v>851</v>
      </c>
      <c r="H345" t="s">
        <v>999</v>
      </c>
      <c r="I345" t="s">
        <v>505</v>
      </c>
      <c r="J345">
        <f>HYPERLINK("http://maps.google.com/maps?z=10&amp;t=m&amp;q=loc:36.4663889+-121.1761111", 115)</f>
        <v>0</v>
      </c>
      <c r="K345">
        <v>145</v>
      </c>
      <c r="L345">
        <v>60</v>
      </c>
      <c r="M345">
        <v>0</v>
      </c>
      <c r="N345">
        <v>60</v>
      </c>
      <c r="O345">
        <v>60</v>
      </c>
    </row>
    <row r="346" spans="1:15">
      <c r="A346" s="1" t="s">
        <v>358</v>
      </c>
      <c r="B346" t="s">
        <v>504</v>
      </c>
      <c r="C346" t="s">
        <v>509</v>
      </c>
      <c r="D346">
        <f>HYPERLINK("http://www.reserveamerica.com/camping/pioneer-point/r/facilityDetails.do?contractCode=NRSO&amp;parkId=71567", "PIONEER POINT")</f>
        <v>0</v>
      </c>
      <c r="E346">
        <v>35.6516667</v>
      </c>
      <c r="F346">
        <v>-118.4861111</v>
      </c>
      <c r="G346" t="s">
        <v>852</v>
      </c>
      <c r="I346" t="s">
        <v>505</v>
      </c>
      <c r="J346">
        <f>HYPERLINK("http://maps.google.com/maps?z=10&amp;t=m&amp;q=loc:35.6516667+-118.4861111", 357)</f>
        <v>0</v>
      </c>
      <c r="K346">
        <v>120</v>
      </c>
      <c r="L346">
        <v>73</v>
      </c>
      <c r="M346">
        <v>0</v>
      </c>
      <c r="N346">
        <v>73</v>
      </c>
      <c r="O346">
        <v>73</v>
      </c>
    </row>
    <row r="347" spans="1:15">
      <c r="A347" s="1" t="s">
        <v>359</v>
      </c>
      <c r="B347" t="s">
        <v>504</v>
      </c>
      <c r="C347" t="s">
        <v>509</v>
      </c>
      <c r="D347">
        <f>HYPERLINK("http://www.reserveamerica.com/camping/pioneer-trail/r/facilityDetails.do?contractCode=NRSO&amp;parkId=70597", "PIONEER TRAIL")</f>
        <v>0</v>
      </c>
      <c r="E347">
        <v>38.1875</v>
      </c>
      <c r="F347">
        <v>-119.9875</v>
      </c>
      <c r="G347" t="s">
        <v>853</v>
      </c>
      <c r="I347" t="s">
        <v>505</v>
      </c>
      <c r="J347">
        <f>HYPERLINK("http://maps.google.com/maps?z=10&amp;t=m&amp;q=loc:38.1875+-119.9875", 193)</f>
        <v>0</v>
      </c>
      <c r="K347">
        <v>59</v>
      </c>
      <c r="L347">
        <v>0</v>
      </c>
      <c r="M347">
        <v>0</v>
      </c>
      <c r="N347">
        <v>0</v>
      </c>
      <c r="O347">
        <v>0</v>
      </c>
    </row>
    <row r="348" spans="1:15">
      <c r="A348" s="1" t="s">
        <v>360</v>
      </c>
      <c r="B348" t="s">
        <v>504</v>
      </c>
      <c r="C348" t="s">
        <v>509</v>
      </c>
      <c r="D348">
        <f>HYPERLINK("http://www.reserveamerica.com/camping/pipi-campground/r/facilityDetails.do?contractCode=NRSO&amp;parkId=70554", "PIPI CAMPGROUND")</f>
        <v>0</v>
      </c>
      <c r="E348">
        <v>38.5736111</v>
      </c>
      <c r="F348">
        <v>-120.4375</v>
      </c>
      <c r="G348" t="s">
        <v>854</v>
      </c>
      <c r="I348" t="s">
        <v>505</v>
      </c>
      <c r="J348">
        <f>HYPERLINK("http://maps.google.com/maps?z=10&amp;t=m&amp;q=loc:38.5736111+-120.4375", 189)</f>
        <v>0</v>
      </c>
      <c r="K348">
        <v>42</v>
      </c>
      <c r="L348">
        <v>9</v>
      </c>
      <c r="M348">
        <v>0</v>
      </c>
      <c r="N348">
        <v>9</v>
      </c>
      <c r="O348">
        <v>9</v>
      </c>
    </row>
    <row r="349" spans="1:15">
      <c r="A349" s="1" t="s">
        <v>361</v>
      </c>
      <c r="B349" t="s">
        <v>505</v>
      </c>
      <c r="C349" t="s">
        <v>510</v>
      </c>
      <c r="D349">
        <f>HYPERLINK("http://www.reserveamerica.com/camping/pismo-sb/r/facilityDetails.do?contractCode=CA&amp;parkId=120070", "PISMO SB")</f>
        <v>0</v>
      </c>
      <c r="E349">
        <v>35.1077778</v>
      </c>
      <c r="F349">
        <v>-120.6297222</v>
      </c>
      <c r="G349" t="s">
        <v>855</v>
      </c>
      <c r="I349" t="s">
        <v>505</v>
      </c>
      <c r="J349">
        <f>HYPERLINK("http://maps.google.com/maps?z=10&amp;t=m&amp;q=loc:35.1077778+-120.6297222", 271)</f>
        <v>0</v>
      </c>
      <c r="K349">
        <v>154</v>
      </c>
      <c r="L349">
        <v>0</v>
      </c>
      <c r="M349">
        <v>0</v>
      </c>
      <c r="N349">
        <v>0</v>
      </c>
      <c r="O349">
        <v>0</v>
      </c>
    </row>
    <row r="350" spans="1:15">
      <c r="A350" s="1" t="s">
        <v>362</v>
      </c>
      <c r="B350" t="s">
        <v>504</v>
      </c>
      <c r="C350" t="s">
        <v>509</v>
      </c>
      <c r="D350">
        <f>HYPERLINK("http://www.reserveamerica.com/camping/plaskett-creek-campground/r/facilityDetails.do?contractCode=NRSO&amp;parkId=70161", "PLASKETT CREEK CAMPGROUND")</f>
        <v>0</v>
      </c>
      <c r="E350">
        <v>35.9172222</v>
      </c>
      <c r="F350">
        <v>-121.465</v>
      </c>
      <c r="G350" t="s">
        <v>856</v>
      </c>
      <c r="I350" t="s">
        <v>505</v>
      </c>
      <c r="J350">
        <f>HYPERLINK("http://maps.google.com/maps?z=10&amp;t=m&amp;q=loc:35.9172222+-121.465", 161)</f>
        <v>0</v>
      </c>
      <c r="K350">
        <v>165</v>
      </c>
      <c r="L350">
        <v>0</v>
      </c>
      <c r="M350">
        <v>0</v>
      </c>
      <c r="N350">
        <v>0</v>
      </c>
      <c r="O350">
        <v>0</v>
      </c>
    </row>
    <row r="351" spans="1:15">
      <c r="A351" s="1" t="s">
        <v>363</v>
      </c>
      <c r="B351" t="s">
        <v>505</v>
      </c>
      <c r="C351" t="s">
        <v>510</v>
      </c>
      <c r="D351">
        <f>HYPERLINK("http://www.reserveamerica.com/camping/plumaseureka-sp/r/facilityDetails.do?contractCode=CA&amp;parkId=120100", "PLUMAS-EUREKA SP")</f>
        <v>0</v>
      </c>
      <c r="E351">
        <v>39.7780556</v>
      </c>
      <c r="F351">
        <v>-120.6955556</v>
      </c>
      <c r="G351" t="s">
        <v>857</v>
      </c>
      <c r="I351" t="s">
        <v>505</v>
      </c>
      <c r="J351">
        <f>HYPERLINK("http://maps.google.com/maps?z=10&amp;t=m&amp;q=loc:39.7780556+-120.6955556", 291)</f>
        <v>0</v>
      </c>
      <c r="K351">
        <v>20</v>
      </c>
      <c r="L351">
        <v>0</v>
      </c>
      <c r="M351">
        <v>0</v>
      </c>
      <c r="N351">
        <v>0</v>
      </c>
      <c r="O351">
        <v>0</v>
      </c>
    </row>
    <row r="352" spans="1:15">
      <c r="A352" s="1" t="s">
        <v>364</v>
      </c>
      <c r="B352" t="s">
        <v>505</v>
      </c>
      <c r="C352" t="s">
        <v>510</v>
      </c>
      <c r="D352">
        <f>HYPERLINK("http://www.reserveamerica.com/camping/point-mugu-sp/r/facilityDetails.do?contractCode=CA&amp;parkId=120072", "POINT MUGU SP")</f>
        <v>0</v>
      </c>
      <c r="E352">
        <v>34.0855556</v>
      </c>
      <c r="F352">
        <v>-119.06</v>
      </c>
      <c r="G352" t="s">
        <v>858</v>
      </c>
      <c r="I352" t="s">
        <v>505</v>
      </c>
      <c r="J352">
        <f>HYPERLINK("http://maps.google.com/maps?z=10&amp;t=m&amp;q=loc:34.0855556+-119.06", 442)</f>
        <v>0</v>
      </c>
      <c r="K352">
        <v>143</v>
      </c>
      <c r="L352">
        <v>0</v>
      </c>
      <c r="M352">
        <v>0</v>
      </c>
      <c r="N352">
        <v>0</v>
      </c>
      <c r="O352">
        <v>0</v>
      </c>
    </row>
    <row r="353" spans="1:15">
      <c r="A353" s="1" t="s">
        <v>365</v>
      </c>
      <c r="B353" t="s">
        <v>504</v>
      </c>
      <c r="C353" t="s">
        <v>509</v>
      </c>
      <c r="D353">
        <f>HYPERLINK("http://www.reserveamerica.com/camping/point-reyes-national-seashore-campground/r/facilityDetails.do?contractCode=NRSO&amp;parkId=72393", "Point Reyes National Seashore Campground")</f>
        <v>0</v>
      </c>
      <c r="E353">
        <v>37.9966667</v>
      </c>
      <c r="F353">
        <v>-122.975</v>
      </c>
      <c r="G353" t="s">
        <v>859</v>
      </c>
      <c r="H353" t="s">
        <v>999</v>
      </c>
      <c r="I353" t="s">
        <v>505</v>
      </c>
      <c r="J353">
        <f>HYPERLINK("http://maps.google.com/maps?z=10&amp;t=m&amp;q=loc:37.9966667+-122.975", 119)</f>
        <v>0</v>
      </c>
      <c r="K353">
        <v>308</v>
      </c>
      <c r="L353">
        <v>0</v>
      </c>
      <c r="M353">
        <v>0</v>
      </c>
      <c r="N353">
        <v>0</v>
      </c>
      <c r="O353">
        <v>0</v>
      </c>
    </row>
    <row r="354" spans="1:15">
      <c r="A354" s="1" t="s">
        <v>366</v>
      </c>
      <c r="B354" t="s">
        <v>504</v>
      </c>
      <c r="C354" t="s">
        <v>509</v>
      </c>
      <c r="D354">
        <f>HYPERLINK("http://www.reserveamerica.com/camping/ponderosa-campground/r/facilityDetails.do?contractCode=NRSO&amp;parkId=71996", "PONDEROSA CAMPGROUND")</f>
        <v>0</v>
      </c>
      <c r="E354">
        <v>36.005</v>
      </c>
      <c r="F354">
        <v>-121.3763889</v>
      </c>
      <c r="G354" t="s">
        <v>860</v>
      </c>
      <c r="I354" t="s">
        <v>505</v>
      </c>
      <c r="J354">
        <f>HYPERLINK("http://maps.google.com/maps?z=10&amp;t=m&amp;q=loc:36.005+-121.3763889", 154)</f>
        <v>0</v>
      </c>
      <c r="K354">
        <v>162</v>
      </c>
      <c r="L354">
        <v>10</v>
      </c>
      <c r="M354">
        <v>0</v>
      </c>
      <c r="N354">
        <v>10</v>
      </c>
      <c r="O354">
        <v>10</v>
      </c>
    </row>
    <row r="355" spans="1:15">
      <c r="A355" s="1" t="s">
        <v>367</v>
      </c>
      <c r="B355" t="s">
        <v>504</v>
      </c>
      <c r="C355" t="s">
        <v>509</v>
      </c>
      <c r="D355">
        <f>HYPERLINK("http://www.reserveamerica.com/camping/ponderosa-cove-campground/r/facilityDetails.do?contractCode=NRSO&amp;parkId=72294", "PONDEROSA COVE CAMPGROUND")</f>
        <v>0</v>
      </c>
      <c r="E355">
        <v>38.8741667</v>
      </c>
      <c r="F355">
        <v>-120.6027778</v>
      </c>
      <c r="G355" t="s">
        <v>861</v>
      </c>
      <c r="I355" t="s">
        <v>505</v>
      </c>
      <c r="J355">
        <f>HYPERLINK("http://maps.google.com/maps?z=10&amp;t=m&amp;q=loc:38.8741667+-120.6027778", 206)</f>
        <v>0</v>
      </c>
      <c r="K355">
        <v>33</v>
      </c>
      <c r="L355">
        <v>0</v>
      </c>
      <c r="M355">
        <v>0</v>
      </c>
      <c r="N355">
        <v>0</v>
      </c>
      <c r="O355">
        <v>0</v>
      </c>
    </row>
    <row r="356" spans="1:15">
      <c r="A356" s="1" t="s">
        <v>368</v>
      </c>
      <c r="B356" t="s">
        <v>505</v>
      </c>
      <c r="C356" t="s">
        <v>510</v>
      </c>
      <c r="D356">
        <f>HYPERLINK("http://www.reserveamerica.com/camping/portola-redwoods-sp/r/facilityDetails.do?contractCode=CA&amp;parkId=120073", "PORTOLA REDWOODS SP")</f>
        <v>0</v>
      </c>
      <c r="E356">
        <v>37.2511111</v>
      </c>
      <c r="F356">
        <v>-122.2041667</v>
      </c>
      <c r="G356" t="s">
        <v>862</v>
      </c>
      <c r="I356" t="s">
        <v>505</v>
      </c>
      <c r="J356">
        <f>HYPERLINK("http://maps.google.com/maps?z=10&amp;t=m&amp;q=loc:37.2511111+-122.2041667", 27)</f>
        <v>0</v>
      </c>
      <c r="K356">
        <v>252</v>
      </c>
      <c r="L356">
        <v>0</v>
      </c>
      <c r="M356">
        <v>0</v>
      </c>
      <c r="N356">
        <v>0</v>
      </c>
      <c r="O356">
        <v>0</v>
      </c>
    </row>
    <row r="357" spans="1:15">
      <c r="A357" s="1" t="s">
        <v>369</v>
      </c>
      <c r="B357" t="s">
        <v>504</v>
      </c>
      <c r="C357" t="s">
        <v>509</v>
      </c>
      <c r="D357">
        <f>HYPERLINK("http://www.reserveamerica.com/camping/potwisha-campground/r/facilityDetails.do?contractCode=NRSO&amp;parkId=72461", "POTWISHA CAMPGROUND")</f>
        <v>0</v>
      </c>
      <c r="E357">
        <v>36.5174444</v>
      </c>
      <c r="F357">
        <v>-118.800375</v>
      </c>
      <c r="G357" t="s">
        <v>863</v>
      </c>
      <c r="I357" t="s">
        <v>505</v>
      </c>
      <c r="J357">
        <f>HYPERLINK("http://maps.google.com/maps?z=10&amp;t=m&amp;q=loc:36.5174444+-118.800375", 290)</f>
        <v>0</v>
      </c>
      <c r="K357">
        <v>107</v>
      </c>
      <c r="L357">
        <v>4</v>
      </c>
      <c r="M357">
        <v>1</v>
      </c>
      <c r="N357">
        <v>3</v>
      </c>
      <c r="O357">
        <v>3</v>
      </c>
    </row>
    <row r="358" spans="1:15">
      <c r="A358" s="1" t="s">
        <v>370</v>
      </c>
      <c r="B358" t="s">
        <v>505</v>
      </c>
      <c r="C358" t="s">
        <v>510</v>
      </c>
      <c r="D358">
        <f>HYPERLINK("http://www.reserveamerica.com/camping/prairie-creek-redwoods-sp-elk-prairie-campground/r/facilityDetails.do?contractCode=CA&amp;parkId=120074", "PRAIRIE CREEK REDWOODS SP ELK PRAIRIE CAMPGROUND")</f>
        <v>0</v>
      </c>
      <c r="E358">
        <v>41.4072222</v>
      </c>
      <c r="F358">
        <v>-124.0191667</v>
      </c>
      <c r="G358" t="s">
        <v>864</v>
      </c>
      <c r="I358" t="s">
        <v>505</v>
      </c>
      <c r="J358">
        <f>HYPERLINK("http://maps.google.com/maps?z=10&amp;t=m&amp;q=loc:41.4072222+-124.0191667", 488)</f>
        <v>0</v>
      </c>
      <c r="K358">
        <v>338</v>
      </c>
      <c r="L358">
        <v>48</v>
      </c>
      <c r="M358">
        <v>4</v>
      </c>
      <c r="N358">
        <v>44</v>
      </c>
      <c r="O358">
        <v>44</v>
      </c>
    </row>
    <row r="359" spans="1:15">
      <c r="A359" s="1" t="s">
        <v>371</v>
      </c>
      <c r="B359" t="s">
        <v>505</v>
      </c>
      <c r="C359" t="s">
        <v>510</v>
      </c>
      <c r="D359">
        <f>HYPERLINK("http://www.reserveamerica.com/camping/prairie-creek-redwoods-sp-gold-bluffs-beach-campground/r/facilityDetails.do?contractCode=CA&amp;parkId=124700", "PRAIRIE CREEK REDWOODS SP GOLD BLUFFS BEACH CAMPGROUND")</f>
        <v>0</v>
      </c>
      <c r="E359">
        <v>41.3835722</v>
      </c>
      <c r="F359">
        <v>-124.0694611</v>
      </c>
      <c r="G359" t="s">
        <v>865</v>
      </c>
      <c r="I359" t="s">
        <v>505</v>
      </c>
      <c r="J359">
        <f>HYPERLINK("http://maps.google.com/maps?z=10&amp;t=m&amp;q=loc:41.3835722+-124.0694611", 487)</f>
        <v>0</v>
      </c>
      <c r="K359">
        <v>338</v>
      </c>
      <c r="L359">
        <v>1</v>
      </c>
      <c r="M359">
        <v>0</v>
      </c>
      <c r="N359">
        <v>1</v>
      </c>
      <c r="O359">
        <v>1</v>
      </c>
    </row>
    <row r="360" spans="1:15">
      <c r="A360" s="1" t="s">
        <v>372</v>
      </c>
      <c r="B360" t="s">
        <v>504</v>
      </c>
      <c r="C360" t="s">
        <v>509</v>
      </c>
      <c r="D360">
        <f>HYPERLINK("http://www.reserveamerica.com/camping/princess/r/facilityDetails.do?contractCode=NRSO&amp;parkId=71548", "PRINCESS")</f>
        <v>0</v>
      </c>
      <c r="E360">
        <v>36.8027778</v>
      </c>
      <c r="F360">
        <v>-118.9369444</v>
      </c>
      <c r="G360" t="s">
        <v>866</v>
      </c>
      <c r="I360" t="s">
        <v>505</v>
      </c>
      <c r="J360">
        <f>HYPERLINK("http://maps.google.com/maps?z=10&amp;t=m&amp;q=loc:36.8027778+-118.9369444", 269)</f>
        <v>0</v>
      </c>
      <c r="K360">
        <v>101</v>
      </c>
      <c r="L360">
        <v>0</v>
      </c>
      <c r="M360">
        <v>0</v>
      </c>
      <c r="N360">
        <v>0</v>
      </c>
      <c r="O360">
        <v>0</v>
      </c>
    </row>
    <row r="361" spans="1:15">
      <c r="A361" s="1" t="s">
        <v>373</v>
      </c>
      <c r="B361" t="s">
        <v>504</v>
      </c>
      <c r="C361" t="s">
        <v>509</v>
      </c>
      <c r="D361">
        <f>HYPERLINK("http://www.reserveamerica.com/camping/prosser-family/r/facilityDetails.do?contractCode=NRSO&amp;parkId=75053", "PROSSER FAMILY")</f>
        <v>0</v>
      </c>
      <c r="E361">
        <v>39.3777778</v>
      </c>
      <c r="F361">
        <v>-120.1605556</v>
      </c>
      <c r="G361" t="s">
        <v>867</v>
      </c>
      <c r="I361" t="s">
        <v>505</v>
      </c>
      <c r="J361">
        <f>HYPERLINK("http://maps.google.com/maps?z=10&amp;t=m&amp;q=loc:39.3777778+-120.1605556", 273)</f>
        <v>0</v>
      </c>
      <c r="K361">
        <v>33</v>
      </c>
      <c r="L361">
        <v>23</v>
      </c>
      <c r="M361">
        <v>0</v>
      </c>
      <c r="N361">
        <v>23</v>
      </c>
      <c r="O361">
        <v>23</v>
      </c>
    </row>
    <row r="362" spans="1:15">
      <c r="A362" s="1" t="s">
        <v>374</v>
      </c>
      <c r="B362" t="s">
        <v>504</v>
      </c>
      <c r="C362" t="s">
        <v>509</v>
      </c>
      <c r="D362">
        <f>HYPERLINK("http://www.reserveamerica.com/camping/prosser-ranch-group/r/facilityDetails.do?contractCode=NRSO&amp;parkId=70183", "PROSSER RANCH GROUP")</f>
        <v>0</v>
      </c>
      <c r="E362">
        <v>39.3787972</v>
      </c>
      <c r="F362">
        <v>-120.1552</v>
      </c>
      <c r="G362" t="s">
        <v>868</v>
      </c>
      <c r="I362" t="s">
        <v>505</v>
      </c>
      <c r="J362">
        <f>HYPERLINK("http://maps.google.com/maps?z=10&amp;t=m&amp;q=loc:39.3787972+-120.1552", 274)</f>
        <v>0</v>
      </c>
      <c r="K362">
        <v>33</v>
      </c>
      <c r="L362">
        <v>1</v>
      </c>
      <c r="M362">
        <v>0</v>
      </c>
      <c r="N362">
        <v>1</v>
      </c>
      <c r="O362">
        <v>1</v>
      </c>
    </row>
    <row r="363" spans="1:15">
      <c r="A363" s="1" t="s">
        <v>375</v>
      </c>
      <c r="B363" t="s">
        <v>504</v>
      </c>
      <c r="C363" t="s">
        <v>509</v>
      </c>
      <c r="E363">
        <v>37.6488889</v>
      </c>
      <c r="F363">
        <v>-119.0736111</v>
      </c>
      <c r="G363" t="s">
        <v>869</v>
      </c>
      <c r="I363" t="s">
        <v>505</v>
      </c>
      <c r="J363">
        <f>HYPERLINK("http://maps.google.com/maps?z=10&amp;t=m&amp;q=loc:37.6488889+-119.0736111", 252)</f>
        <v>0</v>
      </c>
      <c r="K363">
        <v>81</v>
      </c>
      <c r="L363">
        <v>0</v>
      </c>
      <c r="M363">
        <v>0</v>
      </c>
      <c r="N363">
        <v>0</v>
      </c>
      <c r="O363">
        <v>0</v>
      </c>
    </row>
    <row r="364" spans="1:15">
      <c r="A364" s="1" t="s">
        <v>376</v>
      </c>
      <c r="B364" t="s">
        <v>504</v>
      </c>
      <c r="C364" t="s">
        <v>509</v>
      </c>
      <c r="D364">
        <f>HYPERLINK("http://www.reserveamerica.com/camping/pyramid-lake--los-alamos-campground/r/facilityDetails.do?contractCode=NRSO&amp;parkId=72292", "PYRAMID LAKE - LOS ALAMOS CAMPGROUND")</f>
        <v>0</v>
      </c>
      <c r="E364">
        <v>34.65</v>
      </c>
      <c r="F364">
        <v>-118.7666667</v>
      </c>
      <c r="G364" t="s">
        <v>870</v>
      </c>
      <c r="I364" t="s">
        <v>505</v>
      </c>
      <c r="J364">
        <f>HYPERLINK("http://maps.google.com/maps?z=10&amp;t=m&amp;q=loc:34.65+-118.7666667", 410)</f>
        <v>0</v>
      </c>
      <c r="K364">
        <v>135</v>
      </c>
      <c r="L364">
        <v>88</v>
      </c>
      <c r="M364">
        <v>1</v>
      </c>
      <c r="N364">
        <v>87</v>
      </c>
      <c r="O364">
        <v>87</v>
      </c>
    </row>
    <row r="365" spans="1:15">
      <c r="A365" s="1" t="s">
        <v>377</v>
      </c>
      <c r="B365" t="s">
        <v>504</v>
      </c>
      <c r="C365" t="s">
        <v>509</v>
      </c>
      <c r="D365">
        <f>HYPERLINK("http://www.reserveamerica.com/camping/quaking-aspen/r/facilityDetails.do?contractCode=NRSO&amp;parkId=71610", "QUAKING ASPEN")</f>
        <v>0</v>
      </c>
      <c r="E365">
        <v>36.1208333</v>
      </c>
      <c r="F365">
        <v>-118.5472222</v>
      </c>
      <c r="G365" t="s">
        <v>871</v>
      </c>
      <c r="I365" t="s">
        <v>505</v>
      </c>
      <c r="J365">
        <f>HYPERLINK("http://maps.google.com/maps?z=10&amp;t=m&amp;q=loc:36.1208333+-118.5472222", 327)</f>
        <v>0</v>
      </c>
      <c r="K365">
        <v>113</v>
      </c>
      <c r="L365">
        <v>23</v>
      </c>
      <c r="M365">
        <v>0</v>
      </c>
      <c r="N365">
        <v>23</v>
      </c>
      <c r="O365">
        <v>23</v>
      </c>
    </row>
    <row r="366" spans="1:15">
      <c r="A366" s="1" t="s">
        <v>378</v>
      </c>
      <c r="B366" t="s">
        <v>504</v>
      </c>
      <c r="C366" t="s">
        <v>509</v>
      </c>
      <c r="D366">
        <f>HYPERLINK("http://www.reserveamerica.com/camping/ramshorn/r/facilityDetails.do?contractCode=NRSO&amp;parkId=75433", "RAMSHORN")</f>
        <v>0</v>
      </c>
      <c r="E366">
        <v>39.5394444</v>
      </c>
      <c r="F366">
        <v>-120.9113889</v>
      </c>
      <c r="G366" t="s">
        <v>872</v>
      </c>
      <c r="I366" t="s">
        <v>505</v>
      </c>
      <c r="J366">
        <f>HYPERLINK("http://maps.google.com/maps?z=10&amp;t=m&amp;q=loc:39.5394444+-120.9113889", 260)</f>
        <v>0</v>
      </c>
      <c r="K366">
        <v>19</v>
      </c>
      <c r="L366">
        <v>14</v>
      </c>
      <c r="M366">
        <v>0</v>
      </c>
      <c r="N366">
        <v>14</v>
      </c>
      <c r="O366">
        <v>14</v>
      </c>
    </row>
    <row r="367" spans="1:15">
      <c r="A367" s="1" t="s">
        <v>379</v>
      </c>
      <c r="B367" t="s">
        <v>504</v>
      </c>
      <c r="C367" t="s">
        <v>509</v>
      </c>
      <c r="D367">
        <f>HYPERLINK("http://www.reserveamerica.com/camping/rancheria/r/facilityDetails.do?contractCode=NRSO&amp;parkId=71593", "RANCHERIA")</f>
        <v>0</v>
      </c>
      <c r="E367">
        <v>37.2477778</v>
      </c>
      <c r="F367">
        <v>-119.1611111</v>
      </c>
      <c r="G367" t="s">
        <v>873</v>
      </c>
      <c r="H367" t="s">
        <v>998</v>
      </c>
      <c r="I367" t="s">
        <v>505</v>
      </c>
      <c r="J367">
        <f>HYPERLINK("http://maps.google.com/maps?z=10&amp;t=m&amp;q=loc:37.2477778+-119.1611111", 242)</f>
        <v>0</v>
      </c>
      <c r="K367">
        <v>91</v>
      </c>
      <c r="L367">
        <v>44</v>
      </c>
      <c r="M367">
        <v>10</v>
      </c>
      <c r="N367">
        <v>34</v>
      </c>
      <c r="O367">
        <v>34</v>
      </c>
    </row>
    <row r="368" spans="1:15">
      <c r="A368" s="1" t="s">
        <v>380</v>
      </c>
      <c r="B368" t="s">
        <v>504</v>
      </c>
      <c r="C368" t="s">
        <v>509</v>
      </c>
      <c r="D368">
        <f>HYPERLINK("http://www.reserveamerica.com/camping/recreation-point/r/facilityDetails.do?contractCode=NRSO&amp;parkId=71720", "RECREATION POINT")</f>
        <v>0</v>
      </c>
      <c r="E368">
        <v>37.3286111</v>
      </c>
      <c r="F368">
        <v>-119.5777778</v>
      </c>
      <c r="G368" t="s">
        <v>874</v>
      </c>
      <c r="I368" t="s">
        <v>505</v>
      </c>
      <c r="J368">
        <f>HYPERLINK("http://maps.google.com/maps?z=10&amp;t=m&amp;q=loc:37.3286111+-119.5777778", 205)</f>
        <v>0</v>
      </c>
      <c r="K368">
        <v>89</v>
      </c>
      <c r="L368">
        <v>2</v>
      </c>
      <c r="M368">
        <v>0</v>
      </c>
      <c r="N368">
        <v>2</v>
      </c>
      <c r="O368">
        <v>2</v>
      </c>
    </row>
    <row r="369" spans="1:15">
      <c r="A369" s="1" t="s">
        <v>381</v>
      </c>
      <c r="B369" t="s">
        <v>504</v>
      </c>
      <c r="C369" t="s">
        <v>509</v>
      </c>
      <c r="D369">
        <f>HYPERLINK("http://www.reserveamerica.com/camping/red-feather-california/r/facilityDetails.do?contractCode=NRSO&amp;parkId=70562", "RED FEATHER CALIFORNIA")</f>
        <v>0</v>
      </c>
      <c r="E369">
        <v>39.7352778</v>
      </c>
      <c r="F369">
        <v>-120.9530556</v>
      </c>
      <c r="G369" t="s">
        <v>875</v>
      </c>
      <c r="H369" t="s">
        <v>998</v>
      </c>
      <c r="I369" t="s">
        <v>505</v>
      </c>
      <c r="J369">
        <f>HYPERLINK("http://maps.google.com/maps?z=10&amp;t=m&amp;q=loc:39.7352778+-120.9530556", 280)</f>
        <v>0</v>
      </c>
      <c r="K369">
        <v>16</v>
      </c>
      <c r="L369">
        <v>56</v>
      </c>
      <c r="M369">
        <v>0</v>
      </c>
      <c r="N369">
        <v>56</v>
      </c>
      <c r="O369">
        <v>56</v>
      </c>
    </row>
    <row r="370" spans="1:15">
      <c r="A370" s="1" t="s">
        <v>382</v>
      </c>
      <c r="B370" t="s">
        <v>504</v>
      </c>
      <c r="C370" t="s">
        <v>509</v>
      </c>
      <c r="D370">
        <f>HYPERLINK("http://www.reserveamerica.com/camping/red-fir/r/facilityDetails.do?contractCode=NRSO&amp;parkId=70612", "RED FIR")</f>
        <v>0</v>
      </c>
      <c r="E370">
        <v>39.0022222</v>
      </c>
      <c r="F370">
        <v>-120.3125</v>
      </c>
      <c r="G370" t="s">
        <v>876</v>
      </c>
      <c r="I370" t="s">
        <v>505</v>
      </c>
      <c r="J370">
        <f>HYPERLINK("http://maps.google.com/maps?z=10&amp;t=m&amp;q=loc:39.0022222+-120.3125", 232)</f>
        <v>0</v>
      </c>
      <c r="K370">
        <v>36</v>
      </c>
      <c r="L370">
        <v>0</v>
      </c>
      <c r="M370">
        <v>0</v>
      </c>
      <c r="N370">
        <v>0</v>
      </c>
      <c r="O370">
        <v>0</v>
      </c>
    </row>
    <row r="371" spans="1:15">
      <c r="A371" s="1" t="s">
        <v>383</v>
      </c>
      <c r="B371" t="s">
        <v>504</v>
      </c>
      <c r="C371" t="s">
        <v>509</v>
      </c>
      <c r="D371">
        <f>HYPERLINK("http://www.reserveamerica.com/camping/redwood-meadow/r/facilityDetails.do?contractCode=NRSO&amp;parkId=71608", "REDWOOD MEADOW")</f>
        <v>0</v>
      </c>
      <c r="E371">
        <v>35.9777778</v>
      </c>
      <c r="F371">
        <v>-118.5916667</v>
      </c>
      <c r="G371" t="s">
        <v>877</v>
      </c>
      <c r="I371" t="s">
        <v>505</v>
      </c>
      <c r="J371">
        <f>HYPERLINK("http://maps.google.com/maps?z=10&amp;t=m&amp;q=loc:35.9777778+-118.5916667", 331)</f>
        <v>0</v>
      </c>
      <c r="K371">
        <v>115</v>
      </c>
      <c r="L371">
        <v>4</v>
      </c>
      <c r="M371">
        <v>0</v>
      </c>
      <c r="N371">
        <v>4</v>
      </c>
      <c r="O371">
        <v>4</v>
      </c>
    </row>
    <row r="372" spans="1:15">
      <c r="A372" s="1" t="s">
        <v>384</v>
      </c>
      <c r="B372" t="s">
        <v>505</v>
      </c>
      <c r="C372" t="s">
        <v>510</v>
      </c>
      <c r="D372">
        <f>HYPERLINK("http://www.reserveamerica.com/camping/refugio-sb/r/facilityDetails.do?contractCode=CA&amp;parkId=120075", "REFUGIO SB")</f>
        <v>0</v>
      </c>
      <c r="E372">
        <v>34.4622222</v>
      </c>
      <c r="F372">
        <v>-120.0713889</v>
      </c>
      <c r="G372" t="s">
        <v>878</v>
      </c>
      <c r="I372" t="s">
        <v>505</v>
      </c>
      <c r="J372">
        <f>HYPERLINK("http://maps.google.com/maps?z=10&amp;t=m&amp;q=loc:34.4622222+-120.0713889", 358)</f>
        <v>0</v>
      </c>
      <c r="K372">
        <v>152</v>
      </c>
      <c r="L372">
        <v>0</v>
      </c>
      <c r="M372">
        <v>0</v>
      </c>
      <c r="N372">
        <v>0</v>
      </c>
      <c r="O372">
        <v>0</v>
      </c>
    </row>
    <row r="373" spans="1:15">
      <c r="A373" s="1" t="s">
        <v>385</v>
      </c>
      <c r="B373" t="s">
        <v>504</v>
      </c>
      <c r="C373" t="s">
        <v>509</v>
      </c>
      <c r="D373">
        <f>HYPERLINK("http://www.reserveamerica.com/camping/reversed-creek-campground/r/facilityDetails.do?contractCode=NRSO&amp;parkId=72148", "REVERSED CREEK CAMPGROUND")</f>
        <v>0</v>
      </c>
      <c r="E373">
        <v>37.7703306</v>
      </c>
      <c r="F373">
        <v>-119.084275</v>
      </c>
      <c r="G373" t="s">
        <v>879</v>
      </c>
      <c r="I373" t="s">
        <v>505</v>
      </c>
      <c r="J373">
        <f>HYPERLINK("http://maps.google.com/maps?z=10&amp;t=m&amp;q=loc:37.7703306+-119.084275", 253)</f>
        <v>0</v>
      </c>
      <c r="K373">
        <v>77</v>
      </c>
      <c r="L373">
        <v>6</v>
      </c>
      <c r="M373">
        <v>0</v>
      </c>
      <c r="N373">
        <v>6</v>
      </c>
      <c r="O373">
        <v>6</v>
      </c>
    </row>
    <row r="374" spans="1:15">
      <c r="A374" s="1" t="s">
        <v>386</v>
      </c>
      <c r="B374" t="s">
        <v>505</v>
      </c>
      <c r="C374" t="s">
        <v>510</v>
      </c>
      <c r="D374">
        <f>HYPERLINK("http://www.reserveamerica.com/camping/richardson-grove-sp/r/facilityDetails.do?contractCode=CA&amp;parkId=120076", "RICHARDSON GROVE SP")</f>
        <v>0</v>
      </c>
      <c r="E374">
        <v>40.0172222</v>
      </c>
      <c r="F374">
        <v>-123.7916667</v>
      </c>
      <c r="G374" t="s">
        <v>880</v>
      </c>
      <c r="I374" t="s">
        <v>505</v>
      </c>
      <c r="J374">
        <f>HYPERLINK("http://maps.google.com/maps?z=10&amp;t=m&amp;q=loc:40.0172222+-123.7916667", 340)</f>
        <v>0</v>
      </c>
      <c r="K374">
        <v>331</v>
      </c>
      <c r="L374">
        <v>0</v>
      </c>
      <c r="M374">
        <v>0</v>
      </c>
      <c r="N374">
        <v>0</v>
      </c>
      <c r="O374">
        <v>0</v>
      </c>
    </row>
    <row r="375" spans="1:15">
      <c r="A375" s="1" t="s">
        <v>387</v>
      </c>
      <c r="B375" t="s">
        <v>504</v>
      </c>
      <c r="C375" t="s">
        <v>509</v>
      </c>
      <c r="D375">
        <f>HYPERLINK("http://www.reserveamerica.com/camping/robinson-creek-north/r/facilityDetails.do?contractCode=NRSO&amp;parkId=70317", "ROBINSON CREEK NORTH")</f>
        <v>0</v>
      </c>
      <c r="E375">
        <v>38.1861111</v>
      </c>
      <c r="F375">
        <v>-119.3175</v>
      </c>
      <c r="G375" t="s">
        <v>881</v>
      </c>
      <c r="I375" t="s">
        <v>505</v>
      </c>
      <c r="J375">
        <f>HYPERLINK("http://maps.google.com/maps?z=10&amp;t=m&amp;q=loc:38.1861111+-119.3175", 246)</f>
        <v>0</v>
      </c>
      <c r="K375">
        <v>66</v>
      </c>
      <c r="L375">
        <v>0</v>
      </c>
      <c r="M375">
        <v>0</v>
      </c>
      <c r="N375">
        <v>0</v>
      </c>
      <c r="O375">
        <v>0</v>
      </c>
    </row>
    <row r="376" spans="1:15">
      <c r="A376" s="1" t="s">
        <v>388</v>
      </c>
      <c r="B376" t="s">
        <v>504</v>
      </c>
      <c r="C376" t="s">
        <v>509</v>
      </c>
      <c r="D376">
        <f>HYPERLINK("http://www.reserveamerica.com/camping/robinson-creek-south/r/facilityDetails.do?contractCode=NRSO&amp;parkId=71943", "ROBINSON CREEK SOUTH")</f>
        <v>0</v>
      </c>
      <c r="E376">
        <v>38.1861111</v>
      </c>
      <c r="F376">
        <v>-119.3175</v>
      </c>
      <c r="G376" t="s">
        <v>882</v>
      </c>
      <c r="I376" t="s">
        <v>505</v>
      </c>
      <c r="J376">
        <f>HYPERLINK("http://maps.google.com/maps?z=10&amp;t=m&amp;q=loc:38.1861111+-119.3175", 246)</f>
        <v>0</v>
      </c>
      <c r="K376">
        <v>66</v>
      </c>
      <c r="L376">
        <v>0</v>
      </c>
      <c r="M376">
        <v>0</v>
      </c>
      <c r="N376">
        <v>0</v>
      </c>
      <c r="O376">
        <v>0</v>
      </c>
    </row>
    <row r="377" spans="1:15">
      <c r="A377" s="1" t="s">
        <v>389</v>
      </c>
      <c r="B377" t="s">
        <v>504</v>
      </c>
      <c r="C377" t="s">
        <v>509</v>
      </c>
      <c r="D377">
        <f>HYPERLINK("http://www.reserveamerica.com/camping/rock-creek-sierra-natl-fores/r/facilityDetails.do?contractCode=NRSO&amp;parkId=71598", "ROCK CREEK (SIERRA NATL FORES")</f>
        <v>0</v>
      </c>
      <c r="E377">
        <v>37.2911111</v>
      </c>
      <c r="F377">
        <v>-119.3594444</v>
      </c>
      <c r="G377" t="s">
        <v>883</v>
      </c>
      <c r="I377" t="s">
        <v>505</v>
      </c>
      <c r="J377">
        <f>HYPERLINK("http://maps.google.com/maps?z=10&amp;t=m&amp;q=loc:37.2911111+-119.3594444", 225)</f>
        <v>0</v>
      </c>
      <c r="K377">
        <v>90</v>
      </c>
      <c r="L377">
        <v>0</v>
      </c>
      <c r="M377">
        <v>0</v>
      </c>
      <c r="N377">
        <v>0</v>
      </c>
      <c r="O377">
        <v>0</v>
      </c>
    </row>
    <row r="378" spans="1:15">
      <c r="A378" s="1" t="s">
        <v>390</v>
      </c>
      <c r="B378" t="s">
        <v>504</v>
      </c>
      <c r="C378" t="s">
        <v>509</v>
      </c>
      <c r="D378">
        <f>HYPERLINK("http://www.reserveamerica.com/camping/rock-creek-lake/r/facilityDetails.do?contractCode=NRSO&amp;parkId=73836", "ROCK CREEK LAKE")</f>
        <v>0</v>
      </c>
      <c r="E378">
        <v>37.4538222</v>
      </c>
      <c r="F378">
        <v>-118.7390139</v>
      </c>
      <c r="G378" t="s">
        <v>884</v>
      </c>
      <c r="I378" t="s">
        <v>505</v>
      </c>
      <c r="J378">
        <f>HYPERLINK("http://maps.google.com/maps?z=10&amp;t=m&amp;q=loc:37.4538222+-118.7390139", 279)</f>
        <v>0</v>
      </c>
      <c r="K378">
        <v>86</v>
      </c>
      <c r="L378">
        <v>0</v>
      </c>
      <c r="M378">
        <v>0</v>
      </c>
      <c r="N378">
        <v>0</v>
      </c>
      <c r="O378">
        <v>0</v>
      </c>
    </row>
    <row r="379" spans="1:15">
      <c r="A379" s="1" t="s">
        <v>391</v>
      </c>
      <c r="B379" t="s">
        <v>504</v>
      </c>
      <c r="C379" t="s">
        <v>509</v>
      </c>
      <c r="E379">
        <v>37.4538222</v>
      </c>
      <c r="F379">
        <v>-118.7390139</v>
      </c>
      <c r="G379" t="s">
        <v>885</v>
      </c>
      <c r="I379" t="s">
        <v>505</v>
      </c>
      <c r="J379">
        <f>HYPERLINK("http://maps.google.com/maps?z=10&amp;t=m&amp;q=loc:37.4538222+-118.7390139", 279)</f>
        <v>0</v>
      </c>
      <c r="K379">
        <v>86</v>
      </c>
      <c r="L379">
        <v>0</v>
      </c>
      <c r="M379">
        <v>0</v>
      </c>
      <c r="N379">
        <v>0</v>
      </c>
      <c r="O379">
        <v>0</v>
      </c>
    </row>
    <row r="380" spans="1:15">
      <c r="A380" s="1" t="s">
        <v>392</v>
      </c>
      <c r="B380" t="s">
        <v>504</v>
      </c>
      <c r="C380" t="s">
        <v>509</v>
      </c>
      <c r="D380">
        <f>HYPERLINK("http://www.reserveamerica.com/camping/rocky-rest/r/facilityDetails.do?contractCode=NRSO&amp;parkId=75439", "ROCKY REST")</f>
        <v>0</v>
      </c>
      <c r="E380">
        <v>39.5138889</v>
      </c>
      <c r="F380">
        <v>-120.9744444</v>
      </c>
      <c r="G380" t="s">
        <v>886</v>
      </c>
      <c r="I380" t="s">
        <v>505</v>
      </c>
      <c r="J380">
        <f>HYPERLINK("http://maps.google.com/maps?z=10&amp;t=m&amp;q=loc:39.5138889+-120.9744444", 256)</f>
        <v>0</v>
      </c>
      <c r="K380">
        <v>18</v>
      </c>
      <c r="L380">
        <v>3</v>
      </c>
      <c r="M380">
        <v>0</v>
      </c>
      <c r="N380">
        <v>3</v>
      </c>
      <c r="O380">
        <v>3</v>
      </c>
    </row>
    <row r="381" spans="1:15">
      <c r="A381" s="1" t="s">
        <v>393</v>
      </c>
      <c r="B381" t="s">
        <v>504</v>
      </c>
      <c r="C381" t="s">
        <v>509</v>
      </c>
      <c r="D381">
        <f>HYPERLINK("http://www.reserveamerica.com/camping/running-deer-campground/r/facilityDetails.do?contractCode=NRSO&amp;parkId=73569", "RUNNING DEER CAMPGROUND")</f>
        <v>0</v>
      </c>
      <c r="E381">
        <v>39.7352778</v>
      </c>
      <c r="F381">
        <v>-120.9530556</v>
      </c>
      <c r="G381" t="s">
        <v>887</v>
      </c>
      <c r="H381" t="s">
        <v>998</v>
      </c>
      <c r="I381" t="s">
        <v>505</v>
      </c>
      <c r="J381">
        <f>HYPERLINK("http://maps.google.com/maps?z=10&amp;t=m&amp;q=loc:39.7352778+-120.9530556", 280)</f>
        <v>0</v>
      </c>
      <c r="K381">
        <v>16</v>
      </c>
      <c r="L381">
        <v>38</v>
      </c>
      <c r="M381">
        <v>0</v>
      </c>
      <c r="N381">
        <v>38</v>
      </c>
      <c r="O381">
        <v>38</v>
      </c>
    </row>
    <row r="382" spans="1:15">
      <c r="A382" s="1" t="s">
        <v>394</v>
      </c>
      <c r="B382" t="s">
        <v>505</v>
      </c>
      <c r="C382" t="s">
        <v>510</v>
      </c>
      <c r="E382">
        <v>39.3330556</v>
      </c>
      <c r="F382">
        <v>-123.7738889</v>
      </c>
      <c r="G382" t="s">
        <v>888</v>
      </c>
      <c r="I382" t="s">
        <v>505</v>
      </c>
      <c r="J382">
        <f>HYPERLINK("http://maps.google.com/maps?z=10&amp;t=m&amp;q=loc:39.3330556+-123.7738889", 275)</f>
        <v>0</v>
      </c>
      <c r="K382">
        <v>324</v>
      </c>
      <c r="L382">
        <v>0</v>
      </c>
      <c r="M382">
        <v>0</v>
      </c>
      <c r="N382">
        <v>0</v>
      </c>
      <c r="O382">
        <v>0</v>
      </c>
    </row>
    <row r="383" spans="1:15">
      <c r="A383" s="1" t="s">
        <v>395</v>
      </c>
      <c r="B383" t="s">
        <v>505</v>
      </c>
      <c r="C383" t="s">
        <v>510</v>
      </c>
      <c r="E383">
        <v>34.6777778</v>
      </c>
      <c r="F383">
        <v>-117.8041667</v>
      </c>
      <c r="G383" t="s">
        <v>889</v>
      </c>
      <c r="I383" t="s">
        <v>505</v>
      </c>
      <c r="J383">
        <f>HYPERLINK("http://maps.google.com/maps?z=10&amp;t=m&amp;q=loc:34.6777778+-117.8041667", 471)</f>
        <v>0</v>
      </c>
      <c r="K383">
        <v>127</v>
      </c>
      <c r="L383">
        <v>0</v>
      </c>
      <c r="M383">
        <v>0</v>
      </c>
      <c r="N383">
        <v>0</v>
      </c>
      <c r="O383">
        <v>0</v>
      </c>
    </row>
    <row r="384" spans="1:15">
      <c r="A384" s="1" t="s">
        <v>396</v>
      </c>
      <c r="B384" t="s">
        <v>504</v>
      </c>
      <c r="C384" t="s">
        <v>509</v>
      </c>
      <c r="D384">
        <f>HYPERLINK("http://www.reserveamerica.com/camping/sage-hill/r/facilityDetails.do?contractCode=NRSO&amp;parkId=70164", "SAGE HILL")</f>
        <v>0</v>
      </c>
      <c r="E384">
        <v>34.5391667</v>
      </c>
      <c r="F384">
        <v>-119.7911111</v>
      </c>
      <c r="G384" t="s">
        <v>890</v>
      </c>
      <c r="I384" t="s">
        <v>505</v>
      </c>
      <c r="J384">
        <f>HYPERLINK("http://maps.google.com/maps?z=10&amp;t=m&amp;q=loc:34.5391667+-119.7911111", 363)</f>
        <v>0</v>
      </c>
      <c r="K384">
        <v>147</v>
      </c>
      <c r="L384">
        <v>2</v>
      </c>
      <c r="M384">
        <v>0</v>
      </c>
      <c r="N384">
        <v>2</v>
      </c>
      <c r="O384">
        <v>2</v>
      </c>
    </row>
    <row r="385" spans="1:15">
      <c r="A385" s="1" t="s">
        <v>397</v>
      </c>
      <c r="B385" t="s">
        <v>504</v>
      </c>
      <c r="C385" t="s">
        <v>509</v>
      </c>
      <c r="D385">
        <f>HYPERLINK("http://www.reserveamerica.com/camping/salmon-creek/r/facilityDetails.do?contractCode=NRSO&amp;parkId=75430", "SALMON CREEK")</f>
        <v>0</v>
      </c>
      <c r="E385">
        <v>39.6236111</v>
      </c>
      <c r="F385">
        <v>-120.6122222</v>
      </c>
      <c r="G385" t="s">
        <v>891</v>
      </c>
      <c r="I385" t="s">
        <v>505</v>
      </c>
      <c r="J385">
        <f>HYPERLINK("http://maps.google.com/maps?z=10&amp;t=m&amp;q=loc:39.6236111+-120.6122222", 278)</f>
        <v>0</v>
      </c>
      <c r="K385">
        <v>23</v>
      </c>
      <c r="L385">
        <v>15</v>
      </c>
      <c r="M385">
        <v>0</v>
      </c>
      <c r="N385">
        <v>15</v>
      </c>
      <c r="O385">
        <v>15</v>
      </c>
    </row>
    <row r="386" spans="1:15">
      <c r="A386" s="1" t="s">
        <v>398</v>
      </c>
      <c r="B386" t="s">
        <v>505</v>
      </c>
      <c r="C386" t="s">
        <v>510</v>
      </c>
      <c r="D386">
        <f>HYPERLINK("http://www.reserveamerica.com/camping/salt-point-sp/r/facilityDetails.do?contractCode=CA&amp;parkId=120080", "SALT POINT SP")</f>
        <v>0</v>
      </c>
      <c r="E386">
        <v>38.5752778</v>
      </c>
      <c r="F386">
        <v>-123.3119444</v>
      </c>
      <c r="G386" t="s">
        <v>892</v>
      </c>
      <c r="I386" t="s">
        <v>505</v>
      </c>
      <c r="J386">
        <f>HYPERLINK("http://maps.google.com/maps?z=10&amp;t=m&amp;q=loc:38.5752778+-123.3119444", 185)</f>
        <v>0</v>
      </c>
      <c r="K386">
        <v>318</v>
      </c>
      <c r="L386">
        <v>2</v>
      </c>
      <c r="M386">
        <v>2</v>
      </c>
      <c r="N386">
        <v>0</v>
      </c>
      <c r="O386">
        <v>0</v>
      </c>
    </row>
    <row r="387" spans="1:15">
      <c r="A387" s="1" t="s">
        <v>399</v>
      </c>
      <c r="B387" t="s">
        <v>505</v>
      </c>
      <c r="C387" t="s">
        <v>510</v>
      </c>
      <c r="D387">
        <f>HYPERLINK("http://www.reserveamerica.com/camping/salton-sea-sra/r/facilityDetails.do?contractCode=CA&amp;parkId=120079", "SALTON SEA SRA")</f>
        <v>0</v>
      </c>
      <c r="E387">
        <v>33.4177778</v>
      </c>
      <c r="F387">
        <v>-115.8308333</v>
      </c>
      <c r="G387" t="s">
        <v>893</v>
      </c>
      <c r="I387" t="s">
        <v>505</v>
      </c>
      <c r="J387">
        <f>HYPERLINK("http://maps.google.com/maps?z=10&amp;t=m&amp;q=loc:33.4177778+-115.8308333", 701)</f>
        <v>0</v>
      </c>
      <c r="K387">
        <v>126</v>
      </c>
      <c r="L387">
        <v>0</v>
      </c>
      <c r="M387">
        <v>0</v>
      </c>
      <c r="N387">
        <v>0</v>
      </c>
      <c r="O387">
        <v>0</v>
      </c>
    </row>
    <row r="388" spans="1:15">
      <c r="A388" s="1" t="s">
        <v>400</v>
      </c>
      <c r="B388" t="s">
        <v>505</v>
      </c>
      <c r="C388" t="s">
        <v>510</v>
      </c>
      <c r="D388">
        <f>HYPERLINK("http://www.reserveamerica.com/camping/samuel-p-taylor-sp/r/facilityDetails.do?contractCode=CA&amp;parkId=120081", "SAMUEL P. TAYLOR SP")</f>
        <v>0</v>
      </c>
      <c r="E388">
        <v>38.0258333</v>
      </c>
      <c r="F388">
        <v>-122.7266667</v>
      </c>
      <c r="G388" t="s">
        <v>894</v>
      </c>
      <c r="H388" t="s">
        <v>997</v>
      </c>
      <c r="I388" t="s">
        <v>505</v>
      </c>
      <c r="J388">
        <f>HYPERLINK("http://maps.google.com/maps?z=10&amp;t=m&amp;q=loc:38.0258333+-122.7266667", 105)</f>
        <v>0</v>
      </c>
      <c r="K388">
        <v>317</v>
      </c>
      <c r="L388">
        <v>0</v>
      </c>
      <c r="M388">
        <v>0</v>
      </c>
      <c r="N388">
        <v>0</v>
      </c>
      <c r="O388">
        <v>0</v>
      </c>
    </row>
    <row r="389" spans="1:15">
      <c r="A389" s="1" t="s">
        <v>401</v>
      </c>
      <c r="B389" t="s">
        <v>505</v>
      </c>
      <c r="C389" t="s">
        <v>510</v>
      </c>
      <c r="D389">
        <f>HYPERLINK("http://www.reserveamerica.com/camping/san-clemente-sb/r/facilityDetails.do?contractCode=CA&amp;parkId=120082", "SAN CLEMENTE SB")</f>
        <v>0</v>
      </c>
      <c r="E389">
        <v>33.4030556</v>
      </c>
      <c r="F389">
        <v>-117.6038889</v>
      </c>
      <c r="G389" t="s">
        <v>895</v>
      </c>
      <c r="I389" t="s">
        <v>505</v>
      </c>
      <c r="J389">
        <f>HYPERLINK("http://maps.google.com/maps?z=10&amp;t=m&amp;q=loc:33.4030556+-117.6038889", 584)</f>
        <v>0</v>
      </c>
      <c r="K389">
        <v>136</v>
      </c>
      <c r="L389">
        <v>0</v>
      </c>
      <c r="M389">
        <v>0</v>
      </c>
      <c r="N389">
        <v>0</v>
      </c>
      <c r="O389">
        <v>0</v>
      </c>
    </row>
    <row r="390" spans="1:15">
      <c r="A390" s="1" t="s">
        <v>402</v>
      </c>
      <c r="B390" t="s">
        <v>505</v>
      </c>
      <c r="C390" t="s">
        <v>510</v>
      </c>
      <c r="D390">
        <f>HYPERLINK("http://www.reserveamerica.com/camping/san-elijo-sb/r/facilityDetails.do?contractCode=CA&amp;parkId=120083", "SAN ELIJO SB")</f>
        <v>0</v>
      </c>
      <c r="E390">
        <v>33.0247222</v>
      </c>
      <c r="F390">
        <v>-117.2855556</v>
      </c>
      <c r="G390" t="s">
        <v>896</v>
      </c>
      <c r="I390" t="s">
        <v>505</v>
      </c>
      <c r="J390">
        <f>HYPERLINK("http://maps.google.com/maps?z=10&amp;t=m&amp;q=loc:33.0247222+-117.2855556", 636)</f>
        <v>0</v>
      </c>
      <c r="K390">
        <v>137</v>
      </c>
      <c r="L390">
        <v>0</v>
      </c>
      <c r="M390">
        <v>0</v>
      </c>
      <c r="N390">
        <v>0</v>
      </c>
      <c r="O390">
        <v>0</v>
      </c>
    </row>
    <row r="391" spans="1:15">
      <c r="A391" s="1" t="s">
        <v>403</v>
      </c>
      <c r="B391" t="s">
        <v>504</v>
      </c>
      <c r="C391" t="s">
        <v>509</v>
      </c>
      <c r="D391">
        <f>HYPERLINK("http://www.reserveamerica.com/camping/san-gorgonio/r/facilityDetails.do?contractCode=NRSO&amp;parkId=70182", "SAN GORGONIO")</f>
        <v>0</v>
      </c>
      <c r="E391">
        <v>34.1744444</v>
      </c>
      <c r="F391">
        <v>-116.8663889</v>
      </c>
      <c r="G391" t="s">
        <v>897</v>
      </c>
      <c r="I391" t="s">
        <v>505</v>
      </c>
      <c r="J391">
        <f>HYPERLINK("http://maps.google.com/maps?z=10&amp;t=m&amp;q=loc:34.1744444+-116.8663889", 573)</f>
        <v>0</v>
      </c>
      <c r="K391">
        <v>126</v>
      </c>
      <c r="L391">
        <v>35</v>
      </c>
      <c r="M391">
        <v>13</v>
      </c>
      <c r="N391">
        <v>22</v>
      </c>
      <c r="O391">
        <v>22</v>
      </c>
    </row>
    <row r="392" spans="1:15">
      <c r="A392" s="1" t="s">
        <v>404</v>
      </c>
      <c r="B392" t="s">
        <v>505</v>
      </c>
      <c r="C392" t="s">
        <v>510</v>
      </c>
      <c r="D392">
        <f>HYPERLINK("http://www.reserveamerica.com/camping/san-luis-reservoir-sra/r/facilityDetails.do?contractCode=CA&amp;parkId=120084", "SAN LUIS RESERVOIR SRA")</f>
        <v>0</v>
      </c>
      <c r="E392">
        <v>37.0522222</v>
      </c>
      <c r="F392">
        <v>-121.1130556</v>
      </c>
      <c r="G392" t="s">
        <v>898</v>
      </c>
      <c r="I392" t="s">
        <v>505</v>
      </c>
      <c r="J392">
        <f>HYPERLINK("http://maps.google.com/maps?z=10&amp;t=m&amp;q=loc:37.0522222+-121.1130556", 76)</f>
        <v>0</v>
      </c>
      <c r="K392">
        <v>113</v>
      </c>
      <c r="L392">
        <v>136</v>
      </c>
      <c r="M392">
        <v>13</v>
      </c>
      <c r="N392">
        <v>123</v>
      </c>
      <c r="O392">
        <v>123</v>
      </c>
    </row>
    <row r="393" spans="1:15">
      <c r="A393" s="1" t="s">
        <v>405</v>
      </c>
      <c r="B393" t="s">
        <v>504</v>
      </c>
      <c r="C393" t="s">
        <v>509</v>
      </c>
      <c r="D393">
        <f>HYPERLINK("http://www.reserveamerica.com/camping/san-miguel-island/r/facilityDetails.do?contractCode=NRSO&amp;parkId=70983", "SAN MIGUEL ISLAND")</f>
        <v>0</v>
      </c>
      <c r="E393">
        <v>34.0406028</v>
      </c>
      <c r="F393">
        <v>-120.3490889</v>
      </c>
      <c r="G393" t="s">
        <v>899</v>
      </c>
      <c r="H393" t="s">
        <v>996</v>
      </c>
      <c r="I393" t="s">
        <v>505</v>
      </c>
      <c r="J393">
        <f>HYPERLINK("http://maps.google.com/maps?z=10&amp;t=m&amp;q=loc:34.0406028+-120.3490889", 391)</f>
        <v>0</v>
      </c>
      <c r="K393">
        <v>158</v>
      </c>
      <c r="L393">
        <v>9</v>
      </c>
      <c r="M393">
        <v>0</v>
      </c>
      <c r="N393">
        <v>9</v>
      </c>
      <c r="O393">
        <v>9</v>
      </c>
    </row>
    <row r="394" spans="1:15">
      <c r="A394" s="1" t="s">
        <v>406</v>
      </c>
      <c r="B394" t="s">
        <v>505</v>
      </c>
      <c r="C394" t="s">
        <v>510</v>
      </c>
      <c r="D394">
        <f>HYPERLINK("http://www.reserveamerica.com/camping/san-onofre-sb/r/facilityDetails.do?contractCode=CA&amp;parkId=120085", "SAN ONOFRE SB")</f>
        <v>0</v>
      </c>
      <c r="E394">
        <v>33.3727778</v>
      </c>
      <c r="F394">
        <v>-117.5647222</v>
      </c>
      <c r="G394" t="s">
        <v>900</v>
      </c>
      <c r="I394" t="s">
        <v>505</v>
      </c>
      <c r="J394">
        <f>HYPERLINK("http://maps.google.com/maps?z=10&amp;t=m&amp;q=loc:33.3727778+-117.5647222", 589)</f>
        <v>0</v>
      </c>
      <c r="K394">
        <v>136</v>
      </c>
      <c r="L394">
        <v>1</v>
      </c>
      <c r="M394">
        <v>1</v>
      </c>
      <c r="N394">
        <v>0</v>
      </c>
      <c r="O394">
        <v>0</v>
      </c>
    </row>
    <row r="395" spans="1:15">
      <c r="A395" s="1" t="s">
        <v>407</v>
      </c>
      <c r="B395" t="s">
        <v>505</v>
      </c>
      <c r="C395" t="s">
        <v>510</v>
      </c>
      <c r="D395">
        <f>HYPERLINK("http://www.reserveamerica.com/camping/san-simeon-sp/r/facilityDetails.do?contractCode=CA&amp;parkId=120086", "SAN SIMEON SP")</f>
        <v>0</v>
      </c>
      <c r="E395">
        <v>35.5836111</v>
      </c>
      <c r="F395">
        <v>-121.1205556</v>
      </c>
      <c r="G395" t="s">
        <v>901</v>
      </c>
      <c r="I395" t="s">
        <v>505</v>
      </c>
      <c r="J395">
        <f>HYPERLINK("http://maps.google.com/maps?z=10&amp;t=m&amp;q=loc:35.5836111+-121.1205556", 206)</f>
        <v>0</v>
      </c>
      <c r="K395">
        <v>159</v>
      </c>
      <c r="L395">
        <v>160</v>
      </c>
      <c r="M395">
        <v>3</v>
      </c>
      <c r="N395">
        <v>157</v>
      </c>
      <c r="O395">
        <v>157</v>
      </c>
    </row>
    <row r="396" spans="1:15">
      <c r="A396" s="1" t="s">
        <v>408</v>
      </c>
      <c r="B396" t="s">
        <v>504</v>
      </c>
      <c r="C396" t="s">
        <v>509</v>
      </c>
      <c r="D396">
        <f>HYPERLINK("http://www.reserveamerica.com/camping/sandy-flat/r/facilityDetails.do?contractCode=NRSO&amp;parkId=72076", "SANDY FLAT")</f>
        <v>0</v>
      </c>
      <c r="E396">
        <v>35.5744444</v>
      </c>
      <c r="F396">
        <v>-118.5255556</v>
      </c>
      <c r="G396" t="s">
        <v>902</v>
      </c>
      <c r="I396" t="s">
        <v>505</v>
      </c>
      <c r="J396">
        <f>HYPERLINK("http://maps.google.com/maps?z=10&amp;t=m&amp;q=loc:35.5744444+-118.5255556", 359)</f>
        <v>0</v>
      </c>
      <c r="K396">
        <v>121</v>
      </c>
      <c r="L396">
        <v>33</v>
      </c>
      <c r="M396">
        <v>0</v>
      </c>
      <c r="N396">
        <v>33</v>
      </c>
      <c r="O396">
        <v>33</v>
      </c>
    </row>
    <row r="397" spans="1:15">
      <c r="A397" s="1" t="s">
        <v>409</v>
      </c>
      <c r="B397" t="s">
        <v>504</v>
      </c>
      <c r="C397" t="s">
        <v>509</v>
      </c>
      <c r="D397">
        <f>HYPERLINK("http://www.reserveamerica.com/camping/santa-barbara-island/r/facilityDetails.do?contractCode=NRSO&amp;parkId=70982", "SANTA BARBARA ISLAND")</f>
        <v>0</v>
      </c>
      <c r="E397">
        <v>33.47985</v>
      </c>
      <c r="F397">
        <v>-119.0298917</v>
      </c>
      <c r="G397" t="s">
        <v>903</v>
      </c>
      <c r="H397" t="s">
        <v>996</v>
      </c>
      <c r="I397" t="s">
        <v>505</v>
      </c>
      <c r="J397">
        <f>HYPERLINK("http://maps.google.com/maps?z=10&amp;t=m&amp;q=loc:33.47985+-119.0298917", 500)</f>
        <v>0</v>
      </c>
      <c r="K397">
        <v>147</v>
      </c>
      <c r="L397">
        <v>0</v>
      </c>
      <c r="M397">
        <v>0</v>
      </c>
      <c r="N397">
        <v>0</v>
      </c>
      <c r="O397">
        <v>0</v>
      </c>
    </row>
    <row r="398" spans="1:15">
      <c r="A398" s="1" t="s">
        <v>410</v>
      </c>
      <c r="B398" t="s">
        <v>504</v>
      </c>
      <c r="C398" t="s">
        <v>509</v>
      </c>
      <c r="D398">
        <f>HYPERLINK("http://www.reserveamerica.com/camping/santa-cruz-del-norte-backcountry/r/facilityDetails.do?contractCode=NRSO&amp;parkId=70981", "SANTA CRUZ DEL NORTE BACKCOUNTRY")</f>
        <v>0</v>
      </c>
      <c r="E398">
        <v>34.0108333</v>
      </c>
      <c r="F398">
        <v>-119.6602778</v>
      </c>
      <c r="G398" t="s">
        <v>904</v>
      </c>
      <c r="H398" t="s">
        <v>996</v>
      </c>
      <c r="I398" t="s">
        <v>505</v>
      </c>
      <c r="J398">
        <f>HYPERLINK("http://maps.google.com/maps?z=10&amp;t=m&amp;q=loc:34.0108333+-119.6602778", 420)</f>
        <v>0</v>
      </c>
      <c r="K398">
        <v>150</v>
      </c>
      <c r="L398">
        <v>0</v>
      </c>
      <c r="M398">
        <v>0</v>
      </c>
      <c r="N398">
        <v>0</v>
      </c>
      <c r="O398">
        <v>0</v>
      </c>
    </row>
    <row r="399" spans="1:15">
      <c r="A399" s="1" t="s">
        <v>411</v>
      </c>
      <c r="B399" t="s">
        <v>504</v>
      </c>
      <c r="C399" t="s">
        <v>509</v>
      </c>
      <c r="D399">
        <f>HYPERLINK("http://www.reserveamerica.com/camping/santa-cruz-scorpion/r/facilityDetails.do?contractCode=NRSO&amp;parkId=70980", "SANTA CRUZ SCORPION")</f>
        <v>0</v>
      </c>
      <c r="E399">
        <v>34.0482444</v>
      </c>
      <c r="F399">
        <v>-119.5615972</v>
      </c>
      <c r="G399" t="s">
        <v>905</v>
      </c>
      <c r="H399" t="s">
        <v>996</v>
      </c>
      <c r="I399" t="s">
        <v>505</v>
      </c>
      <c r="J399">
        <f>HYPERLINK("http://maps.google.com/maps?z=10&amp;t=m&amp;q=loc:34.0482444+-119.5615972", 421)</f>
        <v>0</v>
      </c>
      <c r="K399">
        <v>149</v>
      </c>
      <c r="L399">
        <v>0</v>
      </c>
      <c r="M399">
        <v>0</v>
      </c>
      <c r="N399">
        <v>0</v>
      </c>
      <c r="O399">
        <v>0</v>
      </c>
    </row>
    <row r="400" spans="1:15">
      <c r="A400" s="1" t="s">
        <v>412</v>
      </c>
      <c r="B400" t="s">
        <v>504</v>
      </c>
      <c r="C400" t="s">
        <v>509</v>
      </c>
      <c r="D400">
        <f>HYPERLINK("http://www.reserveamerica.com/camping/santa-rosa-island/r/facilityDetails.do?contractCode=NRSO&amp;parkId=70979", "SANTA ROSA ISLAND")</f>
        <v>0</v>
      </c>
      <c r="E400">
        <v>33.99105</v>
      </c>
      <c r="F400">
        <v>-120.0481472</v>
      </c>
      <c r="G400" t="s">
        <v>906</v>
      </c>
      <c r="H400" t="s">
        <v>996</v>
      </c>
      <c r="I400" t="s">
        <v>505</v>
      </c>
      <c r="J400">
        <f>HYPERLINK("http://maps.google.com/maps?z=10&amp;t=m&amp;q=loc:33.99105+-120.0481472", 406)</f>
        <v>0</v>
      </c>
      <c r="K400">
        <v>155</v>
      </c>
      <c r="L400">
        <v>0</v>
      </c>
      <c r="M400">
        <v>0</v>
      </c>
      <c r="N400">
        <v>0</v>
      </c>
      <c r="O400">
        <v>0</v>
      </c>
    </row>
    <row r="401" spans="1:15">
      <c r="A401" s="1" t="s">
        <v>413</v>
      </c>
      <c r="B401" t="s">
        <v>504</v>
      </c>
      <c r="C401" t="s">
        <v>509</v>
      </c>
      <c r="D401">
        <f>HYPERLINK("http://www.reserveamerica.com/camping/sarah-totten-campground/r/facilityDetails.do?contractCode=NRSO&amp;parkId=75265", "SARAH TOTTEN CAMPGROUND")</f>
        <v>0</v>
      </c>
      <c r="E401">
        <v>41.7841667</v>
      </c>
      <c r="F401">
        <v>-123.0430556</v>
      </c>
      <c r="G401" t="s">
        <v>907</v>
      </c>
      <c r="I401" t="s">
        <v>505</v>
      </c>
      <c r="J401">
        <f>HYPERLINK("http://maps.google.com/maps?z=10&amp;t=m&amp;q=loc:41.7841667+-123.0430556", 504)</f>
        <v>0</v>
      </c>
      <c r="K401">
        <v>349</v>
      </c>
      <c r="L401">
        <v>2</v>
      </c>
      <c r="M401">
        <v>0</v>
      </c>
      <c r="N401">
        <v>2</v>
      </c>
      <c r="O401">
        <v>2</v>
      </c>
    </row>
    <row r="402" spans="1:15">
      <c r="A402" s="1" t="s">
        <v>414</v>
      </c>
      <c r="B402" t="s">
        <v>504</v>
      </c>
      <c r="C402" t="s">
        <v>509</v>
      </c>
      <c r="D402">
        <f>HYPERLINK("http://www.reserveamerica.com/camping/sardine-lake/r/facilityDetails.do?contractCode=NRSO&amp;parkId=75429", "SARDINE LAKE")</f>
        <v>0</v>
      </c>
      <c r="E402">
        <v>39.6188889</v>
      </c>
      <c r="F402">
        <v>-120.6175</v>
      </c>
      <c r="G402" t="s">
        <v>908</v>
      </c>
      <c r="I402" t="s">
        <v>505</v>
      </c>
      <c r="J402">
        <f>HYPERLINK("http://maps.google.com/maps?z=10&amp;t=m&amp;q=loc:39.6188889+-120.6175", 278)</f>
        <v>0</v>
      </c>
      <c r="K402">
        <v>23</v>
      </c>
      <c r="L402">
        <v>2</v>
      </c>
      <c r="M402">
        <v>0</v>
      </c>
      <c r="N402">
        <v>2</v>
      </c>
      <c r="O402">
        <v>2</v>
      </c>
    </row>
    <row r="403" spans="1:15">
      <c r="A403" s="1" t="s">
        <v>415</v>
      </c>
      <c r="B403" t="s">
        <v>504</v>
      </c>
      <c r="C403" t="s">
        <v>509</v>
      </c>
      <c r="D403">
        <f>HYPERLINK("http://www.reserveamerica.com/camping/serrano/r/facilityDetails.do?contractCode=NRSO&amp;parkId=70533", "SERRANO")</f>
        <v>0</v>
      </c>
      <c r="E403">
        <v>34.2613889</v>
      </c>
      <c r="F403">
        <v>-116.9194444</v>
      </c>
      <c r="G403" t="s">
        <v>909</v>
      </c>
      <c r="I403" t="s">
        <v>505</v>
      </c>
      <c r="J403">
        <f>HYPERLINK("http://maps.google.com/maps?z=10&amp;t=m&amp;q=loc:34.2613889+-116.9194444", 563)</f>
        <v>0</v>
      </c>
      <c r="K403">
        <v>125</v>
      </c>
      <c r="L403">
        <v>0</v>
      </c>
      <c r="M403">
        <v>0</v>
      </c>
      <c r="N403">
        <v>0</v>
      </c>
      <c r="O403">
        <v>0</v>
      </c>
    </row>
    <row r="404" spans="1:15">
      <c r="A404" s="1" t="s">
        <v>416</v>
      </c>
      <c r="B404" t="s">
        <v>504</v>
      </c>
      <c r="C404" t="s">
        <v>509</v>
      </c>
      <c r="D404">
        <f>HYPERLINK("http://www.reserveamerica.com/camping/shady-cove-group-campground/r/facilityDetails.do?contractCode=NRSO&amp;parkId=73900", "SHADY COVE GROUP CAMPGROUND")</f>
        <v>0</v>
      </c>
      <c r="E404">
        <v>34.2083139</v>
      </c>
      <c r="F404">
        <v>-117.0468333</v>
      </c>
      <c r="G404" t="s">
        <v>910</v>
      </c>
      <c r="I404" t="s">
        <v>505</v>
      </c>
      <c r="J404">
        <f>HYPERLINK("http://maps.google.com/maps?z=10&amp;t=m&amp;q=loc:34.2083139+-117.0468333", 558)</f>
        <v>0</v>
      </c>
      <c r="K404">
        <v>126</v>
      </c>
      <c r="L404">
        <v>0</v>
      </c>
      <c r="M404">
        <v>0</v>
      </c>
      <c r="N404">
        <v>0</v>
      </c>
      <c r="O404">
        <v>0</v>
      </c>
    </row>
    <row r="405" spans="1:15">
      <c r="A405" s="1" t="s">
        <v>417</v>
      </c>
      <c r="B405" t="s">
        <v>504</v>
      </c>
      <c r="C405" t="s">
        <v>509</v>
      </c>
      <c r="E405">
        <v>33.9991667</v>
      </c>
      <c r="F405">
        <v>-116.1180556</v>
      </c>
      <c r="G405" t="s">
        <v>911</v>
      </c>
      <c r="I405" t="s">
        <v>505</v>
      </c>
      <c r="J405">
        <f>HYPERLINK("http://maps.google.com/maps?z=10&amp;t=m&amp;q=loc:33.9991667+-116.1180556", 640)</f>
        <v>0</v>
      </c>
      <c r="K405">
        <v>123</v>
      </c>
      <c r="L405">
        <v>0</v>
      </c>
      <c r="M405">
        <v>0</v>
      </c>
      <c r="N405">
        <v>0</v>
      </c>
      <c r="O405">
        <v>0</v>
      </c>
    </row>
    <row r="406" spans="1:15">
      <c r="A406" s="1" t="s">
        <v>418</v>
      </c>
      <c r="B406" t="s">
        <v>504</v>
      </c>
      <c r="C406" t="s">
        <v>509</v>
      </c>
      <c r="D406">
        <f>HYPERLINK("http://www.reserveamerica.com/camping/sherwin-creek/r/facilityDetails.do?contractCode=NRSO&amp;parkId=70567", "SHERWIN CREEK")</f>
        <v>0</v>
      </c>
      <c r="E406">
        <v>37.63</v>
      </c>
      <c r="F406">
        <v>-118.935</v>
      </c>
      <c r="G406" t="s">
        <v>912</v>
      </c>
      <c r="I406" t="s">
        <v>505</v>
      </c>
      <c r="J406">
        <f>HYPERLINK("http://maps.google.com/maps?z=10&amp;t=m&amp;q=loc:37.63+-118.935", 264)</f>
        <v>0</v>
      </c>
      <c r="K406">
        <v>81</v>
      </c>
      <c r="L406">
        <v>0</v>
      </c>
      <c r="M406">
        <v>0</v>
      </c>
      <c r="N406">
        <v>0</v>
      </c>
      <c r="O406">
        <v>0</v>
      </c>
    </row>
    <row r="407" spans="1:15">
      <c r="A407" s="1" t="s">
        <v>419</v>
      </c>
      <c r="B407" t="s">
        <v>504</v>
      </c>
      <c r="C407" t="s">
        <v>509</v>
      </c>
      <c r="D407">
        <f>HYPERLINK("http://www.reserveamerica.com/camping/shirttail-creek/r/facilityDetails.do?contractCode=NRSO&amp;parkId=71675", "SHIRTTAIL CREEK")</f>
        <v>0</v>
      </c>
      <c r="E407">
        <v>39.1444444</v>
      </c>
      <c r="F407">
        <v>-120.7847222</v>
      </c>
      <c r="G407" t="s">
        <v>913</v>
      </c>
      <c r="I407" t="s">
        <v>505</v>
      </c>
      <c r="J407">
        <f>HYPERLINK("http://maps.google.com/maps?z=10&amp;t=m&amp;q=loc:39.1444444+-120.7847222", 224)</f>
        <v>0</v>
      </c>
      <c r="K407">
        <v>25</v>
      </c>
      <c r="L407">
        <v>15</v>
      </c>
      <c r="M407">
        <v>3</v>
      </c>
      <c r="N407">
        <v>12</v>
      </c>
      <c r="O407">
        <v>12</v>
      </c>
    </row>
    <row r="408" spans="1:15">
      <c r="A408" s="1" t="s">
        <v>420</v>
      </c>
      <c r="B408" t="s">
        <v>506</v>
      </c>
      <c r="C408" t="s">
        <v>511</v>
      </c>
      <c r="D408">
        <f>HYPERLINK("http://www.reserveamerica.com/camping/sibley-volcanic-regional-preserve/r/facilityDetails.do?contractCode=EB&amp;parkId=110550", "Sibley Volcanic Regional Preserve")</f>
        <v>0</v>
      </c>
      <c r="E408">
        <v>37.8477778</v>
      </c>
      <c r="F408">
        <v>-122.1983333</v>
      </c>
      <c r="G408" t="s">
        <v>914</v>
      </c>
      <c r="I408" t="s">
        <v>505</v>
      </c>
      <c r="J408">
        <f>HYPERLINK("http://maps.google.com/maps?z=10&amp;t=m&amp;q=loc:37.8477778+-122.1983333", 63)</f>
        <v>0</v>
      </c>
      <c r="K408">
        <v>336</v>
      </c>
      <c r="L408">
        <v>0</v>
      </c>
      <c r="M408">
        <v>0</v>
      </c>
      <c r="N408">
        <v>0</v>
      </c>
      <c r="O408">
        <v>0</v>
      </c>
    </row>
    <row r="409" spans="1:15">
      <c r="A409" s="1" t="s">
        <v>421</v>
      </c>
      <c r="B409" t="s">
        <v>504</v>
      </c>
      <c r="C409" t="s">
        <v>509</v>
      </c>
      <c r="D409">
        <f>HYPERLINK("http://www.reserveamerica.com/camping/sierra/r/facilityDetails.do?contractCode=NRSO&amp;parkId=75435", "SIERRA")</f>
        <v>0</v>
      </c>
      <c r="E409">
        <v>39.6308333</v>
      </c>
      <c r="F409">
        <v>-120.5586111</v>
      </c>
      <c r="G409" t="s">
        <v>915</v>
      </c>
      <c r="I409" t="s">
        <v>505</v>
      </c>
      <c r="J409">
        <f>HYPERLINK("http://maps.google.com/maps?z=10&amp;t=m&amp;q=loc:39.6308333+-120.5586111", 281)</f>
        <v>0</v>
      </c>
      <c r="K409">
        <v>24</v>
      </c>
      <c r="L409">
        <v>13</v>
      </c>
      <c r="M409">
        <v>0</v>
      </c>
      <c r="N409">
        <v>13</v>
      </c>
      <c r="O409">
        <v>13</v>
      </c>
    </row>
    <row r="410" spans="1:15">
      <c r="A410" s="1" t="s">
        <v>422</v>
      </c>
      <c r="B410" t="s">
        <v>504</v>
      </c>
      <c r="C410" t="s">
        <v>509</v>
      </c>
      <c r="D410">
        <f>HYPERLINK("http://www.reserveamerica.com/camping/silver-creek/r/facilityDetails.do?contractCode=NRSO&amp;parkId=70460", "Silver Creek")</f>
        <v>0</v>
      </c>
      <c r="E410">
        <v>38.5889722</v>
      </c>
      <c r="F410">
        <v>-119.7871667</v>
      </c>
      <c r="G410" t="s">
        <v>916</v>
      </c>
      <c r="I410" t="s">
        <v>505</v>
      </c>
      <c r="J410">
        <f>HYPERLINK("http://maps.google.com/maps?z=10&amp;t=m&amp;q=loc:38.5889722+-119.7871667", 232)</f>
        <v>0</v>
      </c>
      <c r="K410">
        <v>52</v>
      </c>
      <c r="L410">
        <v>0</v>
      </c>
      <c r="M410">
        <v>0</v>
      </c>
      <c r="N410">
        <v>0</v>
      </c>
      <c r="O410">
        <v>0</v>
      </c>
    </row>
    <row r="411" spans="1:15">
      <c r="A411" s="1" t="s">
        <v>423</v>
      </c>
      <c r="B411" t="s">
        <v>504</v>
      </c>
      <c r="C411" t="s">
        <v>509</v>
      </c>
      <c r="D411">
        <f>HYPERLINK("http://www.reserveamerica.com/camping/silver-creek-group-campground/r/facilityDetails.do?contractCode=NRSO&amp;parkId=74160", "SILVER CREEK GROUP CAMPGROUND")</f>
        <v>0</v>
      </c>
      <c r="E411">
        <v>38.8269444</v>
      </c>
      <c r="F411">
        <v>-120.39</v>
      </c>
      <c r="G411" t="s">
        <v>917</v>
      </c>
      <c r="I411" t="s">
        <v>505</v>
      </c>
      <c r="J411">
        <f>HYPERLINK("http://maps.google.com/maps?z=10&amp;t=m&amp;q=loc:38.8269444+-120.39", 212)</f>
        <v>0</v>
      </c>
      <c r="K411">
        <v>38</v>
      </c>
      <c r="L411">
        <v>0</v>
      </c>
      <c r="M411">
        <v>0</v>
      </c>
      <c r="N411">
        <v>0</v>
      </c>
      <c r="O411">
        <v>0</v>
      </c>
    </row>
    <row r="412" spans="1:15">
      <c r="A412" s="1" t="s">
        <v>424</v>
      </c>
      <c r="B412" t="s">
        <v>504</v>
      </c>
      <c r="C412" t="s">
        <v>509</v>
      </c>
      <c r="D412">
        <f>HYPERLINK("http://www.reserveamerica.com/camping/silver-creektruckee/r/facilityDetails.do?contractCode=NRSO&amp;parkId=71672", "SILVER CREEK-TRUCKEE")</f>
        <v>0</v>
      </c>
      <c r="E412">
        <v>39.2230556</v>
      </c>
      <c r="F412">
        <v>-120.2008333</v>
      </c>
      <c r="G412" t="s">
        <v>918</v>
      </c>
      <c r="I412" t="s">
        <v>505</v>
      </c>
      <c r="J412">
        <f>HYPERLINK("http://maps.google.com/maps?z=10&amp;t=m&amp;q=loc:39.2230556+-120.2008333", 257)</f>
        <v>0</v>
      </c>
      <c r="K412">
        <v>34</v>
      </c>
      <c r="L412">
        <v>22</v>
      </c>
      <c r="M412">
        <v>0</v>
      </c>
      <c r="N412">
        <v>22</v>
      </c>
      <c r="O412">
        <v>22</v>
      </c>
    </row>
    <row r="413" spans="1:15">
      <c r="A413" s="1" t="s">
        <v>425</v>
      </c>
      <c r="B413" t="s">
        <v>504</v>
      </c>
      <c r="C413" t="s">
        <v>509</v>
      </c>
      <c r="D413">
        <f>HYPERLINK("http://www.reserveamerica.com/camping/silver-lake-campground-june-lake-ca/r/facilityDetails.do?contractCode=NRSO&amp;parkId=75194", "SILVER LAKE CAMPGROUND JUNE LAKE (CA")</f>
        <v>0</v>
      </c>
      <c r="E413">
        <v>37.7830556</v>
      </c>
      <c r="F413">
        <v>-119.1263889</v>
      </c>
      <c r="G413" t="s">
        <v>919</v>
      </c>
      <c r="I413" t="s">
        <v>505</v>
      </c>
      <c r="J413">
        <f>HYPERLINK("http://maps.google.com/maps?z=10&amp;t=m&amp;q=loc:37.7830556+-119.1263889", 250)</f>
        <v>0</v>
      </c>
      <c r="K413">
        <v>77</v>
      </c>
      <c r="L413">
        <v>18</v>
      </c>
      <c r="M413">
        <v>0</v>
      </c>
      <c r="N413">
        <v>18</v>
      </c>
      <c r="O413">
        <v>19</v>
      </c>
    </row>
    <row r="414" spans="1:15">
      <c r="A414" s="1" t="s">
        <v>426</v>
      </c>
      <c r="B414" t="s">
        <v>504</v>
      </c>
      <c r="C414" t="s">
        <v>509</v>
      </c>
      <c r="D414">
        <f>HYPERLINK("http://www.reserveamerica.com/camping/silver-lake-east-eldorado/r/facilityDetails.do?contractCode=NRSO&amp;parkId=70555", "SILVER LAKE EAST- ELDORADO")</f>
        <v>0</v>
      </c>
      <c r="E414">
        <v>38.675</v>
      </c>
      <c r="F414">
        <v>-119.8875</v>
      </c>
      <c r="G414" t="s">
        <v>920</v>
      </c>
      <c r="I414" t="s">
        <v>505</v>
      </c>
      <c r="J414">
        <f>HYPERLINK("http://maps.google.com/maps?z=10&amp;t=m&amp;q=loc:38.675+-119.8875", 231)</f>
        <v>0</v>
      </c>
      <c r="K414">
        <v>49</v>
      </c>
      <c r="L414">
        <v>33</v>
      </c>
      <c r="M414">
        <v>0</v>
      </c>
      <c r="N414">
        <v>33</v>
      </c>
      <c r="O414">
        <v>33</v>
      </c>
    </row>
    <row r="415" spans="1:15">
      <c r="A415" s="1" t="s">
        <v>427</v>
      </c>
      <c r="B415" t="s">
        <v>504</v>
      </c>
      <c r="C415" t="s">
        <v>509</v>
      </c>
      <c r="D415">
        <f>HYPERLINK("http://www.reserveamerica.com/camping/silvertip-group/r/facilityDetails.do?contractCode=NRSO&amp;parkId=71673", "SILVERTIP GROUP")</f>
        <v>0</v>
      </c>
      <c r="E415">
        <v>39.4866667</v>
      </c>
      <c r="F415">
        <v>-120.5475</v>
      </c>
      <c r="G415" t="s">
        <v>921</v>
      </c>
      <c r="I415" t="s">
        <v>505</v>
      </c>
      <c r="J415">
        <f>HYPERLINK("http://maps.google.com/maps?z=10&amp;t=m&amp;q=loc:39.4866667+-120.5475", 267)</f>
        <v>0</v>
      </c>
      <c r="K415">
        <v>25</v>
      </c>
      <c r="L415">
        <v>0</v>
      </c>
      <c r="M415">
        <v>0</v>
      </c>
      <c r="N415">
        <v>0</v>
      </c>
      <c r="O415">
        <v>0</v>
      </c>
    </row>
    <row r="416" spans="1:15">
      <c r="A416" s="1" t="s">
        <v>428</v>
      </c>
      <c r="B416" t="s">
        <v>505</v>
      </c>
      <c r="C416" t="s">
        <v>510</v>
      </c>
      <c r="D416">
        <f>HYPERLINK("http://www.reserveamerica.com/camping/silverwood-lake-sra/r/facilityDetails.do?contractCode=CA&amp;parkId=120088", "SILVERWOOD LAKE SRA")</f>
        <v>0</v>
      </c>
      <c r="E416">
        <v>34.2911111</v>
      </c>
      <c r="F416">
        <v>-117.3275</v>
      </c>
      <c r="G416" t="s">
        <v>922</v>
      </c>
      <c r="I416" t="s">
        <v>505</v>
      </c>
      <c r="J416">
        <f>HYPERLINK("http://maps.google.com/maps?z=10&amp;t=m&amp;q=loc:34.2911111+-117.3275", 532)</f>
        <v>0</v>
      </c>
      <c r="K416">
        <v>127</v>
      </c>
      <c r="L416">
        <v>66</v>
      </c>
      <c r="M416">
        <v>10</v>
      </c>
      <c r="N416">
        <v>56</v>
      </c>
      <c r="O416">
        <v>56</v>
      </c>
    </row>
    <row r="417" spans="1:15">
      <c r="A417" s="1" t="s">
        <v>429</v>
      </c>
      <c r="B417" t="s">
        <v>504</v>
      </c>
      <c r="C417" t="s">
        <v>509</v>
      </c>
      <c r="D417">
        <f>HYPERLINK("http://www.reserveamerica.com/camping/skyline/r/facilityDetails.do?contractCode=NRSO&amp;parkId=70327", "SKYLINE")</f>
        <v>0</v>
      </c>
      <c r="E417">
        <v>34.1555556</v>
      </c>
      <c r="F417">
        <v>-116.7830556</v>
      </c>
      <c r="G417" t="s">
        <v>923</v>
      </c>
      <c r="I417" t="s">
        <v>505</v>
      </c>
      <c r="J417">
        <f>HYPERLINK("http://maps.google.com/maps?z=10&amp;t=m&amp;q=loc:34.1555556+-116.7830556", 581)</f>
        <v>0</v>
      </c>
      <c r="K417">
        <v>125</v>
      </c>
      <c r="L417">
        <v>0</v>
      </c>
      <c r="M417">
        <v>0</v>
      </c>
      <c r="N417">
        <v>0</v>
      </c>
      <c r="O417">
        <v>0</v>
      </c>
    </row>
    <row r="418" spans="1:15">
      <c r="A418" s="1" t="s">
        <v>430</v>
      </c>
      <c r="B418" t="s">
        <v>505</v>
      </c>
      <c r="C418" t="s">
        <v>510</v>
      </c>
      <c r="D418">
        <f>HYPERLINK("http://www.reserveamerica.com/camping/sonoma-coast-sb/r/facilityDetails.do?contractCode=CA&amp;parkId=120089", "SONOMA COAST SB")</f>
        <v>0</v>
      </c>
      <c r="E418">
        <v>38.3866667</v>
      </c>
      <c r="F418">
        <v>-123.0833333</v>
      </c>
      <c r="G418" t="s">
        <v>924</v>
      </c>
      <c r="I418" t="s">
        <v>505</v>
      </c>
      <c r="J418">
        <f>HYPERLINK("http://maps.google.com/maps?z=10&amp;t=m&amp;q=loc:38.3866667+-123.0833333", 156)</f>
        <v>0</v>
      </c>
      <c r="K418">
        <v>319</v>
      </c>
      <c r="L418">
        <v>0</v>
      </c>
      <c r="M418">
        <v>0</v>
      </c>
      <c r="N418">
        <v>0</v>
      </c>
      <c r="O418">
        <v>0</v>
      </c>
    </row>
    <row r="419" spans="1:15">
      <c r="A419" s="1" t="s">
        <v>431</v>
      </c>
      <c r="B419" t="s">
        <v>504</v>
      </c>
      <c r="C419" t="s">
        <v>509</v>
      </c>
      <c r="D419">
        <f>HYPERLINK("http://www.reserveamerica.com/camping/soquel-campground/r/facilityDetails.do?contractCode=NRSO&amp;parkId=71669", "SOQUEL CAMPGROUND")</f>
        <v>0</v>
      </c>
      <c r="E419">
        <v>37.405</v>
      </c>
      <c r="F419">
        <v>-119.5605556</v>
      </c>
      <c r="G419" t="s">
        <v>925</v>
      </c>
      <c r="I419" t="s">
        <v>505</v>
      </c>
      <c r="J419">
        <f>HYPERLINK("http://maps.google.com/maps?z=10&amp;t=m&amp;q=loc:37.405+-119.5605556", 207)</f>
        <v>0</v>
      </c>
      <c r="K419">
        <v>86</v>
      </c>
      <c r="L419">
        <v>9</v>
      </c>
      <c r="M419">
        <v>0</v>
      </c>
      <c r="N419">
        <v>9</v>
      </c>
      <c r="O419">
        <v>9</v>
      </c>
    </row>
    <row r="420" spans="1:15">
      <c r="A420" s="1" t="s">
        <v>432</v>
      </c>
      <c r="B420" t="s">
        <v>505</v>
      </c>
      <c r="C420" t="s">
        <v>510</v>
      </c>
      <c r="D420">
        <f>HYPERLINK("http://www.reserveamerica.com/camping/south-carlsbad-sb/r/facilityDetails.do?contractCode=CA&amp;parkId=120090", "SOUTH CARLSBAD SB")</f>
        <v>0</v>
      </c>
      <c r="E420">
        <v>33.1038889</v>
      </c>
      <c r="F420">
        <v>-117.3186111</v>
      </c>
      <c r="G420" t="s">
        <v>926</v>
      </c>
      <c r="I420" t="s">
        <v>505</v>
      </c>
      <c r="J420">
        <f>HYPERLINK("http://maps.google.com/maps?z=10&amp;t=m&amp;q=loc:33.1038889+-117.3186111", 627)</f>
        <v>0</v>
      </c>
      <c r="K420">
        <v>137</v>
      </c>
      <c r="L420">
        <v>0</v>
      </c>
      <c r="M420">
        <v>0</v>
      </c>
      <c r="N420">
        <v>0</v>
      </c>
      <c r="O420">
        <v>0</v>
      </c>
    </row>
    <row r="421" spans="1:15">
      <c r="A421" s="1" t="s">
        <v>433</v>
      </c>
      <c r="B421" t="s">
        <v>504</v>
      </c>
      <c r="C421" t="s">
        <v>509</v>
      </c>
      <c r="D421">
        <f>HYPERLINK("http://www.reserveamerica.com/camping/south-fork-group-ca/r/facilityDetails.do?contractCode=NRSO&amp;parkId=73802", "SOUTH FORK GROUP (CA)")</f>
        <v>0</v>
      </c>
      <c r="E421">
        <v>38.76</v>
      </c>
      <c r="F421">
        <v>-120.5205556</v>
      </c>
      <c r="G421" t="s">
        <v>927</v>
      </c>
      <c r="I421" t="s">
        <v>505</v>
      </c>
      <c r="J421">
        <f>HYPERLINK("http://maps.google.com/maps?z=10&amp;t=m&amp;q=loc:38.76+-120.5205556", 200)</f>
        <v>0</v>
      </c>
      <c r="K421">
        <v>36</v>
      </c>
      <c r="L421">
        <v>0</v>
      </c>
      <c r="M421">
        <v>0</v>
      </c>
      <c r="N421">
        <v>0</v>
      </c>
      <c r="O421">
        <v>0</v>
      </c>
    </row>
    <row r="422" spans="1:15">
      <c r="A422" s="1" t="s">
        <v>434</v>
      </c>
      <c r="B422" t="s">
        <v>504</v>
      </c>
      <c r="C422" t="s">
        <v>509</v>
      </c>
      <c r="D422">
        <f>HYPERLINK("http://www.reserveamerica.com/camping/south-shore-campground/r/facilityDetails.do?contractCode=NRSO&amp;parkId=74125", "SOUTH SHORE CAMPGROUND")</f>
        <v>0</v>
      </c>
      <c r="E422">
        <v>38.5330556</v>
      </c>
      <c r="F422">
        <v>-120.2347222</v>
      </c>
      <c r="G422" t="s">
        <v>928</v>
      </c>
      <c r="I422" t="s">
        <v>505</v>
      </c>
      <c r="J422">
        <f>HYPERLINK("http://maps.google.com/maps?z=10&amp;t=m&amp;q=loc:38.5330556+-120.2347222", 198)</f>
        <v>0</v>
      </c>
      <c r="K422">
        <v>47</v>
      </c>
      <c r="L422">
        <v>11</v>
      </c>
      <c r="M422">
        <v>0</v>
      </c>
      <c r="N422">
        <v>11</v>
      </c>
      <c r="O422">
        <v>11</v>
      </c>
    </row>
    <row r="423" spans="1:15">
      <c r="A423" s="1" t="s">
        <v>435</v>
      </c>
      <c r="B423" t="s">
        <v>504</v>
      </c>
      <c r="C423" t="s">
        <v>509</v>
      </c>
      <c r="D423">
        <f>HYPERLINK("http://www.reserveamerica.com/camping/spanish-creek-campground/r/facilityDetails.do?contractCode=NRSO&amp;parkId=75247", "SPANISH CREEK CAMPGROUND")</f>
        <v>0</v>
      </c>
      <c r="E423">
        <v>40.0269444</v>
      </c>
      <c r="F423">
        <v>-120.9644444</v>
      </c>
      <c r="G423" t="s">
        <v>929</v>
      </c>
      <c r="H423" t="s">
        <v>997</v>
      </c>
      <c r="I423" t="s">
        <v>505</v>
      </c>
      <c r="J423">
        <f>HYPERLINK("http://maps.google.com/maps?z=10&amp;t=m&amp;q=loc:40.0269444+-120.9644444", 310)</f>
        <v>0</v>
      </c>
      <c r="K423">
        <v>14</v>
      </c>
      <c r="L423">
        <v>0</v>
      </c>
      <c r="M423">
        <v>0</v>
      </c>
      <c r="N423">
        <v>0</v>
      </c>
      <c r="O423">
        <v>0</v>
      </c>
    </row>
    <row r="424" spans="1:15">
      <c r="A424" s="1" t="s">
        <v>436</v>
      </c>
      <c r="B424" t="s">
        <v>504</v>
      </c>
      <c r="C424" t="s">
        <v>509</v>
      </c>
      <c r="D424">
        <f>HYPERLINK("http://www.reserveamerica.com/camping/spring-cove/r/facilityDetails.do?contractCode=NRSO&amp;parkId=71578", "SPRING COVE")</f>
        <v>0</v>
      </c>
      <c r="E424">
        <v>37.3005556</v>
      </c>
      <c r="F424">
        <v>-119.5413889</v>
      </c>
      <c r="G424" t="s">
        <v>930</v>
      </c>
      <c r="I424" t="s">
        <v>505</v>
      </c>
      <c r="J424">
        <f>HYPERLINK("http://maps.google.com/maps?z=10&amp;t=m&amp;q=loc:37.3005556+-119.5413889", 209)</f>
        <v>0</v>
      </c>
      <c r="K424">
        <v>90</v>
      </c>
      <c r="L424">
        <v>0</v>
      </c>
      <c r="M424">
        <v>0</v>
      </c>
      <c r="N424">
        <v>0</v>
      </c>
      <c r="O424">
        <v>0</v>
      </c>
    </row>
    <row r="425" spans="1:15">
      <c r="A425" s="1" t="s">
        <v>437</v>
      </c>
      <c r="B425" t="s">
        <v>504</v>
      </c>
      <c r="C425" t="s">
        <v>509</v>
      </c>
      <c r="D425">
        <f>HYPERLINK("http://www.reserveamerica.com/camping/spring-creek/r/facilityDetails.do?contractCode=NRSO&amp;parkId=71612", "SPRING CREEK")</f>
        <v>0</v>
      </c>
      <c r="E425">
        <v>39.8958333</v>
      </c>
      <c r="F425">
        <v>-120.1763889</v>
      </c>
      <c r="G425" t="s">
        <v>931</v>
      </c>
      <c r="I425" t="s">
        <v>505</v>
      </c>
      <c r="J425">
        <f>HYPERLINK("http://maps.google.com/maps?z=10&amp;t=m&amp;q=loc:39.8958333+-120.1763889", 322)</f>
        <v>0</v>
      </c>
      <c r="K425">
        <v>27</v>
      </c>
      <c r="L425">
        <v>0</v>
      </c>
      <c r="M425">
        <v>0</v>
      </c>
      <c r="N425">
        <v>0</v>
      </c>
      <c r="O425">
        <v>0</v>
      </c>
    </row>
    <row r="426" spans="1:15">
      <c r="A426" s="1" t="s">
        <v>438</v>
      </c>
      <c r="B426" t="s">
        <v>505</v>
      </c>
      <c r="C426" t="s">
        <v>510</v>
      </c>
      <c r="D426">
        <f>HYPERLINK("http://www.reserveamerica.com/camping/standishhickey-sra/r/facilityDetails.do?contractCode=CA&amp;parkId=120091", "STANDISH-HICKEY SRA")</f>
        <v>0</v>
      </c>
      <c r="E426">
        <v>39.8794444</v>
      </c>
      <c r="F426">
        <v>-123.7372222</v>
      </c>
      <c r="G426" t="s">
        <v>508</v>
      </c>
      <c r="I426" t="s">
        <v>505</v>
      </c>
      <c r="J426">
        <f>HYPERLINK("http://maps.google.com/maps?z=10&amp;t=m&amp;q=loc:39.8794444+-123.7372222", 325)</f>
        <v>0</v>
      </c>
      <c r="K426">
        <v>331</v>
      </c>
      <c r="L426">
        <v>58</v>
      </c>
      <c r="M426">
        <v>5</v>
      </c>
      <c r="N426">
        <v>53</v>
      </c>
      <c r="O426">
        <v>53</v>
      </c>
    </row>
    <row r="427" spans="1:15">
      <c r="A427" s="1" t="s">
        <v>439</v>
      </c>
      <c r="B427" t="s">
        <v>504</v>
      </c>
      <c r="C427" t="s">
        <v>509</v>
      </c>
      <c r="D427">
        <f>HYPERLINK("http://www.reserveamerica.com/camping/stoney-group-shastatrinity/r/facilityDetails.do?contractCode=NRSO&amp;parkId=70753", "STONEY GROUP SHASTA-TRINITY")</f>
        <v>0</v>
      </c>
      <c r="E427">
        <v>40.8513889</v>
      </c>
      <c r="F427">
        <v>-122.8502778</v>
      </c>
      <c r="G427" t="s">
        <v>932</v>
      </c>
      <c r="I427" t="s">
        <v>505</v>
      </c>
      <c r="J427">
        <f>HYPERLINK("http://maps.google.com/maps?z=10&amp;t=m&amp;q=loc:40.8513889+-122.8502778", 399)</f>
        <v>0</v>
      </c>
      <c r="K427">
        <v>348</v>
      </c>
      <c r="L427">
        <v>1</v>
      </c>
      <c r="M427">
        <v>0</v>
      </c>
      <c r="N427">
        <v>1</v>
      </c>
      <c r="O427">
        <v>1</v>
      </c>
    </row>
    <row r="428" spans="1:15">
      <c r="A428" s="1" t="s">
        <v>440</v>
      </c>
      <c r="B428" t="s">
        <v>504</v>
      </c>
      <c r="C428" t="s">
        <v>509</v>
      </c>
      <c r="D428">
        <f>HYPERLINK("http://www.reserveamerica.com/camping/stony-creek-sequoia/r/facilityDetails.do?contractCode=NRSO&amp;parkId=71554", "STONY CREEK SEQUOIA")</f>
        <v>0</v>
      </c>
      <c r="E428">
        <v>36.6647222</v>
      </c>
      <c r="F428">
        <v>-118.8316667</v>
      </c>
      <c r="G428" t="s">
        <v>933</v>
      </c>
      <c r="I428" t="s">
        <v>505</v>
      </c>
      <c r="J428">
        <f>HYPERLINK("http://maps.google.com/maps?z=10&amp;t=m&amp;q=loc:36.6647222+-118.8316667", 282)</f>
        <v>0</v>
      </c>
      <c r="K428">
        <v>104</v>
      </c>
      <c r="L428">
        <v>28</v>
      </c>
      <c r="M428">
        <v>0</v>
      </c>
      <c r="N428">
        <v>28</v>
      </c>
      <c r="O428">
        <v>28</v>
      </c>
    </row>
    <row r="429" spans="1:15">
      <c r="A429" s="1" t="s">
        <v>441</v>
      </c>
      <c r="B429" t="s">
        <v>504</v>
      </c>
      <c r="C429" t="s">
        <v>509</v>
      </c>
      <c r="D429">
        <f>HYPERLINK("http://www.reserveamerica.com/camping/stumpy-meadows/r/facilityDetails.do?contractCode=NRSO&amp;parkId=70336", "STUMPY MEADOWS")</f>
        <v>0</v>
      </c>
      <c r="E429">
        <v>38.9041667</v>
      </c>
      <c r="F429">
        <v>-120.5916667</v>
      </c>
      <c r="G429" t="s">
        <v>934</v>
      </c>
      <c r="I429" t="s">
        <v>505</v>
      </c>
      <c r="J429">
        <f>HYPERLINK("http://maps.google.com/maps?z=10&amp;t=m&amp;q=loc:38.9041667+-120.5916667", 209)</f>
        <v>0</v>
      </c>
      <c r="K429">
        <v>32</v>
      </c>
      <c r="L429">
        <v>0</v>
      </c>
      <c r="M429">
        <v>0</v>
      </c>
      <c r="N429">
        <v>0</v>
      </c>
      <c r="O429">
        <v>0</v>
      </c>
    </row>
    <row r="430" spans="1:15">
      <c r="A430" s="1" t="s">
        <v>442</v>
      </c>
      <c r="B430" t="s">
        <v>505</v>
      </c>
      <c r="C430" t="s">
        <v>510</v>
      </c>
      <c r="D430">
        <f>HYPERLINK("http://www.reserveamerica.com/camping/sugar-pine-point-sp/r/facilityDetails.do?contractCode=CA&amp;parkId=120093", "SUGAR PINE POINT SP")</f>
        <v>0</v>
      </c>
      <c r="E430">
        <v>39.0575</v>
      </c>
      <c r="F430">
        <v>-120.1213889</v>
      </c>
      <c r="G430" t="s">
        <v>935</v>
      </c>
      <c r="I430" t="s">
        <v>505</v>
      </c>
      <c r="J430">
        <f>HYPERLINK("http://maps.google.com/maps?z=10&amp;t=m&amp;q=loc:39.0575+-120.1213889", 247)</f>
        <v>0</v>
      </c>
      <c r="K430">
        <v>38</v>
      </c>
      <c r="L430">
        <v>0</v>
      </c>
      <c r="M430">
        <v>0</v>
      </c>
      <c r="N430">
        <v>0</v>
      </c>
      <c r="O430">
        <v>0</v>
      </c>
    </row>
    <row r="431" spans="1:15">
      <c r="A431" s="1" t="s">
        <v>443</v>
      </c>
      <c r="B431" t="s">
        <v>505</v>
      </c>
      <c r="C431" t="s">
        <v>510</v>
      </c>
      <c r="D431">
        <f>HYPERLINK("http://www.reserveamerica.com/camping/sugarloaf-ridge-sp/r/facilityDetails.do?contractCode=CA&amp;parkId=120092", "SUGARLOAF RIDGE SP")</f>
        <v>0</v>
      </c>
      <c r="E431">
        <v>38.445</v>
      </c>
      <c r="F431">
        <v>-122.5011111</v>
      </c>
      <c r="G431" t="s">
        <v>936</v>
      </c>
      <c r="I431" t="s">
        <v>505</v>
      </c>
      <c r="J431">
        <f>HYPERLINK("http://maps.google.com/maps?z=10&amp;t=m&amp;q=loc:38.445+-122.5011111", 134)</f>
        <v>0</v>
      </c>
      <c r="K431">
        <v>337</v>
      </c>
      <c r="L431">
        <v>0</v>
      </c>
      <c r="M431">
        <v>0</v>
      </c>
      <c r="N431">
        <v>0</v>
      </c>
      <c r="O431">
        <v>0</v>
      </c>
    </row>
    <row r="432" spans="1:15">
      <c r="A432" s="1" t="s">
        <v>444</v>
      </c>
      <c r="B432" t="s">
        <v>504</v>
      </c>
      <c r="C432" t="s">
        <v>509</v>
      </c>
      <c r="D432">
        <f>HYPERLINK("http://www.reserveamerica.com/camping/summerdale-campground/r/facilityDetails.do?contractCode=NRSO&amp;parkId=73745", "SUMMERDALE CAMPGROUND")</f>
        <v>0</v>
      </c>
      <c r="E432">
        <v>37.4706472</v>
      </c>
      <c r="F432">
        <v>-119.6427333</v>
      </c>
      <c r="G432" t="s">
        <v>937</v>
      </c>
      <c r="H432" t="s">
        <v>997</v>
      </c>
      <c r="I432" t="s">
        <v>505</v>
      </c>
      <c r="J432">
        <f>HYPERLINK("http://maps.google.com/maps?z=10&amp;t=m&amp;q=loc:37.4706472+-119.6427333", 200)</f>
        <v>0</v>
      </c>
      <c r="K432">
        <v>84</v>
      </c>
      <c r="L432">
        <v>10</v>
      </c>
      <c r="M432">
        <v>0</v>
      </c>
      <c r="N432">
        <v>10</v>
      </c>
      <c r="O432">
        <v>10</v>
      </c>
    </row>
    <row r="433" spans="1:15">
      <c r="A433" s="1" t="s">
        <v>445</v>
      </c>
      <c r="B433" t="s">
        <v>504</v>
      </c>
      <c r="C433" t="s">
        <v>509</v>
      </c>
      <c r="D433">
        <f>HYPERLINK("http://www.reserveamerica.com/camping/summit-lake-north/r/facilityDetails.do?contractCode=NRSO&amp;parkId=74047", "SUMMIT LAKE NORTH")</f>
        <v>0</v>
      </c>
      <c r="E433">
        <v>40.4944444</v>
      </c>
      <c r="F433">
        <v>-121.425</v>
      </c>
      <c r="G433" t="s">
        <v>938</v>
      </c>
      <c r="I433" t="s">
        <v>505</v>
      </c>
      <c r="J433">
        <f>HYPERLINK("http://maps.google.com/maps?z=10&amp;t=m&amp;q=loc:40.4944444+-121.425", 354)</f>
        <v>0</v>
      </c>
      <c r="K433">
        <v>6</v>
      </c>
      <c r="L433">
        <v>0</v>
      </c>
      <c r="M433">
        <v>0</v>
      </c>
      <c r="N433">
        <v>0</v>
      </c>
      <c r="O433">
        <v>0</v>
      </c>
    </row>
    <row r="434" spans="1:15">
      <c r="A434" s="1" t="s">
        <v>446</v>
      </c>
      <c r="B434" t="s">
        <v>504</v>
      </c>
      <c r="C434" t="s">
        <v>509</v>
      </c>
      <c r="D434">
        <f>HYPERLINK("http://www.reserveamerica.com/camping/summit-lake-south/r/facilityDetails.do?contractCode=NRSO&amp;parkId=74046", "SUMMIT LAKE SOUTH")</f>
        <v>0</v>
      </c>
      <c r="E434">
        <v>40.4902778</v>
      </c>
      <c r="F434">
        <v>-121.4236111</v>
      </c>
      <c r="G434" t="s">
        <v>939</v>
      </c>
      <c r="I434" t="s">
        <v>505</v>
      </c>
      <c r="J434">
        <f>HYPERLINK("http://maps.google.com/maps?z=10&amp;t=m&amp;q=loc:40.4902778+-121.4236111", 353)</f>
        <v>0</v>
      </c>
      <c r="K434">
        <v>6</v>
      </c>
      <c r="L434">
        <v>0</v>
      </c>
      <c r="M434">
        <v>0</v>
      </c>
      <c r="N434">
        <v>0</v>
      </c>
      <c r="O434">
        <v>0</v>
      </c>
    </row>
    <row r="435" spans="1:15">
      <c r="A435" s="1" t="s">
        <v>447</v>
      </c>
      <c r="B435" t="s">
        <v>506</v>
      </c>
      <c r="C435" t="s">
        <v>511</v>
      </c>
      <c r="D435">
        <f>HYPERLINK("http://www.reserveamerica.com/camping/sunol/r/facilityDetails.do?contractCode=EB&amp;parkId=110028", "Sunol")</f>
        <v>0</v>
      </c>
      <c r="E435">
        <v>37.5152778</v>
      </c>
      <c r="F435">
        <v>-121.8327778</v>
      </c>
      <c r="G435" t="s">
        <v>940</v>
      </c>
      <c r="I435" t="s">
        <v>505</v>
      </c>
      <c r="J435">
        <f>HYPERLINK("http://maps.google.com/maps?z=10&amp;t=m&amp;q=loc:37.5152778+-121.8327778", 21)</f>
        <v>0</v>
      </c>
      <c r="K435">
        <v>17</v>
      </c>
      <c r="L435">
        <v>0</v>
      </c>
      <c r="M435">
        <v>0</v>
      </c>
      <c r="N435">
        <v>0</v>
      </c>
      <c r="O435">
        <v>0</v>
      </c>
    </row>
    <row r="436" spans="1:15">
      <c r="A436" s="1" t="s">
        <v>448</v>
      </c>
      <c r="B436" t="s">
        <v>504</v>
      </c>
      <c r="C436" t="s">
        <v>509</v>
      </c>
      <c r="D436">
        <f>HYPERLINK("http://www.reserveamerica.com/camping/sunset-campground-ca/r/facilityDetails.do?contractCode=NRSO&amp;parkId=110283", "SUNSET CAMPGROUND (CA)")</f>
        <v>0</v>
      </c>
      <c r="E436">
        <v>36.7377778</v>
      </c>
      <c r="F436">
        <v>-118.9647222</v>
      </c>
      <c r="G436" t="s">
        <v>941</v>
      </c>
      <c r="I436" t="s">
        <v>505</v>
      </c>
      <c r="J436">
        <f>HYPERLINK("http://maps.google.com/maps?z=10&amp;t=m&amp;q=loc:36.7377778+-118.9647222", 269)</f>
        <v>0</v>
      </c>
      <c r="K436">
        <v>103</v>
      </c>
      <c r="L436">
        <v>0</v>
      </c>
      <c r="M436">
        <v>0</v>
      </c>
      <c r="N436">
        <v>0</v>
      </c>
      <c r="O436">
        <v>0</v>
      </c>
    </row>
    <row r="437" spans="1:15">
      <c r="A437" s="1" t="s">
        <v>449</v>
      </c>
      <c r="B437" t="s">
        <v>505</v>
      </c>
      <c r="C437" t="s">
        <v>510</v>
      </c>
      <c r="D437">
        <f>HYPERLINK("http://www.reserveamerica.com/camping/sunset-sb/r/facilityDetails.do?contractCode=CA&amp;parkId=120094", "SUNSET SB")</f>
        <v>0</v>
      </c>
      <c r="E437">
        <v>36.8816667</v>
      </c>
      <c r="F437">
        <v>-121.8272222</v>
      </c>
      <c r="G437" t="s">
        <v>942</v>
      </c>
      <c r="I437" t="s">
        <v>505</v>
      </c>
      <c r="J437">
        <f>HYPERLINK("http://maps.google.com/maps?z=10&amp;t=m&amp;q=loc:36.8816667+-121.8272222", 50)</f>
        <v>0</v>
      </c>
      <c r="K437">
        <v>171</v>
      </c>
      <c r="L437">
        <v>0</v>
      </c>
      <c r="M437">
        <v>0</v>
      </c>
      <c r="N437">
        <v>0</v>
      </c>
      <c r="O437">
        <v>0</v>
      </c>
    </row>
    <row r="438" spans="1:15">
      <c r="A438" s="1" t="s">
        <v>450</v>
      </c>
      <c r="B438" t="s">
        <v>504</v>
      </c>
      <c r="C438" t="s">
        <v>509</v>
      </c>
      <c r="D438">
        <f>HYPERLINK("http://www.reserveamerica.com/camping/sunsetunion-valley/r/facilityDetails.do?contractCode=NRSO&amp;parkId=70310", "SUNSET-UNION VALLEY")</f>
        <v>0</v>
      </c>
      <c r="E438">
        <v>38.8658333</v>
      </c>
      <c r="F438">
        <v>-120.405</v>
      </c>
      <c r="G438" t="s">
        <v>943</v>
      </c>
      <c r="I438" t="s">
        <v>505</v>
      </c>
      <c r="J438">
        <f>HYPERLINK("http://maps.google.com/maps?z=10&amp;t=m&amp;q=loc:38.8658333+-120.405", 215)</f>
        <v>0</v>
      </c>
      <c r="K438">
        <v>37</v>
      </c>
      <c r="L438">
        <v>0</v>
      </c>
      <c r="M438">
        <v>0</v>
      </c>
      <c r="N438">
        <v>0</v>
      </c>
      <c r="O438">
        <v>0</v>
      </c>
    </row>
    <row r="439" spans="1:15">
      <c r="A439" s="1" t="s">
        <v>451</v>
      </c>
      <c r="B439" t="s">
        <v>504</v>
      </c>
      <c r="C439" t="s">
        <v>509</v>
      </c>
      <c r="D439">
        <f>HYPERLINK("http://www.reserveamerica.com/camping/sweetwater/r/facilityDetails.do?contractCode=NRSO&amp;parkId=71665", "SWEETWATER")</f>
        <v>0</v>
      </c>
      <c r="E439">
        <v>37.365</v>
      </c>
      <c r="F439">
        <v>-119.3522222</v>
      </c>
      <c r="G439" t="s">
        <v>944</v>
      </c>
      <c r="I439" t="s">
        <v>505</v>
      </c>
      <c r="J439">
        <f>HYPERLINK("http://maps.google.com/maps?z=10&amp;t=m&amp;q=loc:37.365+-119.3522222", 225)</f>
        <v>0</v>
      </c>
      <c r="K439">
        <v>88</v>
      </c>
      <c r="L439">
        <v>9</v>
      </c>
      <c r="M439">
        <v>0</v>
      </c>
      <c r="N439">
        <v>9</v>
      </c>
      <c r="O439">
        <v>9</v>
      </c>
    </row>
    <row r="440" spans="1:15">
      <c r="A440" s="1" t="s">
        <v>452</v>
      </c>
      <c r="B440" t="s">
        <v>504</v>
      </c>
      <c r="C440" t="s">
        <v>509</v>
      </c>
      <c r="D440">
        <f>HYPERLINK("http://www.reserveamerica.com/camping/sycamore-grove-campground/r/facilityDetails.do?contractCode=NRSO&amp;parkId=75545", "SYCAMORE GROVE CAMPGROUND")</f>
        <v>0</v>
      </c>
      <c r="E440">
        <v>40.1560528</v>
      </c>
      <c r="F440">
        <v>-122.2040694</v>
      </c>
      <c r="G440" t="s">
        <v>945</v>
      </c>
      <c r="I440" t="s">
        <v>505</v>
      </c>
      <c r="J440">
        <f>HYPERLINK("http://maps.google.com/maps?z=10&amp;t=m&amp;q=loc:40.1560528+-122.2040694", 315)</f>
        <v>0</v>
      </c>
      <c r="K440">
        <v>355</v>
      </c>
      <c r="L440">
        <v>28</v>
      </c>
      <c r="M440">
        <v>0</v>
      </c>
      <c r="N440">
        <v>28</v>
      </c>
      <c r="O440">
        <v>28</v>
      </c>
    </row>
    <row r="441" spans="1:15">
      <c r="A441" s="1" t="s">
        <v>453</v>
      </c>
      <c r="B441" t="s">
        <v>504</v>
      </c>
      <c r="C441" t="s">
        <v>509</v>
      </c>
      <c r="D441">
        <f>HYPERLINK("http://www.reserveamerica.com/camping/table-mountain-angeles/r/facilityDetails.do?contractCode=NRSO&amp;parkId=73585", "TABLE MOUNTAIN (ANGELES)")</f>
        <v>0</v>
      </c>
      <c r="E441">
        <v>34.3863889</v>
      </c>
      <c r="F441">
        <v>-117.6894444</v>
      </c>
      <c r="G441" t="s">
        <v>946</v>
      </c>
      <c r="I441" t="s">
        <v>505</v>
      </c>
      <c r="J441">
        <f>HYPERLINK("http://maps.google.com/maps?z=10&amp;t=m&amp;q=loc:34.3863889+-117.6894444", 500)</f>
        <v>0</v>
      </c>
      <c r="K441">
        <v>129</v>
      </c>
      <c r="L441">
        <v>29</v>
      </c>
      <c r="M441">
        <v>0</v>
      </c>
      <c r="N441">
        <v>29</v>
      </c>
      <c r="O441">
        <v>29</v>
      </c>
    </row>
    <row r="442" spans="1:15">
      <c r="A442" s="1" t="s">
        <v>454</v>
      </c>
      <c r="B442" t="s">
        <v>504</v>
      </c>
      <c r="C442" t="s">
        <v>509</v>
      </c>
      <c r="D442">
        <f>HYPERLINK("http://www.reserveamerica.com/camping/table-mountain-inyo/r/facilityDetails.do?contractCode=NRSO&amp;parkId=70522", "TABLE MOUNTAIN (INYO)")</f>
        <v>0</v>
      </c>
      <c r="E442">
        <v>37.2080556</v>
      </c>
      <c r="F442">
        <v>-118.5683333</v>
      </c>
      <c r="G442" t="s">
        <v>947</v>
      </c>
      <c r="I442" t="s">
        <v>505</v>
      </c>
      <c r="J442">
        <f>HYPERLINK("http://maps.google.com/maps?z=10&amp;t=m&amp;q=loc:37.2080556+-118.5683333", 295)</f>
        <v>0</v>
      </c>
      <c r="K442">
        <v>91</v>
      </c>
      <c r="L442">
        <v>0</v>
      </c>
      <c r="M442">
        <v>0</v>
      </c>
      <c r="N442">
        <v>0</v>
      </c>
      <c r="O442">
        <v>0</v>
      </c>
    </row>
    <row r="443" spans="1:15">
      <c r="A443" s="1" t="s">
        <v>455</v>
      </c>
      <c r="B443" t="s">
        <v>505</v>
      </c>
      <c r="C443" t="s">
        <v>510</v>
      </c>
      <c r="D443">
        <f>HYPERLINK("http://www.reserveamerica.com/camping/tahoe-sra/r/facilityDetails.do?contractCode=CA&amp;parkId=120095", "TAHOE SRA")</f>
        <v>0</v>
      </c>
      <c r="E443">
        <v>39.1752778</v>
      </c>
      <c r="F443">
        <v>-120.1338889</v>
      </c>
      <c r="G443" t="s">
        <v>948</v>
      </c>
      <c r="I443" t="s">
        <v>505</v>
      </c>
      <c r="J443">
        <f>HYPERLINK("http://maps.google.com/maps?z=10&amp;t=m&amp;q=loc:39.1752778+-120.1338889", 257)</f>
        <v>0</v>
      </c>
      <c r="K443">
        <v>36</v>
      </c>
      <c r="L443">
        <v>0</v>
      </c>
      <c r="M443">
        <v>0</v>
      </c>
      <c r="N443">
        <v>0</v>
      </c>
      <c r="O443">
        <v>0</v>
      </c>
    </row>
    <row r="444" spans="1:15">
      <c r="A444" s="1" t="s">
        <v>456</v>
      </c>
      <c r="B444" t="s">
        <v>504</v>
      </c>
      <c r="C444" t="s">
        <v>509</v>
      </c>
      <c r="D444">
        <f>HYPERLINK("http://www.reserveamerica.com/camping/tanglewood-group-camp/r/facilityDetails.do?contractCode=NRSO&amp;parkId=70180", "TANGLEWOOD GROUP CAMP")</f>
        <v>0</v>
      </c>
      <c r="E444">
        <v>34.2922222</v>
      </c>
      <c r="F444">
        <v>-116.8644444</v>
      </c>
      <c r="G444" t="s">
        <v>949</v>
      </c>
      <c r="I444" t="s">
        <v>505</v>
      </c>
      <c r="J444">
        <f>HYPERLINK("http://maps.google.com/maps?z=10&amp;t=m&amp;q=loc:34.2922222+-116.8644444", 565)</f>
        <v>0</v>
      </c>
      <c r="K444">
        <v>125</v>
      </c>
      <c r="L444">
        <v>0</v>
      </c>
      <c r="M444">
        <v>0</v>
      </c>
      <c r="N444">
        <v>0</v>
      </c>
      <c r="O444">
        <v>0</v>
      </c>
    </row>
    <row r="445" spans="1:15">
      <c r="A445" s="1" t="s">
        <v>457</v>
      </c>
      <c r="B445" t="s">
        <v>504</v>
      </c>
      <c r="C445" t="s">
        <v>509</v>
      </c>
      <c r="D445">
        <f>HYPERLINK("http://www.reserveamerica.com/camping/tannery/r/facilityDetails.do?contractCode=NRSO&amp;parkId=70516", "TANNERY")</f>
        <v>0</v>
      </c>
      <c r="E445">
        <v>40.8366667</v>
      </c>
      <c r="F445">
        <v>-122.8480556</v>
      </c>
      <c r="G445" t="s">
        <v>950</v>
      </c>
      <c r="I445" t="s">
        <v>505</v>
      </c>
      <c r="J445">
        <f>HYPERLINK("http://maps.google.com/maps?z=10&amp;t=m&amp;q=loc:40.8366667+-122.8480556", 398)</f>
        <v>0</v>
      </c>
      <c r="K445">
        <v>348</v>
      </c>
      <c r="L445">
        <v>0</v>
      </c>
      <c r="M445">
        <v>0</v>
      </c>
      <c r="N445">
        <v>0</v>
      </c>
      <c r="O445">
        <v>0</v>
      </c>
    </row>
    <row r="446" spans="1:15">
      <c r="A446" s="1" t="s">
        <v>458</v>
      </c>
      <c r="B446" t="s">
        <v>504</v>
      </c>
      <c r="C446" t="s">
        <v>509</v>
      </c>
      <c r="D446">
        <f>HYPERLINK("http://www.reserveamerica.com/camping/ten-mile-campground-ca/r/facilityDetails.do?contractCode=NRSO&amp;parkId=125740", "TEN MILE CAMPGROUND (CA)")</f>
        <v>0</v>
      </c>
      <c r="E446">
        <v>36.7941667</v>
      </c>
      <c r="F446">
        <v>-118.9077778</v>
      </c>
      <c r="G446" t="s">
        <v>951</v>
      </c>
      <c r="H446" t="s">
        <v>1001</v>
      </c>
      <c r="I446" t="s">
        <v>505</v>
      </c>
      <c r="J446">
        <f>HYPERLINK("http://maps.google.com/maps?z=10&amp;t=m&amp;q=loc:36.7941667+-118.9077778", 272)</f>
        <v>0</v>
      </c>
      <c r="K446">
        <v>101</v>
      </c>
      <c r="L446">
        <v>0</v>
      </c>
      <c r="M446">
        <v>0</v>
      </c>
      <c r="N446">
        <v>0</v>
      </c>
      <c r="O446">
        <v>0</v>
      </c>
    </row>
    <row r="447" spans="1:15">
      <c r="A447" s="1" t="s">
        <v>459</v>
      </c>
      <c r="B447" t="s">
        <v>504</v>
      </c>
      <c r="C447" t="s">
        <v>509</v>
      </c>
      <c r="D447">
        <f>HYPERLINK("http://www.reserveamerica.com/camping/tent-peg-group/r/facilityDetails.do?contractCode=NRSO&amp;parkId=73960", "TENT PEG GROUP")</f>
        <v>0</v>
      </c>
      <c r="E447">
        <v>34.2652778</v>
      </c>
      <c r="F447">
        <v>-117.0833333</v>
      </c>
      <c r="G447" t="s">
        <v>952</v>
      </c>
      <c r="I447" t="s">
        <v>505</v>
      </c>
      <c r="J447">
        <f>HYPERLINK("http://maps.google.com/maps?z=10&amp;t=m&amp;q=loc:34.2652778+-117.0833333", 551)</f>
        <v>0</v>
      </c>
      <c r="K447">
        <v>126</v>
      </c>
      <c r="L447">
        <v>0</v>
      </c>
      <c r="M447">
        <v>0</v>
      </c>
      <c r="N447">
        <v>0</v>
      </c>
      <c r="O447">
        <v>0</v>
      </c>
    </row>
    <row r="448" spans="1:15">
      <c r="A448" s="1" t="s">
        <v>460</v>
      </c>
      <c r="B448" t="s">
        <v>504</v>
      </c>
      <c r="C448" t="s">
        <v>509</v>
      </c>
      <c r="D448">
        <f>HYPERLINK("http://www.reserveamerica.com/camping/texas-flats/r/facilityDetails.do?contractCode=NRSO&amp;parkId=71667", "TEXAS FLATS")</f>
        <v>0</v>
      </c>
      <c r="E448">
        <v>37.3927778</v>
      </c>
      <c r="F448">
        <v>-119.5816667</v>
      </c>
      <c r="G448" t="s">
        <v>953</v>
      </c>
      <c r="I448" t="s">
        <v>505</v>
      </c>
      <c r="J448">
        <f>HYPERLINK("http://maps.google.com/maps?z=10&amp;t=m&amp;q=loc:37.3927778+-119.5816667", 205)</f>
        <v>0</v>
      </c>
      <c r="K448">
        <v>87</v>
      </c>
      <c r="L448">
        <v>3</v>
      </c>
      <c r="M448">
        <v>0</v>
      </c>
      <c r="N448">
        <v>3</v>
      </c>
      <c r="O448">
        <v>3</v>
      </c>
    </row>
    <row r="449" spans="1:15">
      <c r="A449" s="1" t="s">
        <v>461</v>
      </c>
      <c r="B449" t="s">
        <v>504</v>
      </c>
      <c r="C449" t="s">
        <v>509</v>
      </c>
      <c r="D449">
        <f>HYPERLINK("http://www.reserveamerica.com/camping/tillie-creek/r/facilityDetails.do?contractCode=NRSO&amp;parkId=71570", "TILLIE CREEK")</f>
        <v>0</v>
      </c>
      <c r="E449">
        <v>35.7013889</v>
      </c>
      <c r="F449">
        <v>-118.4544444</v>
      </c>
      <c r="G449" t="s">
        <v>954</v>
      </c>
      <c r="I449" t="s">
        <v>505</v>
      </c>
      <c r="J449">
        <f>HYPERLINK("http://maps.google.com/maps?z=10&amp;t=m&amp;q=loc:35.7013889+-118.4544444", 357)</f>
        <v>0</v>
      </c>
      <c r="K449">
        <v>119</v>
      </c>
      <c r="L449">
        <v>0</v>
      </c>
      <c r="M449">
        <v>0</v>
      </c>
      <c r="N449">
        <v>0</v>
      </c>
      <c r="O449">
        <v>0</v>
      </c>
    </row>
    <row r="450" spans="1:15">
      <c r="A450" s="1" t="s">
        <v>462</v>
      </c>
      <c r="B450" t="s">
        <v>504</v>
      </c>
      <c r="C450" t="s">
        <v>509</v>
      </c>
      <c r="D450">
        <f>HYPERLINK("http://www.reserveamerica.com/camping/trailhead-group/r/facilityDetails.do?contractCode=NRSO&amp;parkId=70832", "TRAILHEAD GROUP")</f>
        <v>0</v>
      </c>
      <c r="E450">
        <v>37.9642</v>
      </c>
      <c r="F450">
        <v>-119.2724</v>
      </c>
      <c r="G450" t="s">
        <v>955</v>
      </c>
      <c r="I450" t="s">
        <v>505</v>
      </c>
      <c r="J450">
        <f>HYPERLINK("http://maps.google.com/maps?z=10&amp;t=m&amp;q=loc:37.9642+-119.2724", 242)</f>
        <v>0</v>
      </c>
      <c r="K450">
        <v>72</v>
      </c>
      <c r="L450">
        <v>0</v>
      </c>
      <c r="M450">
        <v>0</v>
      </c>
      <c r="N450">
        <v>0</v>
      </c>
      <c r="O450">
        <v>0</v>
      </c>
    </row>
    <row r="451" spans="1:15">
      <c r="A451" s="1" t="s">
        <v>463</v>
      </c>
      <c r="B451" t="s">
        <v>504</v>
      </c>
      <c r="C451" t="s">
        <v>509</v>
      </c>
      <c r="D451">
        <f>HYPERLINK("http://www.reserveamerica.com/camping/tree-of-heaven-campground/r/facilityDetails.do?contractCode=NRSO&amp;parkId=75332", "TREE OF HEAVEN CAMPGROUND")</f>
        <v>0</v>
      </c>
      <c r="E451">
        <v>41.7841667</v>
      </c>
      <c r="F451">
        <v>-123.0430556</v>
      </c>
      <c r="G451" t="s">
        <v>956</v>
      </c>
      <c r="I451" t="s">
        <v>505</v>
      </c>
      <c r="J451">
        <f>HYPERLINK("http://maps.google.com/maps?z=10&amp;t=m&amp;q=loc:41.7841667+-123.0430556", 504)</f>
        <v>0</v>
      </c>
      <c r="K451">
        <v>349</v>
      </c>
      <c r="L451">
        <v>13</v>
      </c>
      <c r="M451">
        <v>1</v>
      </c>
      <c r="N451">
        <v>12</v>
      </c>
      <c r="O451">
        <v>12</v>
      </c>
    </row>
    <row r="452" spans="1:15">
      <c r="A452" s="1" t="s">
        <v>464</v>
      </c>
      <c r="B452" t="s">
        <v>504</v>
      </c>
      <c r="C452" t="s">
        <v>509</v>
      </c>
      <c r="D452">
        <f>HYPERLINK("http://www.reserveamerica.com/camping/trimmer-campground/r/facilityDetails.do?contractCode=NRSO&amp;parkId=72331", "TRIMMER CAMPGROUND")</f>
        <v>0</v>
      </c>
      <c r="E452">
        <v>36.9044444</v>
      </c>
      <c r="F452">
        <v>-119.2936111</v>
      </c>
      <c r="G452" t="s">
        <v>957</v>
      </c>
      <c r="I452" t="s">
        <v>505</v>
      </c>
      <c r="J452">
        <f>HYPERLINK("http://maps.google.com/maps?z=10&amp;t=m&amp;q=loc:36.9044444+-119.2936111", 236)</f>
        <v>0</v>
      </c>
      <c r="K452">
        <v>100</v>
      </c>
      <c r="L452">
        <v>7</v>
      </c>
      <c r="M452">
        <v>0</v>
      </c>
      <c r="N452">
        <v>7</v>
      </c>
      <c r="O452">
        <v>7</v>
      </c>
    </row>
    <row r="453" spans="1:15">
      <c r="A453" s="1" t="s">
        <v>465</v>
      </c>
      <c r="B453" t="s">
        <v>504</v>
      </c>
      <c r="C453" t="s">
        <v>509</v>
      </c>
      <c r="D453">
        <f>HYPERLINK("http://www.reserveamerica.com/camping/trumbull-lake/r/facilityDetails.do?contractCode=NRSO&amp;parkId=70349", "TRUMBULL LAKE")</f>
        <v>0</v>
      </c>
      <c r="E453">
        <v>38.0505556</v>
      </c>
      <c r="F453">
        <v>-119.2572222</v>
      </c>
      <c r="G453" t="s">
        <v>958</v>
      </c>
      <c r="I453" t="s">
        <v>505</v>
      </c>
      <c r="J453">
        <f>HYPERLINK("http://maps.google.com/maps?z=10&amp;t=m&amp;q=loc:38.0505556+-119.2572222", 246)</f>
        <v>0</v>
      </c>
      <c r="K453">
        <v>70</v>
      </c>
      <c r="L453">
        <v>0</v>
      </c>
      <c r="M453">
        <v>0</v>
      </c>
      <c r="N453">
        <v>0</v>
      </c>
      <c r="O453">
        <v>0</v>
      </c>
    </row>
    <row r="454" spans="1:15">
      <c r="A454" s="1" t="s">
        <v>466</v>
      </c>
      <c r="B454" t="s">
        <v>504</v>
      </c>
      <c r="C454" t="s">
        <v>509</v>
      </c>
      <c r="D454">
        <f>HYPERLINK("http://www.reserveamerica.com/camping/tuff-campground/r/facilityDetails.do?contractCode=NRSO&amp;parkId=70523", "TUFF CAMPGROUND")</f>
        <v>0</v>
      </c>
      <c r="E454">
        <v>37.5625</v>
      </c>
      <c r="F454">
        <v>-118.6641667</v>
      </c>
      <c r="G454" t="s">
        <v>959</v>
      </c>
      <c r="I454" t="s">
        <v>505</v>
      </c>
      <c r="J454">
        <f>HYPERLINK("http://maps.google.com/maps?z=10&amp;t=m&amp;q=loc:37.5625+-118.6641667", 287)</f>
        <v>0</v>
      </c>
      <c r="K454">
        <v>83</v>
      </c>
      <c r="L454">
        <v>20</v>
      </c>
      <c r="M454">
        <v>0</v>
      </c>
      <c r="N454">
        <v>20</v>
      </c>
      <c r="O454">
        <v>20</v>
      </c>
    </row>
    <row r="455" spans="1:15">
      <c r="A455" s="1" t="s">
        <v>467</v>
      </c>
      <c r="B455" t="s">
        <v>504</v>
      </c>
      <c r="C455" t="s">
        <v>509</v>
      </c>
      <c r="D455">
        <f>HYPERLINK("http://www.reserveamerica.com/camping/tule/r/facilityDetails.do?contractCode=NRSO&amp;parkId=73451", "TULE")</f>
        <v>0</v>
      </c>
      <c r="E455">
        <v>36.0802778</v>
      </c>
      <c r="F455">
        <v>-118.9022222</v>
      </c>
      <c r="G455" t="s">
        <v>960</v>
      </c>
      <c r="I455" t="s">
        <v>505</v>
      </c>
      <c r="J455">
        <f>HYPERLINK("http://maps.google.com/maps?z=10&amp;t=m&amp;q=loc:36.0802778+-118.9022222", 301)</f>
        <v>0</v>
      </c>
      <c r="K455">
        <v>116</v>
      </c>
      <c r="L455">
        <v>53</v>
      </c>
      <c r="M455">
        <v>2</v>
      </c>
      <c r="N455">
        <v>51</v>
      </c>
      <c r="O455">
        <v>51</v>
      </c>
    </row>
    <row r="456" spans="1:15">
      <c r="A456" s="1" t="s">
        <v>468</v>
      </c>
      <c r="B456" t="s">
        <v>504</v>
      </c>
      <c r="C456" t="s">
        <v>509</v>
      </c>
      <c r="D456">
        <f>HYPERLINK("http://www.reserveamerica.com/camping/tunnel-mills-ii/r/facilityDetails.do?contractCode=NRSO&amp;parkId=70556", "TUNNEL MILLS II")</f>
        <v>0</v>
      </c>
      <c r="E456">
        <v>39.2527778</v>
      </c>
      <c r="F456">
        <v>-120.6516667</v>
      </c>
      <c r="G456" t="s">
        <v>961</v>
      </c>
      <c r="I456" t="s">
        <v>505</v>
      </c>
      <c r="J456">
        <f>HYPERLINK("http://maps.google.com/maps?z=10&amp;t=m&amp;q=loc:39.2527778+-120.6516667", 240)</f>
        <v>0</v>
      </c>
      <c r="K456">
        <v>26</v>
      </c>
      <c r="L456">
        <v>1</v>
      </c>
      <c r="M456">
        <v>0</v>
      </c>
      <c r="N456">
        <v>1</v>
      </c>
      <c r="O456">
        <v>1</v>
      </c>
    </row>
    <row r="457" spans="1:15">
      <c r="A457" s="1" t="s">
        <v>469</v>
      </c>
      <c r="B457" t="s">
        <v>504</v>
      </c>
      <c r="C457" t="s">
        <v>509</v>
      </c>
      <c r="D457">
        <f>HYPERLINK("http://www.reserveamerica.com/camping/tuolumne-meadows/r/facilityDetails.do?contractCode=NRSO&amp;parkId=70926", "TUOLUMNE MEADOWS")</f>
        <v>0</v>
      </c>
      <c r="E457">
        <v>37.8711111</v>
      </c>
      <c r="F457">
        <v>-119.36</v>
      </c>
      <c r="G457" t="s">
        <v>962</v>
      </c>
      <c r="I457" t="s">
        <v>505</v>
      </c>
      <c r="J457">
        <f>HYPERLINK("http://maps.google.com/maps?z=10&amp;t=m&amp;q=loc:37.8711111+-119.36", 232)</f>
        <v>0</v>
      </c>
      <c r="K457">
        <v>74</v>
      </c>
      <c r="L457">
        <v>0</v>
      </c>
      <c r="M457">
        <v>0</v>
      </c>
      <c r="N457">
        <v>0</v>
      </c>
      <c r="O457">
        <v>0</v>
      </c>
    </row>
    <row r="458" spans="1:15">
      <c r="A458" s="1" t="s">
        <v>470</v>
      </c>
      <c r="B458" t="s">
        <v>505</v>
      </c>
      <c r="C458" t="s">
        <v>510</v>
      </c>
      <c r="D458">
        <f>HYPERLINK("http://www.reserveamerica.com/camping/turlock-lake-sra/r/facilityDetails.do?contractCode=CA&amp;parkId=120096", "TURLOCK LAKE SRA")</f>
        <v>0</v>
      </c>
      <c r="E458">
        <v>37.6272222</v>
      </c>
      <c r="F458">
        <v>-120.5813889</v>
      </c>
      <c r="G458" t="s">
        <v>963</v>
      </c>
      <c r="H458" t="s">
        <v>997</v>
      </c>
      <c r="I458" t="s">
        <v>505</v>
      </c>
      <c r="J458">
        <f>HYPERLINK("http://maps.google.com/maps?z=10&amp;t=m&amp;q=loc:37.6272222+-120.5813889", 121)</f>
        <v>0</v>
      </c>
      <c r="K458">
        <v>73</v>
      </c>
      <c r="L458">
        <v>0</v>
      </c>
      <c r="M458">
        <v>0</v>
      </c>
      <c r="N458">
        <v>0</v>
      </c>
      <c r="O458">
        <v>0</v>
      </c>
    </row>
    <row r="459" spans="1:15">
      <c r="A459" s="1" t="s">
        <v>471</v>
      </c>
      <c r="B459" t="s">
        <v>504</v>
      </c>
      <c r="C459" t="s">
        <v>509</v>
      </c>
      <c r="D459">
        <f>HYPERLINK("http://www.reserveamerica.com/camping/tuttletown-recreation-area/r/facilityDetails.do?contractCode=NRSO&amp;parkId=74079", "TUTTLETOWN RECREATION AREA")</f>
        <v>0</v>
      </c>
      <c r="E459">
        <v>37.9838889</v>
      </c>
      <c r="F459">
        <v>-120.5080556</v>
      </c>
      <c r="G459" t="s">
        <v>964</v>
      </c>
      <c r="I459" t="s">
        <v>505</v>
      </c>
      <c r="J459">
        <f>HYPERLINK("http://maps.google.com/maps?z=10&amp;t=m&amp;q=loc:37.9838889+-120.5080556", 142)</f>
        <v>0</v>
      </c>
      <c r="K459">
        <v>58</v>
      </c>
      <c r="L459">
        <v>7</v>
      </c>
      <c r="M459">
        <v>4</v>
      </c>
      <c r="N459">
        <v>3</v>
      </c>
      <c r="O459">
        <v>3</v>
      </c>
    </row>
    <row r="460" spans="1:15">
      <c r="A460" s="1" t="s">
        <v>472</v>
      </c>
      <c r="B460" t="s">
        <v>504</v>
      </c>
      <c r="C460" t="s">
        <v>509</v>
      </c>
      <c r="D460">
        <f>HYPERLINK("http://www.reserveamerica.com/camping/twin-lakes-campground/r/facilityDetails.do?contractCode=NRSO&amp;parkId=75193", "TWIN LAKES CAMPGROUND")</f>
        <v>0</v>
      </c>
      <c r="E460">
        <v>37.6158333</v>
      </c>
      <c r="F460">
        <v>-119.0069444</v>
      </c>
      <c r="G460" t="s">
        <v>965</v>
      </c>
      <c r="I460" t="s">
        <v>505</v>
      </c>
      <c r="J460">
        <f>HYPERLINK("http://maps.google.com/maps?z=10&amp;t=m&amp;q=loc:37.6158333+-119.0069444", 257)</f>
        <v>0</v>
      </c>
      <c r="K460">
        <v>81</v>
      </c>
      <c r="L460">
        <v>9</v>
      </c>
      <c r="M460">
        <v>0</v>
      </c>
      <c r="N460">
        <v>9</v>
      </c>
      <c r="O460">
        <v>9</v>
      </c>
    </row>
    <row r="461" spans="1:15">
      <c r="A461" s="1" t="s">
        <v>473</v>
      </c>
      <c r="B461" t="s">
        <v>507</v>
      </c>
      <c r="C461" t="s">
        <v>511</v>
      </c>
      <c r="D461">
        <f>HYPERLINK("http://www.reserveamerica.com/camping/two-harbors-campground/r/facilityDetails.do?contractCode=CTLN&amp;parkId=940011", "TWO HARBORS CAMPGROUND")</f>
        <v>0</v>
      </c>
      <c r="E461">
        <v>33.4427778</v>
      </c>
      <c r="F461">
        <v>-118.4866667</v>
      </c>
      <c r="G461" t="s">
        <v>966</v>
      </c>
      <c r="I461" t="s">
        <v>505</v>
      </c>
      <c r="J461">
        <f>HYPERLINK("http://maps.google.com/maps?z=10&amp;t=m&amp;q=loc:33.4427778+-118.4866667", 531)</f>
        <v>0</v>
      </c>
      <c r="K461">
        <v>143</v>
      </c>
      <c r="L461">
        <v>0</v>
      </c>
      <c r="M461">
        <v>0</v>
      </c>
      <c r="N461">
        <v>0</v>
      </c>
      <c r="O461">
        <v>0</v>
      </c>
    </row>
    <row r="462" spans="1:15">
      <c r="A462" s="1" t="s">
        <v>474</v>
      </c>
      <c r="B462" t="s">
        <v>504</v>
      </c>
      <c r="C462" t="s">
        <v>509</v>
      </c>
      <c r="D462">
        <f>HYPERLINK("http://www.reserveamerica.com/camping/union-flat/r/facilityDetails.do?contractCode=NRSO&amp;parkId=75424", "UNION FLAT")</f>
        <v>0</v>
      </c>
      <c r="E462">
        <v>39.5675</v>
      </c>
      <c r="F462">
        <v>-120.7447222</v>
      </c>
      <c r="G462" t="s">
        <v>967</v>
      </c>
      <c r="I462" t="s">
        <v>505</v>
      </c>
      <c r="J462">
        <f>HYPERLINK("http://maps.google.com/maps?z=10&amp;t=m&amp;q=loc:39.5675+-120.7447222", 268)</f>
        <v>0</v>
      </c>
      <c r="K462">
        <v>21</v>
      </c>
      <c r="L462">
        <v>5</v>
      </c>
      <c r="M462">
        <v>0</v>
      </c>
      <c r="N462">
        <v>5</v>
      </c>
      <c r="O462">
        <v>5</v>
      </c>
    </row>
    <row r="463" spans="1:15">
      <c r="A463" s="1" t="s">
        <v>475</v>
      </c>
      <c r="B463" t="s">
        <v>504</v>
      </c>
      <c r="C463" t="s">
        <v>509</v>
      </c>
      <c r="D463">
        <f>HYPERLINK("http://www.reserveamerica.com/camping/upper-billy-creek-cg/r/facilityDetails.do?contractCode=NRSO&amp;parkId=71588", "UPPER BILLY CREEK CG")</f>
        <v>0</v>
      </c>
      <c r="E463">
        <v>37.2380556</v>
      </c>
      <c r="F463">
        <v>-119.2277778</v>
      </c>
      <c r="G463" t="s">
        <v>968</v>
      </c>
      <c r="I463" t="s">
        <v>505</v>
      </c>
      <c r="J463">
        <f>HYPERLINK("http://maps.google.com/maps?z=10&amp;t=m&amp;q=loc:37.2380556+-119.2277778", 237)</f>
        <v>0</v>
      </c>
      <c r="K463">
        <v>91</v>
      </c>
      <c r="L463">
        <v>0</v>
      </c>
      <c r="M463">
        <v>0</v>
      </c>
      <c r="N463">
        <v>0</v>
      </c>
      <c r="O463">
        <v>0</v>
      </c>
    </row>
    <row r="464" spans="1:15">
      <c r="A464" s="1" t="s">
        <v>476</v>
      </c>
      <c r="B464" t="s">
        <v>504</v>
      </c>
      <c r="C464" t="s">
        <v>509</v>
      </c>
      <c r="D464">
        <f>HYPERLINK("http://www.reserveamerica.com/camping/upper-little-truckee/r/facilityDetails.do?contractCode=NRSO&amp;parkId=71718", "UPPER LITTLE TRUCKEE")</f>
        <v>0</v>
      </c>
      <c r="E464">
        <v>39.4908333</v>
      </c>
      <c r="F464">
        <v>-120.2438889</v>
      </c>
      <c r="G464" t="s">
        <v>969</v>
      </c>
      <c r="I464" t="s">
        <v>505</v>
      </c>
      <c r="J464">
        <f>HYPERLINK("http://maps.google.com/maps?z=10&amp;t=m&amp;q=loc:39.4908333+-120.2438889", 280)</f>
        <v>0</v>
      </c>
      <c r="K464">
        <v>30</v>
      </c>
      <c r="L464">
        <v>17</v>
      </c>
      <c r="M464">
        <v>0</v>
      </c>
      <c r="N464">
        <v>17</v>
      </c>
      <c r="O464">
        <v>17</v>
      </c>
    </row>
    <row r="465" spans="1:15">
      <c r="A465" s="1" t="s">
        <v>477</v>
      </c>
      <c r="B465" t="s">
        <v>504</v>
      </c>
      <c r="C465" t="s">
        <v>509</v>
      </c>
      <c r="D465">
        <f>HYPERLINK("http://www.reserveamerica.com/camping/upper-oso-campground/r/facilityDetails.do?contractCode=NRSO&amp;parkId=70165", "UPPER OSO CAMPGROUND")</f>
        <v>0</v>
      </c>
      <c r="E465">
        <v>34.5558333</v>
      </c>
      <c r="F465">
        <v>-119.7538889</v>
      </c>
      <c r="G465" t="s">
        <v>970</v>
      </c>
      <c r="I465" t="s">
        <v>505</v>
      </c>
      <c r="J465">
        <f>HYPERLINK("http://maps.google.com/maps?z=10&amp;t=m&amp;q=loc:34.5558333+-119.7538889", 363)</f>
        <v>0</v>
      </c>
      <c r="K465">
        <v>147</v>
      </c>
      <c r="L465">
        <v>3</v>
      </c>
      <c r="M465">
        <v>0</v>
      </c>
      <c r="N465">
        <v>3</v>
      </c>
      <c r="O465">
        <v>3</v>
      </c>
    </row>
    <row r="466" spans="1:15">
      <c r="A466" s="1" t="s">
        <v>478</v>
      </c>
      <c r="B466" t="s">
        <v>504</v>
      </c>
      <c r="C466" t="s">
        <v>509</v>
      </c>
      <c r="D466">
        <f>HYPERLINK("http://www.reserveamerica.com/camping/upper-pines/r/facilityDetails.do?contractCode=NRSO&amp;parkId=70925", "UPPER PINES")</f>
        <v>0</v>
      </c>
      <c r="E466">
        <v>37.7361111</v>
      </c>
      <c r="F466">
        <v>-119.5625</v>
      </c>
      <c r="G466" t="s">
        <v>971</v>
      </c>
      <c r="I466" t="s">
        <v>505</v>
      </c>
      <c r="J466">
        <f>HYPERLINK("http://maps.google.com/maps?z=10&amp;t=m&amp;q=loc:37.7361111+-119.5625", 211)</f>
        <v>0</v>
      </c>
      <c r="K466">
        <v>76</v>
      </c>
      <c r="L466">
        <v>0</v>
      </c>
      <c r="M466">
        <v>0</v>
      </c>
      <c r="N466">
        <v>0</v>
      </c>
      <c r="O466">
        <v>0</v>
      </c>
    </row>
    <row r="467" spans="1:15">
      <c r="A467" s="1" t="s">
        <v>479</v>
      </c>
      <c r="B467" t="s">
        <v>504</v>
      </c>
      <c r="C467" t="s">
        <v>509</v>
      </c>
      <c r="D467">
        <f>HYPERLINK("http://www.reserveamerica.com/camping/upper-sage-flat/r/facilityDetails.do?contractCode=NRSO&amp;parkId=70524", "UPPER SAGE FLAT")</f>
        <v>0</v>
      </c>
      <c r="E467">
        <v>37.1258333</v>
      </c>
      <c r="F467">
        <v>-118.4338889</v>
      </c>
      <c r="G467" t="s">
        <v>972</v>
      </c>
      <c r="I467" t="s">
        <v>505</v>
      </c>
      <c r="J467">
        <f>HYPERLINK("http://maps.google.com/maps?z=10&amp;t=m&amp;q=loc:37.1258333+-118.4338889", 308)</f>
        <v>0</v>
      </c>
      <c r="K467">
        <v>93</v>
      </c>
      <c r="L467">
        <v>0</v>
      </c>
      <c r="M467">
        <v>0</v>
      </c>
      <c r="N467">
        <v>0</v>
      </c>
      <c r="O467">
        <v>0</v>
      </c>
    </row>
    <row r="468" spans="1:15">
      <c r="A468" s="1" t="s">
        <v>480</v>
      </c>
      <c r="B468" t="s">
        <v>504</v>
      </c>
      <c r="C468" t="s">
        <v>509</v>
      </c>
      <c r="D468">
        <f>HYPERLINK("http://www.reserveamerica.com/camping/upper-stony-creek-campground/r/facilityDetails.do?contractCode=NRSO&amp;parkId=94468", "UPPER STONY CREEK CAMPGROUND")</f>
        <v>0</v>
      </c>
      <c r="E468">
        <v>36.6647222</v>
      </c>
      <c r="F468">
        <v>-118.8316667</v>
      </c>
      <c r="G468" t="s">
        <v>973</v>
      </c>
      <c r="I468" t="s">
        <v>505</v>
      </c>
      <c r="J468">
        <f>HYPERLINK("http://maps.google.com/maps?z=10&amp;t=m&amp;q=loc:36.6647222+-118.8316667", 282)</f>
        <v>0</v>
      </c>
      <c r="K468">
        <v>104</v>
      </c>
      <c r="L468">
        <v>12</v>
      </c>
      <c r="M468">
        <v>0</v>
      </c>
      <c r="N468">
        <v>12</v>
      </c>
      <c r="O468">
        <v>12</v>
      </c>
    </row>
    <row r="469" spans="1:15">
      <c r="A469" s="1" t="s">
        <v>481</v>
      </c>
      <c r="B469" t="s">
        <v>505</v>
      </c>
      <c r="C469" t="s">
        <v>510</v>
      </c>
      <c r="D469">
        <f>HYPERLINK("http://www.reserveamerica.com/camping/vandamme-sp/r/facilityDetails.do?contractCode=CA&amp;parkId=120097", "VANDAMME SP")</f>
        <v>0</v>
      </c>
      <c r="E469">
        <v>39.2763889</v>
      </c>
      <c r="F469">
        <v>-123.7733333</v>
      </c>
      <c r="G469" t="s">
        <v>974</v>
      </c>
      <c r="I469" t="s">
        <v>505</v>
      </c>
      <c r="J469">
        <f>HYPERLINK("http://maps.google.com/maps?z=10&amp;t=m&amp;q=loc:39.2763889+-123.7733333", 270)</f>
        <v>0</v>
      </c>
      <c r="K469">
        <v>323</v>
      </c>
      <c r="L469">
        <v>0</v>
      </c>
      <c r="M469">
        <v>0</v>
      </c>
      <c r="N469">
        <v>0</v>
      </c>
      <c r="O469">
        <v>0</v>
      </c>
    </row>
    <row r="470" spans="1:15">
      <c r="A470" s="1" t="s">
        <v>482</v>
      </c>
      <c r="B470" t="s">
        <v>504</v>
      </c>
      <c r="C470" t="s">
        <v>509</v>
      </c>
      <c r="D470">
        <f>HYPERLINK("http://www.reserveamerica.com/camping/vermillion/r/facilityDetails.do?contractCode=NRSO&amp;parkId=71584", "VERMILLION")</f>
        <v>0</v>
      </c>
      <c r="E470">
        <v>37.3791667</v>
      </c>
      <c r="F470">
        <v>-119.0097222</v>
      </c>
      <c r="G470" t="s">
        <v>975</v>
      </c>
      <c r="H470" t="s">
        <v>998</v>
      </c>
      <c r="I470" t="s">
        <v>505</v>
      </c>
      <c r="J470">
        <f>HYPERLINK("http://maps.google.com/maps?z=10&amp;t=m&amp;q=loc:37.3791667+-119.0097222", 255)</f>
        <v>0</v>
      </c>
      <c r="K470">
        <v>87</v>
      </c>
      <c r="L470">
        <v>27</v>
      </c>
      <c r="M470">
        <v>0</v>
      </c>
      <c r="N470">
        <v>27</v>
      </c>
      <c r="O470">
        <v>27</v>
      </c>
    </row>
    <row r="471" spans="1:15">
      <c r="A471" s="1" t="s">
        <v>483</v>
      </c>
      <c r="B471" t="s">
        <v>504</v>
      </c>
      <c r="C471" t="s">
        <v>509</v>
      </c>
      <c r="D471">
        <f>HYPERLINK("http://www.reserveamerica.com/camping/wawona/r/facilityDetails.do?contractCode=NRSO&amp;parkId=70924", "WAWONA")</f>
        <v>0</v>
      </c>
      <c r="E471">
        <v>37.5730556</v>
      </c>
      <c r="F471">
        <v>-119.665</v>
      </c>
      <c r="G471" t="s">
        <v>976</v>
      </c>
      <c r="I471" t="s">
        <v>505</v>
      </c>
      <c r="J471">
        <f>HYPERLINK("http://maps.google.com/maps?z=10&amp;t=m&amp;q=loc:37.5730556+-119.665", 199)</f>
        <v>0</v>
      </c>
      <c r="K471">
        <v>81</v>
      </c>
      <c r="L471">
        <v>0</v>
      </c>
      <c r="M471">
        <v>0</v>
      </c>
      <c r="N471">
        <v>0</v>
      </c>
      <c r="O471">
        <v>0</v>
      </c>
    </row>
    <row r="472" spans="1:15">
      <c r="A472" s="1" t="s">
        <v>484</v>
      </c>
      <c r="B472" t="s">
        <v>504</v>
      </c>
      <c r="C472" t="s">
        <v>509</v>
      </c>
      <c r="D472">
        <f>HYPERLINK("http://www.reserveamerica.com/camping/wench-creek/r/facilityDetails.do?contractCode=NRSO&amp;parkId=70355", "WENCH CREEK")</f>
        <v>0</v>
      </c>
      <c r="E472">
        <v>38.8902778</v>
      </c>
      <c r="F472">
        <v>-120.3772222</v>
      </c>
      <c r="G472" t="s">
        <v>977</v>
      </c>
      <c r="I472" t="s">
        <v>505</v>
      </c>
      <c r="J472">
        <f>HYPERLINK("http://maps.google.com/maps?z=10&amp;t=m&amp;q=loc:38.8902778+-120.3772222", 219)</f>
        <v>0</v>
      </c>
      <c r="K472">
        <v>37</v>
      </c>
      <c r="L472">
        <v>0</v>
      </c>
      <c r="M472">
        <v>0</v>
      </c>
      <c r="N472">
        <v>0</v>
      </c>
      <c r="O472">
        <v>0</v>
      </c>
    </row>
    <row r="473" spans="1:15">
      <c r="A473" s="1" t="s">
        <v>485</v>
      </c>
      <c r="B473" t="s">
        <v>504</v>
      </c>
      <c r="C473" t="s">
        <v>509</v>
      </c>
      <c r="E473">
        <v>40.5486111</v>
      </c>
      <c r="F473">
        <v>-120.7813889</v>
      </c>
      <c r="G473" t="s">
        <v>978</v>
      </c>
      <c r="I473" t="s">
        <v>505</v>
      </c>
      <c r="J473">
        <f>HYPERLINK("http://maps.google.com/maps?z=10&amp;t=m&amp;q=loc:40.5486111+-120.7813889", 370)</f>
        <v>0</v>
      </c>
      <c r="K473">
        <v>14</v>
      </c>
      <c r="L473">
        <v>0</v>
      </c>
      <c r="M473">
        <v>0</v>
      </c>
      <c r="N473">
        <v>0</v>
      </c>
      <c r="O473">
        <v>0</v>
      </c>
    </row>
    <row r="474" spans="1:15">
      <c r="A474" s="1" t="s">
        <v>486</v>
      </c>
      <c r="B474" t="s">
        <v>504</v>
      </c>
      <c r="C474" t="s">
        <v>509</v>
      </c>
      <c r="D474">
        <f>HYPERLINK("http://www.reserveamerica.com/camping/wheeler-gorge/r/facilityDetails.do?contractCode=NRSO&amp;parkId=70392", "WHEELER GORGE")</f>
        <v>0</v>
      </c>
      <c r="E474">
        <v>34.5119444</v>
      </c>
      <c r="F474">
        <v>-119.2736111</v>
      </c>
      <c r="G474" t="s">
        <v>979</v>
      </c>
      <c r="I474" t="s">
        <v>505</v>
      </c>
      <c r="J474">
        <f>HYPERLINK("http://maps.google.com/maps?z=10&amp;t=m&amp;q=loc:34.5119444+-119.2736111", 392)</f>
        <v>0</v>
      </c>
      <c r="K474">
        <v>142</v>
      </c>
      <c r="L474">
        <v>35</v>
      </c>
      <c r="M474">
        <v>3</v>
      </c>
      <c r="N474">
        <v>32</v>
      </c>
      <c r="O474">
        <v>32</v>
      </c>
    </row>
    <row r="475" spans="1:15">
      <c r="A475" s="1" t="s">
        <v>487</v>
      </c>
      <c r="B475" t="s">
        <v>504</v>
      </c>
      <c r="C475" t="s">
        <v>509</v>
      </c>
      <c r="D475">
        <f>HYPERLINK("http://www.reserveamerica.com/camping/white-cloud/r/facilityDetails.do?contractCode=NRSO&amp;parkId=70647", "WHITE CLOUD")</f>
        <v>0</v>
      </c>
      <c r="E475">
        <v>39.3205556</v>
      </c>
      <c r="F475">
        <v>-120.8452778</v>
      </c>
      <c r="G475" t="s">
        <v>980</v>
      </c>
      <c r="I475" t="s">
        <v>505</v>
      </c>
      <c r="J475">
        <f>HYPERLINK("http://maps.google.com/maps?z=10&amp;t=m&amp;q=loc:39.3205556+-120.8452778", 239)</f>
        <v>0</v>
      </c>
      <c r="K475">
        <v>22</v>
      </c>
      <c r="L475">
        <v>26</v>
      </c>
      <c r="M475">
        <v>0</v>
      </c>
      <c r="N475">
        <v>26</v>
      </c>
      <c r="O475">
        <v>26</v>
      </c>
    </row>
    <row r="476" spans="1:15">
      <c r="A476" s="1" t="s">
        <v>488</v>
      </c>
      <c r="B476" t="s">
        <v>504</v>
      </c>
      <c r="C476" t="s">
        <v>509</v>
      </c>
      <c r="D476">
        <f>HYPERLINK("http://www.reserveamerica.com/camping/white-river/r/facilityDetails.do?contractCode=NRSO&amp;parkId=71539", "WHITE RIVER")</f>
        <v>0</v>
      </c>
      <c r="E476">
        <v>35.8458333</v>
      </c>
      <c r="F476">
        <v>-118.6347222</v>
      </c>
      <c r="G476" t="s">
        <v>981</v>
      </c>
      <c r="I476" t="s">
        <v>505</v>
      </c>
      <c r="J476">
        <f>HYPERLINK("http://maps.google.com/maps?z=10&amp;t=m&amp;q=loc:35.8458333+-118.6347222", 335)</f>
        <v>0</v>
      </c>
      <c r="K476">
        <v>118</v>
      </c>
      <c r="L476">
        <v>5</v>
      </c>
      <c r="M476">
        <v>0</v>
      </c>
      <c r="N476">
        <v>5</v>
      </c>
      <c r="O476">
        <v>5</v>
      </c>
    </row>
    <row r="477" spans="1:15">
      <c r="A477" s="1" t="s">
        <v>489</v>
      </c>
      <c r="B477" t="s">
        <v>504</v>
      </c>
      <c r="C477" t="s">
        <v>509</v>
      </c>
      <c r="D477">
        <f>HYPERLINK("http://www.reserveamerica.com/camping/whitehorse-campground/r/facilityDetails.do?contractCode=NRSO&amp;parkId=109333", "WHITEHORSE CAMPGROUND")</f>
        <v>0</v>
      </c>
      <c r="E477">
        <v>39.8880556</v>
      </c>
      <c r="F477">
        <v>-121.1411111</v>
      </c>
      <c r="G477" t="s">
        <v>982</v>
      </c>
      <c r="I477" t="s">
        <v>505</v>
      </c>
      <c r="J477">
        <f>HYPERLINK("http://maps.google.com/maps?z=10&amp;t=m&amp;q=loc:39.8880556+-121.1411111", 292)</f>
        <v>0</v>
      </c>
      <c r="K477">
        <v>12</v>
      </c>
      <c r="L477">
        <v>0</v>
      </c>
      <c r="M477">
        <v>0</v>
      </c>
      <c r="N477">
        <v>0</v>
      </c>
      <c r="O477">
        <v>0</v>
      </c>
    </row>
    <row r="478" spans="1:15">
      <c r="A478" s="1" t="s">
        <v>490</v>
      </c>
      <c r="B478" t="s">
        <v>504</v>
      </c>
      <c r="C478" t="s">
        <v>509</v>
      </c>
      <c r="D478">
        <f>HYPERLINK("http://www.reserveamerica.com/camping/whitney-portal/r/facilityDetails.do?contractCode=NRSO&amp;parkId=70357", "WHITNEY PORTAL")</f>
        <v>0</v>
      </c>
      <c r="E478">
        <v>36.5898611</v>
      </c>
      <c r="F478">
        <v>-118.2297778</v>
      </c>
      <c r="G478" t="s">
        <v>983</v>
      </c>
      <c r="I478" t="s">
        <v>505</v>
      </c>
      <c r="J478">
        <f>HYPERLINK("http://maps.google.com/maps?z=10&amp;t=m&amp;q=loc:36.5898611+-118.2297778", 336)</f>
        <v>0</v>
      </c>
      <c r="K478">
        <v>102</v>
      </c>
      <c r="L478">
        <v>0</v>
      </c>
      <c r="M478">
        <v>0</v>
      </c>
      <c r="N478">
        <v>0</v>
      </c>
      <c r="O478">
        <v>0</v>
      </c>
    </row>
    <row r="479" spans="1:15">
      <c r="A479" s="1" t="s">
        <v>491</v>
      </c>
      <c r="B479" t="s">
        <v>504</v>
      </c>
      <c r="C479" t="s">
        <v>509</v>
      </c>
      <c r="D479">
        <f>HYPERLINK("http://www.reserveamerica.com/camping/wild-horse-equestrian-family/r/facilityDetails.do?contractCode=NRSO&amp;parkId=73497", "WILD HORSE EQUESTRIAN FAMILY")</f>
        <v>0</v>
      </c>
      <c r="E479">
        <v>34.2019444</v>
      </c>
      <c r="F479">
        <v>-116.7672222</v>
      </c>
      <c r="G479" t="s">
        <v>984</v>
      </c>
      <c r="I479" t="s">
        <v>505</v>
      </c>
      <c r="J479">
        <f>HYPERLINK("http://maps.google.com/maps?z=10&amp;t=m&amp;q=loc:34.2019444+-116.7672222", 578)</f>
        <v>0</v>
      </c>
      <c r="K479">
        <v>125</v>
      </c>
      <c r="L479">
        <v>2</v>
      </c>
      <c r="M479">
        <v>0</v>
      </c>
      <c r="N479">
        <v>2</v>
      </c>
      <c r="O479">
        <v>2</v>
      </c>
    </row>
    <row r="480" spans="1:15">
      <c r="A480" s="1" t="s">
        <v>492</v>
      </c>
      <c r="B480" t="s">
        <v>504</v>
      </c>
      <c r="C480" t="s">
        <v>509</v>
      </c>
      <c r="D480">
        <f>HYPERLINK("http://www.reserveamerica.com/camping/wild-plum/r/facilityDetails.do?contractCode=NRSO&amp;parkId=75434", "WILD PLUM")</f>
        <v>0</v>
      </c>
      <c r="E480">
        <v>39.5663889</v>
      </c>
      <c r="F480">
        <v>-120.5991667</v>
      </c>
      <c r="G480" t="s">
        <v>985</v>
      </c>
      <c r="I480" t="s">
        <v>505</v>
      </c>
      <c r="J480">
        <f>HYPERLINK("http://maps.google.com/maps?z=10&amp;t=m&amp;q=loc:39.5663889+-120.5991667", 273)</f>
        <v>0</v>
      </c>
      <c r="K480">
        <v>24</v>
      </c>
      <c r="L480">
        <v>37</v>
      </c>
      <c r="M480">
        <v>0</v>
      </c>
      <c r="N480">
        <v>37</v>
      </c>
      <c r="O480">
        <v>37</v>
      </c>
    </row>
    <row r="481" spans="1:15">
      <c r="A481" s="1" t="s">
        <v>493</v>
      </c>
      <c r="B481" t="s">
        <v>504</v>
      </c>
      <c r="C481" t="s">
        <v>509</v>
      </c>
      <c r="D481">
        <f>HYPERLINK("http://www.reserveamerica.com/camping/wishon/r/facilityDetails.do?contractCode=NRSO&amp;parkId=71585", "WISHON")</f>
        <v>0</v>
      </c>
      <c r="E481">
        <v>36.1875</v>
      </c>
      <c r="F481">
        <v>-118.6625</v>
      </c>
      <c r="G481" t="s">
        <v>986</v>
      </c>
      <c r="I481" t="s">
        <v>505</v>
      </c>
      <c r="J481">
        <f>HYPERLINK("http://maps.google.com/maps?z=10&amp;t=m&amp;q=loc:36.1875+-118.6625", 315)</f>
        <v>0</v>
      </c>
      <c r="K481">
        <v>112</v>
      </c>
      <c r="L481">
        <v>23</v>
      </c>
      <c r="M481">
        <v>0</v>
      </c>
      <c r="N481">
        <v>23</v>
      </c>
      <c r="O481">
        <v>23</v>
      </c>
    </row>
    <row r="482" spans="1:15">
      <c r="A482" s="1" t="s">
        <v>494</v>
      </c>
      <c r="B482" t="s">
        <v>504</v>
      </c>
      <c r="C482" t="s">
        <v>509</v>
      </c>
      <c r="D482">
        <f>HYPERLINK("http://www.reserveamerica.com/camping/wishon-bass-lake/r/facilityDetails.do?contractCode=NRSO&amp;parkId=71721", "WISHON BASS LAKE")</f>
        <v>0</v>
      </c>
      <c r="E482">
        <v>37.2972222</v>
      </c>
      <c r="F482">
        <v>-119.5338889</v>
      </c>
      <c r="G482" t="s">
        <v>987</v>
      </c>
      <c r="I482" t="s">
        <v>505</v>
      </c>
      <c r="J482">
        <f>HYPERLINK("http://maps.google.com/maps?z=10&amp;t=m&amp;q=loc:37.2972222+-119.5338889", 209)</f>
        <v>0</v>
      </c>
      <c r="K482">
        <v>90</v>
      </c>
      <c r="L482">
        <v>0</v>
      </c>
      <c r="M482">
        <v>0</v>
      </c>
      <c r="N482">
        <v>0</v>
      </c>
      <c r="O482">
        <v>0</v>
      </c>
    </row>
    <row r="483" spans="1:15">
      <c r="A483" s="1" t="s">
        <v>495</v>
      </c>
      <c r="B483" t="s">
        <v>504</v>
      </c>
      <c r="C483" t="s">
        <v>509</v>
      </c>
      <c r="D483">
        <f>HYPERLINK("http://www.reserveamerica.com/camping/wolf-creek-california/r/facilityDetails.do?contractCode=NRSO&amp;parkId=70757", "WOLF CREEK CALIFORNIA")</f>
        <v>0</v>
      </c>
      <c r="E483">
        <v>38.8830556</v>
      </c>
      <c r="F483">
        <v>-120.4</v>
      </c>
      <c r="G483" t="s">
        <v>988</v>
      </c>
      <c r="I483" t="s">
        <v>505</v>
      </c>
      <c r="J483">
        <f>HYPERLINK("http://maps.google.com/maps?z=10&amp;t=m&amp;q=loc:38.8830556+-120.4", 217)</f>
        <v>0</v>
      </c>
      <c r="K483">
        <v>36</v>
      </c>
      <c r="L483">
        <v>0</v>
      </c>
      <c r="M483">
        <v>0</v>
      </c>
      <c r="N483">
        <v>0</v>
      </c>
      <c r="O483">
        <v>0</v>
      </c>
    </row>
    <row r="484" spans="1:15">
      <c r="A484" s="1" t="s">
        <v>496</v>
      </c>
      <c r="B484" t="s">
        <v>504</v>
      </c>
      <c r="C484" t="s">
        <v>509</v>
      </c>
      <c r="D484">
        <f>HYPERLINK("http://www.reserveamerica.com/camping/woodcamp-campground/r/facilityDetails.do?contractCode=NRSO&amp;parkId=71520", "WOODCAMP CAMPGROUND")</f>
        <v>0</v>
      </c>
      <c r="E484">
        <v>39.4855556</v>
      </c>
      <c r="F484">
        <v>-120.5477778</v>
      </c>
      <c r="G484" t="s">
        <v>989</v>
      </c>
      <c r="I484" t="s">
        <v>505</v>
      </c>
      <c r="J484">
        <f>HYPERLINK("http://maps.google.com/maps?z=10&amp;t=m&amp;q=loc:39.4855556+-120.5477778", 267)</f>
        <v>0</v>
      </c>
      <c r="K484">
        <v>25</v>
      </c>
      <c r="L484">
        <v>16</v>
      </c>
      <c r="M484">
        <v>0</v>
      </c>
      <c r="N484">
        <v>16</v>
      </c>
      <c r="O484">
        <v>16</v>
      </c>
    </row>
    <row r="485" spans="1:15">
      <c r="A485" s="1" t="s">
        <v>497</v>
      </c>
      <c r="B485" t="s">
        <v>504</v>
      </c>
      <c r="C485" t="s">
        <v>509</v>
      </c>
      <c r="D485">
        <f>HYPERLINK("http://www.reserveamerica.com/camping/wooded-hill-group/r/facilityDetails.do?contractCode=NRSO&amp;parkId=70150", "WOODED HILL GROUP")</f>
        <v>0</v>
      </c>
      <c r="E485">
        <v>32.8502778</v>
      </c>
      <c r="F485">
        <v>-116.42</v>
      </c>
      <c r="G485" t="s">
        <v>990</v>
      </c>
      <c r="I485" t="s">
        <v>505</v>
      </c>
      <c r="J485">
        <f>HYPERLINK("http://maps.google.com/maps?z=10&amp;t=m&amp;q=loc:32.8502778+-116.42", 704)</f>
        <v>0</v>
      </c>
      <c r="K485">
        <v>133</v>
      </c>
      <c r="L485">
        <v>0</v>
      </c>
      <c r="M485">
        <v>0</v>
      </c>
      <c r="N485">
        <v>0</v>
      </c>
      <c r="O485">
        <v>0</v>
      </c>
    </row>
    <row r="486" spans="1:15">
      <c r="A486" s="1" t="s">
        <v>498</v>
      </c>
      <c r="B486" t="s">
        <v>505</v>
      </c>
      <c r="C486" t="s">
        <v>510</v>
      </c>
      <c r="D486">
        <f>HYPERLINK("http://www.reserveamerica.com/camping/woodson-bridge-sra/r/facilityDetails.do?contractCode=CA&amp;parkId=120098", "WOODSON BRIDGE SRA")</f>
        <v>0</v>
      </c>
      <c r="E486">
        <v>39.9175</v>
      </c>
      <c r="F486">
        <v>-122.0902778</v>
      </c>
      <c r="G486" t="s">
        <v>991</v>
      </c>
      <c r="I486" t="s">
        <v>505</v>
      </c>
      <c r="J486">
        <f>HYPERLINK("http://maps.google.com/maps?z=10&amp;t=m&amp;q=loc:39.9175+-122.0902778", 288)</f>
        <v>0</v>
      </c>
      <c r="K486">
        <v>356</v>
      </c>
      <c r="L486">
        <v>34</v>
      </c>
      <c r="M486">
        <v>0</v>
      </c>
      <c r="N486">
        <v>34</v>
      </c>
      <c r="O486">
        <v>34</v>
      </c>
    </row>
    <row r="487" spans="1:15">
      <c r="A487" s="1" t="s">
        <v>499</v>
      </c>
      <c r="B487" t="s">
        <v>508</v>
      </c>
      <c r="C487" t="s">
        <v>511</v>
      </c>
      <c r="D487">
        <f>HYPERLINK("http://www.reserveamerica.com/camping/woodward-reservoir-regional-park/r/facilityDetails.do?contractCode=STAN&amp;parkId=1040012", "WOODWARD RESERVOIR REGIONAL PARK")</f>
        <v>0</v>
      </c>
      <c r="E487">
        <v>37.8469444</v>
      </c>
      <c r="F487">
        <v>-120.8770056</v>
      </c>
      <c r="G487" t="s">
        <v>991</v>
      </c>
      <c r="H487" t="s">
        <v>1002</v>
      </c>
      <c r="I487" t="s">
        <v>505</v>
      </c>
      <c r="J487">
        <f>HYPERLINK("http://maps.google.com/maps?z=10&amp;t=m&amp;q=loc:37.8469444+-120.8770056", 107)</f>
        <v>0</v>
      </c>
      <c r="K487">
        <v>57</v>
      </c>
      <c r="L487">
        <v>45</v>
      </c>
      <c r="M487">
        <v>3</v>
      </c>
      <c r="N487">
        <v>42</v>
      </c>
      <c r="O487">
        <v>42</v>
      </c>
    </row>
    <row r="488" spans="1:15">
      <c r="A488" s="1" t="s">
        <v>500</v>
      </c>
      <c r="B488" t="s">
        <v>504</v>
      </c>
      <c r="C488" t="s">
        <v>509</v>
      </c>
      <c r="D488">
        <f>HYPERLINK("http://www.reserveamerica.com/camping/wrights-lake/r/facilityDetails.do?contractCode=NRSO&amp;parkId=70152", "WRIGHTS LAKE")</f>
        <v>0</v>
      </c>
      <c r="E488">
        <v>38.8494444</v>
      </c>
      <c r="F488">
        <v>-120.2311111</v>
      </c>
      <c r="G488" t="s">
        <v>992</v>
      </c>
      <c r="I488" t="s">
        <v>505</v>
      </c>
      <c r="J488">
        <f>HYPERLINK("http://maps.google.com/maps?z=10&amp;t=m&amp;q=loc:38.8494444+-120.2311111", 223)</f>
        <v>0</v>
      </c>
      <c r="K488">
        <v>40</v>
      </c>
      <c r="L488">
        <v>0</v>
      </c>
      <c r="M488">
        <v>0</v>
      </c>
      <c r="N488">
        <v>0</v>
      </c>
      <c r="O488">
        <v>0</v>
      </c>
    </row>
    <row r="489" spans="1:15">
      <c r="A489" s="1" t="s">
        <v>501</v>
      </c>
      <c r="B489" t="s">
        <v>504</v>
      </c>
      <c r="C489" t="s">
        <v>509</v>
      </c>
      <c r="D489">
        <f>HYPERLINK("http://www.reserveamerica.com/camping/wyandotte-a-campground/r/facilityDetails.do?contractCode=NRSO&amp;parkId=72430", "WYANDOTTE A CAMPGROUND")</f>
        <v>0</v>
      </c>
      <c r="E489">
        <v>39.745</v>
      </c>
      <c r="F489">
        <v>-120.9875</v>
      </c>
      <c r="G489" t="s">
        <v>993</v>
      </c>
      <c r="H489" t="s">
        <v>998</v>
      </c>
      <c r="I489" t="s">
        <v>505</v>
      </c>
      <c r="J489">
        <f>HYPERLINK("http://maps.google.com/maps?z=10&amp;t=m&amp;q=loc:39.745+-120.9875", 280)</f>
        <v>0</v>
      </c>
      <c r="K489">
        <v>16</v>
      </c>
      <c r="L489">
        <v>12</v>
      </c>
      <c r="M489">
        <v>0</v>
      </c>
      <c r="N489">
        <v>12</v>
      </c>
      <c r="O489">
        <v>12</v>
      </c>
    </row>
    <row r="490" spans="1:15">
      <c r="A490" s="1" t="s">
        <v>502</v>
      </c>
      <c r="B490" t="s">
        <v>504</v>
      </c>
      <c r="C490" t="s">
        <v>509</v>
      </c>
      <c r="D490">
        <f>HYPERLINK("http://www.reserveamerica.com/camping/yellowjacket/r/facilityDetails.do?contractCode=NRSO&amp;parkId=70359", "YELLOWJACKET")</f>
        <v>0</v>
      </c>
      <c r="E490">
        <v>38.8916667</v>
      </c>
      <c r="F490">
        <v>-120.3916667</v>
      </c>
      <c r="G490" t="s">
        <v>994</v>
      </c>
      <c r="I490" t="s">
        <v>505</v>
      </c>
      <c r="J490">
        <f>HYPERLINK("http://maps.google.com/maps?z=10&amp;t=m&amp;q=loc:38.8916667+-120.3916667", 218)</f>
        <v>0</v>
      </c>
      <c r="K490">
        <v>36</v>
      </c>
      <c r="L490">
        <v>0</v>
      </c>
      <c r="M490">
        <v>0</v>
      </c>
      <c r="N490">
        <v>0</v>
      </c>
      <c r="O490">
        <v>0</v>
      </c>
    </row>
    <row r="491" spans="1:15">
      <c r="A491" s="1" t="s">
        <v>503</v>
      </c>
      <c r="B491" t="s">
        <v>504</v>
      </c>
      <c r="C491" t="s">
        <v>509</v>
      </c>
      <c r="E491">
        <v>39.6175</v>
      </c>
      <c r="F491">
        <v>-120.4994444</v>
      </c>
      <c r="G491" t="s">
        <v>995</v>
      </c>
      <c r="I491" t="s">
        <v>505</v>
      </c>
      <c r="J491">
        <f>HYPERLINK("http://maps.google.com/maps?z=10&amp;t=m&amp;q=loc:39.6175+-120.4994444", 282)</f>
        <v>0</v>
      </c>
      <c r="K491">
        <v>25</v>
      </c>
      <c r="L491">
        <v>0</v>
      </c>
      <c r="M491">
        <v>0</v>
      </c>
      <c r="N491">
        <v>0</v>
      </c>
      <c r="O49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Sat Sep 17 2016 1</vt:lpstr>
      <vt:lpstr>Sat Sep 10 2016 1</vt:lpstr>
      <vt:lpstr>Fri Sep 09 2016 2</vt:lpstr>
      <vt:lpstr>Sat Sep 24 2016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2016-08-11T20:07:01Z</dcterms:created>
  <dcterms:modified xsi:type="dcterms:W3CDTF">2016-08-11T20:07:01Z</dcterms:modified>
</cp:coreProperties>
</file>