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702FC859-F282-465B-824F-6528029D688D}" xr6:coauthVersionLast="47" xr6:coauthVersionMax="47" xr10:uidLastSave="{00000000-0000-0000-0000-000000000000}"/>
  <bookViews>
    <workbookView xWindow="11292" yWindow="0" windowWidth="11772" windowHeight="12336" firstSheet="2" activeTab="3" xr2:uid="{15FFB4DA-647B-47A8-A954-D576C3956A52}"/>
  </bookViews>
  <sheets>
    <sheet name="parameters" sheetId="1" r:id="rId1"/>
    <sheet name="esdm" sheetId="3" r:id="rId2"/>
    <sheet name="ruptl" sheetId="4" r:id="rId3"/>
    <sheet name="esdm+ruptl_2030" sheetId="5" r:id="rId4"/>
    <sheet name="esdm+ruptl_2050" sheetId="8" r:id="rId5"/>
    <sheet name="solar_iesr" sheetId="6" r:id="rId6"/>
    <sheet name="wind_sergio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8" l="1"/>
  <c r="K23" i="8"/>
  <c r="K21" i="8"/>
  <c r="K22" i="8"/>
  <c r="K20" i="8"/>
  <c r="K19" i="8"/>
  <c r="K18" i="8"/>
  <c r="K5" i="8"/>
  <c r="K6" i="8"/>
  <c r="K7" i="8"/>
  <c r="K8" i="8"/>
  <c r="K4" i="8"/>
  <c r="K14" i="8"/>
  <c r="K13" i="8"/>
  <c r="K11" i="8"/>
  <c r="K10" i="8"/>
  <c r="K12" i="8"/>
  <c r="G23" i="8"/>
  <c r="F17" i="8"/>
  <c r="E20" i="5"/>
  <c r="E11" i="5"/>
  <c r="I21" i="5"/>
  <c r="I21" i="8"/>
  <c r="I24" i="8"/>
  <c r="I23" i="8"/>
  <c r="I5" i="8"/>
  <c r="I7" i="8"/>
  <c r="I8" i="8"/>
  <c r="I9" i="8"/>
  <c r="I17" i="8"/>
  <c r="I15" i="8"/>
  <c r="I12" i="8"/>
  <c r="I14" i="8"/>
  <c r="I20" i="8"/>
  <c r="I22" i="8"/>
  <c r="J22" i="5" l="1"/>
  <c r="J21" i="5"/>
  <c r="J20" i="5"/>
  <c r="J19" i="5"/>
  <c r="J18" i="5"/>
  <c r="J17" i="5"/>
  <c r="J16" i="5"/>
  <c r="J15" i="5"/>
  <c r="J14" i="5"/>
  <c r="J13" i="5"/>
  <c r="J12" i="5"/>
  <c r="J11" i="5"/>
  <c r="J10" i="5"/>
  <c r="J8" i="5"/>
  <c r="J5" i="5"/>
  <c r="J4" i="5"/>
  <c r="J3" i="5"/>
  <c r="G21" i="5"/>
  <c r="G19" i="5"/>
  <c r="G14" i="5"/>
  <c r="G6" i="5"/>
  <c r="F23" i="5"/>
  <c r="F20" i="5"/>
  <c r="F19" i="5"/>
  <c r="F16" i="5"/>
  <c r="F15" i="5"/>
  <c r="F17" i="5"/>
  <c r="F13" i="5"/>
  <c r="F12" i="5"/>
  <c r="F6" i="5"/>
  <c r="E16" i="8"/>
  <c r="E17" i="8"/>
  <c r="E15" i="8"/>
  <c r="E4" i="8"/>
  <c r="E5" i="8"/>
  <c r="E6" i="8"/>
  <c r="E7" i="8"/>
  <c r="E8" i="8"/>
  <c r="E9" i="8"/>
  <c r="E3" i="8"/>
  <c r="H20" i="8"/>
  <c r="H18" i="8"/>
  <c r="H31" i="8" s="1"/>
  <c r="H1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9" i="8"/>
  <c r="H21" i="8"/>
  <c r="H22" i="8"/>
  <c r="H23" i="8"/>
  <c r="H24" i="8"/>
  <c r="H3" i="8"/>
  <c r="G3" i="8"/>
  <c r="J24" i="5"/>
  <c r="J23" i="5" s="1"/>
  <c r="G24" i="5"/>
  <c r="G23" i="5" s="1"/>
  <c r="I7" i="5"/>
  <c r="I9" i="5"/>
  <c r="J9" i="5"/>
  <c r="J7" i="5" s="1"/>
  <c r="K9" i="5"/>
  <c r="K6" i="5"/>
  <c r="K7" i="5"/>
  <c r="K10" i="5"/>
  <c r="K17" i="5"/>
  <c r="K22" i="5"/>
  <c r="K21" i="5"/>
  <c r="K20" i="5"/>
  <c r="K5" i="5"/>
  <c r="H25" i="8" l="1"/>
  <c r="H30" i="8"/>
  <c r="H29" i="8"/>
  <c r="K18" i="5" l="1"/>
  <c r="K19" i="5"/>
  <c r="K12" i="5"/>
  <c r="K23" i="5"/>
  <c r="K24" i="5"/>
  <c r="E8" i="5"/>
  <c r="AB7" i="8"/>
  <c r="AB8" i="8"/>
  <c r="AB9" i="8"/>
  <c r="AB23" i="8"/>
  <c r="F4" i="8"/>
  <c r="X4" i="8" s="1"/>
  <c r="F7" i="8"/>
  <c r="X7" i="8" s="1"/>
  <c r="F9" i="8"/>
  <c r="X9" i="8" s="1"/>
  <c r="F11" i="8"/>
  <c r="X11" i="8" s="1"/>
  <c r="F18" i="8"/>
  <c r="X18" i="8" s="1"/>
  <c r="F23" i="8"/>
  <c r="X23" i="8" s="1"/>
  <c r="AB24" i="8"/>
  <c r="E23" i="8"/>
  <c r="W23" i="8" s="1"/>
  <c r="Y23" i="8"/>
  <c r="E24" i="8"/>
  <c r="W24" i="8" s="1"/>
  <c r="F24" i="8"/>
  <c r="X24" i="8" s="1"/>
  <c r="Y24" i="8"/>
  <c r="Z24" i="8"/>
  <c r="G4" i="8"/>
  <c r="I4" i="8"/>
  <c r="W5" i="8"/>
  <c r="G5" i="8"/>
  <c r="W6" i="8"/>
  <c r="G6" i="8"/>
  <c r="Z6" i="8"/>
  <c r="I6" i="8"/>
  <c r="W7" i="8"/>
  <c r="G7" i="8"/>
  <c r="Y7" i="8" s="1"/>
  <c r="AA7" i="8"/>
  <c r="G8" i="8"/>
  <c r="Y8" i="8" s="1"/>
  <c r="Z8" i="8"/>
  <c r="W9" i="8"/>
  <c r="G9" i="8"/>
  <c r="Y9" i="8" s="1"/>
  <c r="Z9" i="8"/>
  <c r="AA9" i="8"/>
  <c r="W10" i="8"/>
  <c r="G10" i="8"/>
  <c r="Y10" i="8" s="1"/>
  <c r="I10" i="8"/>
  <c r="AA10" i="8" s="1"/>
  <c r="G11" i="8"/>
  <c r="Y11" i="8" s="1"/>
  <c r="Z11" i="8"/>
  <c r="I11" i="8"/>
  <c r="AA11" i="8" s="1"/>
  <c r="G12" i="8"/>
  <c r="Y12" i="8" s="1"/>
  <c r="AA12" i="8"/>
  <c r="W13" i="8"/>
  <c r="G13" i="8"/>
  <c r="Y13" i="8" s="1"/>
  <c r="Z13" i="8"/>
  <c r="I13" i="8"/>
  <c r="AA13" i="8" s="1"/>
  <c r="W14" i="8"/>
  <c r="Z14" i="8"/>
  <c r="W15" i="8"/>
  <c r="W16" i="8"/>
  <c r="G16" i="8"/>
  <c r="Y16" i="8" s="1"/>
  <c r="Z16" i="8"/>
  <c r="I16" i="8"/>
  <c r="AA16" i="8" s="1"/>
  <c r="W17" i="8"/>
  <c r="G17" i="8"/>
  <c r="Y17" i="8" s="1"/>
  <c r="AA17" i="8"/>
  <c r="E18" i="8"/>
  <c r="W18" i="8" s="1"/>
  <c r="G18" i="8"/>
  <c r="Y18" i="8" s="1"/>
  <c r="AA18" i="8"/>
  <c r="E19" i="8"/>
  <c r="W19" i="8" s="1"/>
  <c r="Z19" i="8"/>
  <c r="AA19" i="8"/>
  <c r="Z20" i="8"/>
  <c r="AA20" i="8"/>
  <c r="E21" i="8"/>
  <c r="W21" i="8" s="1"/>
  <c r="G22" i="8"/>
  <c r="Y22" i="8" s="1"/>
  <c r="Z22" i="8"/>
  <c r="I3" i="8"/>
  <c r="AA3" i="8" s="1"/>
  <c r="Y3" i="8"/>
  <c r="W3" i="8"/>
  <c r="K3" i="5"/>
  <c r="I24" i="5"/>
  <c r="I14" i="5"/>
  <c r="AA14" i="8" s="1"/>
  <c r="I22" i="5"/>
  <c r="AA22" i="8" s="1"/>
  <c r="E10" i="5"/>
  <c r="I23" i="5"/>
  <c r="G15" i="5"/>
  <c r="G15" i="8" s="1"/>
  <c r="Y15" i="8" s="1"/>
  <c r="Y19" i="8"/>
  <c r="Y14" i="8"/>
  <c r="X17" i="8"/>
  <c r="I5" i="5"/>
  <c r="AA5" i="8" s="1"/>
  <c r="I8" i="5"/>
  <c r="AA8" i="8" s="1"/>
  <c r="E4" i="5"/>
  <c r="AF31" i="8"/>
  <c r="AF30" i="8"/>
  <c r="AF29" i="8"/>
  <c r="AF25" i="8"/>
  <c r="AE24" i="8"/>
  <c r="AD24" i="8"/>
  <c r="AA24" i="8"/>
  <c r="AC24" i="8"/>
  <c r="AE23" i="8"/>
  <c r="AD23" i="8"/>
  <c r="AA23" i="8"/>
  <c r="Z23" i="8"/>
  <c r="AC23" i="8"/>
  <c r="AE22" i="8"/>
  <c r="AD22" i="8"/>
  <c r="L22" i="8"/>
  <c r="AC22" i="8"/>
  <c r="AE21" i="8"/>
  <c r="AD21" i="8"/>
  <c r="AA21" i="8"/>
  <c r="Z21" i="8"/>
  <c r="AC21" i="8"/>
  <c r="AE20" i="8"/>
  <c r="AD20" i="8"/>
  <c r="AC20" i="8"/>
  <c r="AE19" i="8"/>
  <c r="AD19" i="8"/>
  <c r="L19" i="8"/>
  <c r="AC19" i="8"/>
  <c r="AD18" i="8"/>
  <c r="AD31" i="8" s="1"/>
  <c r="Z18" i="8"/>
  <c r="M18" i="8"/>
  <c r="M31" i="8" s="1"/>
  <c r="AD17" i="8"/>
  <c r="Z17" i="8"/>
  <c r="M17" i="8"/>
  <c r="AE17" i="8" s="1"/>
  <c r="L17" i="8"/>
  <c r="K17" i="8"/>
  <c r="AC17" i="8" s="1"/>
  <c r="AE16" i="8"/>
  <c r="AD16" i="8"/>
  <c r="AC16" i="8"/>
  <c r="AD15" i="8"/>
  <c r="AC15" i="8"/>
  <c r="Z15" i="8"/>
  <c r="M15" i="8"/>
  <c r="AE15" i="8" s="1"/>
  <c r="L15" i="8"/>
  <c r="AE14" i="8"/>
  <c r="AD14" i="8"/>
  <c r="AC14" i="8"/>
  <c r="AD13" i="8"/>
  <c r="AC13" i="8"/>
  <c r="M13" i="8"/>
  <c r="AE13" i="8" s="1"/>
  <c r="L13" i="8"/>
  <c r="AE12" i="8"/>
  <c r="AD12" i="8"/>
  <c r="Z12" i="8"/>
  <c r="W12" i="8"/>
  <c r="L12" i="8"/>
  <c r="AD11" i="8"/>
  <c r="AC11" i="8"/>
  <c r="M11" i="8"/>
  <c r="AE11" i="8" s="1"/>
  <c r="L11" i="8"/>
  <c r="AD10" i="8"/>
  <c r="AC10" i="8"/>
  <c r="Z10" i="8"/>
  <c r="M10" i="8"/>
  <c r="L10" i="8"/>
  <c r="AE9" i="8"/>
  <c r="AD9" i="8"/>
  <c r="AC9" i="8"/>
  <c r="AD8" i="8"/>
  <c r="AC8" i="8"/>
  <c r="M8" i="8"/>
  <c r="AE8" i="8" s="1"/>
  <c r="L8" i="8"/>
  <c r="L29" i="8" s="1"/>
  <c r="W8" i="8"/>
  <c r="AE7" i="8"/>
  <c r="AD7" i="8"/>
  <c r="AC7" i="8"/>
  <c r="Z7" i="8"/>
  <c r="AE6" i="8"/>
  <c r="AD6" i="8"/>
  <c r="AC6" i="8"/>
  <c r="AE5" i="8"/>
  <c r="AD5" i="8"/>
  <c r="Z5" i="8"/>
  <c r="Y5" i="8"/>
  <c r="AC5" i="8"/>
  <c r="AD4" i="8"/>
  <c r="AC4" i="8"/>
  <c r="AA4" i="8"/>
  <c r="Z4" i="8"/>
  <c r="Y4" i="8"/>
  <c r="M4" i="8"/>
  <c r="AE4" i="8" s="1"/>
  <c r="AD3" i="8"/>
  <c r="AD25" i="8" s="1"/>
  <c r="AB3" i="8"/>
  <c r="Z3" i="8"/>
  <c r="M3" i="8"/>
  <c r="F5" i="5"/>
  <c r="X5" i="8" s="1"/>
  <c r="F3" i="5"/>
  <c r="F3" i="8" s="1"/>
  <c r="AB4" i="8"/>
  <c r="AB5" i="8"/>
  <c r="J6" i="5"/>
  <c r="AB6" i="8" s="1"/>
  <c r="F8" i="5"/>
  <c r="X8" i="8" s="1"/>
  <c r="F10" i="5"/>
  <c r="F10" i="8" s="1"/>
  <c r="X10" i="8" s="1"/>
  <c r="AB10" i="8"/>
  <c r="AB11" i="8"/>
  <c r="F12" i="8"/>
  <c r="AB12" i="8"/>
  <c r="F13" i="8"/>
  <c r="X13" i="8" s="1"/>
  <c r="AB13" i="8"/>
  <c r="F14" i="5"/>
  <c r="X14" i="8" s="1"/>
  <c r="AB14" i="8"/>
  <c r="E15" i="5"/>
  <c r="X15" i="8"/>
  <c r="I15" i="5"/>
  <c r="AA15" i="8" s="1"/>
  <c r="AB15" i="8"/>
  <c r="X16" i="8"/>
  <c r="AB16" i="8"/>
  <c r="AB17" i="8"/>
  <c r="X19" i="8"/>
  <c r="AB19" i="8"/>
  <c r="E20" i="8"/>
  <c r="W20" i="8" s="1"/>
  <c r="X20" i="8"/>
  <c r="G20" i="5"/>
  <c r="Y20" i="8" s="1"/>
  <c r="AB20" i="8"/>
  <c r="F21" i="5"/>
  <c r="X21" i="8" s="1"/>
  <c r="AB21" i="8"/>
  <c r="E22" i="5"/>
  <c r="E22" i="8" s="1"/>
  <c r="W22" i="8" s="1"/>
  <c r="F22" i="5"/>
  <c r="X22" i="8" s="1"/>
  <c r="AB22" i="8"/>
  <c r="K29" i="8" l="1"/>
  <c r="L31" i="8"/>
  <c r="D27" i="8"/>
  <c r="G31" i="8"/>
  <c r="M25" i="8"/>
  <c r="K30" i="8"/>
  <c r="F30" i="8"/>
  <c r="G29" i="8"/>
  <c r="L30" i="8"/>
  <c r="M30" i="8"/>
  <c r="E31" i="8"/>
  <c r="AC12" i="8"/>
  <c r="AC30" i="8" s="1"/>
  <c r="K31" i="8"/>
  <c r="AC3" i="8"/>
  <c r="AC29" i="8" s="1"/>
  <c r="AE3" i="8"/>
  <c r="AE29" i="8" s="1"/>
  <c r="I31" i="8"/>
  <c r="M29" i="8"/>
  <c r="AC18" i="8"/>
  <c r="AC31" i="8" s="1"/>
  <c r="E30" i="8"/>
  <c r="AD30" i="8"/>
  <c r="I30" i="8"/>
  <c r="AE18" i="8"/>
  <c r="AE31" i="8" s="1"/>
  <c r="F25" i="8"/>
  <c r="J31" i="8"/>
  <c r="G25" i="8"/>
  <c r="X6" i="8"/>
  <c r="G30" i="8"/>
  <c r="I25" i="8"/>
  <c r="Y6" i="8"/>
  <c r="Y29" i="8" s="1"/>
  <c r="W31" i="8"/>
  <c r="Y30" i="8"/>
  <c r="Z30" i="8"/>
  <c r="Z25" i="8"/>
  <c r="Z31" i="8"/>
  <c r="Z29" i="8"/>
  <c r="AB29" i="8"/>
  <c r="AA31" i="8"/>
  <c r="AA30" i="8"/>
  <c r="X31" i="8"/>
  <c r="AB30" i="8"/>
  <c r="AA25" i="8"/>
  <c r="Y21" i="8"/>
  <c r="Y31" i="8" s="1"/>
  <c r="J30" i="8"/>
  <c r="K25" i="8"/>
  <c r="W4" i="8"/>
  <c r="W29" i="8" s="1"/>
  <c r="AE10" i="8"/>
  <c r="AE30" i="8" s="1"/>
  <c r="AA29" i="8"/>
  <c r="F29" i="8"/>
  <c r="L25" i="8"/>
  <c r="I29" i="8"/>
  <c r="J29" i="8"/>
  <c r="F31" i="8"/>
  <c r="X12" i="8"/>
  <c r="X30" i="8" s="1"/>
  <c r="AD29" i="8"/>
  <c r="E29" i="8"/>
  <c r="J25" i="8"/>
  <c r="X3" i="8"/>
  <c r="W11" i="8"/>
  <c r="W30" i="8" s="1"/>
  <c r="AB18" i="8"/>
  <c r="AB25" i="8" s="1"/>
  <c r="E25" i="8"/>
  <c r="N31" i="8" l="1"/>
  <c r="O31" i="8" s="1"/>
  <c r="AC25" i="8"/>
  <c r="N30" i="8"/>
  <c r="O30" i="8" s="1"/>
  <c r="D30" i="8"/>
  <c r="Y25" i="8"/>
  <c r="W25" i="8"/>
  <c r="AE25" i="8"/>
  <c r="D25" i="8"/>
  <c r="AB31" i="8"/>
  <c r="V31" i="8"/>
  <c r="U31" i="8" s="1"/>
  <c r="X25" i="8"/>
  <c r="X29" i="8"/>
  <c r="V29" i="8"/>
  <c r="D31" i="8"/>
  <c r="J27" i="8"/>
  <c r="J28" i="8"/>
  <c r="V30" i="8"/>
  <c r="N29" i="8"/>
  <c r="D29" i="8"/>
  <c r="U29" i="8" l="1"/>
  <c r="S29" i="8"/>
  <c r="D26" i="8"/>
  <c r="AE26" i="8" s="1"/>
  <c r="N32" i="8"/>
  <c r="O29" i="8"/>
  <c r="O32" i="8" s="1"/>
  <c r="U30" i="8"/>
  <c r="S30" i="8"/>
  <c r="AD26" i="8" l="1"/>
  <c r="Z26" i="8"/>
  <c r="AF26" i="8"/>
  <c r="AB26" i="8"/>
  <c r="Y26" i="8"/>
  <c r="W26" i="8"/>
  <c r="AC26" i="8"/>
  <c r="AA26" i="8"/>
  <c r="X26" i="8"/>
  <c r="V26" i="8" l="1"/>
  <c r="C7" i="7" l="1"/>
  <c r="B7" i="7"/>
  <c r="L31" i="5"/>
  <c r="L29" i="5"/>
  <c r="D27" i="5" l="1"/>
  <c r="L30" i="5"/>
  <c r="L25" i="5"/>
  <c r="AC7" i="5" l="1"/>
  <c r="AC5" i="5"/>
  <c r="AE8" i="5"/>
  <c r="AD8" i="5"/>
  <c r="AC8" i="5"/>
  <c r="AB8" i="5"/>
  <c r="Z8" i="5"/>
  <c r="Y8" i="5"/>
  <c r="AA8" i="5"/>
  <c r="X8" i="5"/>
  <c r="W8" i="5"/>
  <c r="AC23" i="5"/>
  <c r="AC21" i="5"/>
  <c r="AE23" i="5"/>
  <c r="AD23" i="5"/>
  <c r="Z23" i="5"/>
  <c r="W23" i="5"/>
  <c r="AB23" i="5"/>
  <c r="AA23" i="5"/>
  <c r="Y23" i="5"/>
  <c r="X23" i="5"/>
  <c r="AC17" i="5"/>
  <c r="AC14" i="5"/>
  <c r="AF31" i="5"/>
  <c r="M31" i="5"/>
  <c r="H31" i="5"/>
  <c r="AF30" i="5"/>
  <c r="M30" i="5"/>
  <c r="H30" i="5"/>
  <c r="AF29" i="5"/>
  <c r="M29" i="5"/>
  <c r="H29" i="5"/>
  <c r="G29" i="5"/>
  <c r="AF25" i="5"/>
  <c r="M25" i="5"/>
  <c r="H25" i="5"/>
  <c r="AE24" i="5"/>
  <c r="AD24" i="5"/>
  <c r="Z24" i="5"/>
  <c r="W24" i="5"/>
  <c r="AB24" i="5"/>
  <c r="AA24" i="5"/>
  <c r="Y24" i="5"/>
  <c r="X24" i="5"/>
  <c r="AE22" i="5"/>
  <c r="AD22" i="5"/>
  <c r="AC22" i="5"/>
  <c r="AA22" i="5"/>
  <c r="Z22" i="5"/>
  <c r="Y22" i="5"/>
  <c r="AB22" i="5"/>
  <c r="X22" i="5"/>
  <c r="W22" i="5"/>
  <c r="AE21" i="5"/>
  <c r="AD21" i="5"/>
  <c r="AA21" i="5"/>
  <c r="Z21" i="5"/>
  <c r="W21" i="5"/>
  <c r="AB21" i="5"/>
  <c r="Y21" i="5"/>
  <c r="X21" i="5"/>
  <c r="AE20" i="5"/>
  <c r="AD20" i="5"/>
  <c r="AC20" i="5"/>
  <c r="AA20" i="5"/>
  <c r="Z20" i="5"/>
  <c r="AB20" i="5"/>
  <c r="Y20" i="5"/>
  <c r="X20" i="5"/>
  <c r="AE19" i="5"/>
  <c r="AD19" i="5"/>
  <c r="AC19" i="5"/>
  <c r="AA19" i="5"/>
  <c r="Z19" i="5"/>
  <c r="W19" i="5"/>
  <c r="AB19" i="5"/>
  <c r="X19" i="5"/>
  <c r="AE18" i="5"/>
  <c r="AD18" i="5"/>
  <c r="AC18" i="5"/>
  <c r="AA18" i="5"/>
  <c r="Z18" i="5"/>
  <c r="Y18" i="5"/>
  <c r="X18" i="5"/>
  <c r="W18" i="5"/>
  <c r="AB18" i="5"/>
  <c r="AE17" i="5"/>
  <c r="AD17" i="5"/>
  <c r="AA17" i="5"/>
  <c r="Z17" i="5"/>
  <c r="Y17" i="5"/>
  <c r="W17" i="5"/>
  <c r="AB17" i="5"/>
  <c r="X17" i="5"/>
  <c r="AE16" i="5"/>
  <c r="AD16" i="5"/>
  <c r="AC16" i="5"/>
  <c r="AA16" i="5"/>
  <c r="Z16" i="5"/>
  <c r="Y16" i="5"/>
  <c r="W16" i="5"/>
  <c r="AB16" i="5"/>
  <c r="X16" i="5"/>
  <c r="AE15" i="5"/>
  <c r="AD15" i="5"/>
  <c r="AC15" i="5"/>
  <c r="Z15" i="5"/>
  <c r="Y15" i="5"/>
  <c r="AB15" i="5"/>
  <c r="AA15" i="5"/>
  <c r="X15" i="5"/>
  <c r="W15" i="5"/>
  <c r="AE14" i="5"/>
  <c r="AD14" i="5"/>
  <c r="AA14" i="5"/>
  <c r="Z14" i="5"/>
  <c r="W14" i="5"/>
  <c r="AB14" i="5"/>
  <c r="X14" i="5"/>
  <c r="AE13" i="5"/>
  <c r="AD13" i="5"/>
  <c r="AC13" i="5"/>
  <c r="AA13" i="5"/>
  <c r="Z13" i="5"/>
  <c r="Y13" i="5"/>
  <c r="X13" i="5"/>
  <c r="W13" i="5"/>
  <c r="AB13" i="5"/>
  <c r="AE12" i="5"/>
  <c r="AD12" i="5"/>
  <c r="AA12" i="5"/>
  <c r="Z12" i="5"/>
  <c r="Y12" i="5"/>
  <c r="W12" i="5"/>
  <c r="AB12" i="5"/>
  <c r="X12" i="5"/>
  <c r="AE11" i="5"/>
  <c r="AD11" i="5"/>
  <c r="AC11" i="5"/>
  <c r="AA11" i="5"/>
  <c r="Z11" i="5"/>
  <c r="Y11" i="5"/>
  <c r="X11" i="5"/>
  <c r="AB11" i="5"/>
  <c r="W11" i="5"/>
  <c r="AE10" i="5"/>
  <c r="AD10" i="5"/>
  <c r="AC10" i="5"/>
  <c r="AA10" i="5"/>
  <c r="Z10" i="5"/>
  <c r="Y10" i="5"/>
  <c r="AB10" i="5"/>
  <c r="W10" i="5"/>
  <c r="AE9" i="5"/>
  <c r="AD9" i="5"/>
  <c r="AC9" i="5"/>
  <c r="AB9" i="5"/>
  <c r="Z9" i="5"/>
  <c r="Y9" i="5"/>
  <c r="AA9" i="5"/>
  <c r="W9" i="5"/>
  <c r="AE7" i="5"/>
  <c r="AD7" i="5"/>
  <c r="AB7" i="5"/>
  <c r="Z7" i="5"/>
  <c r="Y7" i="5"/>
  <c r="X7" i="5"/>
  <c r="W7" i="5"/>
  <c r="AA7" i="5"/>
  <c r="AE6" i="5"/>
  <c r="AD6" i="5"/>
  <c r="AC6" i="5"/>
  <c r="Z6" i="5"/>
  <c r="Y6" i="5"/>
  <c r="W6" i="5"/>
  <c r="AB6" i="5"/>
  <c r="X6" i="5"/>
  <c r="AE5" i="5"/>
  <c r="AD5" i="5"/>
  <c r="Z5" i="5"/>
  <c r="Y5" i="5"/>
  <c r="W5" i="5"/>
  <c r="AB5" i="5"/>
  <c r="AA5" i="5"/>
  <c r="X5" i="5"/>
  <c r="AE4" i="5"/>
  <c r="AD4" i="5"/>
  <c r="AC4" i="5"/>
  <c r="AA4" i="5"/>
  <c r="Z4" i="5"/>
  <c r="Y4" i="5"/>
  <c r="X4" i="5"/>
  <c r="W4" i="5"/>
  <c r="AE3" i="5"/>
  <c r="AD3" i="5"/>
  <c r="AB3" i="5"/>
  <c r="AA3" i="5"/>
  <c r="Z3" i="5"/>
  <c r="Y3" i="5"/>
  <c r="X3" i="5"/>
  <c r="W3" i="5"/>
  <c r="I7" i="3"/>
  <c r="G18" i="4"/>
  <c r="F18" i="4"/>
  <c r="F14" i="4"/>
  <c r="F3" i="4"/>
  <c r="F13" i="4"/>
  <c r="G22" i="4"/>
  <c r="C22" i="4" s="1"/>
  <c r="F22" i="4"/>
  <c r="J22" i="4"/>
  <c r="F21" i="4"/>
  <c r="J17" i="4"/>
  <c r="J20" i="4"/>
  <c r="J21" i="4"/>
  <c r="G13" i="4"/>
  <c r="J13" i="4"/>
  <c r="J11" i="4"/>
  <c r="J9" i="4"/>
  <c r="E13" i="4"/>
  <c r="J10" i="4"/>
  <c r="C14" i="4"/>
  <c r="J15" i="4"/>
  <c r="J8" i="4"/>
  <c r="J7" i="4"/>
  <c r="I7" i="4"/>
  <c r="F8" i="4"/>
  <c r="F7" i="4"/>
  <c r="C9" i="4" l="1"/>
  <c r="F25" i="5"/>
  <c r="AE29" i="5"/>
  <c r="G25" i="5"/>
  <c r="E31" i="5"/>
  <c r="Z31" i="5"/>
  <c r="E25" i="5"/>
  <c r="F30" i="5"/>
  <c r="K31" i="5"/>
  <c r="AD29" i="5"/>
  <c r="AA31" i="5"/>
  <c r="J29" i="5"/>
  <c r="AD31" i="5"/>
  <c r="AB30" i="5"/>
  <c r="AE31" i="5"/>
  <c r="AC24" i="5"/>
  <c r="AC31" i="5" s="1"/>
  <c r="AD30" i="5"/>
  <c r="Y29" i="5"/>
  <c r="AB4" i="5"/>
  <c r="AB25" i="5" s="1"/>
  <c r="Z30" i="5"/>
  <c r="G31" i="5"/>
  <c r="AE30" i="5"/>
  <c r="F29" i="5"/>
  <c r="Z29" i="5"/>
  <c r="I29" i="5"/>
  <c r="Y14" i="5"/>
  <c r="Y30" i="5" s="1"/>
  <c r="K30" i="5"/>
  <c r="AC12" i="5"/>
  <c r="AC30" i="5" s="1"/>
  <c r="K25" i="5"/>
  <c r="K29" i="5"/>
  <c r="AC3" i="5"/>
  <c r="X31" i="5"/>
  <c r="AB31" i="5"/>
  <c r="AA30" i="5"/>
  <c r="W30" i="5"/>
  <c r="AA25" i="5"/>
  <c r="Z25" i="5"/>
  <c r="E30" i="5"/>
  <c r="X10" i="5"/>
  <c r="G30" i="5"/>
  <c r="W20" i="5"/>
  <c r="W31" i="5" s="1"/>
  <c r="AD25" i="5"/>
  <c r="I30" i="5"/>
  <c r="X9" i="5"/>
  <c r="X25" i="5" s="1"/>
  <c r="J30" i="5"/>
  <c r="I25" i="5"/>
  <c r="AE25" i="5"/>
  <c r="W29" i="5"/>
  <c r="E29" i="5"/>
  <c r="Y19" i="5"/>
  <c r="Y31" i="5" s="1"/>
  <c r="J25" i="5"/>
  <c r="AA29" i="5"/>
  <c r="F31" i="5"/>
  <c r="I31" i="5"/>
  <c r="J31" i="5"/>
  <c r="C3" i="4"/>
  <c r="C17" i="4"/>
  <c r="D25" i="5" l="1"/>
  <c r="AB29" i="5"/>
  <c r="D29" i="5"/>
  <c r="N31" i="5"/>
  <c r="O31" i="5" s="1"/>
  <c r="W25" i="5"/>
  <c r="D31" i="5"/>
  <c r="X29" i="5"/>
  <c r="Y25" i="5"/>
  <c r="D30" i="5"/>
  <c r="AC25" i="5"/>
  <c r="N29" i="5"/>
  <c r="O29" i="5" s="1"/>
  <c r="AC29" i="5"/>
  <c r="V29" i="5"/>
  <c r="S29" i="5" s="1"/>
  <c r="V31" i="5"/>
  <c r="U31" i="5" s="1"/>
  <c r="X30" i="5"/>
  <c r="V30" i="5"/>
  <c r="N30" i="5"/>
  <c r="O30" i="5" s="1"/>
  <c r="J28" i="5"/>
  <c r="J27" i="5"/>
  <c r="N23" i="4"/>
  <c r="M23" i="4"/>
  <c r="L23" i="4"/>
  <c r="H23" i="4"/>
  <c r="J14" i="3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D26" i="5" l="1"/>
  <c r="AE26" i="5" s="1"/>
  <c r="U29" i="5"/>
  <c r="U30" i="5"/>
  <c r="S30" i="5"/>
  <c r="N32" i="5"/>
  <c r="O32" i="5"/>
  <c r="G23" i="4"/>
  <c r="I23" i="4"/>
  <c r="J23" i="4"/>
  <c r="K23" i="4"/>
  <c r="F23" i="4"/>
  <c r="E23" i="4"/>
  <c r="AD3" i="3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27" i="3"/>
  <c r="AC26" i="5" l="1"/>
  <c r="W26" i="5"/>
  <c r="AF26" i="5"/>
  <c r="Z26" i="5"/>
  <c r="AD26" i="5"/>
  <c r="AB26" i="5"/>
  <c r="AA26" i="5"/>
  <c r="X26" i="5"/>
  <c r="Y26" i="5"/>
  <c r="D23" i="4"/>
  <c r="Y4" i="3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E17" i="3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W7" i="3"/>
  <c r="E8" i="3"/>
  <c r="W8" i="3" s="1"/>
  <c r="AC7" i="3"/>
  <c r="J6" i="3"/>
  <c r="AB6" i="3" s="1"/>
  <c r="I5" i="3"/>
  <c r="F6" i="3"/>
  <c r="X6" i="3" s="1"/>
  <c r="J5" i="3"/>
  <c r="AB5" i="3" s="1"/>
  <c r="F5" i="3"/>
  <c r="E4" i="3"/>
  <c r="J4" i="3"/>
  <c r="AE29" i="3" l="1"/>
  <c r="AC28" i="3"/>
  <c r="AD29" i="3"/>
  <c r="V26" i="5"/>
  <c r="D25" i="3"/>
  <c r="W9" i="3"/>
  <c r="W28" i="3" s="1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Z28" i="3"/>
  <c r="W4" i="3"/>
  <c r="Z23" i="3"/>
  <c r="AD23" i="3"/>
  <c r="AE23" i="3"/>
  <c r="G23" i="3"/>
  <c r="I23" i="3"/>
  <c r="K23" i="3"/>
  <c r="E23" i="3"/>
  <c r="J23" i="3"/>
  <c r="F23" i="3"/>
  <c r="D29" i="3" l="1"/>
  <c r="D27" i="3"/>
  <c r="D28" i="3"/>
  <c r="J26" i="3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<sst xmlns="http://schemas.openxmlformats.org/spreadsheetml/2006/main" count="410" uniqueCount="101">
  <si>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</si>
  <si>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</si>
  <si>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</si>
  <si>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</si>
  <si>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</si>
  <si>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</si>
  <si>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</si>
  <si>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</si>
  <si>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</si>
  <si>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</si>
  <si>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</si>
  <si>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</si>
  <si>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</si>
  <si>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</si>
  <si>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</si>
  <si>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</si>
  <si>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</si>
  <si>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</si>
  <si>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</si>
  <si>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</si>
  <si>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</si>
  <si>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</si>
  <si>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</si>
  <si>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</si>
  <si>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</si>
  <si>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</si>
  <si>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</si>
  <si>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</si>
  <si>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</si>
  <si>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</si>
  <si>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</si>
  <si>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</si>
  <si>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</si>
  <si>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</si>
  <si>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</si>
  <si>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</si>
  <si>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</si>
  <si>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</si>
  <si>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</si>
  <si>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</si>
  <si>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</si>
  <si>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</si>
  <si>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</si>
  <si>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</si>
  <si>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</si>
  <si>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</si>
  <si>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</si>
  <si>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</si>
  <si>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</si>
  <si>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</si>
  <si>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</si>
  <si>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</si>
  <si>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</si>
  <si>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</si>
  <si>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</si>
  <si>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</si>
  <si>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</si>
  <si>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</si>
  <si>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</si>
  <si>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</si>
  <si>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</si>
  <si>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</si>
  <si>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</si>
  <si>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</si>
  <si>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</si>
  <si>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</si>
  <si>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</si>
  <si>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</si>
  <si>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</si>
  <si>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</si>
  <si>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</si>
  <si>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</si>
  <si>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</si>
  <si>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</si>
  <si>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</si>
  <si>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</si>
  <si>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</si>
  <si>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</si>
  <si>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</si>
  <si>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</si>
  <si>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</si>
  <si>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</si>
  <si>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</si>
  <si>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</si>
  <si>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</si>
  <si>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ramp rate (min-1)</t>
  </si>
  <si>
    <t>diesel</t>
  </si>
  <si>
    <t>Kalimantan Barat</t>
  </si>
  <si>
    <t>Kalimantan Tengah</t>
  </si>
  <si>
    <t>Kalimantan Selatan</t>
  </si>
  <si>
    <t>Kalimantan Timur</t>
  </si>
  <si>
    <t>Kalimantan Utara</t>
  </si>
  <si>
    <t>potential (GWp)</t>
  </si>
  <si>
    <t>N2</t>
  </si>
  <si>
    <t>W7</t>
  </si>
  <si>
    <t>Scenario</t>
  </si>
  <si>
    <t>square-grid</t>
  </si>
  <si>
    <t>onshore potential (GWp)</t>
  </si>
  <si>
    <t>offshore potential (GWp)</t>
  </si>
  <si>
    <t>wind_off</t>
  </si>
  <si>
    <t>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</si>
</sst>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C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" fontId="0" fillId="4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10" borderId="1" xfId="0" applyNumberFormat="1" applyFill="1" applyBorder="1"/>
    <xf numFmtId="4" fontId="0" fillId="7" borderId="1" xfId="0" applyNumberFormat="1" applyFill="1" applyBorder="1"/>
    <xf numFmtId="4" fontId="0" fillId="8" borderId="1" xfId="0" applyNumberFormat="1" applyFill="1" applyBorder="1"/>
    <xf numFmtId="4" fontId="0" fillId="9" borderId="1" xfId="0" applyNumberFormat="1" applyFill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" fontId="0" fillId="0" borderId="0" xfId="0" applyNumberFormat="1" applyFill="1"/>
    <xf numFmtId="0" fontId="0" fillId="0" borderId="2" xfId="0" applyFill="1" applyBorder="1"/>
    <xf numFmtId="4" fontId="0" fillId="0" borderId="2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4" borderId="0" xfId="0" applyNumberFormat="1" applyFill="1" applyBorder="1"/>
    <xf numFmtId="0" fontId="3" fillId="11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2" borderId="1" xfId="0" applyFill="1" applyBorder="1" applyAlignment="1">
      <alignment horizontal="center"/>
    </xf>
    <xf numFmtId="4" fontId="0" fillId="12" borderId="1" xfId="0" applyNumberFormat="1" applyFill="1" applyBorder="1"/>
    <xf numFmtId="4" fontId="1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4" fontId="0" fillId="13" borderId="1" xfId="0" applyNumberFormat="1" applyFill="1" applyBorder="1"/>
    <xf numFmtId="43" fontId="0" fillId="0" borderId="0" xfId="0" applyNumberFormat="1"/>
    <xf numFmtId="0" fontId="4" fillId="9" borderId="1" xfId="0" applyFont="1" applyFill="1" applyBorder="1" applyAlignment="1">
      <alignment horizontal="center"/>
    </xf>
    <xf numFmtId="4" fontId="4" fillId="9" borderId="1" xfId="0" applyNumberFormat="1" applyFont="1" applyFill="1" applyBorder="1"/>
    <xf numFmtId="1" fontId="0" fillId="0" borderId="0" xfId="0" applyNumberFormat="1" applyFill="1"/>
    <xf numFmtId="43" fontId="0" fillId="0" borderId="0" xfId="1" applyFont="1" applyFill="1"/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B3FF"/>
      <color rgb="FFE4C9FF"/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178592</xdr:rowOff>
    </xdr:from>
    <xdr:to>
      <xdr:col>32</xdr:col>
      <xdr:colOff>603502</xdr:colOff>
      <xdr:row>56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CC0FC-A504-4E98-8B84-E8C58422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64992"/>
          <a:ext cx="9555097" cy="423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178592</xdr:rowOff>
    </xdr:from>
    <xdr:to>
      <xdr:col>32</xdr:col>
      <xdr:colOff>603502</xdr:colOff>
      <xdr:row>56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92FAF-39B0-409A-BB71-2B90C75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30752"/>
          <a:ext cx="9557002" cy="4230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_2050"/>
    </sheetNames>
    <sheetDataSet>
      <sheetData sheetId="0">
        <row r="2">
          <cell r="F2">
            <v>0.41199999999999998</v>
          </cell>
        </row>
        <row r="5">
          <cell r="F5">
            <v>55</v>
          </cell>
        </row>
        <row r="6">
          <cell r="F6">
            <v>55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2">
          <cell r="F22">
            <v>45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3">
          <cell r="F33">
            <v>1.0840000000000001</v>
          </cell>
        </row>
        <row r="34">
          <cell r="F34">
            <v>1.5</v>
          </cell>
        </row>
        <row r="35">
          <cell r="F35">
            <v>0.44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5">
          <cell r="F45">
            <v>14.798999999999999</v>
          </cell>
        </row>
        <row r="49">
          <cell r="F49">
            <v>0.28000000000000003</v>
          </cell>
        </row>
        <row r="51">
          <cell r="F51">
            <v>0.36799999999999999</v>
          </cell>
        </row>
        <row r="52">
          <cell r="F52">
            <v>0.82299999999999995</v>
          </cell>
        </row>
        <row r="53">
          <cell r="F53">
            <v>0.04</v>
          </cell>
        </row>
        <row r="55">
          <cell r="F55">
            <v>1.1200000000000001</v>
          </cell>
        </row>
        <row r="56">
          <cell r="F56">
            <v>3.0089999999999999</v>
          </cell>
        </row>
        <row r="57">
          <cell r="F57">
            <v>1.5740000000000001</v>
          </cell>
        </row>
        <row r="58">
          <cell r="F58">
            <v>0.23599999999999999</v>
          </cell>
        </row>
        <row r="59">
          <cell r="F59">
            <v>2.7549999999999999</v>
          </cell>
        </row>
        <row r="60">
          <cell r="F60">
            <v>1.4379999999999999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4">
          <cell r="F64">
            <v>5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2">
          <cell r="F72">
            <v>1.35</v>
          </cell>
        </row>
        <row r="73">
          <cell r="F73">
            <v>1.05</v>
          </cell>
        </row>
        <row r="74">
          <cell r="F74">
            <v>0.246</v>
          </cell>
        </row>
        <row r="76">
          <cell r="F76">
            <v>0.69499999999999995</v>
          </cell>
        </row>
        <row r="77">
          <cell r="F77">
            <v>4.6900000000000004</v>
          </cell>
        </row>
        <row r="78">
          <cell r="F78">
            <v>2</v>
          </cell>
        </row>
        <row r="80">
          <cell r="F80">
            <v>8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2">
          <cell r="F102">
            <v>1.0289999999999999</v>
          </cell>
        </row>
        <row r="103">
          <cell r="F103">
            <v>0.33700000000000002</v>
          </cell>
        </row>
        <row r="109">
          <cell r="F109">
            <v>0.2</v>
          </cell>
        </row>
        <row r="111">
          <cell r="F111">
            <v>0.32</v>
          </cell>
        </row>
        <row r="112">
          <cell r="F112">
            <v>0.16200000000000001</v>
          </cell>
        </row>
        <row r="116">
          <cell r="F116">
            <v>0.156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1">
          <cell r="F121">
            <v>0.216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8">
          <cell r="F128">
            <v>1.8959999999999999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sheetPr codeName="Sheet1"/>
  <dimension ref="A1:N22"/>
  <sheetViews>
    <sheetView workbookViewId="0">
      <selection activeCell="F7" sqref="F7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8" width="8.44140625" customWidth="1"/>
  </cols>
  <sheetData>
    <row r="1" spans="1:14" ht="43.2" x14ac:dyDescent="0.3">
      <c r="A1" s="32" t="s">
        <v>58</v>
      </c>
      <c r="B1" s="32" t="s">
        <v>1</v>
      </c>
      <c r="C1" s="33" t="s">
        <v>83</v>
      </c>
      <c r="D1" s="33" t="s">
        <v>79</v>
      </c>
      <c r="E1" s="33" t="s">
        <v>80</v>
      </c>
      <c r="F1" s="33" t="s">
        <v>60</v>
      </c>
      <c r="G1" s="33" t="s">
        <v>65</v>
      </c>
      <c r="H1" s="33" t="s">
        <v>85</v>
      </c>
      <c r="I1" s="22"/>
      <c r="J1" s="22"/>
      <c r="K1" s="22"/>
      <c r="L1" s="22"/>
      <c r="M1" s="22"/>
      <c r="N1" s="22"/>
    </row>
    <row r="2" spans="1:14" x14ac:dyDescent="0.3">
      <c r="A2" s="22"/>
      <c r="B2" s="31" t="s">
        <v>4</v>
      </c>
      <c r="C2" s="34">
        <v>2.5</v>
      </c>
      <c r="D2" s="34">
        <v>3</v>
      </c>
      <c r="E2" s="34">
        <v>48</v>
      </c>
      <c r="F2" s="58">
        <v>25</v>
      </c>
      <c r="G2" s="22">
        <f>0.5*1000</f>
        <v>500</v>
      </c>
      <c r="H2" s="34">
        <v>0.04</v>
      </c>
      <c r="I2" s="22"/>
      <c r="J2" s="22"/>
      <c r="K2" s="22"/>
      <c r="L2" s="22"/>
      <c r="M2" s="22"/>
      <c r="N2" s="22"/>
    </row>
    <row r="3" spans="1:14" x14ac:dyDescent="0.3">
      <c r="A3" s="22"/>
      <c r="B3" s="31" t="s">
        <v>3</v>
      </c>
      <c r="C3" s="34">
        <v>1.65</v>
      </c>
      <c r="D3" s="34">
        <v>0.13</v>
      </c>
      <c r="E3" s="34">
        <v>45</v>
      </c>
      <c r="F3" s="58">
        <v>30</v>
      </c>
      <c r="G3" s="22">
        <v>849</v>
      </c>
      <c r="H3" s="34">
        <v>0.01</v>
      </c>
      <c r="I3" s="22"/>
      <c r="J3" s="22"/>
      <c r="K3" s="22"/>
      <c r="L3" s="22"/>
      <c r="M3" s="22"/>
      <c r="N3" s="22"/>
    </row>
    <row r="4" spans="1:14" x14ac:dyDescent="0.3">
      <c r="A4" s="22"/>
      <c r="B4" s="31" t="s">
        <v>5</v>
      </c>
      <c r="C4" s="34">
        <v>0.75</v>
      </c>
      <c r="D4" s="34">
        <v>2.5</v>
      </c>
      <c r="E4" s="34">
        <v>23</v>
      </c>
      <c r="F4" s="58">
        <v>25</v>
      </c>
      <c r="G4" s="22">
        <v>433</v>
      </c>
      <c r="H4" s="34">
        <v>0.12</v>
      </c>
      <c r="I4" s="22"/>
      <c r="J4" s="22"/>
      <c r="K4" s="22"/>
      <c r="L4" s="22"/>
      <c r="M4" s="22"/>
      <c r="N4" s="22"/>
    </row>
    <row r="5" spans="1:14" x14ac:dyDescent="0.3">
      <c r="A5" s="22"/>
      <c r="B5" s="31" t="s">
        <v>10</v>
      </c>
      <c r="C5" s="34">
        <v>4.5</v>
      </c>
      <c r="D5" s="34">
        <v>0.37</v>
      </c>
      <c r="E5" s="34">
        <v>20</v>
      </c>
      <c r="F5" s="58">
        <v>30</v>
      </c>
      <c r="G5" s="22">
        <v>38</v>
      </c>
      <c r="H5" s="34">
        <v>0.2</v>
      </c>
      <c r="I5" s="22"/>
      <c r="J5" s="22"/>
      <c r="K5" s="22"/>
      <c r="L5" s="22"/>
      <c r="M5" s="22"/>
      <c r="N5" s="22"/>
    </row>
    <row r="6" spans="1:14" x14ac:dyDescent="0.3">
      <c r="A6" s="22"/>
      <c r="B6" s="31" t="s">
        <v>6</v>
      </c>
      <c r="C6" s="34">
        <v>1.9</v>
      </c>
      <c r="D6" s="34">
        <v>0.5</v>
      </c>
      <c r="E6" s="34">
        <v>53</v>
      </c>
      <c r="F6" s="58">
        <v>50</v>
      </c>
      <c r="G6" s="22">
        <v>6</v>
      </c>
      <c r="H6" s="34">
        <v>0.3</v>
      </c>
      <c r="I6" s="22"/>
      <c r="J6" s="22"/>
      <c r="K6" s="22"/>
      <c r="L6" s="22"/>
      <c r="M6" s="22"/>
      <c r="N6" s="22"/>
    </row>
    <row r="7" spans="1:14" x14ac:dyDescent="0.3">
      <c r="A7" s="22"/>
      <c r="B7" s="31" t="s">
        <v>7</v>
      </c>
      <c r="C7" s="34">
        <v>1</v>
      </c>
      <c r="D7" s="34">
        <v>2.4</v>
      </c>
      <c r="E7" s="34">
        <f>0.02*1000</f>
        <v>20</v>
      </c>
      <c r="F7" s="58">
        <v>25</v>
      </c>
      <c r="G7" s="22">
        <v>600</v>
      </c>
      <c r="H7" s="34">
        <v>0.04</v>
      </c>
      <c r="I7" s="22"/>
      <c r="J7" s="22"/>
      <c r="K7" s="22"/>
      <c r="L7" s="22"/>
      <c r="M7" s="22"/>
      <c r="N7" s="22"/>
    </row>
    <row r="8" spans="1:14" x14ac:dyDescent="0.3">
      <c r="A8" s="22"/>
      <c r="B8" s="31" t="s">
        <v>8</v>
      </c>
      <c r="C8" s="34">
        <v>0.7</v>
      </c>
      <c r="D8" s="34">
        <v>0</v>
      </c>
      <c r="E8" s="34">
        <v>15</v>
      </c>
      <c r="F8" s="58">
        <v>25</v>
      </c>
      <c r="G8" s="22">
        <v>7</v>
      </c>
      <c r="H8" s="22"/>
      <c r="I8" s="22"/>
      <c r="J8" s="22"/>
      <c r="K8" s="22"/>
      <c r="L8" s="22"/>
      <c r="M8" s="22"/>
      <c r="N8" s="22"/>
    </row>
    <row r="9" spans="1:14" x14ac:dyDescent="0.3">
      <c r="A9" s="22"/>
      <c r="B9" s="31" t="s">
        <v>11</v>
      </c>
      <c r="C9" s="34"/>
      <c r="D9" s="34"/>
      <c r="E9" s="34"/>
      <c r="F9" s="58"/>
      <c r="G9" s="22"/>
      <c r="H9" s="22"/>
      <c r="I9" s="22"/>
      <c r="J9" s="22"/>
      <c r="K9" s="22"/>
      <c r="L9" s="22"/>
      <c r="M9" s="22"/>
      <c r="N9" s="22"/>
    </row>
    <row r="10" spans="1:14" x14ac:dyDescent="0.3">
      <c r="A10" s="22"/>
      <c r="B10" s="31" t="s">
        <v>62</v>
      </c>
      <c r="C10" s="34">
        <v>1.88</v>
      </c>
      <c r="D10" s="34">
        <v>0</v>
      </c>
      <c r="E10" s="34">
        <v>60</v>
      </c>
      <c r="F10" s="58">
        <v>27</v>
      </c>
      <c r="G10" s="22">
        <v>8</v>
      </c>
      <c r="H10" s="22"/>
      <c r="I10" s="22"/>
      <c r="J10" s="22"/>
      <c r="K10" s="22"/>
      <c r="L10" s="22"/>
      <c r="M10" s="22"/>
      <c r="N10" s="22"/>
    </row>
    <row r="11" spans="1:14" x14ac:dyDescent="0.3">
      <c r="A11" s="22"/>
      <c r="B11" s="35" t="s">
        <v>63</v>
      </c>
      <c r="C11" s="34">
        <v>4</v>
      </c>
      <c r="D11" s="34">
        <v>0</v>
      </c>
      <c r="E11" s="34">
        <v>124</v>
      </c>
      <c r="F11" s="58">
        <v>27</v>
      </c>
      <c r="G11" s="22">
        <v>12</v>
      </c>
      <c r="H11" s="22"/>
      <c r="I11" s="22"/>
      <c r="J11" s="22"/>
      <c r="K11" s="22"/>
      <c r="L11" s="22"/>
      <c r="M11" s="22"/>
      <c r="N11" s="22"/>
    </row>
    <row r="12" spans="1:14" x14ac:dyDescent="0.3">
      <c r="A12" s="22"/>
      <c r="B12" s="22"/>
      <c r="C12" s="22"/>
      <c r="D12" s="22"/>
      <c r="E12" s="22"/>
      <c r="F12" s="58"/>
      <c r="G12" s="22"/>
      <c r="H12" s="22"/>
      <c r="I12" s="22"/>
      <c r="J12" s="22"/>
      <c r="K12" s="22"/>
      <c r="L12" s="22"/>
      <c r="M12" s="22"/>
      <c r="N12" s="22"/>
    </row>
    <row r="13" spans="1:14" x14ac:dyDescent="0.3">
      <c r="A13" s="32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 x14ac:dyDescent="0.3">
      <c r="A14" s="22" t="s">
        <v>61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4" x14ac:dyDescent="0.3">
      <c r="A15" s="22" t="s">
        <v>64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3">
      <c r="A16" s="22" t="s">
        <v>66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 spans="1:14" x14ac:dyDescent="0.3">
      <c r="A17" s="22" t="s">
        <v>81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4" x14ac:dyDescent="0.3">
      <c r="A18" s="22" t="s">
        <v>82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3">
      <c r="A19" s="22" t="s">
        <v>84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3">
      <c r="A20" s="22" t="s">
        <v>100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sheetPr codeName="Sheet2"/>
  <dimension ref="A1:BA5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K7" sqref="K7"/>
    </sheetView>
  </sheetViews>
  <sheetFormatPr defaultRowHeight="14.4" x14ac:dyDescent="0.3"/>
  <cols>
    <col min="3" max="3" width="9.109375" style="22" customWidth="1"/>
    <col min="4" max="4" width="9.88671875" style="1" bestFit="1" customWidth="1"/>
    <col min="5" max="12" width="8.88671875" style="22" customWidth="1"/>
    <col min="13" max="13" width="8.88671875" style="22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1">
        <v>2021</v>
      </c>
      <c r="D1" s="61"/>
      <c r="E1" s="62" t="s">
        <v>12</v>
      </c>
      <c r="F1" s="62"/>
      <c r="G1" s="62"/>
      <c r="H1" s="62"/>
      <c r="I1" s="62"/>
      <c r="J1" s="62"/>
      <c r="K1" s="62"/>
      <c r="L1" s="62"/>
      <c r="M1" s="62"/>
      <c r="N1" s="60" t="s">
        <v>75</v>
      </c>
      <c r="O1" s="60"/>
      <c r="P1" s="60"/>
      <c r="Q1" s="60"/>
      <c r="R1" s="60"/>
      <c r="S1" s="60"/>
      <c r="T1" s="60"/>
      <c r="U1" s="60"/>
      <c r="V1" s="60"/>
      <c r="W1" s="63" t="s">
        <v>14</v>
      </c>
      <c r="X1" s="63"/>
      <c r="Y1" s="63"/>
      <c r="Z1" s="63"/>
      <c r="AA1" s="63"/>
      <c r="AB1" s="63"/>
      <c r="AC1" s="63"/>
      <c r="AD1" s="63"/>
      <c r="AE1" s="63"/>
      <c r="AF1" s="30"/>
      <c r="AG1" s="60" t="s">
        <v>13</v>
      </c>
      <c r="AH1" s="60"/>
      <c r="AI1" s="60"/>
      <c r="AJ1" s="60"/>
      <c r="AK1" s="60"/>
      <c r="AL1" s="60"/>
      <c r="AM1" s="60"/>
      <c r="AN1" s="60"/>
      <c r="AO1" s="60"/>
      <c r="AP1" s="60" t="s">
        <v>67</v>
      </c>
      <c r="AQ1" s="60"/>
      <c r="AR1" s="60"/>
      <c r="AS1" s="60"/>
      <c r="AT1" s="60"/>
      <c r="AU1" s="60"/>
      <c r="AV1" s="60"/>
      <c r="AW1" s="60"/>
      <c r="AX1" s="60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10" t="s">
        <v>11</v>
      </c>
      <c r="M2" s="11" t="s">
        <v>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0</v>
      </c>
      <c r="F3" s="13">
        <v>250</v>
      </c>
      <c r="G3" s="14">
        <v>0</v>
      </c>
      <c r="H3" s="15">
        <v>0</v>
      </c>
      <c r="I3" s="16">
        <v>0</v>
      </c>
      <c r="J3" s="17">
        <v>24.556999999999999</v>
      </c>
      <c r="K3" s="18">
        <v>0.08</v>
      </c>
      <c r="L3" s="19">
        <v>0</v>
      </c>
      <c r="M3" s="20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E3" si="0">E3*N3</f>
        <v>0</v>
      </c>
      <c r="X3" s="13">
        <f t="shared" si="0"/>
        <v>117.5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1.71899</v>
      </c>
      <c r="AC3" s="18">
        <f t="shared" si="0"/>
        <v>0.08</v>
      </c>
      <c r="AD3" s="19">
        <f t="shared" si="0"/>
        <v>0</v>
      </c>
      <c r="AE3" s="20">
        <f t="shared" si="0"/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</f>
        <v>10</v>
      </c>
      <c r="F4" s="13">
        <v>0</v>
      </c>
      <c r="G4" s="14">
        <v>0</v>
      </c>
      <c r="H4" s="15">
        <v>0</v>
      </c>
      <c r="I4" s="16">
        <v>0</v>
      </c>
      <c r="J4" s="17">
        <f>[1]data!$F$11+[1]data!$F$12+[1]data!$F$13+[1]data!$F$14+[1]data!$F$15</f>
        <v>134.64500000000001</v>
      </c>
      <c r="K4" s="18">
        <v>0</v>
      </c>
      <c r="L4" s="19">
        <v>0</v>
      </c>
      <c r="M4" s="20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ref="W4:W22" si="1">E4*N4</f>
        <v>3</v>
      </c>
      <c r="X4" s="13">
        <f t="shared" ref="X4:X22" si="2">F4*O4</f>
        <v>0</v>
      </c>
      <c r="Y4" s="14">
        <f t="shared" ref="Y4:Y22" si="3">G4*P4</f>
        <v>0</v>
      </c>
      <c r="Z4" s="15">
        <f t="shared" ref="Z4:Z22" si="4">H4*Q4</f>
        <v>0</v>
      </c>
      <c r="AA4" s="16">
        <f t="shared" ref="AA4:AA22" si="5">I4*R4</f>
        <v>0</v>
      </c>
      <c r="AB4" s="17">
        <f t="shared" ref="AB4:AB22" si="6">J4*S4</f>
        <v>9.4251500000000021</v>
      </c>
      <c r="AC4" s="18">
        <f t="shared" ref="AC4:AC22" si="7">K4*T4</f>
        <v>0</v>
      </c>
      <c r="AD4" s="19">
        <f t="shared" ref="AD4:AD22" si="8">L4*U4</f>
        <v>0</v>
      </c>
      <c r="AE4" s="20">
        <f t="shared" ref="AE4:AE22" si="9">M4*V4</f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</f>
        <v>110</v>
      </c>
      <c r="G5" s="14">
        <v>0</v>
      </c>
      <c r="H5" s="15">
        <v>0</v>
      </c>
      <c r="I5" s="16">
        <f>[1]data!$F$31+[1]data!$F$32+[1]data!$F$34+[1]data!$F$55+[1]data!$F$111</f>
        <v>3.9650000000000003</v>
      </c>
      <c r="J5" s="17">
        <f>[1]data!$F$10+[1]data!$F$17+[1]data!$F$27+[1]data!$F$28+[1]data!$F$30+[1]data!$F$37+[1]data!$F$38</f>
        <v>7.6409999999999991</v>
      </c>
      <c r="K5" s="18">
        <v>0.04</v>
      </c>
      <c r="L5" s="19">
        <v>0</v>
      </c>
      <c r="M5" s="20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1"/>
        <v>0</v>
      </c>
      <c r="X5" s="13">
        <f t="shared" si="2"/>
        <v>51.699999999999996</v>
      </c>
      <c r="Y5" s="14">
        <f t="shared" si="3"/>
        <v>0</v>
      </c>
      <c r="Z5" s="15">
        <f t="shared" si="4"/>
        <v>0</v>
      </c>
      <c r="AA5" s="16">
        <f t="shared" si="5"/>
        <v>2.5772500000000003</v>
      </c>
      <c r="AB5" s="17">
        <f t="shared" si="6"/>
        <v>0.53486999999999996</v>
      </c>
      <c r="AC5" s="18">
        <f t="shared" si="7"/>
        <v>0.04</v>
      </c>
      <c r="AD5" s="19">
        <f t="shared" si="8"/>
        <v>0</v>
      </c>
      <c r="AE5" s="20">
        <f t="shared" si="9"/>
        <v>0</v>
      </c>
      <c r="AF5" s="43">
        <v>170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</f>
        <v>27</v>
      </c>
      <c r="G6" s="14">
        <v>34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v>0.06</v>
      </c>
      <c r="L6" s="19">
        <v>0</v>
      </c>
      <c r="M6" s="20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1"/>
        <v>1.5</v>
      </c>
      <c r="X6" s="13">
        <f t="shared" si="2"/>
        <v>12.69</v>
      </c>
      <c r="Y6" s="14">
        <f t="shared" si="3"/>
        <v>18.700000000000003</v>
      </c>
      <c r="Z6" s="15">
        <f t="shared" si="4"/>
        <v>0</v>
      </c>
      <c r="AA6" s="16">
        <v>0</v>
      </c>
      <c r="AB6" s="17">
        <f t="shared" si="6"/>
        <v>4.9249200000000002</v>
      </c>
      <c r="AC6" s="18">
        <f t="shared" si="7"/>
        <v>0.06</v>
      </c>
      <c r="AD6" s="19">
        <f t="shared" si="8"/>
        <v>0</v>
      </c>
      <c r="AE6" s="20">
        <f t="shared" si="9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</f>
        <v>3.9650000000000003</v>
      </c>
      <c r="J7" s="17">
        <v>166.49600000000001</v>
      </c>
      <c r="K7" s="18">
        <v>0</v>
      </c>
      <c r="L7" s="19">
        <v>0</v>
      </c>
      <c r="M7" s="20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1"/>
        <v>0</v>
      </c>
      <c r="X7" s="13">
        <f t="shared" si="2"/>
        <v>0</v>
      </c>
      <c r="Y7" s="14">
        <f t="shared" si="3"/>
        <v>0</v>
      </c>
      <c r="Z7" s="15">
        <f t="shared" si="4"/>
        <v>0</v>
      </c>
      <c r="AA7" s="16">
        <f t="shared" si="5"/>
        <v>2.5772500000000003</v>
      </c>
      <c r="AB7" s="17">
        <f t="shared" si="6"/>
        <v>11.654720000000001</v>
      </c>
      <c r="AC7" s="18">
        <f t="shared" si="7"/>
        <v>0</v>
      </c>
      <c r="AD7" s="19">
        <f t="shared" si="8"/>
        <v>0</v>
      </c>
      <c r="AE7" s="20">
        <f t="shared" si="9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</f>
        <v>3.5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v>97.691000000000003</v>
      </c>
      <c r="K8" s="18">
        <v>0</v>
      </c>
      <c r="L8" s="19">
        <v>0</v>
      </c>
      <c r="M8" s="20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1"/>
        <v>1.05</v>
      </c>
      <c r="X8" s="13">
        <f t="shared" si="2"/>
        <v>23.029999999999998</v>
      </c>
      <c r="Y8" s="14">
        <f t="shared" si="3"/>
        <v>0</v>
      </c>
      <c r="Z8" s="15">
        <f t="shared" si="4"/>
        <v>0</v>
      </c>
      <c r="AA8" s="16">
        <f t="shared" si="5"/>
        <v>0.19500000000000003</v>
      </c>
      <c r="AB8" s="17">
        <f t="shared" si="6"/>
        <v>6.8383700000000012</v>
      </c>
      <c r="AC8" s="18">
        <f t="shared" si="7"/>
        <v>0</v>
      </c>
      <c r="AD8" s="19">
        <f t="shared" si="8"/>
        <v>0</v>
      </c>
      <c r="AE8" s="20">
        <f t="shared" si="9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-2.6152000000000002</v>
      </c>
      <c r="B9" s="28">
        <v>111.7037</v>
      </c>
      <c r="C9" s="23" t="s">
        <v>41</v>
      </c>
      <c r="D9" s="21" t="s">
        <v>23</v>
      </c>
      <c r="E9" s="12">
        <f>[1]data!$F$208+[1]data!$F$211</f>
        <v>13</v>
      </c>
      <c r="F9" s="13">
        <f>[1]data!$F$201</f>
        <v>0</v>
      </c>
      <c r="G9" s="14">
        <v>0</v>
      </c>
      <c r="H9" s="15">
        <v>0</v>
      </c>
      <c r="I9" s="16">
        <v>0</v>
      </c>
      <c r="J9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</f>
        <v>79.385999999999996</v>
      </c>
      <c r="K9" s="18">
        <v>0</v>
      </c>
      <c r="L9" s="19">
        <v>0</v>
      </c>
      <c r="M9" s="20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1"/>
        <v>3.9</v>
      </c>
      <c r="X9" s="13">
        <f t="shared" si="2"/>
        <v>0</v>
      </c>
      <c r="Y9" s="14">
        <f t="shared" si="3"/>
        <v>0</v>
      </c>
      <c r="Z9" s="15">
        <f t="shared" si="4"/>
        <v>0</v>
      </c>
      <c r="AA9" s="16">
        <f t="shared" si="5"/>
        <v>0</v>
      </c>
      <c r="AB9" s="17">
        <f t="shared" si="6"/>
        <v>5.5570200000000005</v>
      </c>
      <c r="AC9" s="18">
        <f t="shared" si="7"/>
        <v>0</v>
      </c>
      <c r="AD9" s="19">
        <f t="shared" si="8"/>
        <v>0</v>
      </c>
      <c r="AE9" s="20">
        <f t="shared" si="9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-2.6220500000000002</v>
      </c>
      <c r="B10" s="28">
        <v>112.91540000000001</v>
      </c>
      <c r="C10" s="23" t="s">
        <v>42</v>
      </c>
      <c r="D10" s="21" t="s">
        <v>24</v>
      </c>
      <c r="E10" s="12">
        <f>[1]data!$F$217+[1]data!$F$218+[1]data!$F$230</f>
        <v>4.4000000000000004</v>
      </c>
      <c r="F10" s="13">
        <v>0</v>
      </c>
      <c r="G10" s="14">
        <v>0</v>
      </c>
      <c r="H10" s="15">
        <v>0</v>
      </c>
      <c r="I10" s="16">
        <v>0</v>
      </c>
      <c r="J10" s="17">
        <f>[1]data!$F$212+[1]data!$F$213+[1]data!$F$214+[1]data!$F$215+[1]data!$F$216+[1]data!$F$219+[1]data!$F$220+[1]data!$F$221+[1]data!$F$222+[1]data!$F$223+[1]data!$F$224+[1]data!$F$225+[1]data!$F$226+[1]data!$F$227+[1]data!$F$228+[1]data!$F$231+[1]data!$F$232</f>
        <v>17.068000000000001</v>
      </c>
      <c r="K10" s="18">
        <v>0</v>
      </c>
      <c r="L10" s="19">
        <v>0</v>
      </c>
      <c r="M10" s="20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1"/>
        <v>1.32</v>
      </c>
      <c r="X10" s="13">
        <f t="shared" si="2"/>
        <v>0</v>
      </c>
      <c r="Y10" s="14">
        <f t="shared" si="3"/>
        <v>0</v>
      </c>
      <c r="Z10" s="15">
        <f t="shared" si="4"/>
        <v>0</v>
      </c>
      <c r="AA10" s="16">
        <f t="shared" si="5"/>
        <v>0</v>
      </c>
      <c r="AB10" s="17">
        <f t="shared" si="6"/>
        <v>1.1947600000000003</v>
      </c>
      <c r="AC10" s="18">
        <f t="shared" si="7"/>
        <v>0</v>
      </c>
      <c r="AD10" s="19">
        <f t="shared" si="8"/>
        <v>0</v>
      </c>
      <c r="AE10" s="20">
        <f t="shared" si="9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-2.1166</v>
      </c>
      <c r="B11" s="28">
        <v>113.7459333</v>
      </c>
      <c r="C11" s="23" t="s">
        <v>43</v>
      </c>
      <c r="D11" s="21" t="s">
        <v>25</v>
      </c>
      <c r="E11" s="12">
        <v>0</v>
      </c>
      <c r="F11" s="13">
        <f>[1]data!$F$241+[1]data!$F$242</f>
        <v>230.06800000000001</v>
      </c>
      <c r="G11" s="14">
        <v>0</v>
      </c>
      <c r="H11" s="15">
        <v>0</v>
      </c>
      <c r="I11" s="16">
        <v>0</v>
      </c>
      <c r="J11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</f>
        <v>58.905999999999999</v>
      </c>
      <c r="K11" s="18">
        <v>0</v>
      </c>
      <c r="L11" s="19">
        <v>0</v>
      </c>
      <c r="M11" s="20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1"/>
        <v>0</v>
      </c>
      <c r="X11" s="13">
        <f t="shared" si="2"/>
        <v>108.13196000000001</v>
      </c>
      <c r="Y11" s="14">
        <f t="shared" si="3"/>
        <v>0</v>
      </c>
      <c r="Z11" s="15">
        <f t="shared" si="4"/>
        <v>0</v>
      </c>
      <c r="AA11" s="16">
        <f t="shared" si="5"/>
        <v>0</v>
      </c>
      <c r="AB11" s="17">
        <f t="shared" si="6"/>
        <v>4.1234200000000003</v>
      </c>
      <c r="AC11" s="18">
        <f t="shared" si="7"/>
        <v>0</v>
      </c>
      <c r="AD11" s="19">
        <f t="shared" si="8"/>
        <v>0</v>
      </c>
      <c r="AE11" s="20">
        <f t="shared" si="9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-2.8550333330000002</v>
      </c>
      <c r="B12" s="28">
        <v>114.2789667</v>
      </c>
      <c r="C12" s="23" t="s">
        <v>44</v>
      </c>
      <c r="D12" s="21" t="s">
        <v>26</v>
      </c>
      <c r="E12" s="12">
        <v>0</v>
      </c>
      <c r="F12" s="13">
        <f>[1]data!$F$257+[1]data!$F$258</f>
        <v>120</v>
      </c>
      <c r="G12" s="14">
        <v>0</v>
      </c>
      <c r="H12" s="15">
        <v>0</v>
      </c>
      <c r="I12" s="16">
        <v>0</v>
      </c>
      <c r="J12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</f>
        <v>25.499000000000002</v>
      </c>
      <c r="K12" s="18">
        <v>0</v>
      </c>
      <c r="L12" s="19">
        <v>0</v>
      </c>
      <c r="M12" s="20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1"/>
        <v>0</v>
      </c>
      <c r="X12" s="13">
        <f t="shared" si="2"/>
        <v>56.4</v>
      </c>
      <c r="Y12" s="14">
        <f t="shared" si="3"/>
        <v>0</v>
      </c>
      <c r="Z12" s="15">
        <f t="shared" si="4"/>
        <v>0</v>
      </c>
      <c r="AA12" s="16">
        <f t="shared" si="5"/>
        <v>0</v>
      </c>
      <c r="AB12" s="17">
        <f t="shared" si="6"/>
        <v>1.7849300000000003</v>
      </c>
      <c r="AC12" s="18">
        <f t="shared" si="7"/>
        <v>0</v>
      </c>
      <c r="AD12" s="19">
        <f t="shared" si="8"/>
        <v>0</v>
      </c>
      <c r="AE12" s="20">
        <f t="shared" si="9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-0.74419999999999997</v>
      </c>
      <c r="B13" s="28">
        <v>115.00215</v>
      </c>
      <c r="C13" s="23" t="s">
        <v>45</v>
      </c>
      <c r="D13" s="21" t="s">
        <v>27</v>
      </c>
      <c r="E13" s="12">
        <v>0</v>
      </c>
      <c r="F13" s="13">
        <f>[1]data!$F$284</f>
        <v>7</v>
      </c>
      <c r="G13" s="14">
        <f>[1]data!$F$285+[1]data!$F$286+[1]data!$F$287+[1]data!$F$288</f>
        <v>156.304</v>
      </c>
      <c r="H13" s="15">
        <v>0</v>
      </c>
      <c r="I13" s="16">
        <v>0</v>
      </c>
      <c r="J13" s="17">
        <f>[1]data!$F$275+[1]data!$F$279+[1]data!$F$280+[1]data!$F$281+[1]data!$F$282+[1]data!$F$283+[1]data!$F$289</f>
        <v>11.56</v>
      </c>
      <c r="K13" s="18">
        <v>0</v>
      </c>
      <c r="L13" s="19">
        <v>0</v>
      </c>
      <c r="M13" s="20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1"/>
        <v>0</v>
      </c>
      <c r="X13" s="13">
        <f t="shared" si="2"/>
        <v>3.29</v>
      </c>
      <c r="Y13" s="14">
        <f t="shared" si="3"/>
        <v>85.967200000000005</v>
      </c>
      <c r="Z13" s="15">
        <f t="shared" si="4"/>
        <v>0</v>
      </c>
      <c r="AA13" s="16">
        <f t="shared" si="5"/>
        <v>0</v>
      </c>
      <c r="AB13" s="17">
        <f t="shared" si="6"/>
        <v>0.80920000000000014</v>
      </c>
      <c r="AC13" s="18">
        <f t="shared" si="7"/>
        <v>0</v>
      </c>
      <c r="AD13" s="19">
        <f t="shared" si="8"/>
        <v>0</v>
      </c>
      <c r="AE13" s="20">
        <f t="shared" si="9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-3.4291333329999998</v>
      </c>
      <c r="B14" s="28">
        <v>114.7738222</v>
      </c>
      <c r="C14" s="23" t="s">
        <v>46</v>
      </c>
      <c r="D14" s="21" t="s">
        <v>28</v>
      </c>
      <c r="E14" s="12">
        <f>[1]data!$F$156</f>
        <v>2.4</v>
      </c>
      <c r="F14" s="13">
        <f>[1]data!$F$138+[1]data!$F$163+[1]data!$F$164</f>
        <v>103.2</v>
      </c>
      <c r="G14" s="14">
        <v>0</v>
      </c>
      <c r="H14" s="15">
        <v>0</v>
      </c>
      <c r="I14" s="16">
        <f>[1]data!$F$141</f>
        <v>30</v>
      </c>
      <c r="J14" s="17">
        <f>[1]data!$F$139+[1]data!$F$140+[1]data!$F$173+[1]data!$F$174+[1]data!$F$175+[1]data!$F$176+[1]data!$F$178</f>
        <v>97.710000000000008</v>
      </c>
      <c r="K14" s="18">
        <v>0</v>
      </c>
      <c r="L14" s="19">
        <v>0</v>
      </c>
      <c r="M14" s="20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1"/>
        <v>0.72</v>
      </c>
      <c r="X14" s="13">
        <f t="shared" si="2"/>
        <v>48.503999999999998</v>
      </c>
      <c r="Y14" s="14">
        <f t="shared" si="3"/>
        <v>0</v>
      </c>
      <c r="Z14" s="15">
        <f t="shared" si="4"/>
        <v>0</v>
      </c>
      <c r="AA14" s="16">
        <f t="shared" si="5"/>
        <v>19.5</v>
      </c>
      <c r="AB14" s="17">
        <f t="shared" si="6"/>
        <v>6.8397000000000014</v>
      </c>
      <c r="AC14" s="18">
        <f t="shared" si="7"/>
        <v>0</v>
      </c>
      <c r="AD14" s="19">
        <f t="shared" si="8"/>
        <v>0</v>
      </c>
      <c r="AE14" s="20">
        <f t="shared" si="9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-2.26065</v>
      </c>
      <c r="B15" s="28">
        <v>115.26295</v>
      </c>
      <c r="C15" s="23" t="s">
        <v>47</v>
      </c>
      <c r="D15" s="21" t="s">
        <v>29</v>
      </c>
      <c r="E15" s="12">
        <v>0</v>
      </c>
      <c r="F15" s="13">
        <f>[1]data!$F$151+[1]data!$F$152+[1]data!$F$153</f>
        <v>290</v>
      </c>
      <c r="G15" s="14">
        <v>0</v>
      </c>
      <c r="H15" s="15">
        <v>0</v>
      </c>
      <c r="I15" s="16">
        <v>0</v>
      </c>
      <c r="J15" s="17">
        <f>[1]data!$F$149+[1]data!$F$150+[1]data!$F$154+[1]data!$F$165+[1]data!$F$167+[1]data!$F$169+[1]data!$F$171+[1]data!$F$180+[1]data!$F$181+[1]data!$F$158+[1]data!$F$168</f>
        <v>26.776</v>
      </c>
      <c r="K15" s="18">
        <v>0</v>
      </c>
      <c r="L15" s="19">
        <v>0</v>
      </c>
      <c r="M15" s="20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1"/>
        <v>0</v>
      </c>
      <c r="X15" s="13">
        <f t="shared" si="2"/>
        <v>136.29999999999998</v>
      </c>
      <c r="Y15" s="14">
        <f t="shared" si="3"/>
        <v>0</v>
      </c>
      <c r="Z15" s="15">
        <f t="shared" si="4"/>
        <v>0</v>
      </c>
      <c r="AA15" s="16">
        <f t="shared" si="5"/>
        <v>0</v>
      </c>
      <c r="AB15" s="17">
        <f t="shared" si="6"/>
        <v>1.8743200000000002</v>
      </c>
      <c r="AC15" s="18">
        <f t="shared" si="7"/>
        <v>0</v>
      </c>
      <c r="AD15" s="19">
        <f t="shared" si="8"/>
        <v>0</v>
      </c>
      <c r="AE15" s="20">
        <f t="shared" si="9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-3.5974499999999998</v>
      </c>
      <c r="B16" s="28">
        <v>115.7526</v>
      </c>
      <c r="C16" s="23" t="s">
        <v>57</v>
      </c>
      <c r="D16" s="21" t="s">
        <v>30</v>
      </c>
      <c r="E16" s="12">
        <v>0</v>
      </c>
      <c r="F16" s="13">
        <f>[1]data!$F$143+[1]data!$F$144+[1]data!$F$145+[1]data!$F$146+[1]data!$F$160+[1]data!$F$155</f>
        <v>281</v>
      </c>
      <c r="G16" s="14">
        <v>0</v>
      </c>
      <c r="H16" s="15">
        <v>0</v>
      </c>
      <c r="I16" s="16">
        <v>0</v>
      </c>
      <c r="J16" s="17">
        <f>[1]data!$F$142+[1]data!$F$147+[1]data!$F$148+[1]data!$F$157+[1]data!$F$159+[1]data!$F$161+[1]data!$F$162+[1]data!$F$166+[1]data!$F$170+[1]data!$F$172+[1]data!$F$177+[1]data!$F$179</f>
        <v>18.670000000000002</v>
      </c>
      <c r="K16" s="18">
        <v>0</v>
      </c>
      <c r="L16" s="19">
        <v>0</v>
      </c>
      <c r="M16" s="20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1"/>
        <v>0</v>
      </c>
      <c r="X16" s="13">
        <f t="shared" si="2"/>
        <v>132.07</v>
      </c>
      <c r="Y16" s="14">
        <f t="shared" si="3"/>
        <v>0</v>
      </c>
      <c r="Z16" s="15">
        <f t="shared" si="4"/>
        <v>0</v>
      </c>
      <c r="AA16" s="16">
        <f t="shared" si="5"/>
        <v>0</v>
      </c>
      <c r="AB16" s="17">
        <f t="shared" si="6"/>
        <v>1.3069000000000002</v>
      </c>
      <c r="AC16" s="18">
        <f t="shared" si="7"/>
        <v>0</v>
      </c>
      <c r="AD16" s="19">
        <f t="shared" si="8"/>
        <v>0</v>
      </c>
      <c r="AE16" s="20">
        <f t="shared" si="9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-1.761425</v>
      </c>
      <c r="B17" s="28">
        <v>116.11315</v>
      </c>
      <c r="C17" s="23" t="s">
        <v>48</v>
      </c>
      <c r="D17" s="21" t="s">
        <v>31</v>
      </c>
      <c r="E17" s="12">
        <v>0</v>
      </c>
      <c r="F17" s="13">
        <v>0</v>
      </c>
      <c r="G17" s="14">
        <v>0</v>
      </c>
      <c r="H17" s="15">
        <v>0</v>
      </c>
      <c r="I17" s="16">
        <v>0</v>
      </c>
      <c r="J17" s="17">
        <f>[1]data!$F$290+[1]data!$F$291+[1]data!$F$292+[1]data!$F$293+[1]data!$F$294+[1]data!$F$295+[1]data!$F$296+[1]data!$F$297+[1]data!$F$298+[1]data!$F$299+[1]data!$F$300+[1]data!$F$301+[1]data!$F$302+[1]data!$F$303+[1]data!$F$304</f>
        <v>22.73</v>
      </c>
      <c r="K17" s="18">
        <v>0</v>
      </c>
      <c r="L17" s="19">
        <v>0</v>
      </c>
      <c r="M17" s="20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1"/>
        <v>0</v>
      </c>
      <c r="X17" s="13">
        <f t="shared" si="2"/>
        <v>0</v>
      </c>
      <c r="Y17" s="14">
        <f t="shared" si="3"/>
        <v>0</v>
      </c>
      <c r="Z17" s="15">
        <f t="shared" si="4"/>
        <v>0</v>
      </c>
      <c r="AA17" s="16">
        <f t="shared" si="5"/>
        <v>0</v>
      </c>
      <c r="AB17" s="17">
        <f t="shared" si="6"/>
        <v>1.5911000000000002</v>
      </c>
      <c r="AC17" s="18">
        <f t="shared" si="7"/>
        <v>0</v>
      </c>
      <c r="AD17" s="19">
        <f t="shared" si="8"/>
        <v>0</v>
      </c>
      <c r="AE17" s="20">
        <f t="shared" si="9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-1.190416667</v>
      </c>
      <c r="B18" s="28">
        <v>116.87775000000001</v>
      </c>
      <c r="C18" s="23" t="s">
        <v>49</v>
      </c>
      <c r="D18" s="21" t="s">
        <v>32</v>
      </c>
      <c r="E18" s="12">
        <v>0</v>
      </c>
      <c r="F18" s="13">
        <f>[1]data!$F$310+[1]data!$F$311+[1]data!$F$312+[1]data!$F$313+[1]data!$F$315</f>
        <v>265</v>
      </c>
      <c r="G18" s="14">
        <f>[1]data!$F$305+[1]data!$F$306+[1]data!$F$307+[1]data!$F$308+[1]data!$F$330+[1]data!$F$331+[1]data!$F$332</f>
        <v>125.55</v>
      </c>
      <c r="H18" s="15">
        <v>0</v>
      </c>
      <c r="I18" s="16">
        <v>0</v>
      </c>
      <c r="J18" s="17">
        <f>[1]data!$F$309+[1]data!$F$314+[1]data!$F$316+[1]data!$F$317+[1]data!$F$318+[1]data!$F$319+[1]data!$F$320+[1]data!$F$321+[1]data!$F$322+[1]data!$F$323+[1]data!$F$324+[1]data!$F$325+[1]data!$F$326+[1]data!$F$327+[1]data!$F$328+[1]data!$F$329</f>
        <v>117.694</v>
      </c>
      <c r="K18" s="18">
        <v>0</v>
      </c>
      <c r="L18" s="19">
        <v>0</v>
      </c>
      <c r="M18" s="20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1"/>
        <v>0</v>
      </c>
      <c r="X18" s="13">
        <f t="shared" si="2"/>
        <v>124.55</v>
      </c>
      <c r="Y18" s="14">
        <f t="shared" si="3"/>
        <v>69.052500000000009</v>
      </c>
      <c r="Z18" s="15">
        <f t="shared" si="4"/>
        <v>0</v>
      </c>
      <c r="AA18" s="16">
        <f t="shared" si="5"/>
        <v>0</v>
      </c>
      <c r="AB18" s="17">
        <f t="shared" si="6"/>
        <v>8.2385800000000007</v>
      </c>
      <c r="AC18" s="18">
        <f t="shared" si="7"/>
        <v>0</v>
      </c>
      <c r="AD18" s="19">
        <f t="shared" si="8"/>
        <v>0</v>
      </c>
      <c r="AE18" s="20">
        <f t="shared" si="9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-0.48473333299999999</v>
      </c>
      <c r="B19" s="28">
        <v>117.0814444</v>
      </c>
      <c r="C19" s="23" t="s">
        <v>50</v>
      </c>
      <c r="D19" s="21" t="s">
        <v>33</v>
      </c>
      <c r="E19" s="12">
        <f>[1]data!$F$354</f>
        <v>2</v>
      </c>
      <c r="F19" s="13">
        <f>[1]data!$F$333+[1]data!$F$334+[1]data!$F$341+[1]data!$F$342+[1]data!$F$343+[1]data!$F$344+[1]data!$F$345+[1]data!$F$346+[1]data!$F$363+[1]data!$F$364+[1]data!$F$365</f>
        <v>422.5</v>
      </c>
      <c r="G19" s="14">
        <f>[1]data!$F$340</f>
        <v>9.6</v>
      </c>
      <c r="H19" s="15">
        <v>0</v>
      </c>
      <c r="I19" s="16">
        <v>0</v>
      </c>
      <c r="J19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</f>
        <v>398.80600000000004</v>
      </c>
      <c r="K19" s="18">
        <v>0</v>
      </c>
      <c r="L19" s="19">
        <v>0</v>
      </c>
      <c r="M19" s="20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1"/>
        <v>0.6</v>
      </c>
      <c r="X19" s="13">
        <f t="shared" si="2"/>
        <v>198.57499999999999</v>
      </c>
      <c r="Y19" s="14">
        <f t="shared" si="3"/>
        <v>5.28</v>
      </c>
      <c r="Z19" s="15">
        <f t="shared" si="4"/>
        <v>0</v>
      </c>
      <c r="AA19" s="16">
        <f t="shared" si="5"/>
        <v>0</v>
      </c>
      <c r="AB19" s="17">
        <f t="shared" si="6"/>
        <v>27.916420000000006</v>
      </c>
      <c r="AC19" s="18">
        <f t="shared" si="7"/>
        <v>0</v>
      </c>
      <c r="AD19" s="19">
        <f t="shared" si="8"/>
        <v>0</v>
      </c>
      <c r="AE19" s="20">
        <f t="shared" si="9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0.31574999999999998</v>
      </c>
      <c r="B20" s="28">
        <v>117.50215</v>
      </c>
      <c r="C20" s="23" t="s">
        <v>51</v>
      </c>
      <c r="D20" s="21" t="s">
        <v>34</v>
      </c>
      <c r="E20" s="12">
        <v>0</v>
      </c>
      <c r="F20" s="13">
        <f>[1]data!$F$370+[1]data!$F$371+[1]data!$F$380</f>
        <v>259</v>
      </c>
      <c r="G20" s="14">
        <f>[1]data!$F$372+[1]data!$F$373+[1]data!$F$374+[1]data!$F$375+[1]data!$F$376+[1]data!$F$377+[1]data!$F$379</f>
        <v>61.06</v>
      </c>
      <c r="H20" s="15">
        <v>0</v>
      </c>
      <c r="I20" s="16">
        <v>0</v>
      </c>
      <c r="J20" s="17">
        <f>[1]data!$F$378+[1]data!$F$381+[1]data!$F$382+[1]data!$F$383+[1]data!$F$384</f>
        <v>35.119999999999997</v>
      </c>
      <c r="K20" s="18">
        <v>0</v>
      </c>
      <c r="L20" s="19">
        <v>0</v>
      </c>
      <c r="M20" s="20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1"/>
        <v>0</v>
      </c>
      <c r="X20" s="13">
        <f t="shared" si="2"/>
        <v>121.72999999999999</v>
      </c>
      <c r="Y20" s="14">
        <f t="shared" si="3"/>
        <v>33.583000000000006</v>
      </c>
      <c r="Z20" s="15">
        <f t="shared" si="4"/>
        <v>0</v>
      </c>
      <c r="AA20" s="16">
        <f t="shared" si="5"/>
        <v>0</v>
      </c>
      <c r="AB20" s="17">
        <f t="shared" si="6"/>
        <v>2.4584000000000001</v>
      </c>
      <c r="AC20" s="18">
        <f t="shared" si="7"/>
        <v>0</v>
      </c>
      <c r="AD20" s="19">
        <f t="shared" si="8"/>
        <v>0</v>
      </c>
      <c r="AE20" s="20">
        <f t="shared" si="9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1.0532999999999999</v>
      </c>
      <c r="B21" s="28">
        <v>116.92149999999999</v>
      </c>
      <c r="C21" s="23" t="s">
        <v>52</v>
      </c>
      <c r="D21" s="21" t="s">
        <v>35</v>
      </c>
      <c r="E21" s="12">
        <f>[1]data!$F$395+[1]data!$F$401+[1]data!$F$409</f>
        <v>0.81</v>
      </c>
      <c r="F21" s="13">
        <f>+[1]data!$F$388+[1]data!$F$405+[1]data!$F$385+[1]data!$F$386</f>
        <v>57.63</v>
      </c>
      <c r="G21" s="14">
        <v>0</v>
      </c>
      <c r="H21" s="15">
        <v>0</v>
      </c>
      <c r="I21" s="16">
        <v>0</v>
      </c>
      <c r="J21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</f>
        <v>38.461000000000006</v>
      </c>
      <c r="K21" s="18">
        <v>0</v>
      </c>
      <c r="L21" s="19">
        <v>0</v>
      </c>
      <c r="M21" s="20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1"/>
        <v>0.24299999999999999</v>
      </c>
      <c r="X21" s="13">
        <f t="shared" si="2"/>
        <v>27.086099999999998</v>
      </c>
      <c r="Y21" s="14">
        <f t="shared" si="3"/>
        <v>0</v>
      </c>
      <c r="Z21" s="15">
        <f t="shared" si="4"/>
        <v>0</v>
      </c>
      <c r="AA21" s="16">
        <f t="shared" si="5"/>
        <v>0</v>
      </c>
      <c r="AB21" s="17">
        <f t="shared" si="6"/>
        <v>2.6922700000000006</v>
      </c>
      <c r="AC21" s="18">
        <f t="shared" si="7"/>
        <v>0</v>
      </c>
      <c r="AD21" s="19">
        <f t="shared" si="8"/>
        <v>0</v>
      </c>
      <c r="AE21" s="20">
        <f t="shared" si="9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3.2987666670000002</v>
      </c>
      <c r="B22" s="28">
        <v>116.9458333</v>
      </c>
      <c r="C22" s="23" t="s">
        <v>53</v>
      </c>
      <c r="D22" s="21" t="s">
        <v>36</v>
      </c>
      <c r="E22" s="12">
        <v>0</v>
      </c>
      <c r="F22" s="13">
        <f>[1]data!$F$438+[1]data!$F$451</f>
        <v>14.5</v>
      </c>
      <c r="G22" s="14">
        <f>[1]data!$F$433+[1]data!$F$434+[1]data!$F$444+[1]data!$F$445+[1]data!$F$446+[1]data!$F$447+[1]data!$F$448+[1]data!$F$439+[1]data!$F$449+[1]data!$F$450+[1]data!$F$454+[1]data!$F$455+[1]data!$F$456+[1]data!$F$457+[1]data!$F$458+[1]data!$F$459+[1]data!$F$462</f>
        <v>123.72399999999999</v>
      </c>
      <c r="H22" s="15">
        <v>0</v>
      </c>
      <c r="I22" s="16">
        <f>[1]data!$F$412+[1]data!$F$413</f>
        <v>0.24</v>
      </c>
      <c r="J22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</f>
        <v>122.749</v>
      </c>
      <c r="K22" s="18">
        <f>[1]data!$F$417+[1]data!$F$425+[1]data!$F$427+[1]data!$F$432+[1]data!$F$441+[1]data!$F$460+[1]data!$F$464</f>
        <v>1.04</v>
      </c>
      <c r="L22" s="19">
        <v>0</v>
      </c>
      <c r="M22" s="20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1"/>
        <v>0</v>
      </c>
      <c r="X22" s="13">
        <f t="shared" si="2"/>
        <v>6.8149999999999995</v>
      </c>
      <c r="Y22" s="14">
        <f t="shared" si="3"/>
        <v>68.048199999999994</v>
      </c>
      <c r="Z22" s="15">
        <f t="shared" si="4"/>
        <v>0</v>
      </c>
      <c r="AA22" s="16">
        <f t="shared" si="5"/>
        <v>0.156</v>
      </c>
      <c r="AB22" s="17">
        <f t="shared" si="6"/>
        <v>8.5924300000000002</v>
      </c>
      <c r="AC22" s="18">
        <f t="shared" si="7"/>
        <v>1.04</v>
      </c>
      <c r="AD22" s="19">
        <f t="shared" si="8"/>
        <v>0</v>
      </c>
      <c r="AE22" s="20">
        <f t="shared" si="9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C23" s="26" t="s">
        <v>56</v>
      </c>
      <c r="D23" s="27">
        <f>SUM(E23:M23)</f>
        <v>4649.4569999999994</v>
      </c>
      <c r="E23" s="25">
        <f>SUM(E3:E22)</f>
        <v>41.11</v>
      </c>
      <c r="F23" s="25">
        <f t="shared" ref="F23:M23" si="10">SUM(F3:F22)</f>
        <v>2485.8980000000001</v>
      </c>
      <c r="G23" s="25">
        <f t="shared" si="10"/>
        <v>510.238</v>
      </c>
      <c r="H23" s="25">
        <f t="shared" si="10"/>
        <v>0</v>
      </c>
      <c r="I23" s="25">
        <f t="shared" si="10"/>
        <v>38.470000000000006</v>
      </c>
      <c r="J23" s="25">
        <f t="shared" si="10"/>
        <v>1572.5209999999997</v>
      </c>
      <c r="K23" s="25">
        <f t="shared" si="10"/>
        <v>1.22</v>
      </c>
      <c r="L23" s="25">
        <f t="shared" si="10"/>
        <v>0</v>
      </c>
      <c r="M23" s="25">
        <f t="shared" si="10"/>
        <v>0</v>
      </c>
      <c r="W23" s="29">
        <f>SUM(W3:W22)</f>
        <v>12.333</v>
      </c>
      <c r="X23" s="29">
        <f t="shared" ref="X23:AE23" si="11">SUM(X3:X22)</f>
        <v>1168.3720600000001</v>
      </c>
      <c r="Y23" s="29">
        <f t="shared" si="11"/>
        <v>280.6309</v>
      </c>
      <c r="Z23" s="29">
        <f t="shared" si="11"/>
        <v>0</v>
      </c>
      <c r="AA23" s="29">
        <f t="shared" si="11"/>
        <v>25.005499999999998</v>
      </c>
      <c r="AB23" s="29">
        <f t="shared" si="11"/>
        <v>110.07647</v>
      </c>
      <c r="AC23" s="29">
        <f t="shared" si="11"/>
        <v>1.22</v>
      </c>
      <c r="AD23" s="29">
        <f t="shared" si="11"/>
        <v>0</v>
      </c>
      <c r="AE23" s="29">
        <f t="shared" si="11"/>
        <v>0</v>
      </c>
      <c r="AF23" s="29">
        <f t="shared" ref="AF23" si="12">SUM(AF3:AF22)</f>
        <v>170</v>
      </c>
    </row>
    <row r="24" spans="1:53" x14ac:dyDescent="0.3">
      <c r="D24" s="36">
        <f>SUM(W23:AE23)+AF5</f>
        <v>1767.6379300000003</v>
      </c>
      <c r="E24" s="25"/>
      <c r="F24" s="25"/>
      <c r="G24" s="25"/>
      <c r="H24" s="25"/>
      <c r="I24" s="25"/>
      <c r="J24" s="44">
        <v>227.99</v>
      </c>
      <c r="K24" s="25"/>
      <c r="L24" s="25"/>
      <c r="M24" s="25"/>
      <c r="V24" s="29">
        <f>SUM(W24:AF24)</f>
        <v>99.999999999999986</v>
      </c>
      <c r="W24" s="38">
        <f>W23/$D$24*100</f>
        <v>0.69771075799442694</v>
      </c>
      <c r="X24" s="38">
        <f t="shared" ref="X24:AF24" si="13">X23/$D$24*100</f>
        <v>66.097928776624514</v>
      </c>
      <c r="Y24" s="38">
        <f t="shared" si="13"/>
        <v>15.876039727208157</v>
      </c>
      <c r="Z24" s="38">
        <f t="shared" si="13"/>
        <v>0</v>
      </c>
      <c r="AA24" s="38">
        <f t="shared" si="13"/>
        <v>1.4146279379736999</v>
      </c>
      <c r="AB24" s="38">
        <f t="shared" si="13"/>
        <v>6.2273199806252162</v>
      </c>
      <c r="AC24" s="38">
        <f t="shared" si="13"/>
        <v>6.9018659268077584E-2</v>
      </c>
      <c r="AD24" s="38">
        <f t="shared" si="13"/>
        <v>0</v>
      </c>
      <c r="AE24" s="38">
        <f t="shared" si="13"/>
        <v>0</v>
      </c>
      <c r="AF24" s="38">
        <f t="shared" si="13"/>
        <v>9.6173541603058919</v>
      </c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spans="1:53" x14ac:dyDescent="0.3">
      <c r="D25" s="37">
        <f>SUMPRODUCT(E3:M22,AG3:AO22)</f>
        <v>1425.6109499999995</v>
      </c>
      <c r="E25" s="25"/>
      <c r="F25" s="25"/>
      <c r="G25" s="25"/>
      <c r="H25" s="25"/>
      <c r="I25" s="25"/>
      <c r="J25" s="25">
        <f>J24/J23</f>
        <v>0.1449837553838709</v>
      </c>
      <c r="K25" s="25"/>
      <c r="L25" s="25"/>
      <c r="M25" s="25"/>
      <c r="V25" t="s">
        <v>69</v>
      </c>
      <c r="W25" s="39">
        <v>0.52</v>
      </c>
      <c r="X25" s="39">
        <v>68.58</v>
      </c>
      <c r="Y25" s="39">
        <v>16.3</v>
      </c>
      <c r="Z25" s="39">
        <v>0</v>
      </c>
      <c r="AA25" s="39">
        <v>1.04</v>
      </c>
      <c r="AB25" s="39">
        <v>6.73</v>
      </c>
      <c r="AC25" s="39">
        <v>0</v>
      </c>
      <c r="AD25" s="39">
        <v>0</v>
      </c>
      <c r="AE25" s="39">
        <v>0</v>
      </c>
      <c r="AF25" s="39">
        <v>6.82</v>
      </c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</row>
    <row r="26" spans="1:53" x14ac:dyDescent="0.3">
      <c r="D26" s="37"/>
      <c r="E26" s="25"/>
      <c r="F26" s="25"/>
      <c r="G26" s="25"/>
      <c r="H26" s="25"/>
      <c r="I26" s="25"/>
      <c r="J26" s="25">
        <f>J24-J23</f>
        <v>-1344.5309999999997</v>
      </c>
      <c r="K26" s="25"/>
      <c r="L26" s="25"/>
      <c r="M26" s="25"/>
      <c r="T26" t="s">
        <v>78</v>
      </c>
      <c r="U26" t="s">
        <v>77</v>
      </c>
      <c r="V26" t="s">
        <v>76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</row>
    <row r="27" spans="1:53" x14ac:dyDescent="0.3">
      <c r="C27" s="22" t="s">
        <v>71</v>
      </c>
      <c r="D27" s="48">
        <f>SUM(E27:L27)+AF27</f>
        <v>1168.2959999999998</v>
      </c>
      <c r="E27" s="25">
        <f>SUM(E3:E8)</f>
        <v>18.5</v>
      </c>
      <c r="F27" s="25">
        <f t="shared" ref="F27:M27" si="14">SUM(F3:F8)</f>
        <v>436</v>
      </c>
      <c r="G27" s="25">
        <f t="shared" si="14"/>
        <v>34</v>
      </c>
      <c r="H27" s="25">
        <f t="shared" si="14"/>
        <v>0</v>
      </c>
      <c r="I27" s="25">
        <f t="shared" si="14"/>
        <v>8.23</v>
      </c>
      <c r="J27" s="25">
        <f t="shared" si="14"/>
        <v>501.38599999999997</v>
      </c>
      <c r="K27" s="25">
        <f t="shared" si="14"/>
        <v>0.18</v>
      </c>
      <c r="L27" s="25">
        <f t="shared" si="14"/>
        <v>0</v>
      </c>
      <c r="M27" s="25">
        <f t="shared" si="14"/>
        <v>0</v>
      </c>
      <c r="N27" s="29">
        <f>SUM(E27:M27)</f>
        <v>998.29599999999994</v>
      </c>
      <c r="O27" s="29">
        <f>N27*19.55%</f>
        <v>195.16686799999999</v>
      </c>
      <c r="S27">
        <f>(V27+90)/[2]calliope_2!$D$11</f>
        <v>0.9721380920685293</v>
      </c>
      <c r="T27">
        <v>0.93240000000000001</v>
      </c>
      <c r="U27" s="29">
        <f>V27-[2]calliope_2!$L$2</f>
        <v>-83.155000558458198</v>
      </c>
      <c r="V27" s="41">
        <f>SUM(W3:AE8)</f>
        <v>269.79651999999993</v>
      </c>
      <c r="W27" s="25">
        <f t="shared" ref="W27:AE27" si="15">SUM(W3:W8)</f>
        <v>5.55</v>
      </c>
      <c r="X27" s="25">
        <f t="shared" si="15"/>
        <v>204.92</v>
      </c>
      <c r="Y27" s="25">
        <f t="shared" si="15"/>
        <v>18.700000000000003</v>
      </c>
      <c r="Z27" s="25">
        <f t="shared" si="15"/>
        <v>0</v>
      </c>
      <c r="AA27" s="25">
        <f t="shared" si="15"/>
        <v>5.3495000000000008</v>
      </c>
      <c r="AB27" s="25">
        <f t="shared" si="15"/>
        <v>35.097020000000001</v>
      </c>
      <c r="AC27" s="25">
        <f t="shared" si="15"/>
        <v>0.18</v>
      </c>
      <c r="AD27" s="25">
        <f t="shared" si="15"/>
        <v>0</v>
      </c>
      <c r="AE27" s="25">
        <f t="shared" si="15"/>
        <v>0</v>
      </c>
      <c r="AF27" s="25">
        <f t="shared" ref="AF27" si="16">SUM(AF3:AF8)</f>
        <v>170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C28" s="22" t="s">
        <v>72</v>
      </c>
      <c r="D28" s="48">
        <f t="shared" ref="D28:D29" si="17">SUM(E28:L28)+AF28</f>
        <v>1572.9470000000001</v>
      </c>
      <c r="E28" s="25">
        <f>SUM(E9:E16)</f>
        <v>19.799999999999997</v>
      </c>
      <c r="F28" s="25">
        <f t="shared" ref="F28:M28" si="18">SUM(F9:F16)</f>
        <v>1031.268</v>
      </c>
      <c r="G28" s="25">
        <f t="shared" si="18"/>
        <v>156.304</v>
      </c>
      <c r="H28" s="25">
        <f t="shared" si="18"/>
        <v>0</v>
      </c>
      <c r="I28" s="25">
        <f t="shared" si="18"/>
        <v>30</v>
      </c>
      <c r="J28" s="25">
        <f t="shared" si="18"/>
        <v>335.57500000000005</v>
      </c>
      <c r="K28" s="25">
        <f t="shared" si="18"/>
        <v>0</v>
      </c>
      <c r="L28" s="25">
        <f t="shared" si="18"/>
        <v>0</v>
      </c>
      <c r="M28" s="25">
        <f t="shared" si="18"/>
        <v>0</v>
      </c>
      <c r="N28" s="29">
        <f t="shared" ref="N28:N29" si="19">SUM(E28:M28)</f>
        <v>1572.9470000000001</v>
      </c>
      <c r="O28" s="29">
        <f>N28*14.02%</f>
        <v>220.52716939999999</v>
      </c>
      <c r="S28">
        <f>SUM(V28:V29)/SUM([2]calliope_2!$E$11:$F$11)</f>
        <v>1.210630155595751</v>
      </c>
      <c r="T28">
        <v>0.95479999999999998</v>
      </c>
      <c r="U28" s="29">
        <f>V28-(SUM([2]calliope_2!$M$2:$N$2))</f>
        <v>80.152327944426588</v>
      </c>
      <c r="V28" s="41">
        <f>SUMPRODUCT(W9:AE16)</f>
        <v>619.59340999999995</v>
      </c>
      <c r="W28" s="25">
        <f t="shared" ref="W28:AE28" si="20">SUM(W9:W16)</f>
        <v>5.9399999999999995</v>
      </c>
      <c r="X28" s="25">
        <f t="shared" si="20"/>
        <v>484.69595999999996</v>
      </c>
      <c r="Y28" s="25">
        <f t="shared" si="20"/>
        <v>85.967200000000005</v>
      </c>
      <c r="Z28" s="25">
        <f t="shared" si="20"/>
        <v>0</v>
      </c>
      <c r="AA28" s="25">
        <f t="shared" si="20"/>
        <v>19.5</v>
      </c>
      <c r="AB28" s="25">
        <f t="shared" si="20"/>
        <v>23.490250000000003</v>
      </c>
      <c r="AC28" s="25">
        <f t="shared" si="20"/>
        <v>0</v>
      </c>
      <c r="AD28" s="25">
        <f t="shared" si="20"/>
        <v>0</v>
      </c>
      <c r="AE28" s="25">
        <f t="shared" si="20"/>
        <v>0</v>
      </c>
      <c r="AF28" s="25">
        <f t="shared" ref="AF28" si="21">SUM(AF9:AF16)</f>
        <v>0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73</v>
      </c>
      <c r="D29" s="48">
        <f t="shared" si="17"/>
        <v>2078.2139999999999</v>
      </c>
      <c r="E29" s="25">
        <f>SUM(E17:E22)</f>
        <v>2.81</v>
      </c>
      <c r="F29" s="25">
        <f t="shared" ref="F29:M29" si="22">SUM(F17:F22)</f>
        <v>1018.63</v>
      </c>
      <c r="G29" s="25">
        <f t="shared" si="22"/>
        <v>319.93399999999997</v>
      </c>
      <c r="H29" s="25">
        <f t="shared" si="22"/>
        <v>0</v>
      </c>
      <c r="I29" s="25">
        <f t="shared" si="22"/>
        <v>0.24</v>
      </c>
      <c r="J29" s="25">
        <f t="shared" si="22"/>
        <v>735.56000000000006</v>
      </c>
      <c r="K29" s="25">
        <f t="shared" si="22"/>
        <v>1.04</v>
      </c>
      <c r="L29" s="25">
        <f t="shared" si="22"/>
        <v>0</v>
      </c>
      <c r="M29" s="25">
        <f t="shared" si="22"/>
        <v>0</v>
      </c>
      <c r="N29" s="29">
        <f t="shared" si="19"/>
        <v>2078.2139999999999</v>
      </c>
      <c r="O29" s="29">
        <f>N29*31.62%</f>
        <v>657.13126680000005</v>
      </c>
      <c r="T29">
        <v>0.94810000000000005</v>
      </c>
      <c r="U29" s="29">
        <f>V29-SUM([2]calliope_2!$O$2:$P$2)</f>
        <v>199.21791289160831</v>
      </c>
      <c r="V29" s="41">
        <f>SUMPRODUCT(W17:AE22)</f>
        <v>708.24799999999993</v>
      </c>
      <c r="W29" s="25">
        <f t="shared" ref="W29:AE29" si="23">SUM(W17:W22)</f>
        <v>0.84299999999999997</v>
      </c>
      <c r="X29" s="25">
        <f t="shared" si="23"/>
        <v>478.7561</v>
      </c>
      <c r="Y29" s="25">
        <f t="shared" si="23"/>
        <v>175.96370000000002</v>
      </c>
      <c r="Z29" s="25">
        <f t="shared" si="23"/>
        <v>0</v>
      </c>
      <c r="AA29" s="25">
        <f t="shared" si="23"/>
        <v>0.156</v>
      </c>
      <c r="AB29" s="25">
        <f t="shared" si="23"/>
        <v>51.489200000000004</v>
      </c>
      <c r="AC29" s="25">
        <f t="shared" si="23"/>
        <v>1.04</v>
      </c>
      <c r="AD29" s="25">
        <f t="shared" si="23"/>
        <v>0</v>
      </c>
      <c r="AE29" s="25">
        <f t="shared" si="23"/>
        <v>0</v>
      </c>
      <c r="AF29" s="25">
        <f t="shared" ref="AF29" si="24">SUM(AF17:AF22)</f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A30" t="s">
        <v>59</v>
      </c>
      <c r="D30" s="49"/>
      <c r="E30" s="25"/>
      <c r="F30" s="25"/>
      <c r="G30" s="25"/>
      <c r="H30" s="25"/>
      <c r="I30" s="25"/>
      <c r="J30" s="25"/>
      <c r="K30" s="25"/>
      <c r="L30" s="25"/>
      <c r="M30" s="25"/>
      <c r="N30" s="29">
        <f>SUM(N27:N29)</f>
        <v>4649.4570000000003</v>
      </c>
      <c r="O30" s="29">
        <f>SUM(O27:O29)</f>
        <v>1072.8253042000001</v>
      </c>
      <c r="AE30" t="s">
        <v>70</v>
      </c>
    </row>
    <row r="31" spans="1:53" x14ac:dyDescent="0.3">
      <c r="A31" t="s">
        <v>68</v>
      </c>
      <c r="E31" s="25"/>
      <c r="F31" s="25"/>
      <c r="G31" s="25"/>
      <c r="H31" s="25"/>
      <c r="I31" s="25"/>
      <c r="J31" s="25"/>
      <c r="K31" s="25"/>
      <c r="L31" s="25"/>
      <c r="M31" s="25"/>
      <c r="AE31" s="39">
        <v>6.82</v>
      </c>
      <c r="AF31" s="39"/>
    </row>
    <row r="32" spans="1:53" x14ac:dyDescent="0.3">
      <c r="E32" s="25"/>
      <c r="F32" s="25"/>
      <c r="G32" s="25"/>
      <c r="H32" s="25"/>
      <c r="I32" s="25"/>
      <c r="J32" s="25"/>
      <c r="K32" s="25"/>
      <c r="L32" s="25"/>
      <c r="M32" s="25"/>
    </row>
    <row r="33" spans="5:13" x14ac:dyDescent="0.3">
      <c r="E33" s="25"/>
      <c r="F33" s="25"/>
      <c r="G33" s="25"/>
      <c r="H33" s="25"/>
      <c r="I33" s="25"/>
      <c r="J33" s="25"/>
      <c r="K33" s="25"/>
      <c r="L33" s="25"/>
      <c r="M33" s="25"/>
    </row>
    <row r="34" spans="5:13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5:13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5:13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5:13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5:13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5:13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5:13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5:13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5:13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5:13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5:13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5:13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5:13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5:13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5:13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6" spans="1:13" x14ac:dyDescent="0.3">
      <c r="A56" t="s">
        <v>74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C22-F4D3-4FD5-B3E7-30320A6E2BB0}">
  <sheetPr codeName="Sheet3"/>
  <dimension ref="A2:N56"/>
  <sheetViews>
    <sheetView zoomScale="80" zoomScaleNormal="80" workbookViewId="0">
      <selection activeCell="G34" sqref="G34"/>
    </sheetView>
  </sheetViews>
  <sheetFormatPr defaultRowHeight="14.4" x14ac:dyDescent="0.3"/>
  <sheetData>
    <row r="2" spans="1:14" x14ac:dyDescent="0.3">
      <c r="A2" t="s">
        <v>16</v>
      </c>
      <c r="B2" t="s">
        <v>15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86</v>
      </c>
      <c r="K2" s="9" t="s">
        <v>8</v>
      </c>
      <c r="L2" s="10" t="s">
        <v>11</v>
      </c>
      <c r="M2" s="11" t="s">
        <v>9</v>
      </c>
      <c r="N2" s="42" t="s">
        <v>70</v>
      </c>
    </row>
    <row r="3" spans="1:14" x14ac:dyDescent="0.3">
      <c r="A3" s="28">
        <v>0.86423333300000005</v>
      </c>
      <c r="B3" s="28">
        <v>108.9092</v>
      </c>
      <c r="C3" s="29">
        <f>SUM(E3:N8)</f>
        <v>956.90000000000009</v>
      </c>
      <c r="D3" s="21" t="s">
        <v>17</v>
      </c>
      <c r="E3" s="12"/>
      <c r="F3" s="13">
        <f>100+100</f>
        <v>200</v>
      </c>
      <c r="G3" s="14"/>
      <c r="H3" s="15"/>
      <c r="I3" s="16"/>
      <c r="J3" s="17">
        <v>90</v>
      </c>
      <c r="K3" s="18"/>
      <c r="L3" s="19"/>
      <c r="M3" s="20"/>
      <c r="N3" s="43"/>
    </row>
    <row r="4" spans="1:14" x14ac:dyDescent="0.3">
      <c r="A4" s="28">
        <v>4.5260000000000002E-2</v>
      </c>
      <c r="B4" s="28">
        <v>109.23968000000001</v>
      </c>
      <c r="D4" s="21" t="s">
        <v>18</v>
      </c>
      <c r="E4" s="12">
        <v>15</v>
      </c>
      <c r="F4" s="13"/>
      <c r="G4" s="14"/>
      <c r="H4" s="15"/>
      <c r="I4" s="16"/>
      <c r="J4" s="17"/>
      <c r="K4" s="18"/>
      <c r="L4" s="19"/>
      <c r="M4" s="20"/>
      <c r="N4" s="43"/>
    </row>
    <row r="5" spans="1:14" x14ac:dyDescent="0.3">
      <c r="A5" s="28">
        <v>1.1174249999999999</v>
      </c>
      <c r="B5" s="28">
        <v>109.55835</v>
      </c>
      <c r="D5" s="21" t="s">
        <v>19</v>
      </c>
      <c r="E5" s="12"/>
      <c r="F5" s="13">
        <v>100</v>
      </c>
      <c r="G5" s="14"/>
      <c r="H5" s="15"/>
      <c r="I5" s="16">
        <v>0.8</v>
      </c>
      <c r="J5" s="17"/>
      <c r="K5" s="18"/>
      <c r="L5" s="19"/>
      <c r="M5" s="20"/>
      <c r="N5" s="43">
        <v>230</v>
      </c>
    </row>
    <row r="6" spans="1:14" x14ac:dyDescent="0.3">
      <c r="A6" s="28">
        <v>0.17745</v>
      </c>
      <c r="B6" s="28">
        <v>110.0471</v>
      </c>
      <c r="D6" s="21" t="s">
        <v>20</v>
      </c>
      <c r="E6" s="12">
        <v>7</v>
      </c>
      <c r="F6" s="13"/>
      <c r="G6" s="14">
        <v>100</v>
      </c>
      <c r="H6" s="15"/>
      <c r="I6" s="16"/>
      <c r="J6" s="17"/>
      <c r="K6" s="18"/>
      <c r="L6" s="19"/>
      <c r="M6" s="20"/>
      <c r="N6" s="43"/>
    </row>
    <row r="7" spans="1:14" x14ac:dyDescent="0.3">
      <c r="A7" s="28">
        <v>6.3899999999999998E-2</v>
      </c>
      <c r="B7" s="28">
        <v>110.9554667</v>
      </c>
      <c r="D7" s="21" t="s">
        <v>22</v>
      </c>
      <c r="E7" s="12"/>
      <c r="F7" s="13">
        <f>14+21</f>
        <v>35</v>
      </c>
      <c r="G7" s="14"/>
      <c r="H7" s="15"/>
      <c r="I7" s="16">
        <f>1.2+0.4</f>
        <v>1.6</v>
      </c>
      <c r="J7" s="17">
        <f>6+7.7+12.9+13+4+6.2+4+3.5+12+8+9+8+2</f>
        <v>96.300000000000011</v>
      </c>
      <c r="K7" s="18"/>
      <c r="L7" s="19"/>
      <c r="M7" s="20"/>
      <c r="N7" s="43"/>
    </row>
    <row r="8" spans="1:14" x14ac:dyDescent="0.3">
      <c r="A8" s="28">
        <v>-1.7742</v>
      </c>
      <c r="B8" s="28">
        <v>110.0303</v>
      </c>
      <c r="D8" s="21" t="s">
        <v>21</v>
      </c>
      <c r="E8" s="12">
        <v>7</v>
      </c>
      <c r="F8" s="13">
        <f>20</f>
        <v>20</v>
      </c>
      <c r="G8" s="14"/>
      <c r="H8" s="15"/>
      <c r="I8" s="16"/>
      <c r="J8" s="17">
        <f>23+1.2+2.8+0.8+5.9+10+3.5+6+1</f>
        <v>54.2</v>
      </c>
      <c r="K8" s="18"/>
      <c r="L8" s="19"/>
      <c r="M8" s="20"/>
      <c r="N8" s="43"/>
    </row>
    <row r="9" spans="1:14" x14ac:dyDescent="0.3">
      <c r="A9" s="28">
        <v>-2.6152000000000002</v>
      </c>
      <c r="B9" s="28">
        <v>111.7037</v>
      </c>
      <c r="C9" s="29">
        <f>SUM(E9:N13)</f>
        <v>734</v>
      </c>
      <c r="D9" s="21" t="s">
        <v>23</v>
      </c>
      <c r="E9" s="12"/>
      <c r="F9" s="13"/>
      <c r="G9" s="14"/>
      <c r="H9" s="15"/>
      <c r="I9" s="16"/>
      <c r="J9" s="17">
        <f>6+10+3</f>
        <v>19</v>
      </c>
      <c r="K9" s="18"/>
      <c r="L9" s="19"/>
      <c r="M9" s="20"/>
      <c r="N9" s="43"/>
    </row>
    <row r="10" spans="1:14" x14ac:dyDescent="0.3">
      <c r="A10" s="28">
        <v>-2.6220500000000002</v>
      </c>
      <c r="B10" s="28">
        <v>112.91540000000001</v>
      </c>
      <c r="D10" s="21" t="s">
        <v>24</v>
      </c>
      <c r="E10" s="12"/>
      <c r="F10" s="13"/>
      <c r="G10" s="14"/>
      <c r="H10" s="15"/>
      <c r="I10" s="16"/>
      <c r="J10" s="17">
        <f>8</f>
        <v>8</v>
      </c>
      <c r="K10" s="18"/>
      <c r="L10" s="19"/>
      <c r="M10" s="20"/>
      <c r="N10" s="43"/>
    </row>
    <row r="11" spans="1:14" x14ac:dyDescent="0.3">
      <c r="A11" s="28">
        <v>-2.1166</v>
      </c>
      <c r="B11" s="28">
        <v>113.7459333</v>
      </c>
      <c r="D11" s="21" t="s">
        <v>25</v>
      </c>
      <c r="E11" s="12"/>
      <c r="F11" s="13"/>
      <c r="G11" s="14"/>
      <c r="H11" s="15"/>
      <c r="I11" s="16"/>
      <c r="J11" s="17">
        <f>5+34+2</f>
        <v>41</v>
      </c>
      <c r="K11" s="18"/>
      <c r="L11" s="19"/>
      <c r="M11" s="20"/>
      <c r="N11" s="43"/>
    </row>
    <row r="12" spans="1:14" x14ac:dyDescent="0.3">
      <c r="A12" s="28">
        <v>-2.8550333330000002</v>
      </c>
      <c r="B12" s="28">
        <v>114.2789667</v>
      </c>
      <c r="D12" s="21" t="s">
        <v>26</v>
      </c>
      <c r="E12" s="12"/>
      <c r="F12" s="13">
        <v>120</v>
      </c>
      <c r="G12" s="14"/>
      <c r="H12" s="15"/>
      <c r="I12" s="16"/>
      <c r="J12" s="17"/>
      <c r="K12" s="18"/>
      <c r="L12" s="19"/>
      <c r="M12" s="20"/>
      <c r="N12" s="43"/>
    </row>
    <row r="13" spans="1:14" x14ac:dyDescent="0.3">
      <c r="A13" s="28">
        <v>-0.74419999999999997</v>
      </c>
      <c r="B13" s="28">
        <v>115.00215</v>
      </c>
      <c r="D13" s="21" t="s">
        <v>27</v>
      </c>
      <c r="E13" s="12">
        <f>9</f>
        <v>9</v>
      </c>
      <c r="F13" s="13">
        <f>211</f>
        <v>211</v>
      </c>
      <c r="G13" s="14">
        <f>156+140</f>
        <v>296</v>
      </c>
      <c r="H13" s="15"/>
      <c r="I13" s="16"/>
      <c r="J13" s="17">
        <f>21+4+5</f>
        <v>30</v>
      </c>
      <c r="K13" s="18"/>
      <c r="L13" s="19"/>
      <c r="M13" s="20"/>
      <c r="N13" s="43"/>
    </row>
    <row r="14" spans="1:14" x14ac:dyDescent="0.3">
      <c r="A14" s="28">
        <v>-3.4291333329999998</v>
      </c>
      <c r="B14" s="28">
        <v>114.7738222</v>
      </c>
      <c r="C14" s="29">
        <f>SUM(E14:N16)</f>
        <v>666.94</v>
      </c>
      <c r="D14" s="21" t="s">
        <v>28</v>
      </c>
      <c r="E14" s="12"/>
      <c r="F14" s="13">
        <f>55</f>
        <v>55</v>
      </c>
      <c r="G14" s="14">
        <v>21</v>
      </c>
      <c r="H14" s="15"/>
      <c r="I14" s="16">
        <v>30</v>
      </c>
      <c r="J14" s="17">
        <v>87.74</v>
      </c>
      <c r="K14" s="18"/>
      <c r="L14" s="19"/>
      <c r="M14" s="20"/>
      <c r="N14" s="43"/>
    </row>
    <row r="15" spans="1:14" x14ac:dyDescent="0.3">
      <c r="A15" s="28">
        <v>-2.26065</v>
      </c>
      <c r="B15" s="28">
        <v>115.26295</v>
      </c>
      <c r="D15" s="21" t="s">
        <v>29</v>
      </c>
      <c r="E15" s="12"/>
      <c r="F15" s="13">
        <v>260</v>
      </c>
      <c r="G15" s="14"/>
      <c r="H15" s="15"/>
      <c r="I15" s="16"/>
      <c r="J15" s="17">
        <f>6.81+2.12</f>
        <v>8.93</v>
      </c>
      <c r="K15" s="18"/>
      <c r="L15" s="19"/>
      <c r="M15" s="20"/>
      <c r="N15" s="43"/>
    </row>
    <row r="16" spans="1:14" x14ac:dyDescent="0.3">
      <c r="A16" s="28">
        <v>-3.5974499999999998</v>
      </c>
      <c r="B16" s="28">
        <v>115.7526</v>
      </c>
      <c r="D16" s="21" t="s">
        <v>30</v>
      </c>
      <c r="E16" s="12"/>
      <c r="F16" s="13">
        <v>200</v>
      </c>
      <c r="G16" s="14"/>
      <c r="H16" s="15"/>
      <c r="I16" s="16"/>
      <c r="J16" s="17">
        <v>4.2699999999999996</v>
      </c>
      <c r="K16" s="18"/>
      <c r="L16" s="19"/>
      <c r="M16" s="20"/>
      <c r="N16" s="43"/>
    </row>
    <row r="17" spans="1:14" x14ac:dyDescent="0.3">
      <c r="A17" s="28">
        <v>-1.761425</v>
      </c>
      <c r="B17" s="28">
        <v>116.11315</v>
      </c>
      <c r="C17" s="29">
        <f>SUM(E17:M21)</f>
        <v>1523.4</v>
      </c>
      <c r="D17" s="21" t="s">
        <v>31</v>
      </c>
      <c r="E17" s="12"/>
      <c r="F17" s="13"/>
      <c r="G17" s="14"/>
      <c r="H17" s="15"/>
      <c r="I17" s="16"/>
      <c r="J17" s="17">
        <f>133.3+20+44.5</f>
        <v>197.8</v>
      </c>
      <c r="K17" s="18"/>
      <c r="L17" s="19"/>
      <c r="M17" s="20"/>
      <c r="N17" s="43"/>
    </row>
    <row r="18" spans="1:14" x14ac:dyDescent="0.3">
      <c r="A18" s="28">
        <v>-1.190416667</v>
      </c>
      <c r="B18" s="28">
        <v>116.87775000000001</v>
      </c>
      <c r="D18" s="21" t="s">
        <v>32</v>
      </c>
      <c r="E18" s="12"/>
      <c r="F18" s="13">
        <f>220+50</f>
        <v>270</v>
      </c>
      <c r="G18" s="14">
        <f>200+80+53.1+82+35+4</f>
        <v>454.1</v>
      </c>
      <c r="H18" s="15"/>
      <c r="I18" s="16"/>
      <c r="J18" s="17"/>
      <c r="K18" s="18"/>
      <c r="L18" s="19"/>
      <c r="M18" s="20"/>
      <c r="N18" s="43"/>
    </row>
    <row r="19" spans="1:14" x14ac:dyDescent="0.3">
      <c r="A19" s="28">
        <v>-0.48473333299999999</v>
      </c>
      <c r="B19" s="28">
        <v>117.0814444</v>
      </c>
      <c r="D19" s="21" t="s">
        <v>33</v>
      </c>
      <c r="E19" s="12"/>
      <c r="F19" s="13">
        <v>550</v>
      </c>
      <c r="G19" s="14"/>
      <c r="H19" s="15"/>
      <c r="I19" s="16"/>
      <c r="J19" s="17"/>
      <c r="K19" s="18"/>
      <c r="L19" s="19"/>
      <c r="M19" s="20"/>
      <c r="N19" s="43"/>
    </row>
    <row r="20" spans="1:14" x14ac:dyDescent="0.3">
      <c r="A20" s="28">
        <v>0.31574999999999998</v>
      </c>
      <c r="B20" s="28">
        <v>117.50215</v>
      </c>
      <c r="D20" s="21" t="s">
        <v>34</v>
      </c>
      <c r="E20" s="12"/>
      <c r="F20" s="13"/>
      <c r="G20" s="14"/>
      <c r="H20" s="15"/>
      <c r="I20" s="16"/>
      <c r="J20" s="17">
        <f>4.4+3.8+7.8</f>
        <v>16</v>
      </c>
      <c r="K20" s="18"/>
      <c r="L20" s="19"/>
      <c r="M20" s="20"/>
      <c r="N20" s="43"/>
    </row>
    <row r="21" spans="1:14" x14ac:dyDescent="0.3">
      <c r="A21" s="28">
        <v>1.0532999999999999</v>
      </c>
      <c r="B21" s="28">
        <v>116.92149999999999</v>
      </c>
      <c r="D21" s="21" t="s">
        <v>35</v>
      </c>
      <c r="E21" s="12"/>
      <c r="F21" s="13">
        <f>15</f>
        <v>15</v>
      </c>
      <c r="G21" s="14"/>
      <c r="H21" s="15"/>
      <c r="I21" s="16"/>
      <c r="J21" s="17">
        <f>16.1+4.4</f>
        <v>20.5</v>
      </c>
      <c r="K21" s="18"/>
      <c r="L21" s="19"/>
      <c r="M21" s="20"/>
      <c r="N21" s="43"/>
    </row>
    <row r="22" spans="1:14" x14ac:dyDescent="0.3">
      <c r="A22" s="28">
        <v>3.2987666670000002</v>
      </c>
      <c r="B22" s="28">
        <v>116.9458333</v>
      </c>
      <c r="C22" s="29">
        <f>SUM(E22:N22)</f>
        <v>175.55</v>
      </c>
      <c r="D22" s="21" t="s">
        <v>36</v>
      </c>
      <c r="E22" s="12"/>
      <c r="F22" s="13">
        <f>5+3.5+17</f>
        <v>25.5</v>
      </c>
      <c r="G22" s="14">
        <f>17.82+12+5+6+24.4+10</f>
        <v>75.22</v>
      </c>
      <c r="H22" s="15"/>
      <c r="I22" s="16"/>
      <c r="J22" s="17">
        <f>13.26+17.43+12+4.96+7.63+16.4+2.35+0.8</f>
        <v>74.83</v>
      </c>
      <c r="K22" s="18"/>
      <c r="L22" s="19"/>
      <c r="M22" s="20"/>
      <c r="N22" s="43"/>
    </row>
    <row r="23" spans="1:14" x14ac:dyDescent="0.3">
      <c r="D23" s="27">
        <f>SUM(E23:M23)</f>
        <v>3826.7900000000004</v>
      </c>
      <c r="E23" s="25">
        <f>SUM(E3:E22)</f>
        <v>38</v>
      </c>
      <c r="F23" s="25">
        <f t="shared" ref="F23:M23" si="0">SUM(F3:F22)</f>
        <v>2061.5</v>
      </c>
      <c r="G23" s="25">
        <f t="shared" si="0"/>
        <v>946.32</v>
      </c>
      <c r="H23" s="25">
        <f t="shared" si="0"/>
        <v>0</v>
      </c>
      <c r="I23" s="25">
        <f t="shared" si="0"/>
        <v>32.4</v>
      </c>
      <c r="J23" s="25">
        <f>SUM(J3:J22)</f>
        <v>748.57</v>
      </c>
      <c r="K23" s="25">
        <f t="shared" si="0"/>
        <v>0</v>
      </c>
      <c r="L23" s="25">
        <f t="shared" si="0"/>
        <v>0</v>
      </c>
      <c r="M23" s="25">
        <f t="shared" si="0"/>
        <v>0</v>
      </c>
      <c r="N23" s="29">
        <f t="shared" ref="N23" si="1">SUM(N3:N22)</f>
        <v>230</v>
      </c>
    </row>
    <row r="25" spans="1:14" x14ac:dyDescent="0.3">
      <c r="D25" s="29"/>
    </row>
    <row r="30" spans="1:14" x14ac:dyDescent="0.3">
      <c r="A30" t="s">
        <v>59</v>
      </c>
    </row>
    <row r="31" spans="1:14" x14ac:dyDescent="0.3">
      <c r="A31" t="s">
        <v>68</v>
      </c>
    </row>
    <row r="56" spans="1:1" x14ac:dyDescent="0.3">
      <c r="A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931-9D67-474D-B2F7-31728626DDB2}">
  <sheetPr codeName="Sheet4"/>
  <dimension ref="A1:BA64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F10" sqref="F10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8" style="22" bestFit="1" customWidth="1"/>
    <col min="6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1">
        <v>2021</v>
      </c>
      <c r="D1" s="61"/>
      <c r="E1" s="62" t="s">
        <v>12</v>
      </c>
      <c r="F1" s="62"/>
      <c r="G1" s="62"/>
      <c r="H1" s="62"/>
      <c r="I1" s="62"/>
      <c r="J1" s="62"/>
      <c r="K1" s="62"/>
      <c r="L1" s="62"/>
      <c r="M1" s="62"/>
      <c r="N1" s="60" t="s">
        <v>75</v>
      </c>
      <c r="O1" s="60"/>
      <c r="P1" s="60"/>
      <c r="Q1" s="60"/>
      <c r="R1" s="60"/>
      <c r="S1" s="60"/>
      <c r="T1" s="60"/>
      <c r="U1" s="60"/>
      <c r="V1" s="60"/>
      <c r="W1" s="63" t="s">
        <v>14</v>
      </c>
      <c r="X1" s="63"/>
      <c r="Y1" s="63"/>
      <c r="Z1" s="63"/>
      <c r="AA1" s="63"/>
      <c r="AB1" s="63"/>
      <c r="AC1" s="63"/>
      <c r="AD1" s="63"/>
      <c r="AE1" s="63"/>
      <c r="AF1" s="47"/>
      <c r="AG1" s="60" t="s">
        <v>13</v>
      </c>
      <c r="AH1" s="60"/>
      <c r="AI1" s="60"/>
      <c r="AJ1" s="60"/>
      <c r="AK1" s="60"/>
      <c r="AL1" s="60"/>
      <c r="AM1" s="60"/>
      <c r="AN1" s="60"/>
      <c r="AO1" s="60"/>
      <c r="AP1" s="60" t="s">
        <v>67</v>
      </c>
      <c r="AQ1" s="60"/>
      <c r="AR1" s="60"/>
      <c r="AS1" s="60"/>
      <c r="AT1" s="60"/>
      <c r="AU1" s="60"/>
      <c r="AV1" s="60"/>
      <c r="AW1" s="60"/>
      <c r="AX1" s="60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f>24.557-[1]data!$F$2-[1]data!$F$8-[1]data!$F$9</f>
        <v>0.16000000000000103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5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1.1200000000000073E-2</v>
      </c>
      <c r="AC3" s="18">
        <f t="shared" si="0"/>
        <v>30.08</v>
      </c>
      <c r="AD3" s="19" t="e">
        <f>#REF!*U3</f>
        <v>#REF!</v>
      </c>
      <c r="AE3" s="20">
        <f t="shared" ref="AE3:AE19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[1]data!$F$11+[1]data!$F$12+[1]data!$F$13+[1]data!$F$14+[1]data!$F$15-[1]data!$F$12</f>
        <v>133.875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9.3712500000000016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f>[1]data!$F$10+[1]data!$F$17+[1]data!$F$27+[1]data!$F$28+[1]data!$F$30+[1]data!$F$37+[1]data!$F$38-[1]data!$F$17-[1]data!$F$27</f>
        <v>3.0459999999999994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0.21321999999999997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ref="W6:W24" si="2">E6*N6</f>
        <v>1.5</v>
      </c>
      <c r="X6" s="13">
        <f t="shared" ref="X6:X24" si="3">F6*O6</f>
        <v>4.2299999999999995</v>
      </c>
      <c r="Y6" s="14">
        <f t="shared" ref="Y6:Y24" si="4">G6*P6</f>
        <v>0</v>
      </c>
      <c r="Z6" s="15">
        <f t="shared" ref="Z6:Z24" si="5">H6*Q6</f>
        <v>0</v>
      </c>
      <c r="AA6" s="16">
        <v>0</v>
      </c>
      <c r="AB6" s="17">
        <f t="shared" ref="AB6:AB24" si="6">J6*S6</f>
        <v>4.9249200000000002</v>
      </c>
      <c r="AC6" s="18">
        <f t="shared" ref="AC6:AC24" si="7">K6*T6</f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f>166.496-J9-[1]data!$F$18-[1]data!$F$22-[1]data!$F$26</f>
        <v>43.700000000000017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2"/>
        <v>0</v>
      </c>
      <c r="X7" s="13">
        <f t="shared" si="3"/>
        <v>0</v>
      </c>
      <c r="Y7" s="14">
        <f t="shared" si="4"/>
        <v>0</v>
      </c>
      <c r="Z7" s="15">
        <f t="shared" si="5"/>
        <v>0</v>
      </c>
      <c r="AA7" s="16">
        <f t="shared" ref="AA7:AA24" si="8">I7*R7</f>
        <v>67.317250000000001</v>
      </c>
      <c r="AB7" s="17">
        <f t="shared" si="6"/>
        <v>3.0590000000000015</v>
      </c>
      <c r="AC7" s="18">
        <f t="shared" si="7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f>97.691-[1]data!$F$33-[1]data!$F$35-[1]data!$F$45-[1]data!$F$51-[1]data!$F$52-[1]data!$F$53-[1]data!$F$56-[1]data!$F$57-[1]data!$F$58-[1]data!$F$59-[1]data!$F$60-[1]data!$F$64-[1]data!$F$72-[1]data!$F$73-[1]data!$F$74-[1]data!$F$76-[1]data!$F$80-[1]data!$F$102-[1]data!$F$103-[1]data!$F$112-[1]data!$F$116-[1]data!$F$121-[1]data!$F$128</f>
        <v>50.988000000000007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2"/>
        <v>4.3499999999999996</v>
      </c>
      <c r="X8" s="13">
        <f t="shared" si="3"/>
        <v>23.029999999999998</v>
      </c>
      <c r="Y8" s="14">
        <f t="shared" si="4"/>
        <v>0</v>
      </c>
      <c r="Z8" s="15">
        <f t="shared" si="5"/>
        <v>0</v>
      </c>
      <c r="AA8" s="16">
        <f t="shared" si="8"/>
        <v>0.19500000000000003</v>
      </c>
      <c r="AB8" s="17">
        <f t="shared" si="6"/>
        <v>3.569160000000001</v>
      </c>
      <c r="AC8" s="18">
        <f t="shared" si="7"/>
        <v>22.5</v>
      </c>
      <c r="AD8" s="19" t="e">
        <f>#REF!*U8</f>
        <v>#REF!</v>
      </c>
      <c r="AE8" s="20">
        <f t="shared" ref="AE8" si="9">M8*V8</f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94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2"/>
        <v>0</v>
      </c>
      <c r="X9" s="13">
        <f t="shared" si="3"/>
        <v>0</v>
      </c>
      <c r="Y9" s="14">
        <f t="shared" si="4"/>
        <v>0</v>
      </c>
      <c r="Z9" s="15">
        <f t="shared" si="5"/>
        <v>0</v>
      </c>
      <c r="AA9" s="16">
        <f t="shared" si="8"/>
        <v>11.309999999999999</v>
      </c>
      <c r="AB9" s="17">
        <f t="shared" si="6"/>
        <v>1.8690000000000002</v>
      </c>
      <c r="AC9" s="18">
        <f t="shared" si="7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$210-[1]data!$F$182-[1]data!$F$183-[1]data!$F$184-[1]data!$F$188-[1]data!$F$190-[1]data!$F$191-[1]data!$F$192-[1]data!$F$194-[1]data!$F$195-[1]data!$F$196-[1]data!$F$199-[1]data!$F$200-[1]data!$F$202-[1]data!$F$209-[1]data!$F$210</f>
        <v>42.715999999999987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2"/>
        <v>9.9</v>
      </c>
      <c r="X10" s="13">
        <f t="shared" si="3"/>
        <v>0</v>
      </c>
      <c r="Y10" s="14">
        <f t="shared" si="4"/>
        <v>55.000000000000007</v>
      </c>
      <c r="Z10" s="15">
        <f t="shared" si="5"/>
        <v>0</v>
      </c>
      <c r="AA10" s="16">
        <f t="shared" si="8"/>
        <v>0</v>
      </c>
      <c r="AB10" s="17">
        <f t="shared" si="6"/>
        <v>2.9901199999999992</v>
      </c>
      <c r="AC10" s="18">
        <f t="shared" si="7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f>[1]data!$F$212+[1]data!$F$213+[1]data!$F$214+[1]data!$F$215+[1]data!$F$216+[1]data!$F$219+[1]data!$F$220+[1]data!$F$221+[1]data!$F$222+[1]data!$F$223+[1]data!$F$224+[1]data!$F$225+[1]data!$F$226+[1]data!$F$227+[1]data!$F$228+[1]data!$F$231+[1]data!$F$232-[1]data!$F$212-[1]data!$F$215-[1]data!$F$216-[1]data!$F$221-[1]data!$F$222-[1]data!$F$223-[1]data!$F$226-[1]data!$F$227-[1]data!$F$228-[1]data!$F$231-[1]data!$F$232</f>
        <v>4.6660000000000004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2"/>
        <v>0</v>
      </c>
      <c r="X11" s="13">
        <f t="shared" si="3"/>
        <v>23.5</v>
      </c>
      <c r="Y11" s="14">
        <f t="shared" si="4"/>
        <v>0</v>
      </c>
      <c r="Z11" s="15">
        <f t="shared" si="5"/>
        <v>0</v>
      </c>
      <c r="AA11" s="16">
        <f t="shared" si="8"/>
        <v>0</v>
      </c>
      <c r="AB11" s="17">
        <f t="shared" si="6"/>
        <v>0.32662000000000008</v>
      </c>
      <c r="AC11" s="18">
        <f t="shared" si="7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$256-[1]data!$F$193-[1]data!$F$229-[1]data!$F$233-[1]data!$F$234-[1]data!$F$235-[1]data!$F$236-[1]data!$F$237-[1]data!$F$238-[1]data!$F$240-[1]data!$F$243-[1]data!$F$244-[1]data!$F$245-[1]data!$F$246-[1]data!$F$247-[1]data!$F$248-[1]data!$F$251</f>
        <v>25.568000000000005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2"/>
        <v>0</v>
      </c>
      <c r="X12" s="13">
        <f t="shared" si="3"/>
        <v>0</v>
      </c>
      <c r="Y12" s="14">
        <f t="shared" si="4"/>
        <v>0</v>
      </c>
      <c r="Z12" s="15">
        <f t="shared" si="5"/>
        <v>0</v>
      </c>
      <c r="AA12" s="16">
        <f t="shared" si="8"/>
        <v>0</v>
      </c>
      <c r="AB12" s="17">
        <f t="shared" si="6"/>
        <v>1.7897600000000005</v>
      </c>
      <c r="AC12" s="18">
        <f t="shared" si="7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$278-[1]data!$F$259-[1]data!$F$261-[1]data!$F$262-[1]data!$F$266-[1]data!$F$267-[1]data!$F$270-[1]data!$F$271</f>
        <v>12.261000000000005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2"/>
        <v>0</v>
      </c>
      <c r="X13" s="13">
        <f t="shared" si="3"/>
        <v>0</v>
      </c>
      <c r="Y13" s="14">
        <f t="shared" si="4"/>
        <v>0</v>
      </c>
      <c r="Z13" s="15">
        <f t="shared" si="5"/>
        <v>0</v>
      </c>
      <c r="AA13" s="16">
        <f t="shared" si="8"/>
        <v>0</v>
      </c>
      <c r="AB13" s="17">
        <f t="shared" si="6"/>
        <v>0.85827000000000042</v>
      </c>
      <c r="AC13" s="18">
        <f t="shared" si="7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f>[1]data!$F$275+[1]data!$F$279+[1]data!$F$280+[1]data!$F$281+[1]data!$F$282+[1]data!$F$283+[1]data!$F$289-[1]data!$F$275-[1]data!$F$280-[1]data!$F$281-[1]data!$F$282-[1]data!$F$283-[1]data!$F$289</f>
        <v>0.47999999999999987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2"/>
        <v>0</v>
      </c>
      <c r="X14" s="13">
        <f t="shared" si="3"/>
        <v>3.29</v>
      </c>
      <c r="Y14" s="14">
        <f t="shared" si="4"/>
        <v>21.491800000000008</v>
      </c>
      <c r="Z14" s="15">
        <f t="shared" si="5"/>
        <v>0</v>
      </c>
      <c r="AA14" s="16">
        <f t="shared" si="8"/>
        <v>260</v>
      </c>
      <c r="AB14" s="17">
        <f t="shared" si="6"/>
        <v>3.3599999999999991E-2</v>
      </c>
      <c r="AC14" s="18">
        <f t="shared" si="7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[1]data!$F$139+[1]data!$F$140+[1]data!$F$173+[1]data!$F$174+[1]data!$F$175+[1]data!$F$176+-[1]data!$F$178-[1]data!$F$139</f>
        <v>75.849999999999994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2"/>
        <v>0.72</v>
      </c>
      <c r="X15" s="13">
        <f t="shared" si="3"/>
        <v>22.654</v>
      </c>
      <c r="Y15" s="14">
        <f t="shared" si="4"/>
        <v>165</v>
      </c>
      <c r="Z15" s="15">
        <f t="shared" si="5"/>
        <v>0</v>
      </c>
      <c r="AA15" s="16">
        <f t="shared" si="8"/>
        <v>19.5</v>
      </c>
      <c r="AB15" s="17">
        <f t="shared" si="6"/>
        <v>5.3094999999999999</v>
      </c>
      <c r="AC15" s="18">
        <f t="shared" si="7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f>[1]data!$F$149+[1]data!$F$150+[1]data!$F$154+[1]data!$F$165+[1]data!$F$167+[1]data!$F$169+[1]data!$F$171+[1]data!$F$180+[1]data!$F$181+[1]data!$F$158+[1]data!$F$168-[1]data!$F$150-[1]data!$F$154-[1]data!$F$158-[1]data!$F$165-[1]data!$F$167-[1]data!$F$181</f>
        <v>13.934000000000001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2"/>
        <v>0</v>
      </c>
      <c r="X16" s="13">
        <f t="shared" si="3"/>
        <v>54.05</v>
      </c>
      <c r="Y16" s="14">
        <f t="shared" si="4"/>
        <v>0</v>
      </c>
      <c r="Z16" s="15">
        <f t="shared" si="5"/>
        <v>0</v>
      </c>
      <c r="AA16" s="16">
        <f t="shared" si="8"/>
        <v>0</v>
      </c>
      <c r="AB16" s="17">
        <f t="shared" si="6"/>
        <v>0.97538000000000014</v>
      </c>
      <c r="AC16" s="18">
        <f t="shared" si="7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$142+[1]data!$F$147+[1]data!$F$148+[1]data!$F$157+[1]data!$F$159+[1]data!$F$161+[1]data!$F$162+[1]data!$F$166+[1]data!$F$170+[1]data!$F$172+[1]data!$F$177+[1]data!$F$179-[1]data!$F$142-[1]data!$F$148-[1]data!$F$157-[1]data!$F$159-[1]data!$F$161-[1]data!$F$162-[1]data!$F$172-[1]data!$F$179</f>
        <v>2.9600000000000009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2"/>
        <v>0</v>
      </c>
      <c r="X17" s="13">
        <f t="shared" si="3"/>
        <v>195.04999999999998</v>
      </c>
      <c r="Y17" s="14">
        <f t="shared" si="4"/>
        <v>0</v>
      </c>
      <c r="Z17" s="15">
        <f t="shared" si="5"/>
        <v>0</v>
      </c>
      <c r="AA17" s="16">
        <f t="shared" si="8"/>
        <v>0</v>
      </c>
      <c r="AB17" s="17">
        <f t="shared" si="6"/>
        <v>0.20720000000000008</v>
      </c>
      <c r="AC17" s="18">
        <f t="shared" si="7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f>[1]data!$F$290+[1]data!$F$291+[1]data!$F$292+[1]data!$F$293+[1]data!$F$294+[1]data!$F$295+[1]data!$F$296+[1]data!$F$297+[1]data!$F$298+[1]data!$F$299+[1]data!$F$300+[1]data!$F$301+[1]data!$F$302+[1]data!$F$303+[1]data!$F$304-[1]data!$F$290-[1]data!$F$291-[1]data!$F$293-[1]data!$F$294-[1]data!$F$295-[1]data!$F$296-[1]data!$F$297-[1]data!$F$299-[1]data!$F$300-[1]data!$F$301-[1]data!$F$303-[1]data!$F$304</f>
        <v>5.2099999999999991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2"/>
        <v>0</v>
      </c>
      <c r="X18" s="13">
        <f t="shared" si="3"/>
        <v>6.58</v>
      </c>
      <c r="Y18" s="14">
        <f t="shared" si="4"/>
        <v>0</v>
      </c>
      <c r="Z18" s="15">
        <f t="shared" si="5"/>
        <v>0</v>
      </c>
      <c r="AA18" s="16">
        <f t="shared" si="8"/>
        <v>0</v>
      </c>
      <c r="AB18" s="17">
        <f t="shared" si="6"/>
        <v>0.36469999999999997</v>
      </c>
      <c r="AC18" s="18">
        <f t="shared" si="7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f>[1]data!$F$309+[1]data!$F$314+[1]data!$F$316+[1]data!$F$317+[1]data!$F$318+[1]data!$F$319+[1]data!$F$320+[1]data!$F$321+[1]data!$F$322+[1]data!$F$323+[1]data!$F$324+[1]data!$F$325+[1]data!$F$326+[1]data!$F$327+[1]data!$F$328+[1]data!$F$329-[1]data!$F$309-[1]data!$F$314-[1]data!$F$316-[1]data!$F$317-[1]data!$F$318-[1]data!$F$319-[1]data!$F$320-[1]data!$F$321-[1]data!$F$322-[1]data!$F$323-[1]data!$F$324-[1]data!$F$325-[1]data!$F$326-[1]data!$F$329</f>
        <v>7.2940000000000111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2"/>
        <v>0</v>
      </c>
      <c r="X19" s="13">
        <f t="shared" si="3"/>
        <v>51.699999999999996</v>
      </c>
      <c r="Y19" s="14">
        <f t="shared" si="4"/>
        <v>44.550000000000011</v>
      </c>
      <c r="Z19" s="15">
        <f t="shared" si="5"/>
        <v>0</v>
      </c>
      <c r="AA19" s="16">
        <f t="shared" si="8"/>
        <v>0</v>
      </c>
      <c r="AB19" s="17">
        <f t="shared" si="6"/>
        <v>0.51058000000000081</v>
      </c>
      <c r="AC19" s="18">
        <f t="shared" si="7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$369-[1]data!$F$335-[1]data!$F$336-[1]data!$F$337-[1]data!$F$338-[1]data!$F$348-[1]data!$F$349-[1]data!$F$350-[1]data!$F$352-[1]data!$F$353-[1]data!$F$358-[1]data!$F$366-[1]data!$F$367-[1]data!$F$368</f>
        <v>145.79000000000005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3"/>
        <v>159.565</v>
      </c>
      <c r="Y20" s="14">
        <f t="shared" si="4"/>
        <v>5.28</v>
      </c>
      <c r="Z20" s="15">
        <f t="shared" si="5"/>
        <v>0</v>
      </c>
      <c r="AA20" s="16">
        <f t="shared" si="8"/>
        <v>58.5</v>
      </c>
      <c r="AB20" s="17">
        <f t="shared" si="6"/>
        <v>10.205300000000005</v>
      </c>
      <c r="AC20" s="18">
        <f t="shared" si="7"/>
        <v>57.2</v>
      </c>
      <c r="AD20" s="19" t="e">
        <f>#REF!*U20</f>
        <v>#REF!</v>
      </c>
      <c r="AE20" s="20">
        <f t="shared" ref="AE20:AE24" si="10">M20*V20</f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</f>
        <v>0.21999999999999753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3"/>
        <v>121.72999999999999</v>
      </c>
      <c r="Y21" s="14">
        <f t="shared" si="4"/>
        <v>28.204000000000004</v>
      </c>
      <c r="Z21" s="15">
        <f t="shared" si="5"/>
        <v>0</v>
      </c>
      <c r="AA21" s="16">
        <f t="shared" si="8"/>
        <v>11.700000000000001</v>
      </c>
      <c r="AB21" s="17">
        <f t="shared" si="6"/>
        <v>1.5399999999999829E-2</v>
      </c>
      <c r="AC21" s="18">
        <f t="shared" si="7"/>
        <v>24.81</v>
      </c>
      <c r="AD21" s="19" t="e">
        <f>#REF!*U21</f>
        <v>#REF!</v>
      </c>
      <c r="AE21" s="20">
        <f t="shared" si="10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$408-[1]data!$F$391-[1]data!$F$398-[1]data!$F$399-[1]data!$F$400</f>
        <v>31.411000000000008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3"/>
        <v>27.086099999999998</v>
      </c>
      <c r="Y22" s="14">
        <f t="shared" si="4"/>
        <v>0</v>
      </c>
      <c r="Z22" s="15">
        <f t="shared" si="5"/>
        <v>0</v>
      </c>
      <c r="AA22" s="16">
        <f t="shared" si="8"/>
        <v>100.75</v>
      </c>
      <c r="AB22" s="17">
        <f t="shared" si="6"/>
        <v>2.198770000000001</v>
      </c>
      <c r="AC22" s="18">
        <f t="shared" si="7"/>
        <v>5.5</v>
      </c>
      <c r="AD22" s="19" t="e">
        <f>#REF!*U22</f>
        <v>#REF!</v>
      </c>
      <c r="AE22" s="20">
        <f t="shared" si="10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$463-J24-[1]data!$F$410-[1]data!$F$414-[1]data!$F$415-[1]data!$F$418-[1]data!$F$419-[1]data!$F$423-[1]data!$F$428-[1]data!$F$429-[1]data!$F$430-[1]data!$F$435-[1]data!$F$452-[1]data!$F$453-[1]data!$F$461-[1]data!$F$463</f>
        <v>24.101999999999997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3"/>
        <v>0</v>
      </c>
      <c r="Y23" s="14">
        <f t="shared" si="4"/>
        <v>88.288200000000018</v>
      </c>
      <c r="Z23" s="15">
        <f t="shared" si="5"/>
        <v>0</v>
      </c>
      <c r="AA23" s="16">
        <f t="shared" si="8"/>
        <v>58.655999999999999</v>
      </c>
      <c r="AB23" s="17">
        <f t="shared" si="6"/>
        <v>1.6871399999999999</v>
      </c>
      <c r="AC23" s="18">
        <f t="shared" si="7"/>
        <v>4.1500000000000004</v>
      </c>
      <c r="AD23" s="19" t="e">
        <f>#REF!*U23</f>
        <v>#REF!</v>
      </c>
      <c r="AE23" s="20">
        <f t="shared" ref="AE23" si="11">M23*V23</f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93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3"/>
        <v>0</v>
      </c>
      <c r="Y24" s="14">
        <f t="shared" si="4"/>
        <v>2.75</v>
      </c>
      <c r="Z24" s="15">
        <f t="shared" si="5"/>
        <v>0</v>
      </c>
      <c r="AA24" s="16">
        <f t="shared" si="8"/>
        <v>195</v>
      </c>
      <c r="AB24" s="17">
        <f t="shared" si="6"/>
        <v>1.9327000000000001</v>
      </c>
      <c r="AC24" s="18">
        <f t="shared" si="7"/>
        <v>5.74</v>
      </c>
      <c r="AD24" s="19" t="e">
        <f>#REF!*U24</f>
        <v>#REF!</v>
      </c>
      <c r="AE24" s="20">
        <f t="shared" si="10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5599.9569999999994</v>
      </c>
      <c r="E25" s="25">
        <f>SUM(E3:E24)</f>
        <v>221.71</v>
      </c>
      <c r="F25" s="25">
        <f t="shared" ref="F25:M25" si="12">SUM(F3:F24)</f>
        <v>1988.3300000000002</v>
      </c>
      <c r="G25" s="25">
        <f t="shared" si="12"/>
        <v>1046.48</v>
      </c>
      <c r="H25" s="25">
        <f t="shared" si="12"/>
        <v>0</v>
      </c>
      <c r="I25" s="25">
        <f t="shared" si="12"/>
        <v>1217.47</v>
      </c>
      <c r="J25" s="25">
        <f t="shared" si="12"/>
        <v>748.89700000000016</v>
      </c>
      <c r="K25" s="25">
        <f t="shared" si="12"/>
        <v>307.06999999999994</v>
      </c>
      <c r="L25" s="25">
        <f t="shared" ref="L25" si="13">SUM(L3:L24)</f>
        <v>70</v>
      </c>
      <c r="M25" s="25">
        <f t="shared" si="12"/>
        <v>0</v>
      </c>
      <c r="W25" s="29">
        <f>SUM(W3:W24)</f>
        <v>66.512999999999991</v>
      </c>
      <c r="X25" s="29">
        <f t="shared" ref="X25:AF25" si="14">SUM(X3:X24)</f>
        <v>934.51510000000007</v>
      </c>
      <c r="Y25" s="29">
        <f t="shared" si="14"/>
        <v>575.56400000000008</v>
      </c>
      <c r="Z25" s="29">
        <f t="shared" si="14"/>
        <v>0</v>
      </c>
      <c r="AA25" s="29">
        <f t="shared" si="14"/>
        <v>791.35549999999989</v>
      </c>
      <c r="AB25" s="29">
        <f t="shared" si="14"/>
        <v>52.422789999999999</v>
      </c>
      <c r="AC25" s="29">
        <f t="shared" si="14"/>
        <v>307.06999999999994</v>
      </c>
      <c r="AD25" s="29" t="e">
        <f t="shared" si="14"/>
        <v>#REF!</v>
      </c>
      <c r="AE25" s="29">
        <f t="shared" si="14"/>
        <v>0</v>
      </c>
      <c r="AF25" s="29">
        <f t="shared" si="14"/>
        <v>0</v>
      </c>
    </row>
    <row r="26" spans="1:53" x14ac:dyDescent="0.3">
      <c r="D26" s="36" t="e">
        <f>SUM(W25:AE25)</f>
        <v>#REF!</v>
      </c>
      <c r="E26" s="25"/>
      <c r="F26" s="25"/>
      <c r="G26" s="25"/>
      <c r="H26" s="25"/>
      <c r="I26" s="25"/>
      <c r="J26" s="44">
        <v>227.99</v>
      </c>
      <c r="K26" s="25"/>
      <c r="L26" s="25"/>
      <c r="M26" s="25"/>
      <c r="V26" s="29" t="e">
        <f>SUM(W26:AF26)</f>
        <v>#REF!</v>
      </c>
      <c r="W26" s="38" t="e">
        <f>W25/$D$26*100</f>
        <v>#REF!</v>
      </c>
      <c r="X26" s="38" t="e">
        <f t="shared" ref="X26:AF26" si="15">X25/$D$26*100</f>
        <v>#REF!</v>
      </c>
      <c r="Y26" s="38" t="e">
        <f t="shared" si="15"/>
        <v>#REF!</v>
      </c>
      <c r="Z26" s="38" t="e">
        <f t="shared" si="15"/>
        <v>#REF!</v>
      </c>
      <c r="AA26" s="38" t="e">
        <f t="shared" si="15"/>
        <v>#REF!</v>
      </c>
      <c r="AB26" s="38" t="e">
        <f t="shared" si="15"/>
        <v>#REF!</v>
      </c>
      <c r="AC26" s="38" t="e">
        <f t="shared" si="15"/>
        <v>#REF!</v>
      </c>
      <c r="AD26" s="38" t="e">
        <f t="shared" si="15"/>
        <v>#REF!</v>
      </c>
      <c r="AE26" s="38" t="e">
        <f t="shared" si="15"/>
        <v>#REF!</v>
      </c>
      <c r="AF26" s="38" t="e">
        <f t="shared" si="15"/>
        <v>#REF!</v>
      </c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</row>
    <row r="27" spans="1:53" x14ac:dyDescent="0.3">
      <c r="D27" s="37">
        <f>SUMPRODUCT(E3:M24,AG3:AO24)</f>
        <v>2192.9997500000009</v>
      </c>
      <c r="E27" s="25"/>
      <c r="F27" s="25"/>
      <c r="G27" s="25"/>
      <c r="H27" s="25"/>
      <c r="I27" s="25"/>
      <c r="J27" s="25">
        <f>J26/J25</f>
        <v>0.30443438817354052</v>
      </c>
      <c r="K27" s="25"/>
      <c r="L27" s="25"/>
      <c r="M27" s="25"/>
      <c r="V27" t="s">
        <v>69</v>
      </c>
      <c r="W27" s="39">
        <v>0.52</v>
      </c>
      <c r="X27" s="39">
        <v>68.58</v>
      </c>
      <c r="Y27" s="39">
        <v>16.3</v>
      </c>
      <c r="Z27" s="39">
        <v>0</v>
      </c>
      <c r="AA27" s="39">
        <v>1.04</v>
      </c>
      <c r="AB27" s="39">
        <v>6.73</v>
      </c>
      <c r="AC27" s="39">
        <v>0</v>
      </c>
      <c r="AD27" s="39">
        <v>0</v>
      </c>
      <c r="AE27" s="39">
        <v>0</v>
      </c>
      <c r="AF27" s="39">
        <v>6.82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D28" s="37"/>
      <c r="E28" s="25"/>
      <c r="F28" s="25"/>
      <c r="G28" s="25"/>
      <c r="H28" s="25"/>
      <c r="I28" s="25"/>
      <c r="J28" s="25">
        <f>J26-J25</f>
        <v>-520.90700000000015</v>
      </c>
      <c r="K28" s="25"/>
      <c r="L28" s="25"/>
      <c r="M28" s="25"/>
      <c r="T28" t="s">
        <v>78</v>
      </c>
      <c r="U28" t="s">
        <v>77</v>
      </c>
      <c r="V28" t="s">
        <v>76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71</v>
      </c>
      <c r="D29" s="48">
        <f>SUM(E29:K29)+AF29</f>
        <v>1691.2750000000001</v>
      </c>
      <c r="E29" s="25">
        <f>SUM(E3:E9)</f>
        <v>185.5</v>
      </c>
      <c r="F29" s="25">
        <f t="shared" ref="F29:M29" si="16">SUM(F3:F9)</f>
        <v>573</v>
      </c>
      <c r="G29" s="25">
        <f t="shared" si="16"/>
        <v>300</v>
      </c>
      <c r="H29" s="25">
        <f t="shared" si="16"/>
        <v>0</v>
      </c>
      <c r="I29" s="25">
        <f t="shared" si="16"/>
        <v>134.22999999999999</v>
      </c>
      <c r="J29" s="25">
        <f t="shared" si="16"/>
        <v>328.82499999999999</v>
      </c>
      <c r="K29" s="25">
        <f t="shared" si="16"/>
        <v>169.72</v>
      </c>
      <c r="L29" s="25">
        <f t="shared" ref="L29" si="17">SUM(L3:L9)</f>
        <v>0</v>
      </c>
      <c r="M29" s="25">
        <f t="shared" si="16"/>
        <v>0</v>
      </c>
      <c r="N29" s="29">
        <f>SUM(E29:M29)</f>
        <v>1691.2750000000001</v>
      </c>
      <c r="O29" s="29">
        <f>N29*19.55%</f>
        <v>330.64426250000002</v>
      </c>
      <c r="S29" t="e">
        <f>(V29+90)/[2]calliope_2!$D$11</f>
        <v>#REF!</v>
      </c>
      <c r="T29">
        <v>0.93240000000000001</v>
      </c>
      <c r="U29" s="29" t="e">
        <f>V29-[2]calliope_2!$L$2</f>
        <v>#REF!</v>
      </c>
      <c r="V29" s="41" t="e">
        <f>SUM(W3:AE9)</f>
        <v>#REF!</v>
      </c>
      <c r="W29" s="25">
        <f t="shared" ref="W29:AF29" si="18">SUM(W3:W9)</f>
        <v>55.65</v>
      </c>
      <c r="X29" s="25">
        <f t="shared" si="18"/>
        <v>269.31</v>
      </c>
      <c r="Y29" s="25">
        <f t="shared" si="18"/>
        <v>165</v>
      </c>
      <c r="Z29" s="25">
        <f t="shared" si="18"/>
        <v>0</v>
      </c>
      <c r="AA29" s="25">
        <f t="shared" si="18"/>
        <v>87.249499999999998</v>
      </c>
      <c r="AB29" s="25">
        <f t="shared" si="18"/>
        <v>23.017750000000003</v>
      </c>
      <c r="AC29" s="25">
        <f t="shared" si="18"/>
        <v>169.72</v>
      </c>
      <c r="AD29" s="25" t="e">
        <f t="shared" si="18"/>
        <v>#REF!</v>
      </c>
      <c r="AE29" s="25">
        <f t="shared" si="18"/>
        <v>0</v>
      </c>
      <c r="AF29" s="25">
        <f t="shared" si="18"/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C30" s="22" t="s">
        <v>72</v>
      </c>
      <c r="D30" s="48">
        <f>SUM(E30:K30)+AF30</f>
        <v>1749.761</v>
      </c>
      <c r="E30" s="25">
        <f>SUM(E10:E17)</f>
        <v>35.4</v>
      </c>
      <c r="F30" s="25">
        <f t="shared" ref="F30:M30" si="19">SUM(F10:F17)</f>
        <v>635.20000000000005</v>
      </c>
      <c r="G30" s="25">
        <f t="shared" si="19"/>
        <v>439.07600000000002</v>
      </c>
      <c r="H30" s="25">
        <f t="shared" si="19"/>
        <v>0</v>
      </c>
      <c r="I30" s="25">
        <f t="shared" si="19"/>
        <v>430</v>
      </c>
      <c r="J30" s="25">
        <f t="shared" si="19"/>
        <v>178.435</v>
      </c>
      <c r="K30" s="25">
        <f t="shared" si="19"/>
        <v>31.650000000000002</v>
      </c>
      <c r="L30" s="25">
        <f t="shared" ref="L30" si="20">SUM(L10:L17)</f>
        <v>70</v>
      </c>
      <c r="M30" s="25">
        <f t="shared" si="19"/>
        <v>0</v>
      </c>
      <c r="N30" s="29">
        <f>SUM(E30:M30)</f>
        <v>1819.761</v>
      </c>
      <c r="O30" s="29">
        <f>N30*14.02%</f>
        <v>255.13049219999999</v>
      </c>
      <c r="S30" t="e">
        <f>SUM(V30:V31)/SUM([2]calliope_2!$E$11:$F$11)</f>
        <v>#REF!</v>
      </c>
      <c r="T30">
        <v>0.95479999999999998</v>
      </c>
      <c r="U30" s="29" t="e">
        <f>V30-(SUM([2]calliope_2!$M$2:$N$2))</f>
        <v>#REF!</v>
      </c>
      <c r="V30" s="41" t="e">
        <f>SUMPRODUCT(W10:AE17)</f>
        <v>#REF!</v>
      </c>
      <c r="W30" s="25">
        <f t="shared" ref="W30:AF30" si="21">SUM(W10:W17)</f>
        <v>10.620000000000001</v>
      </c>
      <c r="X30" s="25">
        <f t="shared" si="21"/>
        <v>298.54399999999998</v>
      </c>
      <c r="Y30" s="25">
        <f t="shared" si="21"/>
        <v>241.49180000000001</v>
      </c>
      <c r="Z30" s="25">
        <f t="shared" si="21"/>
        <v>0</v>
      </c>
      <c r="AA30" s="25">
        <f t="shared" si="21"/>
        <v>279.5</v>
      </c>
      <c r="AB30" s="25">
        <f t="shared" si="21"/>
        <v>12.490449999999999</v>
      </c>
      <c r="AC30" s="25">
        <f t="shared" si="21"/>
        <v>31.650000000000002</v>
      </c>
      <c r="AD30" s="25" t="e">
        <f t="shared" si="21"/>
        <v>#REF!</v>
      </c>
      <c r="AE30" s="25">
        <f t="shared" si="21"/>
        <v>0</v>
      </c>
      <c r="AF30" s="25">
        <f t="shared" si="21"/>
        <v>0</v>
      </c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73</v>
      </c>
      <c r="D31" s="48">
        <f>SUM(E31:K31)+AF31</f>
        <v>2088.9209999999998</v>
      </c>
      <c r="E31" s="25">
        <f>SUM(E18:E24)</f>
        <v>0.81</v>
      </c>
      <c r="F31" s="25">
        <f t="shared" ref="F31:M31" si="22">SUM(F18:F24)</f>
        <v>780.13</v>
      </c>
      <c r="G31" s="25">
        <f t="shared" si="22"/>
        <v>307.404</v>
      </c>
      <c r="H31" s="25">
        <f t="shared" si="22"/>
        <v>0</v>
      </c>
      <c r="I31" s="25">
        <f t="shared" si="22"/>
        <v>653.24</v>
      </c>
      <c r="J31" s="25">
        <f t="shared" si="22"/>
        <v>241.63700000000006</v>
      </c>
      <c r="K31" s="25">
        <f t="shared" si="22"/>
        <v>105.7</v>
      </c>
      <c r="L31" s="25">
        <f t="shared" ref="L31" si="23">SUM(L18:L24)</f>
        <v>0</v>
      </c>
      <c r="M31" s="25">
        <f t="shared" si="22"/>
        <v>0</v>
      </c>
      <c r="N31" s="29">
        <f>SUM(E31:M31)</f>
        <v>2088.9209999999998</v>
      </c>
      <c r="O31" s="29">
        <f>N31*31.62%</f>
        <v>660.51682019999998</v>
      </c>
      <c r="T31">
        <v>0.94810000000000005</v>
      </c>
      <c r="U31" s="29" t="e">
        <f>V31-SUM([2]calliope_2!$O$2:$P$2)</f>
        <v>#REF!</v>
      </c>
      <c r="V31" s="41" t="e">
        <f>SUMPRODUCT(W18:AE24)</f>
        <v>#REF!</v>
      </c>
      <c r="W31" s="25">
        <f t="shared" ref="W31:AF31" si="24">SUM(W18:W24)</f>
        <v>0.24299999999999999</v>
      </c>
      <c r="X31" s="25">
        <f t="shared" si="24"/>
        <v>366.66109999999998</v>
      </c>
      <c r="Y31" s="25">
        <f t="shared" si="24"/>
        <v>169.07220000000004</v>
      </c>
      <c r="Z31" s="25">
        <f t="shared" si="24"/>
        <v>0</v>
      </c>
      <c r="AA31" s="25">
        <f t="shared" si="24"/>
        <v>424.60599999999999</v>
      </c>
      <c r="AB31" s="25">
        <f t="shared" si="24"/>
        <v>16.914590000000004</v>
      </c>
      <c r="AC31" s="25">
        <f t="shared" si="24"/>
        <v>105.7</v>
      </c>
      <c r="AD31" s="25" t="e">
        <f t="shared" si="24"/>
        <v>#REF!</v>
      </c>
      <c r="AE31" s="25">
        <f t="shared" si="24"/>
        <v>0</v>
      </c>
      <c r="AF31" s="25">
        <f t="shared" si="24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A32" t="s">
        <v>59</v>
      </c>
      <c r="D32" s="49"/>
      <c r="E32" s="25"/>
      <c r="F32" s="25"/>
      <c r="G32" s="25"/>
      <c r="H32" s="25"/>
      <c r="I32" s="25"/>
      <c r="J32" s="25"/>
      <c r="K32" s="25"/>
      <c r="L32" s="25"/>
      <c r="M32" s="25"/>
      <c r="N32" s="29">
        <f>SUM(N29:N31)</f>
        <v>5599.9570000000003</v>
      </c>
      <c r="O32" s="29">
        <f>SUM(O29:O31)</f>
        <v>1246.2915748999999</v>
      </c>
      <c r="AE32" t="s">
        <v>70</v>
      </c>
    </row>
    <row r="33" spans="1:32" x14ac:dyDescent="0.3">
      <c r="A33" t="s">
        <v>68</v>
      </c>
      <c r="E33" s="25"/>
      <c r="F33" s="25"/>
      <c r="G33" s="25"/>
      <c r="H33" s="25"/>
      <c r="I33" s="25"/>
      <c r="J33" s="25"/>
      <c r="K33" s="25"/>
      <c r="L33" s="25"/>
      <c r="M33" s="25"/>
      <c r="AE33" s="39">
        <v>6.82</v>
      </c>
      <c r="AF33" s="39"/>
    </row>
    <row r="34" spans="1:32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1:32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1:32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32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32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32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32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32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32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32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32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32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32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32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32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8" spans="1:13" x14ac:dyDescent="0.3">
      <c r="A58" t="s">
        <v>74</v>
      </c>
    </row>
    <row r="64" spans="1:13" x14ac:dyDescent="0.3">
      <c r="C64" s="59"/>
      <c r="D64" s="59"/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2B3-252A-46DA-B20A-32B68CAAE093}">
  <sheetPr codeName="Sheet5"/>
  <dimension ref="A1:BA58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K20" sqref="K20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8" style="22" bestFit="1" customWidth="1"/>
    <col min="6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1">
        <v>2021</v>
      </c>
      <c r="D1" s="61"/>
      <c r="E1" s="62" t="s">
        <v>12</v>
      </c>
      <c r="F1" s="62"/>
      <c r="G1" s="62"/>
      <c r="H1" s="62"/>
      <c r="I1" s="62"/>
      <c r="J1" s="62"/>
      <c r="K1" s="62"/>
      <c r="L1" s="62"/>
      <c r="M1" s="62"/>
      <c r="N1" s="60" t="s">
        <v>75</v>
      </c>
      <c r="O1" s="60"/>
      <c r="P1" s="60"/>
      <c r="Q1" s="60"/>
      <c r="R1" s="60"/>
      <c r="S1" s="60"/>
      <c r="T1" s="60"/>
      <c r="U1" s="60"/>
      <c r="V1" s="60"/>
      <c r="W1" s="63" t="s">
        <v>14</v>
      </c>
      <c r="X1" s="63"/>
      <c r="Y1" s="63"/>
      <c r="Z1" s="63"/>
      <c r="AA1" s="63"/>
      <c r="AB1" s="63"/>
      <c r="AC1" s="63"/>
      <c r="AD1" s="63"/>
      <c r="AE1" s="63"/>
      <c r="AF1" s="47"/>
      <c r="AG1" s="60" t="s">
        <v>13</v>
      </c>
      <c r="AH1" s="60"/>
      <c r="AI1" s="60"/>
      <c r="AJ1" s="60"/>
      <c r="AK1" s="60"/>
      <c r="AL1" s="60"/>
      <c r="AM1" s="60"/>
      <c r="AN1" s="60"/>
      <c r="AO1" s="60"/>
      <c r="AP1" s="60" t="s">
        <v>67</v>
      </c>
      <c r="AQ1" s="60"/>
      <c r="AR1" s="60"/>
      <c r="AS1" s="60"/>
      <c r="AT1" s="60"/>
      <c r="AU1" s="60"/>
      <c r="AV1" s="60"/>
      <c r="AW1" s="60"/>
      <c r="AX1" s="60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1308/5</f>
        <v>261.60000000000002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f>'esdm+ruptl_2030'!I3</f>
        <v>0</v>
      </c>
      <c r="J3" s="17">
        <v>0</v>
      </c>
      <c r="K3" s="18">
        <v>0</v>
      </c>
      <c r="L3" s="57">
        <v>0</v>
      </c>
      <c r="M3" s="54">
        <f>wind_sergio!$C$2/3*1000</f>
        <v>6096.666666666667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W24" si="0">E3*N3</f>
        <v>78.48</v>
      </c>
      <c r="X3" s="13">
        <f t="shared" ref="X3:X24" si="1">F3*O3</f>
        <v>164.5</v>
      </c>
      <c r="Y3" s="14">
        <f t="shared" ref="Y3:Y24" si="2">G3*P3</f>
        <v>0</v>
      </c>
      <c r="Z3" s="15" t="e">
        <f>#REF!*Q3</f>
        <v>#REF!</v>
      </c>
      <c r="AA3" s="16">
        <f t="shared" ref="AA3:AC5" si="3">I3*R3</f>
        <v>0</v>
      </c>
      <c r="AB3" s="17">
        <f t="shared" si="3"/>
        <v>0</v>
      </c>
      <c r="AC3" s="18">
        <f t="shared" si="3"/>
        <v>0</v>
      </c>
      <c r="AD3" s="19" t="e">
        <f>#REF!*U3</f>
        <v>#REF!</v>
      </c>
      <c r="AE3" s="20">
        <f t="shared" ref="AE3:AE24" si="4">M3*V3</f>
        <v>6096.666666666667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 t="shared" ref="E4:E9" si="5">1308/5</f>
        <v>261.60000000000002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f>'esdm+ruptl_2030'!I4</f>
        <v>0</v>
      </c>
      <c r="J4" s="17">
        <v>0</v>
      </c>
      <c r="K4" s="18">
        <f>solar_iesr!$B$2/5*1000</f>
        <v>194800</v>
      </c>
      <c r="L4" s="57">
        <v>0</v>
      </c>
      <c r="M4" s="54">
        <f>wind_sergio!$C$2/3*1000</f>
        <v>6096.666666666667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78.48</v>
      </c>
      <c r="X4" s="13">
        <f t="shared" si="1"/>
        <v>0</v>
      </c>
      <c r="Y4" s="14">
        <f t="shared" si="2"/>
        <v>165</v>
      </c>
      <c r="Z4" s="15" t="e">
        <f>#REF!*Q4</f>
        <v>#REF!</v>
      </c>
      <c r="AA4" s="16">
        <f t="shared" si="3"/>
        <v>0</v>
      </c>
      <c r="AB4" s="17">
        <f t="shared" si="3"/>
        <v>0</v>
      </c>
      <c r="AC4" s="18">
        <f t="shared" si="3"/>
        <v>194800</v>
      </c>
      <c r="AD4" s="19" t="e">
        <f>#REF!*U4</f>
        <v>#REF!</v>
      </c>
      <c r="AE4" s="20">
        <f t="shared" si="4"/>
        <v>6096.666666666667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 t="shared" si="5"/>
        <v>261.60000000000002</v>
      </c>
      <c r="F5" s="13">
        <v>0</v>
      </c>
      <c r="G5" s="14">
        <f>'esdm+ruptl_2030'!G5</f>
        <v>0</v>
      </c>
      <c r="H5" s="15">
        <f>'esdm+ruptl_2030'!H5</f>
        <v>0</v>
      </c>
      <c r="I5" s="16">
        <f>3713/4</f>
        <v>928.25</v>
      </c>
      <c r="J5" s="17">
        <v>0</v>
      </c>
      <c r="K5" s="18">
        <f>solar_iesr!$B$2/5*1000</f>
        <v>194800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78.48</v>
      </c>
      <c r="X5" s="13">
        <f t="shared" si="1"/>
        <v>0</v>
      </c>
      <c r="Y5" s="14">
        <f t="shared" si="2"/>
        <v>0</v>
      </c>
      <c r="Z5" s="15" t="e">
        <f>#REF!*Q5</f>
        <v>#REF!</v>
      </c>
      <c r="AA5" s="16">
        <f t="shared" si="3"/>
        <v>603.36250000000007</v>
      </c>
      <c r="AB5" s="17">
        <f t="shared" si="3"/>
        <v>0</v>
      </c>
      <c r="AC5" s="18">
        <f t="shared" si="3"/>
        <v>194800</v>
      </c>
      <c r="AD5" s="19" t="e">
        <f>#REF!*U5</f>
        <v>#REF!</v>
      </c>
      <c r="AE5" s="20">
        <f t="shared" si="4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 t="shared" si="5"/>
        <v>261.60000000000002</v>
      </c>
      <c r="F6" s="13">
        <v>0</v>
      </c>
      <c r="G6" s="14">
        <f>'esdm+ruptl_2030'!G6</f>
        <v>0</v>
      </c>
      <c r="H6" s="15">
        <f>'esdm+ruptl_2030'!H6</f>
        <v>0</v>
      </c>
      <c r="I6" s="16">
        <f>'esdm+ruptl_2030'!I6</f>
        <v>0</v>
      </c>
      <c r="J6" s="17">
        <v>0</v>
      </c>
      <c r="K6" s="18">
        <f>solar_iesr!$B$2/5*1000</f>
        <v>194800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78.48</v>
      </c>
      <c r="X6" s="13">
        <f t="shared" si="1"/>
        <v>0</v>
      </c>
      <c r="Y6" s="14">
        <f t="shared" si="2"/>
        <v>0</v>
      </c>
      <c r="Z6" s="15" t="e">
        <f>#REF!*Q6</f>
        <v>#REF!</v>
      </c>
      <c r="AA6" s="16">
        <v>0</v>
      </c>
      <c r="AB6" s="17">
        <f t="shared" ref="AB6:AB24" si="6">J6*S6</f>
        <v>0</v>
      </c>
      <c r="AC6" s="18">
        <f t="shared" ref="AC6:AC24" si="7">K6*T6</f>
        <v>194800</v>
      </c>
      <c r="AD6" s="19" t="e">
        <f>#REF!*U6</f>
        <v>#REF!</v>
      </c>
      <c r="AE6" s="20">
        <f t="shared" si="4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f t="shared" si="5"/>
        <v>261.60000000000002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3713/4</f>
        <v>928.25</v>
      </c>
      <c r="J7" s="17">
        <v>0</v>
      </c>
      <c r="K7" s="18">
        <f>solar_iesr!$B$2/5*1000</f>
        <v>194800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78.48</v>
      </c>
      <c r="X7" s="13">
        <f t="shared" si="1"/>
        <v>0</v>
      </c>
      <c r="Y7" s="14">
        <f t="shared" si="2"/>
        <v>0</v>
      </c>
      <c r="Z7" s="15" t="e">
        <f>#REF!*Q7</f>
        <v>#REF!</v>
      </c>
      <c r="AA7" s="16">
        <f t="shared" ref="AA7:AA24" si="8">I7*R7</f>
        <v>603.36250000000007</v>
      </c>
      <c r="AB7" s="17">
        <f t="shared" si="6"/>
        <v>0</v>
      </c>
      <c r="AC7" s="18">
        <f t="shared" si="7"/>
        <v>194800</v>
      </c>
      <c r="AD7" s="19" t="e">
        <f>#REF!*U7</f>
        <v>#REF!</v>
      </c>
      <c r="AE7" s="20">
        <f t="shared" si="4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 t="shared" si="5"/>
        <v>261.60000000000002</v>
      </c>
      <c r="F8" s="13">
        <v>0</v>
      </c>
      <c r="G8" s="14">
        <f>'esdm+ruptl_2030'!G8</f>
        <v>0</v>
      </c>
      <c r="H8" s="15">
        <f>'esdm+ruptl_2030'!H8</f>
        <v>0</v>
      </c>
      <c r="I8" s="16">
        <f>3713/4</f>
        <v>928.25</v>
      </c>
      <c r="J8" s="17">
        <v>0</v>
      </c>
      <c r="K8" s="18">
        <f>solar_iesr!$B$2/5*1000</f>
        <v>194800</v>
      </c>
      <c r="L8" s="57">
        <f>wind_sergio!$B$2*1000</f>
        <v>1010</v>
      </c>
      <c r="M8" s="54">
        <f>wind_sergio!$C$2/3*1000</f>
        <v>6096.666666666667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78.48</v>
      </c>
      <c r="X8" s="13">
        <f t="shared" si="1"/>
        <v>0</v>
      </c>
      <c r="Y8" s="14">
        <f t="shared" si="2"/>
        <v>0</v>
      </c>
      <c r="Z8" s="15" t="e">
        <f>#REF!*Q8</f>
        <v>#REF!</v>
      </c>
      <c r="AA8" s="16">
        <f t="shared" si="8"/>
        <v>603.36250000000007</v>
      </c>
      <c r="AB8" s="17">
        <f t="shared" si="6"/>
        <v>0</v>
      </c>
      <c r="AC8" s="18">
        <f t="shared" si="7"/>
        <v>194800</v>
      </c>
      <c r="AD8" s="19" t="e">
        <f>#REF!*U8</f>
        <v>#REF!</v>
      </c>
      <c r="AE8" s="20">
        <f t="shared" si="4"/>
        <v>6096.666666666667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94</v>
      </c>
      <c r="E9" s="12">
        <f t="shared" si="5"/>
        <v>261.60000000000002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3713/4</f>
        <v>928.25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78.48</v>
      </c>
      <c r="X9" s="13">
        <f t="shared" si="1"/>
        <v>0</v>
      </c>
      <c r="Y9" s="14">
        <f t="shared" si="2"/>
        <v>0</v>
      </c>
      <c r="Z9" s="15" t="e">
        <f>#REF!*Q9</f>
        <v>#REF!</v>
      </c>
      <c r="AA9" s="16">
        <f t="shared" si="8"/>
        <v>603.36250000000007</v>
      </c>
      <c r="AB9" s="17">
        <f t="shared" si="6"/>
        <v>0</v>
      </c>
      <c r="AC9" s="18">
        <f t="shared" si="7"/>
        <v>0</v>
      </c>
      <c r="AD9" s="19" t="e">
        <f>#REF!*U9</f>
        <v>#REF!</v>
      </c>
      <c r="AE9" s="20">
        <f t="shared" si="4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v>299.8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f>'esdm+ruptl_2030'!I10</f>
        <v>0</v>
      </c>
      <c r="J10" s="17">
        <v>0</v>
      </c>
      <c r="K10" s="18">
        <f>solar_iesr!$B$3/5*1000</f>
        <v>114400</v>
      </c>
      <c r="L10" s="57">
        <f>wind_sergio!$B$3/4*1000</f>
        <v>295</v>
      </c>
      <c r="M10" s="54">
        <f>wind_sergio!$C$3/3*1000</f>
        <v>6943.3333333333321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89.94</v>
      </c>
      <c r="X10" s="13">
        <f t="shared" si="1"/>
        <v>0</v>
      </c>
      <c r="Y10" s="14">
        <f t="shared" si="2"/>
        <v>55.000000000000007</v>
      </c>
      <c r="Z10" s="15" t="e">
        <f>#REF!*Q10</f>
        <v>#REF!</v>
      </c>
      <c r="AA10" s="16">
        <f t="shared" si="8"/>
        <v>0</v>
      </c>
      <c r="AB10" s="17">
        <f t="shared" si="6"/>
        <v>0</v>
      </c>
      <c r="AC10" s="18">
        <f t="shared" si="7"/>
        <v>114400</v>
      </c>
      <c r="AD10" s="19" t="e">
        <f>#REF!*U10</f>
        <v>#REF!</v>
      </c>
      <c r="AE10" s="20">
        <f t="shared" si="4"/>
        <v>6943.3333333333321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v>299.8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f>'esdm+ruptl_2030'!I11</f>
        <v>0</v>
      </c>
      <c r="J11" s="17">
        <v>0</v>
      </c>
      <c r="K11" s="18">
        <f>solar_iesr!$B$3/5*1000</f>
        <v>114400</v>
      </c>
      <c r="L11" s="57">
        <f>wind_sergio!$B$3/4*1000</f>
        <v>295</v>
      </c>
      <c r="M11" s="54">
        <f>wind_sergio!$C$3/3*1000</f>
        <v>6943.3333333333321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89.94</v>
      </c>
      <c r="X11" s="13">
        <f t="shared" si="1"/>
        <v>23.5</v>
      </c>
      <c r="Y11" s="14">
        <f t="shared" si="2"/>
        <v>0</v>
      </c>
      <c r="Z11" s="15" t="e">
        <f>#REF!*Q11</f>
        <v>#REF!</v>
      </c>
      <c r="AA11" s="16">
        <f t="shared" si="8"/>
        <v>0</v>
      </c>
      <c r="AB11" s="17">
        <f t="shared" si="6"/>
        <v>0</v>
      </c>
      <c r="AC11" s="18">
        <f t="shared" si="7"/>
        <v>114400</v>
      </c>
      <c r="AD11" s="19" t="e">
        <f>#REF!*U11</f>
        <v>#REF!</v>
      </c>
      <c r="AE11" s="20">
        <f t="shared" si="4"/>
        <v>6943.3333333333321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299.8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f>4008/2</f>
        <v>2004</v>
      </c>
      <c r="J12" s="17">
        <v>0</v>
      </c>
      <c r="K12" s="18">
        <f>solar_iesr!$B$3/5*1000</f>
        <v>114400</v>
      </c>
      <c r="L12" s="57">
        <f>wind_sergio!$B$3/4*1000</f>
        <v>295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89.94</v>
      </c>
      <c r="X12" s="13">
        <f t="shared" si="1"/>
        <v>0</v>
      </c>
      <c r="Y12" s="14">
        <f t="shared" si="2"/>
        <v>0</v>
      </c>
      <c r="Z12" s="15" t="e">
        <f>#REF!*Q12</f>
        <v>#REF!</v>
      </c>
      <c r="AA12" s="16">
        <f t="shared" si="8"/>
        <v>1302.6000000000001</v>
      </c>
      <c r="AB12" s="17">
        <f t="shared" si="6"/>
        <v>0</v>
      </c>
      <c r="AC12" s="18">
        <f t="shared" si="7"/>
        <v>114400</v>
      </c>
      <c r="AD12" s="19" t="e">
        <f>#REF!*U12</f>
        <v>#REF!</v>
      </c>
      <c r="AE12" s="20">
        <f t="shared" si="4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299.8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f>'esdm+ruptl_2030'!I13</f>
        <v>0</v>
      </c>
      <c r="J13" s="17">
        <v>0</v>
      </c>
      <c r="K13" s="18">
        <f>solar_iesr!$B$3/5*1000</f>
        <v>114400</v>
      </c>
      <c r="L13" s="57">
        <f>wind_sergio!$B$3/4*1000</f>
        <v>295</v>
      </c>
      <c r="M13" s="54">
        <f>wind_sergio!$C$3/3*1000</f>
        <v>6943.3333333333321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89.94</v>
      </c>
      <c r="X13" s="13">
        <f t="shared" si="1"/>
        <v>0</v>
      </c>
      <c r="Y13" s="14">
        <f t="shared" si="2"/>
        <v>0</v>
      </c>
      <c r="Z13" s="15" t="e">
        <f>#REF!*Q13</f>
        <v>#REF!</v>
      </c>
      <c r="AA13" s="16">
        <f t="shared" si="8"/>
        <v>0</v>
      </c>
      <c r="AB13" s="17">
        <f t="shared" si="6"/>
        <v>0</v>
      </c>
      <c r="AC13" s="18">
        <f t="shared" si="7"/>
        <v>114400</v>
      </c>
      <c r="AD13" s="19" t="e">
        <f>#REF!*U13</f>
        <v>#REF!</v>
      </c>
      <c r="AE13" s="20">
        <f t="shared" si="4"/>
        <v>6943.3333333333321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299.8</v>
      </c>
      <c r="F14" s="13">
        <v>0</v>
      </c>
      <c r="G14" s="14">
        <v>0</v>
      </c>
      <c r="H14" s="15">
        <f>'esdm+ruptl_2030'!H14</f>
        <v>0</v>
      </c>
      <c r="I14" s="16">
        <f>4008/2</f>
        <v>2004</v>
      </c>
      <c r="J14" s="17">
        <v>0</v>
      </c>
      <c r="K14" s="18">
        <f>solar_iesr!$B$3/5*1000</f>
        <v>114400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89.94</v>
      </c>
      <c r="X14" s="13">
        <f t="shared" si="1"/>
        <v>0</v>
      </c>
      <c r="Y14" s="14">
        <f t="shared" si="2"/>
        <v>0</v>
      </c>
      <c r="Z14" s="15" t="e">
        <f>#REF!*Q14</f>
        <v>#REF!</v>
      </c>
      <c r="AA14" s="16">
        <f t="shared" si="8"/>
        <v>1302.6000000000001</v>
      </c>
      <c r="AB14" s="17">
        <f t="shared" si="6"/>
        <v>0</v>
      </c>
      <c r="AC14" s="18">
        <f t="shared" si="7"/>
        <v>114400</v>
      </c>
      <c r="AD14" s="19" t="e">
        <f>#REF!*U14</f>
        <v>#REF!</v>
      </c>
      <c r="AE14" s="20">
        <f t="shared" si="4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1519/2</f>
        <v>759.5</v>
      </c>
      <c r="J15" s="17">
        <v>0</v>
      </c>
      <c r="K15" s="18">
        <v>0</v>
      </c>
      <c r="L15" s="57">
        <f>wind_sergio!$B$4/2*1000</f>
        <v>140</v>
      </c>
      <c r="M15" s="54">
        <f>wind_sergio!$C$4/2*1000</f>
        <v>5420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1"/>
        <v>0</v>
      </c>
      <c r="Y15" s="14">
        <f t="shared" si="2"/>
        <v>165</v>
      </c>
      <c r="Z15" s="15" t="e">
        <f>#REF!*Q15</f>
        <v>#REF!</v>
      </c>
      <c r="AA15" s="16">
        <f t="shared" si="8"/>
        <v>493.67500000000001</v>
      </c>
      <c r="AB15" s="17">
        <f t="shared" si="6"/>
        <v>0</v>
      </c>
      <c r="AC15" s="18">
        <f t="shared" si="7"/>
        <v>0</v>
      </c>
      <c r="AD15" s="19" t="e">
        <f>#REF!*U15</f>
        <v>#REF!</v>
      </c>
      <c r="AE15" s="20">
        <f t="shared" si="4"/>
        <v>5420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 t="shared" ref="E16:E17" si="9"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f>'esdm+ruptl_2030'!I16</f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1"/>
        <v>0</v>
      </c>
      <c r="Y16" s="14">
        <f t="shared" si="2"/>
        <v>0</v>
      </c>
      <c r="Z16" s="15" t="e">
        <f>#REF!*Q16</f>
        <v>#REF!</v>
      </c>
      <c r="AA16" s="16">
        <f t="shared" si="8"/>
        <v>0</v>
      </c>
      <c r="AB16" s="17">
        <f t="shared" si="6"/>
        <v>0</v>
      </c>
      <c r="AC16" s="18">
        <f t="shared" si="7"/>
        <v>0</v>
      </c>
      <c r="AD16" s="19" t="e">
        <f>#REF!*U16</f>
        <v>#REF!</v>
      </c>
      <c r="AE16" s="20">
        <f t="shared" si="4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 t="shared" si="9"/>
        <v>430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f>1519/2</f>
        <v>759.5</v>
      </c>
      <c r="J17" s="17">
        <v>0</v>
      </c>
      <c r="K17" s="18">
        <f>solar_iesr!$B$4*1000</f>
        <v>185000</v>
      </c>
      <c r="L17" s="57">
        <f>wind_sergio!$B$4/2*1000</f>
        <v>140</v>
      </c>
      <c r="M17" s="54">
        <f>wind_sergio!$C$4/2*1000</f>
        <v>5420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1"/>
        <v>94</v>
      </c>
      <c r="Y17" s="14">
        <f t="shared" si="2"/>
        <v>0</v>
      </c>
      <c r="Z17" s="15" t="e">
        <f>#REF!*Q17</f>
        <v>#REF!</v>
      </c>
      <c r="AA17" s="16">
        <f t="shared" si="8"/>
        <v>493.67500000000001</v>
      </c>
      <c r="AB17" s="17">
        <f t="shared" si="6"/>
        <v>0</v>
      </c>
      <c r="AC17" s="18">
        <f t="shared" si="7"/>
        <v>185000</v>
      </c>
      <c r="AD17" s="19" t="e">
        <f>#REF!*U17</f>
        <v>#REF!</v>
      </c>
      <c r="AE17" s="20">
        <f t="shared" si="4"/>
        <v>5420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f>'esdm+ruptl_2030'!H18+7.5</f>
        <v>7.5</v>
      </c>
      <c r="I18" s="16">
        <v>0</v>
      </c>
      <c r="J18" s="17">
        <v>0</v>
      </c>
      <c r="K18" s="18">
        <f>solar_iesr!$B$5/4/2*1000</f>
        <v>135750</v>
      </c>
      <c r="L18" s="57">
        <v>0</v>
      </c>
      <c r="M18" s="54">
        <f>wind_sergio!$C$5*1000</f>
        <v>220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1"/>
        <v>6.58</v>
      </c>
      <c r="Y18" s="14">
        <f t="shared" si="2"/>
        <v>0</v>
      </c>
      <c r="Z18" s="15" t="e">
        <f>#REF!*Q18</f>
        <v>#REF!</v>
      </c>
      <c r="AA18" s="16">
        <f t="shared" si="8"/>
        <v>0</v>
      </c>
      <c r="AB18" s="17">
        <f t="shared" si="6"/>
        <v>0</v>
      </c>
      <c r="AC18" s="18">
        <f t="shared" si="7"/>
        <v>135750</v>
      </c>
      <c r="AD18" s="19" t="e">
        <f>#REF!*U18</f>
        <v>#REF!</v>
      </c>
      <c r="AE18" s="20">
        <f t="shared" si="4"/>
        <v>220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</f>
        <v>135750</v>
      </c>
      <c r="L19" s="57">
        <f>wind_sergio!$B$5/2*1000</f>
        <v>30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1"/>
        <v>0</v>
      </c>
      <c r="Y19" s="14">
        <f t="shared" si="2"/>
        <v>44</v>
      </c>
      <c r="Z19" s="15" t="e">
        <f>#REF!*Q19</f>
        <v>#REF!</v>
      </c>
      <c r="AA19" s="16">
        <f t="shared" si="8"/>
        <v>0</v>
      </c>
      <c r="AB19" s="17">
        <f t="shared" si="6"/>
        <v>0</v>
      </c>
      <c r="AC19" s="18">
        <f t="shared" si="7"/>
        <v>135750</v>
      </c>
      <c r="AD19" s="19" t="e">
        <f>#REF!*U19</f>
        <v>#REF!</v>
      </c>
      <c r="AE19" s="20">
        <f t="shared" si="4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f>'esdm+ruptl_2030'!H20+10</f>
        <v>10</v>
      </c>
      <c r="I20" s="16">
        <f t="shared" ref="I20:I21" si="10">9021/5</f>
        <v>1804.2</v>
      </c>
      <c r="J20" s="17">
        <v>0</v>
      </c>
      <c r="K20" s="18">
        <f>solar_iesr!$B$5/4*1000</f>
        <v>271500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1"/>
        <v>0</v>
      </c>
      <c r="Y20" s="14">
        <f t="shared" si="2"/>
        <v>0</v>
      </c>
      <c r="Z20" s="15" t="e">
        <f>#REF!*Q20</f>
        <v>#REF!</v>
      </c>
      <c r="AA20" s="16">
        <f t="shared" si="8"/>
        <v>1172.73</v>
      </c>
      <c r="AB20" s="17">
        <f t="shared" si="6"/>
        <v>0</v>
      </c>
      <c r="AC20" s="18">
        <f t="shared" si="7"/>
        <v>271500</v>
      </c>
      <c r="AD20" s="19" t="e">
        <f>#REF!*U20</f>
        <v>#REF!</v>
      </c>
      <c r="AE20" s="20">
        <f t="shared" si="4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 t="shared" si="10"/>
        <v>1804.2</v>
      </c>
      <c r="J21" s="17">
        <v>0</v>
      </c>
      <c r="K21" s="18">
        <f>solar_iesr!$B$5/4*1000</f>
        <v>271500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1"/>
        <v>0</v>
      </c>
      <c r="Y21" s="14">
        <f t="shared" si="2"/>
        <v>0</v>
      </c>
      <c r="Z21" s="15" t="e">
        <f>#REF!*Q21</f>
        <v>#REF!</v>
      </c>
      <c r="AA21" s="16">
        <f t="shared" si="8"/>
        <v>1172.73</v>
      </c>
      <c r="AB21" s="17">
        <f t="shared" si="6"/>
        <v>0</v>
      </c>
      <c r="AC21" s="18">
        <f t="shared" si="7"/>
        <v>271500</v>
      </c>
      <c r="AD21" s="19" t="e">
        <f>#REF!*U21</f>
        <v>#REF!</v>
      </c>
      <c r="AE21" s="20">
        <f t="shared" si="4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'esdm+ruptl_2030'!E22</f>
        <v>0.81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9021/5</f>
        <v>1804.2</v>
      </c>
      <c r="J22" s="17">
        <v>0</v>
      </c>
      <c r="K22" s="18">
        <f>solar_iesr!$B$5/4*1000</f>
        <v>271500</v>
      </c>
      <c r="L22" s="57">
        <f>wind_sergio!$B$5/2*1000</f>
        <v>30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0.24299999999999999</v>
      </c>
      <c r="X22" s="13">
        <f t="shared" si="1"/>
        <v>0</v>
      </c>
      <c r="Y22" s="14">
        <f t="shared" si="2"/>
        <v>0</v>
      </c>
      <c r="Z22" s="15" t="e">
        <f>#REF!*Q22</f>
        <v>#REF!</v>
      </c>
      <c r="AA22" s="16">
        <f t="shared" si="8"/>
        <v>1172.73</v>
      </c>
      <c r="AB22" s="17">
        <f t="shared" si="6"/>
        <v>0</v>
      </c>
      <c r="AC22" s="18">
        <f t="shared" si="7"/>
        <v>271500</v>
      </c>
      <c r="AD22" s="19" t="e">
        <f>#REF!*U22</f>
        <v>#REF!</v>
      </c>
      <c r="AE22" s="20">
        <f t="shared" si="4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9021/5</f>
        <v>1804.2</v>
      </c>
      <c r="J23" s="17">
        <v>0</v>
      </c>
      <c r="K23" s="18">
        <f>solar_iesr!$B$6*1000/2</f>
        <v>66500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1"/>
        <v>0</v>
      </c>
      <c r="Y23" s="14">
        <f t="shared" si="2"/>
        <v>44</v>
      </c>
      <c r="Z23" s="15" t="e">
        <f>#REF!*Q23</f>
        <v>#REF!</v>
      </c>
      <c r="AA23" s="16">
        <f t="shared" si="8"/>
        <v>1172.73</v>
      </c>
      <c r="AB23" s="17">
        <f t="shared" si="6"/>
        <v>0</v>
      </c>
      <c r="AC23" s="18">
        <f t="shared" si="7"/>
        <v>66500</v>
      </c>
      <c r="AD23" s="19" t="e">
        <f>#REF!*U23</f>
        <v>#REF!</v>
      </c>
      <c r="AE23" s="20">
        <f t="shared" si="4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93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9021/5</f>
        <v>1804.2</v>
      </c>
      <c r="J24" s="17">
        <v>0</v>
      </c>
      <c r="K24" s="18">
        <f>solar_iesr!$B$6*1000/2</f>
        <v>66500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1"/>
        <v>0</v>
      </c>
      <c r="Y24" s="14">
        <f t="shared" si="2"/>
        <v>0</v>
      </c>
      <c r="Z24" s="15" t="e">
        <f>#REF!*Q24</f>
        <v>#REF!</v>
      </c>
      <c r="AA24" s="16">
        <f t="shared" si="8"/>
        <v>1172.73</v>
      </c>
      <c r="AB24" s="17">
        <f t="shared" si="6"/>
        <v>0</v>
      </c>
      <c r="AC24" s="18">
        <f t="shared" si="7"/>
        <v>66500</v>
      </c>
      <c r="AD24" s="19" t="e">
        <f>#REF!*U24</f>
        <v>#REF!</v>
      </c>
      <c r="AE24" s="20">
        <f t="shared" si="4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3027123.51</v>
      </c>
      <c r="E25" s="25">
        <f>SUM(E3:E24)</f>
        <v>4621.0100000000011</v>
      </c>
      <c r="F25" s="25">
        <f t="shared" ref="F25:M25" si="11">SUM(F3:F24)</f>
        <v>614</v>
      </c>
      <c r="G25" s="25">
        <f t="shared" si="11"/>
        <v>860</v>
      </c>
      <c r="H25" s="25">
        <f t="shared" si="11"/>
        <v>57.5</v>
      </c>
      <c r="I25" s="25">
        <f t="shared" si="11"/>
        <v>18261.000000000004</v>
      </c>
      <c r="J25" s="25">
        <f t="shared" si="11"/>
        <v>0</v>
      </c>
      <c r="K25" s="25">
        <f t="shared" si="11"/>
        <v>2950000</v>
      </c>
      <c r="L25" s="25">
        <f t="shared" si="11"/>
        <v>2530</v>
      </c>
      <c r="M25" s="25">
        <f t="shared" si="11"/>
        <v>50180</v>
      </c>
      <c r="W25" s="29">
        <f>SUM(W3:W24)</f>
        <v>1386.3030000000001</v>
      </c>
      <c r="X25" s="29">
        <f t="shared" ref="X25:AF25" si="12">SUM(X3:X24)</f>
        <v>288.58</v>
      </c>
      <c r="Y25" s="29">
        <f t="shared" si="12"/>
        <v>473</v>
      </c>
      <c r="Z25" s="29" t="e">
        <f t="shared" si="12"/>
        <v>#REF!</v>
      </c>
      <c r="AA25" s="29">
        <f t="shared" si="12"/>
        <v>11869.65</v>
      </c>
      <c r="AB25" s="29">
        <f t="shared" si="12"/>
        <v>0</v>
      </c>
      <c r="AC25" s="29">
        <f t="shared" si="12"/>
        <v>2950000</v>
      </c>
      <c r="AD25" s="29" t="e">
        <f t="shared" si="12"/>
        <v>#REF!</v>
      </c>
      <c r="AE25" s="29">
        <f t="shared" si="12"/>
        <v>50180</v>
      </c>
      <c r="AF25" s="29">
        <f t="shared" si="12"/>
        <v>0</v>
      </c>
    </row>
    <row r="26" spans="1:53" x14ac:dyDescent="0.3">
      <c r="D26" s="36" t="e">
        <f>SUM(W25:AE25)+AF5</f>
        <v>#REF!</v>
      </c>
      <c r="E26" s="25"/>
      <c r="F26" s="25"/>
      <c r="G26" s="25"/>
      <c r="H26" s="25"/>
      <c r="I26" s="25"/>
      <c r="J26" s="44">
        <v>227.99</v>
      </c>
      <c r="K26" s="25"/>
      <c r="L26" s="25"/>
      <c r="M26" s="25"/>
      <c r="V26" s="29" t="e">
        <f>SUM(W26:AF26)</f>
        <v>#REF!</v>
      </c>
      <c r="W26" s="38" t="e">
        <f>W25/$D$26*100</f>
        <v>#REF!</v>
      </c>
      <c r="X26" s="38" t="e">
        <f t="shared" ref="X26:AF26" si="13">X25/$D$26*100</f>
        <v>#REF!</v>
      </c>
      <c r="Y26" s="38" t="e">
        <f t="shared" si="13"/>
        <v>#REF!</v>
      </c>
      <c r="Z26" s="38" t="e">
        <f t="shared" si="13"/>
        <v>#REF!</v>
      </c>
      <c r="AA26" s="38" t="e">
        <f t="shared" si="13"/>
        <v>#REF!</v>
      </c>
      <c r="AB26" s="38" t="e">
        <f t="shared" si="13"/>
        <v>#REF!</v>
      </c>
      <c r="AC26" s="38" t="e">
        <f t="shared" si="13"/>
        <v>#REF!</v>
      </c>
      <c r="AD26" s="38" t="e">
        <f t="shared" si="13"/>
        <v>#REF!</v>
      </c>
      <c r="AE26" s="38" t="e">
        <f t="shared" si="13"/>
        <v>#REF!</v>
      </c>
      <c r="AF26" s="38" t="e">
        <f t="shared" si="13"/>
        <v>#REF!</v>
      </c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</row>
    <row r="27" spans="1:53" x14ac:dyDescent="0.3">
      <c r="D27" s="37">
        <f>SUMPRODUCT(E3:M24,AG3:AO24)</f>
        <v>3010793.3828999992</v>
      </c>
      <c r="E27" s="25"/>
      <c r="F27" s="25"/>
      <c r="G27" s="25"/>
      <c r="H27" s="25"/>
      <c r="I27" s="25"/>
      <c r="J27" s="25" t="e">
        <f>J26/J25</f>
        <v>#DIV/0!</v>
      </c>
      <c r="K27" s="25"/>
      <c r="L27" s="25"/>
      <c r="M27" s="25"/>
      <c r="V27" t="s">
        <v>69</v>
      </c>
      <c r="W27" s="39">
        <v>0.52</v>
      </c>
      <c r="X27" s="39">
        <v>68.58</v>
      </c>
      <c r="Y27" s="39">
        <v>16.3</v>
      </c>
      <c r="Z27" s="39">
        <v>0</v>
      </c>
      <c r="AA27" s="39">
        <v>1.04</v>
      </c>
      <c r="AB27" s="39">
        <v>6.73</v>
      </c>
      <c r="AC27" s="39">
        <v>0</v>
      </c>
      <c r="AD27" s="39">
        <v>0</v>
      </c>
      <c r="AE27" s="39">
        <v>0</v>
      </c>
      <c r="AF27" s="39">
        <v>6.82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D28" s="37"/>
      <c r="E28" s="25"/>
      <c r="F28" s="25"/>
      <c r="G28" s="25"/>
      <c r="H28" s="25"/>
      <c r="I28" s="25"/>
      <c r="J28" s="25">
        <f>J26-J25</f>
        <v>227.99</v>
      </c>
      <c r="K28" s="25"/>
      <c r="L28" s="25"/>
      <c r="M28" s="25"/>
      <c r="T28" t="s">
        <v>78</v>
      </c>
      <c r="U28" t="s">
        <v>77</v>
      </c>
      <c r="V28" t="s">
        <v>76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71</v>
      </c>
      <c r="D29" s="48">
        <f>SUM(E29:K29)+AF29</f>
        <v>980194.2</v>
      </c>
      <c r="E29" s="25">
        <f>SUM(E3:E9)</f>
        <v>1831.1999999999998</v>
      </c>
      <c r="F29" s="25">
        <f t="shared" ref="F29:M29" si="14">SUM(F3:F9)</f>
        <v>350</v>
      </c>
      <c r="G29" s="25">
        <f t="shared" si="14"/>
        <v>300</v>
      </c>
      <c r="H29" s="25">
        <f t="shared" si="14"/>
        <v>0</v>
      </c>
      <c r="I29" s="25">
        <f t="shared" si="14"/>
        <v>3713</v>
      </c>
      <c r="J29" s="25">
        <f t="shared" si="14"/>
        <v>0</v>
      </c>
      <c r="K29" s="25">
        <f t="shared" si="14"/>
        <v>974000</v>
      </c>
      <c r="L29" s="25">
        <f t="shared" si="14"/>
        <v>1010</v>
      </c>
      <c r="M29" s="25">
        <f t="shared" si="14"/>
        <v>18290</v>
      </c>
      <c r="N29" s="29">
        <f>SUM(E29:M29)</f>
        <v>999494.2</v>
      </c>
      <c r="O29" s="29">
        <f>N29*19.55%</f>
        <v>195401.11609999998</v>
      </c>
      <c r="S29" t="e">
        <f>(V29+90)/[2]calliope_2!$D$11</f>
        <v>#REF!</v>
      </c>
      <c r="T29">
        <v>0.93240000000000001</v>
      </c>
      <c r="U29" s="29" t="e">
        <f>V29-[2]calliope_2!$L$2</f>
        <v>#REF!</v>
      </c>
      <c r="V29" s="41" t="e">
        <f>SUM(W3:AE9)</f>
        <v>#REF!</v>
      </c>
      <c r="W29" s="25">
        <f t="shared" ref="W29:AF29" si="15">SUM(W3:W9)</f>
        <v>549.36</v>
      </c>
      <c r="X29" s="25">
        <f t="shared" si="15"/>
        <v>164.5</v>
      </c>
      <c r="Y29" s="25">
        <f t="shared" si="15"/>
        <v>165</v>
      </c>
      <c r="Z29" s="25" t="e">
        <f t="shared" si="15"/>
        <v>#REF!</v>
      </c>
      <c r="AA29" s="25">
        <f t="shared" si="15"/>
        <v>2413.4500000000003</v>
      </c>
      <c r="AB29" s="25">
        <f t="shared" si="15"/>
        <v>0</v>
      </c>
      <c r="AC29" s="25">
        <f t="shared" si="15"/>
        <v>974000</v>
      </c>
      <c r="AD29" s="25" t="e">
        <f t="shared" si="15"/>
        <v>#REF!</v>
      </c>
      <c r="AE29" s="25">
        <f t="shared" si="15"/>
        <v>18290</v>
      </c>
      <c r="AF29" s="25">
        <f t="shared" si="15"/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C30" s="22" t="s">
        <v>72</v>
      </c>
      <c r="D30" s="48">
        <f>SUM(E30:K30)+AF30</f>
        <v>766006</v>
      </c>
      <c r="E30" s="25">
        <f>SUM(E10:E17)</f>
        <v>2789</v>
      </c>
      <c r="F30" s="25">
        <f t="shared" ref="F30:M30" si="16">SUM(F10:F17)</f>
        <v>250</v>
      </c>
      <c r="G30" s="25">
        <f t="shared" si="16"/>
        <v>400</v>
      </c>
      <c r="H30" s="25">
        <f t="shared" si="16"/>
        <v>40</v>
      </c>
      <c r="I30" s="25">
        <f t="shared" si="16"/>
        <v>5527</v>
      </c>
      <c r="J30" s="25">
        <f t="shared" si="16"/>
        <v>0</v>
      </c>
      <c r="K30" s="25">
        <f t="shared" si="16"/>
        <v>757000</v>
      </c>
      <c r="L30" s="25">
        <f t="shared" si="16"/>
        <v>1460</v>
      </c>
      <c r="M30" s="25">
        <f t="shared" si="16"/>
        <v>31669.999999999996</v>
      </c>
      <c r="N30" s="29">
        <f>SUM(E30:M30)</f>
        <v>799136</v>
      </c>
      <c r="O30" s="29">
        <f>N30*14.02%</f>
        <v>112038.86719999999</v>
      </c>
      <c r="S30" t="e">
        <f>SUM(V30:V31)/SUM([2]calliope_2!$E$11:$F$11)</f>
        <v>#REF!</v>
      </c>
      <c r="T30">
        <v>0.95479999999999998</v>
      </c>
      <c r="U30" s="29" t="e">
        <f>V30-(SUM([2]calliope_2!$M$2:$N$2))</f>
        <v>#REF!</v>
      </c>
      <c r="V30" s="41" t="e">
        <f>SUMPRODUCT(W10:AE17)</f>
        <v>#REF!</v>
      </c>
      <c r="W30" s="25">
        <f t="shared" ref="W30:AF30" si="17">SUM(W10:W17)</f>
        <v>836.7</v>
      </c>
      <c r="X30" s="25">
        <f t="shared" si="17"/>
        <v>117.5</v>
      </c>
      <c r="Y30" s="25">
        <f t="shared" si="17"/>
        <v>220</v>
      </c>
      <c r="Z30" s="25" t="e">
        <f t="shared" si="17"/>
        <v>#REF!</v>
      </c>
      <c r="AA30" s="25">
        <f t="shared" si="17"/>
        <v>3592.5500000000006</v>
      </c>
      <c r="AB30" s="25">
        <f t="shared" si="17"/>
        <v>0</v>
      </c>
      <c r="AC30" s="25">
        <f t="shared" si="17"/>
        <v>757000</v>
      </c>
      <c r="AD30" s="25" t="e">
        <f t="shared" si="17"/>
        <v>#REF!</v>
      </c>
      <c r="AE30" s="25">
        <f t="shared" si="17"/>
        <v>31669.999999999996</v>
      </c>
      <c r="AF30" s="25">
        <f t="shared" si="17"/>
        <v>0</v>
      </c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73</v>
      </c>
      <c r="D31" s="48">
        <f>SUM(E31:K31)+AF31</f>
        <v>1228213.31</v>
      </c>
      <c r="E31" s="25">
        <f>SUM(E18:E24)</f>
        <v>0.81</v>
      </c>
      <c r="F31" s="25">
        <f t="shared" ref="F31:M31" si="18">SUM(F18:F24)</f>
        <v>14</v>
      </c>
      <c r="G31" s="25">
        <f t="shared" si="18"/>
        <v>160</v>
      </c>
      <c r="H31" s="25">
        <f t="shared" si="18"/>
        <v>17.5</v>
      </c>
      <c r="I31" s="25">
        <f t="shared" si="18"/>
        <v>9021</v>
      </c>
      <c r="J31" s="25">
        <f t="shared" si="18"/>
        <v>0</v>
      </c>
      <c r="K31" s="25">
        <f t="shared" si="18"/>
        <v>1219000</v>
      </c>
      <c r="L31" s="25">
        <f t="shared" si="18"/>
        <v>60</v>
      </c>
      <c r="M31" s="25">
        <f t="shared" si="18"/>
        <v>220</v>
      </c>
      <c r="N31" s="29">
        <f>SUM(E31:M31)</f>
        <v>1228493.31</v>
      </c>
      <c r="O31" s="29">
        <f>N31*31.62%</f>
        <v>388449.58462200005</v>
      </c>
      <c r="T31">
        <v>0.94810000000000005</v>
      </c>
      <c r="U31" s="29" t="e">
        <f>V31-SUM([2]calliope_2!$O$2:$P$2)</f>
        <v>#REF!</v>
      </c>
      <c r="V31" s="41" t="e">
        <f>SUMPRODUCT(W18:AE24)</f>
        <v>#REF!</v>
      </c>
      <c r="W31" s="25">
        <f t="shared" ref="W31:AF31" si="19">SUM(W18:W24)</f>
        <v>0.24299999999999999</v>
      </c>
      <c r="X31" s="25">
        <f t="shared" si="19"/>
        <v>6.58</v>
      </c>
      <c r="Y31" s="25">
        <f t="shared" si="19"/>
        <v>88</v>
      </c>
      <c r="Z31" s="25" t="e">
        <f t="shared" si="19"/>
        <v>#REF!</v>
      </c>
      <c r="AA31" s="25">
        <f t="shared" si="19"/>
        <v>5863.65</v>
      </c>
      <c r="AB31" s="25">
        <f t="shared" si="19"/>
        <v>0</v>
      </c>
      <c r="AC31" s="25">
        <f t="shared" si="19"/>
        <v>1219000</v>
      </c>
      <c r="AD31" s="25" t="e">
        <f t="shared" si="19"/>
        <v>#REF!</v>
      </c>
      <c r="AE31" s="25">
        <f t="shared" si="19"/>
        <v>220</v>
      </c>
      <c r="AF31" s="25">
        <f t="shared" si="19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A32" t="s">
        <v>59</v>
      </c>
      <c r="D32" s="49"/>
      <c r="E32" s="25"/>
      <c r="F32" s="25"/>
      <c r="G32" s="25"/>
      <c r="H32" s="25"/>
      <c r="I32" s="25"/>
      <c r="J32" s="25"/>
      <c r="K32" s="25"/>
      <c r="L32" s="25"/>
      <c r="M32" s="25"/>
      <c r="N32" s="29">
        <f>SUM(N29:N31)</f>
        <v>3027123.51</v>
      </c>
      <c r="O32" s="29">
        <f>SUM(O29:O31)</f>
        <v>695889.56792200007</v>
      </c>
      <c r="AE32" t="s">
        <v>70</v>
      </c>
    </row>
    <row r="33" spans="1:32" x14ac:dyDescent="0.3">
      <c r="A33" t="s">
        <v>68</v>
      </c>
      <c r="E33" s="25"/>
      <c r="F33" s="25"/>
      <c r="G33" s="25"/>
      <c r="H33" s="25"/>
      <c r="I33" s="25"/>
      <c r="J33" s="25"/>
      <c r="K33" s="25"/>
      <c r="L33" s="25"/>
      <c r="M33" s="25"/>
      <c r="AE33" s="39">
        <v>6.82</v>
      </c>
      <c r="AF33" s="39"/>
    </row>
    <row r="34" spans="1:32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1:32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1:32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32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32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32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32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32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32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32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32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32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32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32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32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8" spans="1:13" x14ac:dyDescent="0.3">
      <c r="A58" t="s">
        <v>74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5D3-2D87-4392-8A41-F68190FD633D}">
  <sheetPr codeName="Sheet6"/>
  <dimension ref="A1:B6"/>
  <sheetViews>
    <sheetView workbookViewId="0">
      <selection activeCell="B5" sqref="B5"/>
    </sheetView>
  </sheetViews>
  <sheetFormatPr defaultRowHeight="14.4" x14ac:dyDescent="0.3"/>
  <cols>
    <col min="1" max="1" width="16.6640625" bestFit="1" customWidth="1"/>
    <col min="2" max="2" width="14" bestFit="1" customWidth="1"/>
  </cols>
  <sheetData>
    <row r="1" spans="1:2" x14ac:dyDescent="0.3">
      <c r="A1" t="s">
        <v>2</v>
      </c>
      <c r="B1" t="s">
        <v>92</v>
      </c>
    </row>
    <row r="2" spans="1:2" x14ac:dyDescent="0.3">
      <c r="A2" t="s">
        <v>87</v>
      </c>
      <c r="B2" s="50">
        <v>974</v>
      </c>
    </row>
    <row r="3" spans="1:2" x14ac:dyDescent="0.3">
      <c r="A3" t="s">
        <v>88</v>
      </c>
      <c r="B3" s="50">
        <v>572</v>
      </c>
    </row>
    <row r="4" spans="1:2" x14ac:dyDescent="0.3">
      <c r="A4" t="s">
        <v>89</v>
      </c>
      <c r="B4" s="50">
        <v>185</v>
      </c>
    </row>
    <row r="5" spans="1:2" x14ac:dyDescent="0.3">
      <c r="A5" t="s">
        <v>90</v>
      </c>
      <c r="B5" s="50">
        <v>1086</v>
      </c>
    </row>
    <row r="6" spans="1:2" x14ac:dyDescent="0.3">
      <c r="A6" t="s">
        <v>91</v>
      </c>
      <c r="B6" s="50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8EE-4CF5-4429-8E63-A7A2563C0966}">
  <sheetPr codeName="Sheet7"/>
  <dimension ref="A1:D7"/>
  <sheetViews>
    <sheetView workbookViewId="0">
      <selection activeCell="C11" sqref="C11"/>
    </sheetView>
  </sheetViews>
  <sheetFormatPr defaultRowHeight="14.4" x14ac:dyDescent="0.3"/>
  <cols>
    <col min="1" max="1" width="16.6640625" bestFit="1" customWidth="1"/>
    <col min="2" max="3" width="14" bestFit="1" customWidth="1"/>
    <col min="4" max="4" width="10.109375" bestFit="1" customWidth="1"/>
  </cols>
  <sheetData>
    <row r="1" spans="1:4" ht="28.8" x14ac:dyDescent="0.3">
      <c r="A1" s="51" t="s">
        <v>2</v>
      </c>
      <c r="B1" s="52" t="s">
        <v>97</v>
      </c>
      <c r="C1" s="52" t="s">
        <v>98</v>
      </c>
      <c r="D1" s="51" t="s">
        <v>95</v>
      </c>
    </row>
    <row r="2" spans="1:4" x14ac:dyDescent="0.3">
      <c r="A2" t="s">
        <v>87</v>
      </c>
      <c r="B2" s="50">
        <v>1.01</v>
      </c>
      <c r="C2" s="50">
        <v>18.29</v>
      </c>
      <c r="D2" t="s">
        <v>96</v>
      </c>
    </row>
    <row r="3" spans="1:4" x14ac:dyDescent="0.3">
      <c r="A3" t="s">
        <v>88</v>
      </c>
      <c r="B3" s="50">
        <v>1.18</v>
      </c>
      <c r="C3" s="50">
        <v>20.83</v>
      </c>
      <c r="D3" t="s">
        <v>96</v>
      </c>
    </row>
    <row r="4" spans="1:4" x14ac:dyDescent="0.3">
      <c r="A4" t="s">
        <v>89</v>
      </c>
      <c r="B4" s="50">
        <v>0.28000000000000003</v>
      </c>
      <c r="C4" s="50">
        <v>10.84</v>
      </c>
      <c r="D4" t="s">
        <v>96</v>
      </c>
    </row>
    <row r="5" spans="1:4" x14ac:dyDescent="0.3">
      <c r="A5" t="s">
        <v>90</v>
      </c>
      <c r="B5" s="50">
        <v>0.06</v>
      </c>
      <c r="C5" s="50">
        <v>0.22</v>
      </c>
      <c r="D5" t="s">
        <v>96</v>
      </c>
    </row>
    <row r="6" spans="1:4" x14ac:dyDescent="0.3">
      <c r="A6" t="s">
        <v>91</v>
      </c>
      <c r="B6" s="50">
        <v>0</v>
      </c>
      <c r="C6" s="50">
        <v>0</v>
      </c>
      <c r="D6" t="s">
        <v>96</v>
      </c>
    </row>
    <row r="7" spans="1:4" x14ac:dyDescent="0.3">
      <c r="B7" s="55">
        <f>SUM(B2:B6)</f>
        <v>2.5299999999999998</v>
      </c>
      <c r="C7" s="55">
        <f>SUM(C2:C6)</f>
        <v>50.179999999999993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esdm</vt:lpstr>
      <vt:lpstr>ruptl</vt:lpstr>
      <vt:lpstr>esdm+ruptl_2030</vt:lpstr>
      <vt:lpstr>esdm+ruptl_2050</vt:lpstr>
      <vt:lpstr>solar_iesr</vt:lpstr>
      <vt:lpstr>wind_sergio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2022-05-01T15:26:33Z</dcterms:modified>
</cp:coreProperties>
</file>