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ilma\Documents\Calliope\kalimantan_energy_transition\database\"/>
    </mc:Choice>
  </mc:AlternateContent>
  <xr:revisionPtr revIDLastSave="0" documentId="13_ncr:1_{16D370A1-10F8-4F6B-92A5-260562CA1AA5}" xr6:coauthVersionLast="47" xr6:coauthVersionMax="47" xr10:uidLastSave="{00000000-0000-0000-0000-000000000000}"/>
  <bookViews>
    <workbookView xWindow="-108" yWindow="-108" windowWidth="23256" windowHeight="12456" firstSheet="3" activeTab="5" xr2:uid="{15FFB4DA-647B-47A8-A954-D576C3956A52}"/>
  </bookViews>
  <sheets>
    <sheet name="parameters" sheetId="1" r:id="rId1"/>
    <sheet name="esdm" sheetId="3" r:id="rId2"/>
    <sheet name="ruptl" sheetId="4" r:id="rId3"/>
    <sheet name="esdm+ruptl_2030" sheetId="5" r:id="rId4"/>
    <sheet name="esdm+ruptl_2050" sheetId="8" r:id="rId5"/>
    <sheet name="esdm+ruptl_2050_rev" sheetId="13" r:id="rId6"/>
    <sheet name="esdm+ruptl_2050 (2)" sheetId="10" r:id="rId7"/>
    <sheet name="wind_sergio" sheetId="7" r:id="rId8"/>
    <sheet name="solar_iesr" sheetId="6" r:id="rId9"/>
  </sheets>
  <externalReferences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3" l="1"/>
  <c r="E17" i="13"/>
  <c r="E16" i="13"/>
  <c r="E8" i="13"/>
  <c r="E6" i="13"/>
  <c r="E5" i="13"/>
  <c r="E3" i="13"/>
  <c r="I27" i="13"/>
  <c r="I9" i="13"/>
  <c r="I24" i="13"/>
  <c r="I14" i="13"/>
  <c r="I15" i="13"/>
  <c r="E11" i="13"/>
  <c r="E10" i="13"/>
  <c r="H12" i="1"/>
  <c r="H2" i="1"/>
  <c r="H3" i="1"/>
  <c r="H4" i="1"/>
  <c r="H6" i="1"/>
  <c r="AA14" i="13" l="1"/>
  <c r="L21" i="13"/>
  <c r="L20" i="13"/>
  <c r="L19" i="13"/>
  <c r="L33" i="13" s="1"/>
  <c r="M17" i="13"/>
  <c r="L17" i="13"/>
  <c r="M15" i="13"/>
  <c r="L15" i="13"/>
  <c r="M13" i="13"/>
  <c r="M12" i="13"/>
  <c r="M11" i="13"/>
  <c r="L11" i="13"/>
  <c r="M10" i="13"/>
  <c r="L10" i="13"/>
  <c r="M8" i="13"/>
  <c r="AE8" i="13" s="1"/>
  <c r="L8" i="13"/>
  <c r="L25" i="13" s="1"/>
  <c r="M4" i="13"/>
  <c r="M25" i="13" s="1"/>
  <c r="M3" i="13"/>
  <c r="M3" i="10"/>
  <c r="M4" i="10"/>
  <c r="M8" i="10"/>
  <c r="M15" i="10"/>
  <c r="M17" i="10"/>
  <c r="M10" i="10"/>
  <c r="M11" i="10"/>
  <c r="M12" i="10"/>
  <c r="M13" i="10"/>
  <c r="L10" i="10"/>
  <c r="L11" i="10"/>
  <c r="L21" i="10"/>
  <c r="L20" i="10"/>
  <c r="L19" i="10"/>
  <c r="K18" i="13"/>
  <c r="AC18" i="13" s="1"/>
  <c r="AC19" i="13"/>
  <c r="W7" i="13"/>
  <c r="W8" i="13"/>
  <c r="AA11" i="13"/>
  <c r="AA15" i="13"/>
  <c r="K24" i="13"/>
  <c r="AC24" i="13" s="1"/>
  <c r="K23" i="13"/>
  <c r="K20" i="13"/>
  <c r="AC20" i="13" s="1"/>
  <c r="K21" i="13"/>
  <c r="AC21" i="13" s="1"/>
  <c r="K22" i="13"/>
  <c r="AC22" i="13" s="1"/>
  <c r="K17" i="13"/>
  <c r="K11" i="13"/>
  <c r="K12" i="13"/>
  <c r="K13" i="13"/>
  <c r="AC13" i="13" s="1"/>
  <c r="K14" i="13"/>
  <c r="AC14" i="13" s="1"/>
  <c r="K10" i="13"/>
  <c r="AC10" i="13" s="1"/>
  <c r="K4" i="13"/>
  <c r="K5" i="13"/>
  <c r="K6" i="13"/>
  <c r="K7" i="13"/>
  <c r="K8" i="13"/>
  <c r="K3" i="13"/>
  <c r="AC11" i="13"/>
  <c r="AC7" i="13"/>
  <c r="W11" i="13"/>
  <c r="E31" i="13"/>
  <c r="AF33" i="13"/>
  <c r="M33" i="13"/>
  <c r="J33" i="13"/>
  <c r="AF32" i="13"/>
  <c r="J32" i="13"/>
  <c r="E32" i="13"/>
  <c r="AF31" i="13"/>
  <c r="J31" i="13"/>
  <c r="AF25" i="13"/>
  <c r="AF26" i="13" s="1"/>
  <c r="AF27" i="13" s="1"/>
  <c r="J25" i="13"/>
  <c r="J26" i="13" s="1"/>
  <c r="J27" i="13" s="1"/>
  <c r="AE24" i="13"/>
  <c r="AD24" i="13"/>
  <c r="AB24" i="13"/>
  <c r="Z24" i="13"/>
  <c r="Y24" i="13"/>
  <c r="X24" i="13"/>
  <c r="W24" i="13"/>
  <c r="AA24" i="13"/>
  <c r="H24" i="13"/>
  <c r="F24" i="13"/>
  <c r="E24" i="13"/>
  <c r="AE23" i="13"/>
  <c r="AD23" i="13"/>
  <c r="AB23" i="13"/>
  <c r="Z23" i="13"/>
  <c r="X23" i="13"/>
  <c r="AC23" i="13"/>
  <c r="AA23" i="13"/>
  <c r="H23" i="13"/>
  <c r="Y23" i="13"/>
  <c r="F23" i="13"/>
  <c r="E23" i="13"/>
  <c r="W23" i="13" s="1"/>
  <c r="AE22" i="13"/>
  <c r="AD22" i="13"/>
  <c r="AB22" i="13"/>
  <c r="Z22" i="13"/>
  <c r="Y22" i="13"/>
  <c r="X22" i="13"/>
  <c r="W22" i="13"/>
  <c r="AA22" i="13"/>
  <c r="H22" i="13"/>
  <c r="G22" i="13"/>
  <c r="AE21" i="13"/>
  <c r="AD21" i="13"/>
  <c r="AB21" i="13"/>
  <c r="AA21" i="13"/>
  <c r="Z21" i="13"/>
  <c r="Y21" i="13"/>
  <c r="X21" i="13"/>
  <c r="W21" i="13"/>
  <c r="H21" i="13"/>
  <c r="H33" i="13" s="1"/>
  <c r="E21" i="13"/>
  <c r="AE20" i="13"/>
  <c r="AD20" i="13"/>
  <c r="AB20" i="13"/>
  <c r="Z20" i="13"/>
  <c r="Y20" i="13"/>
  <c r="X20" i="13"/>
  <c r="E20" i="13"/>
  <c r="W20" i="13" s="1"/>
  <c r="AE19" i="13"/>
  <c r="AD19" i="13"/>
  <c r="AB19" i="13"/>
  <c r="AA19" i="13"/>
  <c r="Z19" i="13"/>
  <c r="Y19" i="13"/>
  <c r="X19" i="13"/>
  <c r="H19" i="13"/>
  <c r="E19" i="13"/>
  <c r="W19" i="13" s="1"/>
  <c r="AE18" i="13"/>
  <c r="AE33" i="13" s="1"/>
  <c r="AD18" i="13"/>
  <c r="AD33" i="13" s="1"/>
  <c r="AB18" i="13"/>
  <c r="AB33" i="13" s="1"/>
  <c r="AA18" i="13"/>
  <c r="Z18" i="13"/>
  <c r="Z33" i="13" s="1"/>
  <c r="Y18" i="13"/>
  <c r="W18" i="13"/>
  <c r="G18" i="13"/>
  <c r="G33" i="13" s="1"/>
  <c r="X18" i="13"/>
  <c r="X33" i="13" s="1"/>
  <c r="E18" i="13"/>
  <c r="E33" i="13" s="1"/>
  <c r="AD17" i="13"/>
  <c r="AB17" i="13"/>
  <c r="AA17" i="13"/>
  <c r="Z17" i="13"/>
  <c r="Y17" i="13"/>
  <c r="X17" i="13"/>
  <c r="W17" i="13"/>
  <c r="AE17" i="13"/>
  <c r="AC17" i="13"/>
  <c r="G17" i="13"/>
  <c r="AE16" i="13"/>
  <c r="AD16" i="13"/>
  <c r="AC16" i="13"/>
  <c r="AB16" i="13"/>
  <c r="AA16" i="13"/>
  <c r="Z16" i="13"/>
  <c r="Y16" i="13"/>
  <c r="X16" i="13"/>
  <c r="W16" i="13"/>
  <c r="H16" i="13"/>
  <c r="G16" i="13"/>
  <c r="AE15" i="13"/>
  <c r="AD15" i="13"/>
  <c r="AC15" i="13"/>
  <c r="AB15" i="13"/>
  <c r="Z15" i="13"/>
  <c r="X15" i="13"/>
  <c r="W15" i="13"/>
  <c r="H15" i="13"/>
  <c r="Y15" i="13"/>
  <c r="AE14" i="13"/>
  <c r="AD14" i="13"/>
  <c r="AB14" i="13"/>
  <c r="Z14" i="13"/>
  <c r="Y14" i="13"/>
  <c r="X14" i="13"/>
  <c r="W14" i="13"/>
  <c r="H14" i="13"/>
  <c r="AD13" i="13"/>
  <c r="AB13" i="13"/>
  <c r="Z13" i="13"/>
  <c r="X13" i="13"/>
  <c r="W13" i="13"/>
  <c r="AA13" i="13"/>
  <c r="H13" i="13"/>
  <c r="G13" i="13"/>
  <c r="Y13" i="13" s="1"/>
  <c r="F13" i="13"/>
  <c r="AE12" i="13"/>
  <c r="AD12" i="13"/>
  <c r="AC12" i="13"/>
  <c r="AB12" i="13"/>
  <c r="AA12" i="13"/>
  <c r="Z12" i="13"/>
  <c r="Y12" i="13"/>
  <c r="W12" i="13"/>
  <c r="H12" i="13"/>
  <c r="G12" i="13"/>
  <c r="F12" i="13"/>
  <c r="X12" i="13" s="1"/>
  <c r="AE11" i="13"/>
  <c r="AD11" i="13"/>
  <c r="AB11" i="13"/>
  <c r="Z11" i="13"/>
  <c r="Y11" i="13"/>
  <c r="X11" i="13"/>
  <c r="H11" i="13"/>
  <c r="G11" i="13"/>
  <c r="AE10" i="13"/>
  <c r="AD10" i="13"/>
  <c r="AD32" i="13" s="1"/>
  <c r="AB10" i="13"/>
  <c r="AB32" i="13" s="1"/>
  <c r="AA10" i="13"/>
  <c r="Z10" i="13"/>
  <c r="Z32" i="13" s="1"/>
  <c r="Y10" i="13"/>
  <c r="W10" i="13"/>
  <c r="H10" i="13"/>
  <c r="H32" i="13" s="1"/>
  <c r="G32" i="13"/>
  <c r="F10" i="13"/>
  <c r="F32" i="13" s="1"/>
  <c r="AE9" i="13"/>
  <c r="AD9" i="13"/>
  <c r="AC9" i="13"/>
  <c r="AB9" i="13"/>
  <c r="Z9" i="13"/>
  <c r="X9" i="13"/>
  <c r="W9" i="13"/>
  <c r="H9" i="13"/>
  <c r="Y9" i="13"/>
  <c r="F9" i="13"/>
  <c r="AD8" i="13"/>
  <c r="AC8" i="13"/>
  <c r="AB8" i="13"/>
  <c r="AA8" i="13"/>
  <c r="Z8" i="13"/>
  <c r="Y8" i="13"/>
  <c r="X8" i="13"/>
  <c r="H8" i="13"/>
  <c r="G8" i="13"/>
  <c r="AE7" i="13"/>
  <c r="AD7" i="13"/>
  <c r="AB7" i="13"/>
  <c r="AA7" i="13"/>
  <c r="Z7" i="13"/>
  <c r="Y7" i="13"/>
  <c r="H7" i="13"/>
  <c r="G7" i="13"/>
  <c r="F7" i="13"/>
  <c r="X7" i="13" s="1"/>
  <c r="AE6" i="13"/>
  <c r="AD6" i="13"/>
  <c r="AC6" i="13"/>
  <c r="AB6" i="13"/>
  <c r="Z6" i="13"/>
  <c r="X6" i="13"/>
  <c r="W6" i="13"/>
  <c r="H6" i="13"/>
  <c r="G6" i="13"/>
  <c r="Y6" i="13" s="1"/>
  <c r="AE5" i="13"/>
  <c r="AD5" i="13"/>
  <c r="AC5" i="13"/>
  <c r="AB5" i="13"/>
  <c r="Z5" i="13"/>
  <c r="Y5" i="13"/>
  <c r="X5" i="13"/>
  <c r="W5" i="13"/>
  <c r="H5" i="13"/>
  <c r="G5" i="13"/>
  <c r="AD4" i="13"/>
  <c r="AB4" i="13"/>
  <c r="AA4" i="13"/>
  <c r="Z4" i="13"/>
  <c r="X4" i="13"/>
  <c r="W4" i="13"/>
  <c r="H4" i="13"/>
  <c r="Y4" i="13"/>
  <c r="F4" i="13"/>
  <c r="AE3" i="13"/>
  <c r="AD3" i="13"/>
  <c r="AD31" i="13" s="1"/>
  <c r="AC3" i="13"/>
  <c r="AB3" i="13"/>
  <c r="AA3" i="13"/>
  <c r="Z3" i="13"/>
  <c r="Z31" i="13" s="1"/>
  <c r="H3" i="13"/>
  <c r="H31" i="13" s="1"/>
  <c r="G3" i="13"/>
  <c r="G31" i="13" s="1"/>
  <c r="F31" i="13"/>
  <c r="I21" i="8"/>
  <c r="I6" i="8"/>
  <c r="K17" i="8"/>
  <c r="K24" i="8"/>
  <c r="K23" i="8"/>
  <c r="K19" i="8"/>
  <c r="K20" i="8"/>
  <c r="K21" i="8"/>
  <c r="K22" i="8"/>
  <c r="K18" i="8"/>
  <c r="K11" i="8"/>
  <c r="K12" i="8"/>
  <c r="K13" i="8"/>
  <c r="K14" i="8"/>
  <c r="K10" i="8"/>
  <c r="K4" i="8"/>
  <c r="K5" i="8"/>
  <c r="K6" i="8"/>
  <c r="K7" i="8"/>
  <c r="K8" i="8"/>
  <c r="K3" i="8"/>
  <c r="J23" i="5"/>
  <c r="J22" i="5"/>
  <c r="J20" i="5"/>
  <c r="J18" i="5"/>
  <c r="J17" i="5"/>
  <c r="J15" i="5"/>
  <c r="J13" i="5"/>
  <c r="J8" i="5"/>
  <c r="J6" i="5"/>
  <c r="J7" i="5"/>
  <c r="J12" i="5"/>
  <c r="J4" i="5"/>
  <c r="Y33" i="13" l="1"/>
  <c r="AB31" i="13"/>
  <c r="J29" i="13"/>
  <c r="M31" i="13"/>
  <c r="L31" i="13"/>
  <c r="AE4" i="13"/>
  <c r="AE25" i="13" s="1"/>
  <c r="AE31" i="13"/>
  <c r="I33" i="13"/>
  <c r="K31" i="13"/>
  <c r="K33" i="13"/>
  <c r="K32" i="13"/>
  <c r="K25" i="13"/>
  <c r="W3" i="13"/>
  <c r="W25" i="13" s="1"/>
  <c r="W32" i="13"/>
  <c r="W33" i="13"/>
  <c r="Y32" i="13"/>
  <c r="AA32" i="13"/>
  <c r="AC32" i="13"/>
  <c r="AC33" i="13"/>
  <c r="Z25" i="13"/>
  <c r="AE13" i="13"/>
  <c r="AE32" i="13" s="1"/>
  <c r="AB25" i="13"/>
  <c r="I32" i="13"/>
  <c r="N32" i="13" s="1"/>
  <c r="O32" i="13" s="1"/>
  <c r="X10" i="13"/>
  <c r="J30" i="13"/>
  <c r="V33" i="13"/>
  <c r="U33" i="13" s="1"/>
  <c r="AA5" i="13"/>
  <c r="X3" i="13"/>
  <c r="E25" i="13"/>
  <c r="AD25" i="13"/>
  <c r="I31" i="13"/>
  <c r="Y3" i="13"/>
  <c r="F25" i="13"/>
  <c r="F26" i="13" s="1"/>
  <c r="F27" i="13" s="1"/>
  <c r="L32" i="13"/>
  <c r="G25" i="13"/>
  <c r="G26" i="13" s="1"/>
  <c r="G27" i="13" s="1"/>
  <c r="M32" i="13"/>
  <c r="AA20" i="13"/>
  <c r="AA33" i="13" s="1"/>
  <c r="H25" i="13"/>
  <c r="H26" i="13" s="1"/>
  <c r="H27" i="13" s="1"/>
  <c r="F33" i="13"/>
  <c r="AC4" i="13"/>
  <c r="AC25" i="13" s="1"/>
  <c r="V31" i="13" l="1"/>
  <c r="U31" i="13" s="1"/>
  <c r="W31" i="13"/>
  <c r="D32" i="13"/>
  <c r="D33" i="13"/>
  <c r="AC31" i="13"/>
  <c r="N31" i="13"/>
  <c r="D31" i="13"/>
  <c r="N33" i="13"/>
  <c r="O33" i="13" s="1"/>
  <c r="X32" i="13"/>
  <c r="V32" i="13"/>
  <c r="AA9" i="13"/>
  <c r="AA31" i="13" s="1"/>
  <c r="D29" i="13"/>
  <c r="E26" i="13"/>
  <c r="E27" i="13" s="1"/>
  <c r="X25" i="13"/>
  <c r="X31" i="13"/>
  <c r="I25" i="13"/>
  <c r="I26" i="13" s="1"/>
  <c r="Y25" i="13"/>
  <c r="Y31" i="13"/>
  <c r="S31" i="13" l="1"/>
  <c r="D25" i="13"/>
  <c r="AA25" i="13"/>
  <c r="O31" i="13"/>
  <c r="O34" i="13" s="1"/>
  <c r="N34" i="13"/>
  <c r="U32" i="13"/>
  <c r="S32" i="13"/>
  <c r="Y28" i="13"/>
  <c r="X28" i="13" l="1"/>
  <c r="W28" i="13"/>
  <c r="V28" i="13" s="1"/>
  <c r="AF28" i="13"/>
  <c r="AC28" i="13"/>
  <c r="AD28" i="13"/>
  <c r="AB28" i="13"/>
  <c r="Z28" i="13"/>
  <c r="AE28" i="13"/>
  <c r="AA28" i="13"/>
  <c r="J21" i="5"/>
  <c r="J11" i="5"/>
  <c r="J10" i="5"/>
  <c r="J5" i="5"/>
  <c r="I16" i="8" l="1"/>
  <c r="I13" i="8"/>
  <c r="I20" i="8"/>
  <c r="AF33" i="10"/>
  <c r="Z33" i="10"/>
  <c r="M33" i="10"/>
  <c r="L33" i="10"/>
  <c r="J33" i="10"/>
  <c r="AF32" i="10"/>
  <c r="J32" i="10"/>
  <c r="AF31" i="10"/>
  <c r="Z31" i="10"/>
  <c r="M31" i="10"/>
  <c r="J31" i="10"/>
  <c r="J30" i="10"/>
  <c r="J29" i="10"/>
  <c r="AF25" i="10"/>
  <c r="AF26" i="10" s="1"/>
  <c r="AF27" i="10" s="1"/>
  <c r="AD25" i="10"/>
  <c r="Z25" i="10"/>
  <c r="J25" i="10"/>
  <c r="J26" i="10" s="1"/>
  <c r="J27" i="10" s="1"/>
  <c r="AE24" i="10"/>
  <c r="AD24" i="10"/>
  <c r="AC24" i="10"/>
  <c r="AB24" i="10"/>
  <c r="Z24" i="10"/>
  <c r="Y24" i="10"/>
  <c r="K24" i="10"/>
  <c r="I24" i="10"/>
  <c r="AA24" i="10" s="1"/>
  <c r="H24" i="10"/>
  <c r="F24" i="10"/>
  <c r="X24" i="10" s="1"/>
  <c r="E24" i="10"/>
  <c r="W24" i="10" s="1"/>
  <c r="AE23" i="10"/>
  <c r="AD23" i="10"/>
  <c r="AC23" i="10"/>
  <c r="AB23" i="10"/>
  <c r="Z23" i="10"/>
  <c r="K23" i="10"/>
  <c r="H23" i="10"/>
  <c r="G23" i="10"/>
  <c r="Y23" i="10" s="1"/>
  <c r="E23" i="10"/>
  <c r="W23" i="10" s="1"/>
  <c r="AE22" i="10"/>
  <c r="AD22" i="10"/>
  <c r="AC22" i="10"/>
  <c r="AB22" i="10"/>
  <c r="Z22" i="10"/>
  <c r="X22" i="10"/>
  <c r="W22" i="10"/>
  <c r="K22" i="10"/>
  <c r="H22" i="10"/>
  <c r="G22" i="10"/>
  <c r="Y22" i="10" s="1"/>
  <c r="AE21" i="10"/>
  <c r="AD21" i="10"/>
  <c r="AC21" i="10"/>
  <c r="AB21" i="10"/>
  <c r="Z21" i="10"/>
  <c r="Y21" i="10"/>
  <c r="X21" i="10"/>
  <c r="W21" i="10"/>
  <c r="K21" i="10"/>
  <c r="H21" i="10"/>
  <c r="E21" i="10"/>
  <c r="AE20" i="10"/>
  <c r="AD20" i="10"/>
  <c r="AB20" i="10"/>
  <c r="Z20" i="10"/>
  <c r="Y20" i="10"/>
  <c r="X20" i="10"/>
  <c r="K20" i="10"/>
  <c r="AC20" i="10" s="1"/>
  <c r="I20" i="10"/>
  <c r="AA20" i="10" s="1"/>
  <c r="AE19" i="10"/>
  <c r="AD19" i="10"/>
  <c r="AB19" i="10"/>
  <c r="AA19" i="10"/>
  <c r="Z19" i="10"/>
  <c r="Y19" i="10"/>
  <c r="X19" i="10"/>
  <c r="K19" i="10"/>
  <c r="AC19" i="10" s="1"/>
  <c r="H19" i="10"/>
  <c r="H33" i="10" s="1"/>
  <c r="E19" i="10"/>
  <c r="W19" i="10" s="1"/>
  <c r="AE18" i="10"/>
  <c r="AE33" i="10" s="1"/>
  <c r="AD18" i="10"/>
  <c r="AD33" i="10" s="1"/>
  <c r="AC18" i="10"/>
  <c r="AB18" i="10"/>
  <c r="AB33" i="10" s="1"/>
  <c r="AA18" i="10"/>
  <c r="Z18" i="10"/>
  <c r="K18" i="10"/>
  <c r="K33" i="10" s="1"/>
  <c r="G18" i="10"/>
  <c r="Y18" i="10" s="1"/>
  <c r="Y33" i="10" s="1"/>
  <c r="F18" i="10"/>
  <c r="X18" i="10" s="1"/>
  <c r="E18" i="10"/>
  <c r="AE17" i="10"/>
  <c r="AD17" i="10"/>
  <c r="AC17" i="10"/>
  <c r="AB17" i="10"/>
  <c r="AA17" i="10"/>
  <c r="Z17" i="10"/>
  <c r="Y17" i="10"/>
  <c r="L17" i="10"/>
  <c r="K17" i="10"/>
  <c r="H17" i="10"/>
  <c r="G17" i="10"/>
  <c r="F17" i="10"/>
  <c r="X17" i="10" s="1"/>
  <c r="E17" i="10"/>
  <c r="W17" i="10" s="1"/>
  <c r="AE16" i="10"/>
  <c r="AD16" i="10"/>
  <c r="AC16" i="10"/>
  <c r="AB16" i="10"/>
  <c r="AA16" i="10"/>
  <c r="Z16" i="10"/>
  <c r="Y16" i="10"/>
  <c r="X16" i="10"/>
  <c r="H16" i="10"/>
  <c r="G16" i="10"/>
  <c r="E16" i="10"/>
  <c r="W16" i="10" s="1"/>
  <c r="AE15" i="10"/>
  <c r="AD15" i="10"/>
  <c r="AC15" i="10"/>
  <c r="AB15" i="10"/>
  <c r="Z15" i="10"/>
  <c r="X15" i="10"/>
  <c r="W15" i="10"/>
  <c r="L15" i="10"/>
  <c r="L32" i="10" s="1"/>
  <c r="H15" i="10"/>
  <c r="E15" i="10"/>
  <c r="AE14" i="10"/>
  <c r="AD14" i="10"/>
  <c r="AB14" i="10"/>
  <c r="Z14" i="10"/>
  <c r="Y14" i="10"/>
  <c r="X14" i="10"/>
  <c r="K14" i="10"/>
  <c r="K32" i="10" s="1"/>
  <c r="H14" i="10"/>
  <c r="H32" i="10" s="1"/>
  <c r="E14" i="10"/>
  <c r="W14" i="10" s="1"/>
  <c r="AD13" i="10"/>
  <c r="AB13" i="10"/>
  <c r="AA13" i="10"/>
  <c r="Z13" i="10"/>
  <c r="AE13" i="10"/>
  <c r="K13" i="10"/>
  <c r="AC13" i="10" s="1"/>
  <c r="H13" i="10"/>
  <c r="G13" i="10"/>
  <c r="Y13" i="10" s="1"/>
  <c r="E13" i="10"/>
  <c r="W13" i="10" s="1"/>
  <c r="AE12" i="10"/>
  <c r="AD12" i="10"/>
  <c r="AB12" i="10"/>
  <c r="AA12" i="10"/>
  <c r="Z12" i="10"/>
  <c r="K12" i="10"/>
  <c r="AC12" i="10" s="1"/>
  <c r="H12" i="10"/>
  <c r="G12" i="10"/>
  <c r="Y12" i="10" s="1"/>
  <c r="E12" i="10"/>
  <c r="W12" i="10" s="1"/>
  <c r="AE11" i="10"/>
  <c r="AD11" i="10"/>
  <c r="AC11" i="10"/>
  <c r="AB11" i="10"/>
  <c r="AA11" i="10"/>
  <c r="Z11" i="10"/>
  <c r="K11" i="10"/>
  <c r="H11" i="10"/>
  <c r="G11" i="10"/>
  <c r="Y11" i="10" s="1"/>
  <c r="F11" i="10"/>
  <c r="X11" i="10" s="1"/>
  <c r="E11" i="10"/>
  <c r="W11" i="10" s="1"/>
  <c r="AE10" i="10"/>
  <c r="AE32" i="10" s="1"/>
  <c r="AD10" i="10"/>
  <c r="AD32" i="10" s="1"/>
  <c r="AC10" i="10"/>
  <c r="AB10" i="10"/>
  <c r="AB32" i="10" s="1"/>
  <c r="AA10" i="10"/>
  <c r="Z10" i="10"/>
  <c r="Z32" i="10" s="1"/>
  <c r="K10" i="10"/>
  <c r="H10" i="10"/>
  <c r="G10" i="10"/>
  <c r="Y10" i="10" s="1"/>
  <c r="E10" i="10"/>
  <c r="E32" i="10" s="1"/>
  <c r="AE9" i="10"/>
  <c r="AD9" i="10"/>
  <c r="AC9" i="10"/>
  <c r="AB9" i="10"/>
  <c r="AB25" i="10" s="1"/>
  <c r="Z9" i="10"/>
  <c r="H9" i="10"/>
  <c r="G9" i="10"/>
  <c r="Y9" i="10" s="1"/>
  <c r="F9" i="10"/>
  <c r="X9" i="10" s="1"/>
  <c r="E9" i="10"/>
  <c r="W9" i="10" s="1"/>
  <c r="AE8" i="10"/>
  <c r="AD8" i="10"/>
  <c r="AC8" i="10"/>
  <c r="AB8" i="10"/>
  <c r="Z8" i="10"/>
  <c r="Y8" i="10"/>
  <c r="X8" i="10"/>
  <c r="L8" i="10"/>
  <c r="L31" i="10" s="1"/>
  <c r="K8" i="10"/>
  <c r="H8" i="10"/>
  <c r="G8" i="10"/>
  <c r="E8" i="10"/>
  <c r="W8" i="10" s="1"/>
  <c r="AE7" i="10"/>
  <c r="AD7" i="10"/>
  <c r="AC7" i="10"/>
  <c r="AB7" i="10"/>
  <c r="Z7" i="10"/>
  <c r="Y7" i="10"/>
  <c r="X7" i="10"/>
  <c r="K7" i="10"/>
  <c r="H7" i="10"/>
  <c r="G7" i="10"/>
  <c r="F7" i="10"/>
  <c r="E7" i="10"/>
  <c r="W7" i="10" s="1"/>
  <c r="AE6" i="10"/>
  <c r="AD6" i="10"/>
  <c r="AB6" i="10"/>
  <c r="AB31" i="10" s="1"/>
  <c r="Z6" i="10"/>
  <c r="X6" i="10"/>
  <c r="W6" i="10"/>
  <c r="K6" i="10"/>
  <c r="AC6" i="10" s="1"/>
  <c r="H6" i="10"/>
  <c r="E6" i="10"/>
  <c r="AE5" i="10"/>
  <c r="AD5" i="10"/>
  <c r="AB5" i="10"/>
  <c r="Z5" i="10"/>
  <c r="X5" i="10"/>
  <c r="W5" i="10"/>
  <c r="K5" i="10"/>
  <c r="AC5" i="10" s="1"/>
  <c r="H5" i="10"/>
  <c r="G5" i="10"/>
  <c r="Y5" i="10" s="1"/>
  <c r="E5" i="10"/>
  <c r="AE4" i="10"/>
  <c r="AD4" i="10"/>
  <c r="AB4" i="10"/>
  <c r="AA4" i="10"/>
  <c r="Z4" i="10"/>
  <c r="K4" i="10"/>
  <c r="AC4" i="10" s="1"/>
  <c r="H4" i="10"/>
  <c r="G4" i="10"/>
  <c r="Y4" i="10" s="1"/>
  <c r="F4" i="10"/>
  <c r="X4" i="10" s="1"/>
  <c r="E4" i="10"/>
  <c r="W4" i="10" s="1"/>
  <c r="AE3" i="10"/>
  <c r="AD3" i="10"/>
  <c r="AD31" i="10" s="1"/>
  <c r="AC3" i="10"/>
  <c r="AB3" i="10"/>
  <c r="AA3" i="10"/>
  <c r="Z3" i="10"/>
  <c r="H3" i="10"/>
  <c r="H31" i="10" s="1"/>
  <c r="G3" i="10"/>
  <c r="F3" i="10"/>
  <c r="E3" i="10"/>
  <c r="W3" i="10" s="1"/>
  <c r="H27" i="8"/>
  <c r="I9" i="5"/>
  <c r="E4" i="5"/>
  <c r="I24" i="8"/>
  <c r="M13" i="8"/>
  <c r="AE31" i="10" l="1"/>
  <c r="AC33" i="10"/>
  <c r="W31" i="10"/>
  <c r="AC31" i="10"/>
  <c r="AE25" i="10"/>
  <c r="G33" i="10"/>
  <c r="Y3" i="10"/>
  <c r="AC14" i="10"/>
  <c r="AC25" i="10" s="1"/>
  <c r="K25" i="10"/>
  <c r="E31" i="10"/>
  <c r="X3" i="10"/>
  <c r="W10" i="10"/>
  <c r="W18" i="10"/>
  <c r="L25" i="10"/>
  <c r="K31" i="10"/>
  <c r="M25" i="10"/>
  <c r="M32" i="10"/>
  <c r="H25" i="10"/>
  <c r="H26" i="10" s="1"/>
  <c r="H27" i="10" s="1"/>
  <c r="F31" i="10"/>
  <c r="L8" i="8"/>
  <c r="L10" i="8"/>
  <c r="L11" i="8"/>
  <c r="L15" i="8"/>
  <c r="L17" i="8"/>
  <c r="M17" i="8"/>
  <c r="H17" i="8"/>
  <c r="AF27" i="5"/>
  <c r="H27" i="5"/>
  <c r="AC32" i="10" l="1"/>
  <c r="X31" i="10"/>
  <c r="W32" i="10"/>
  <c r="V31" i="10"/>
  <c r="V33" i="10"/>
  <c r="U33" i="10" s="1"/>
  <c r="G23" i="8"/>
  <c r="F17" i="8"/>
  <c r="E20" i="5"/>
  <c r="E20" i="10" s="1"/>
  <c r="E11" i="5"/>
  <c r="I21" i="5"/>
  <c r="W20" i="10" l="1"/>
  <c r="E33" i="10"/>
  <c r="E25" i="10"/>
  <c r="U31" i="10"/>
  <c r="S31" i="10"/>
  <c r="J19" i="5"/>
  <c r="J16" i="5"/>
  <c r="J14" i="5"/>
  <c r="J3" i="5"/>
  <c r="G21" i="5"/>
  <c r="G19" i="5"/>
  <c r="G14" i="5"/>
  <c r="G6" i="5"/>
  <c r="G6" i="10" s="1"/>
  <c r="F23" i="5"/>
  <c r="F23" i="10" s="1"/>
  <c r="F20" i="5"/>
  <c r="F19" i="5"/>
  <c r="F16" i="5"/>
  <c r="F15" i="5"/>
  <c r="F17" i="5"/>
  <c r="F13" i="5"/>
  <c r="F13" i="10" s="1"/>
  <c r="X13" i="10" s="1"/>
  <c r="F12" i="5"/>
  <c r="F12" i="10" s="1"/>
  <c r="X12" i="10" s="1"/>
  <c r="F6" i="5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9" i="8"/>
  <c r="H21" i="8"/>
  <c r="H22" i="8"/>
  <c r="H23" i="8"/>
  <c r="H24" i="8"/>
  <c r="H3" i="8"/>
  <c r="G3" i="8"/>
  <c r="J24" i="5"/>
  <c r="G24" i="5"/>
  <c r="G23" i="5" s="1"/>
  <c r="I7" i="5"/>
  <c r="J9" i="5"/>
  <c r="K9" i="5"/>
  <c r="K6" i="5"/>
  <c r="K7" i="5"/>
  <c r="K10" i="5"/>
  <c r="K17" i="5"/>
  <c r="K22" i="5"/>
  <c r="K21" i="5"/>
  <c r="K20" i="5"/>
  <c r="K5" i="5"/>
  <c r="E26" i="10" l="1"/>
  <c r="E27" i="10" s="1"/>
  <c r="X23" i="10"/>
  <c r="X33" i="10" s="1"/>
  <c r="F33" i="10"/>
  <c r="I7" i="8"/>
  <c r="I7" i="10"/>
  <c r="Y6" i="10"/>
  <c r="G31" i="10"/>
  <c r="W25" i="10"/>
  <c r="W33" i="10"/>
  <c r="H33" i="8"/>
  <c r="H25" i="8"/>
  <c r="H26" i="8" s="1"/>
  <c r="H32" i="8"/>
  <c r="H31" i="8"/>
  <c r="AA7" i="10" l="1"/>
  <c r="Y31" i="10"/>
  <c r="K18" i="5"/>
  <c r="K19" i="5"/>
  <c r="K12" i="5"/>
  <c r="K23" i="5"/>
  <c r="K24" i="5"/>
  <c r="E8" i="5"/>
  <c r="AB7" i="8"/>
  <c r="AB8" i="8"/>
  <c r="AB9" i="8"/>
  <c r="AB23" i="8"/>
  <c r="F4" i="8"/>
  <c r="X4" i="8" s="1"/>
  <c r="F7" i="8"/>
  <c r="X7" i="8" s="1"/>
  <c r="F9" i="8"/>
  <c r="X9" i="8" s="1"/>
  <c r="F11" i="8"/>
  <c r="X11" i="8" s="1"/>
  <c r="F18" i="8"/>
  <c r="X18" i="8" s="1"/>
  <c r="F23" i="8"/>
  <c r="X23" i="8" s="1"/>
  <c r="AB24" i="8"/>
  <c r="E23" i="8"/>
  <c r="W23" i="8" s="1"/>
  <c r="Y23" i="8"/>
  <c r="E24" i="8"/>
  <c r="W24" i="8" s="1"/>
  <c r="F24" i="8"/>
  <c r="X24" i="8" s="1"/>
  <c r="Y24" i="8"/>
  <c r="Z24" i="8"/>
  <c r="G4" i="8"/>
  <c r="Y4" i="8" s="1"/>
  <c r="AA4" i="8"/>
  <c r="W5" i="8"/>
  <c r="G5" i="8"/>
  <c r="Y5" i="8" s="1"/>
  <c r="W6" i="8"/>
  <c r="G6" i="8"/>
  <c r="Z6" i="8"/>
  <c r="W7" i="8"/>
  <c r="G7" i="8"/>
  <c r="Y7" i="8" s="1"/>
  <c r="AA7" i="8"/>
  <c r="G8" i="8"/>
  <c r="Y8" i="8" s="1"/>
  <c r="Z8" i="8"/>
  <c r="W9" i="8"/>
  <c r="G9" i="8"/>
  <c r="Y9" i="8" s="1"/>
  <c r="Z9" i="8"/>
  <c r="W10" i="8"/>
  <c r="G10" i="8"/>
  <c r="Y10" i="8" s="1"/>
  <c r="AA10" i="8"/>
  <c r="G11" i="8"/>
  <c r="Y11" i="8" s="1"/>
  <c r="Z11" i="8"/>
  <c r="AA11" i="8"/>
  <c r="G12" i="8"/>
  <c r="Y12" i="8" s="1"/>
  <c r="AA12" i="8"/>
  <c r="W13" i="8"/>
  <c r="G13" i="8"/>
  <c r="Y13" i="8" s="1"/>
  <c r="Z13" i="8"/>
  <c r="AA13" i="8"/>
  <c r="W14" i="8"/>
  <c r="Z14" i="8"/>
  <c r="W15" i="8"/>
  <c r="W16" i="8"/>
  <c r="G16" i="8"/>
  <c r="Y16" i="8" s="1"/>
  <c r="Z16" i="8"/>
  <c r="AA16" i="8"/>
  <c r="W17" i="8"/>
  <c r="G17" i="8"/>
  <c r="Y17" i="8" s="1"/>
  <c r="AA17" i="8"/>
  <c r="E18" i="8"/>
  <c r="W18" i="8" s="1"/>
  <c r="G18" i="8"/>
  <c r="Y18" i="8" s="1"/>
  <c r="AA18" i="8"/>
  <c r="E19" i="8"/>
  <c r="W19" i="8" s="1"/>
  <c r="Z19" i="8"/>
  <c r="AA19" i="8"/>
  <c r="Z20" i="8"/>
  <c r="AA20" i="8"/>
  <c r="E21" i="8"/>
  <c r="W21" i="8" s="1"/>
  <c r="G22" i="8"/>
  <c r="Y22" i="8" s="1"/>
  <c r="Z22" i="8"/>
  <c r="AA3" i="8"/>
  <c r="Y3" i="8"/>
  <c r="W3" i="8"/>
  <c r="K3" i="5"/>
  <c r="I24" i="5"/>
  <c r="I14" i="5"/>
  <c r="I22" i="5"/>
  <c r="E10" i="5"/>
  <c r="I23" i="5"/>
  <c r="G15" i="5"/>
  <c r="Y19" i="8"/>
  <c r="Y14" i="8"/>
  <c r="X17" i="8"/>
  <c r="I5" i="5"/>
  <c r="I8" i="5"/>
  <c r="AF33" i="8"/>
  <c r="AF32" i="8"/>
  <c r="AF31" i="8"/>
  <c r="AF25" i="8"/>
  <c r="AF26" i="8" s="1"/>
  <c r="AF27" i="8" s="1"/>
  <c r="AE24" i="8"/>
  <c r="AD24" i="8"/>
  <c r="AA24" i="8"/>
  <c r="AC24" i="8"/>
  <c r="AE23" i="8"/>
  <c r="AD23" i="8"/>
  <c r="Z23" i="8"/>
  <c r="AC23" i="8"/>
  <c r="AE22" i="8"/>
  <c r="AD22" i="8"/>
  <c r="AC22" i="8"/>
  <c r="AE21" i="8"/>
  <c r="AD21" i="8"/>
  <c r="AA21" i="8"/>
  <c r="Z21" i="8"/>
  <c r="AC21" i="8"/>
  <c r="AE20" i="8"/>
  <c r="AD20" i="8"/>
  <c r="AC20" i="8"/>
  <c r="AE19" i="8"/>
  <c r="AD19" i="8"/>
  <c r="AC19" i="8"/>
  <c r="AD18" i="8"/>
  <c r="AD33" i="8" s="1"/>
  <c r="Z18" i="8"/>
  <c r="M33" i="8"/>
  <c r="AD17" i="8"/>
  <c r="Z17" i="8"/>
  <c r="AE17" i="8"/>
  <c r="AC17" i="8"/>
  <c r="AE16" i="8"/>
  <c r="AD16" i="8"/>
  <c r="AC16" i="8"/>
  <c r="AD15" i="8"/>
  <c r="AC15" i="8"/>
  <c r="Z15" i="8"/>
  <c r="AE15" i="8"/>
  <c r="AE14" i="8"/>
  <c r="AD14" i="8"/>
  <c r="AC14" i="8"/>
  <c r="AD13" i="8"/>
  <c r="AC13" i="8"/>
  <c r="AE13" i="8"/>
  <c r="AE12" i="8"/>
  <c r="AD12" i="8"/>
  <c r="Z12" i="8"/>
  <c r="W12" i="8"/>
  <c r="AD11" i="8"/>
  <c r="AC11" i="8"/>
  <c r="AE11" i="8"/>
  <c r="AD10" i="8"/>
  <c r="AC10" i="8"/>
  <c r="Z10" i="8"/>
  <c r="AE9" i="8"/>
  <c r="AD9" i="8"/>
  <c r="AC9" i="8"/>
  <c r="AD8" i="8"/>
  <c r="AC8" i="8"/>
  <c r="AE8" i="8"/>
  <c r="L31" i="8"/>
  <c r="W8" i="8"/>
  <c r="AE7" i="8"/>
  <c r="AD7" i="8"/>
  <c r="AC7" i="8"/>
  <c r="Z7" i="8"/>
  <c r="AE6" i="8"/>
  <c r="AD6" i="8"/>
  <c r="AC6" i="8"/>
  <c r="AE5" i="8"/>
  <c r="AD5" i="8"/>
  <c r="Z5" i="8"/>
  <c r="AC5" i="8"/>
  <c r="AD4" i="8"/>
  <c r="AC4" i="8"/>
  <c r="Z4" i="8"/>
  <c r="AE4" i="8"/>
  <c r="AD3" i="8"/>
  <c r="AD25" i="8" s="1"/>
  <c r="AB3" i="8"/>
  <c r="Z3" i="8"/>
  <c r="F5" i="5"/>
  <c r="X5" i="8" s="1"/>
  <c r="F3" i="5"/>
  <c r="F3" i="8" s="1"/>
  <c r="AB4" i="8"/>
  <c r="AB5" i="8"/>
  <c r="AB6" i="8"/>
  <c r="F8" i="5"/>
  <c r="X8" i="8" s="1"/>
  <c r="F10" i="5"/>
  <c r="AB10" i="8"/>
  <c r="AB11" i="8"/>
  <c r="F12" i="8"/>
  <c r="AB12" i="8"/>
  <c r="F13" i="8"/>
  <c r="X13" i="8" s="1"/>
  <c r="AB13" i="8"/>
  <c r="F14" i="5"/>
  <c r="X14" i="8" s="1"/>
  <c r="AB14" i="8"/>
  <c r="E15" i="5"/>
  <c r="X15" i="8"/>
  <c r="I15" i="5"/>
  <c r="AB15" i="8"/>
  <c r="X16" i="8"/>
  <c r="AB16" i="8"/>
  <c r="AB17" i="8"/>
  <c r="X19" i="8"/>
  <c r="AB19" i="8"/>
  <c r="E20" i="8"/>
  <c r="W20" i="8" s="1"/>
  <c r="X20" i="8"/>
  <c r="G20" i="5"/>
  <c r="Y20" i="8" s="1"/>
  <c r="AB20" i="8"/>
  <c r="F21" i="5"/>
  <c r="X21" i="8" s="1"/>
  <c r="AB21" i="8"/>
  <c r="E22" i="5"/>
  <c r="W22" i="8" s="1"/>
  <c r="F22" i="5"/>
  <c r="X22" i="8" s="1"/>
  <c r="AB22" i="8"/>
  <c r="I8" i="10" l="1"/>
  <c r="AA8" i="10" s="1"/>
  <c r="I8" i="8"/>
  <c r="AA8" i="8" s="1"/>
  <c r="I14" i="8"/>
  <c r="AA14" i="8" s="1"/>
  <c r="I14" i="10"/>
  <c r="I22" i="8"/>
  <c r="I22" i="10"/>
  <c r="I23" i="8"/>
  <c r="AA23" i="8" s="1"/>
  <c r="I23" i="10"/>
  <c r="AA23" i="10" s="1"/>
  <c r="I15" i="10"/>
  <c r="AA15" i="10" s="1"/>
  <c r="I15" i="8"/>
  <c r="AA15" i="8" s="1"/>
  <c r="G15" i="8"/>
  <c r="Y15" i="8" s="1"/>
  <c r="Y32" i="8" s="1"/>
  <c r="G15" i="10"/>
  <c r="I5" i="8"/>
  <c r="I9" i="8" s="1"/>
  <c r="AA9" i="8" s="1"/>
  <c r="I5" i="10"/>
  <c r="F10" i="8"/>
  <c r="X10" i="8" s="1"/>
  <c r="F10" i="10"/>
  <c r="K31" i="8"/>
  <c r="L33" i="8"/>
  <c r="G33" i="8"/>
  <c r="M25" i="8"/>
  <c r="K32" i="8"/>
  <c r="G31" i="8"/>
  <c r="L32" i="8"/>
  <c r="M32" i="8"/>
  <c r="E33" i="8"/>
  <c r="AC12" i="8"/>
  <c r="AC32" i="8" s="1"/>
  <c r="K33" i="8"/>
  <c r="AC3" i="8"/>
  <c r="AC31" i="8" s="1"/>
  <c r="AE3" i="8"/>
  <c r="AE31" i="8" s="1"/>
  <c r="M31" i="8"/>
  <c r="AC18" i="8"/>
  <c r="AC33" i="8" s="1"/>
  <c r="E32" i="8"/>
  <c r="AD32" i="8"/>
  <c r="AE18" i="8"/>
  <c r="AE33" i="8" s="1"/>
  <c r="J33" i="8"/>
  <c r="X6" i="8"/>
  <c r="Y6" i="8"/>
  <c r="Y31" i="8" s="1"/>
  <c r="W33" i="8"/>
  <c r="Z32" i="8"/>
  <c r="Z25" i="8"/>
  <c r="Z33" i="8"/>
  <c r="Z31" i="8"/>
  <c r="AB31" i="8"/>
  <c r="X33" i="8"/>
  <c r="AB32" i="8"/>
  <c r="Y21" i="8"/>
  <c r="Y33" i="8" s="1"/>
  <c r="J32" i="8"/>
  <c r="K25" i="8"/>
  <c r="W4" i="8"/>
  <c r="W31" i="8" s="1"/>
  <c r="AE10" i="8"/>
  <c r="AE32" i="8" s="1"/>
  <c r="F31" i="8"/>
  <c r="L25" i="8"/>
  <c r="J31" i="8"/>
  <c r="F33" i="8"/>
  <c r="X12" i="8"/>
  <c r="AD31" i="8"/>
  <c r="E31" i="8"/>
  <c r="J25" i="8"/>
  <c r="J26" i="8" s="1"/>
  <c r="J27" i="8" s="1"/>
  <c r="X3" i="8"/>
  <c r="W11" i="8"/>
  <c r="W32" i="8" s="1"/>
  <c r="AB18" i="8"/>
  <c r="AB25" i="8" s="1"/>
  <c r="E25" i="8"/>
  <c r="E26" i="8" s="1"/>
  <c r="E27" i="8" s="1"/>
  <c r="G32" i="8" l="1"/>
  <c r="F32" i="8"/>
  <c r="X32" i="8"/>
  <c r="I31" i="8"/>
  <c r="D31" i="8" s="1"/>
  <c r="I33" i="8"/>
  <c r="N33" i="8" s="1"/>
  <c r="O33" i="8" s="1"/>
  <c r="F25" i="8"/>
  <c r="F26" i="8" s="1"/>
  <c r="F27" i="8" s="1"/>
  <c r="D29" i="8"/>
  <c r="AA32" i="8"/>
  <c r="I32" i="8"/>
  <c r="D32" i="8" s="1"/>
  <c r="AA22" i="8"/>
  <c r="AA33" i="8" s="1"/>
  <c r="G32" i="10"/>
  <c r="Y15" i="10"/>
  <c r="G25" i="10"/>
  <c r="G26" i="10" s="1"/>
  <c r="G27" i="10" s="1"/>
  <c r="G25" i="8"/>
  <c r="G26" i="8" s="1"/>
  <c r="G27" i="8" s="1"/>
  <c r="AA5" i="10"/>
  <c r="I9" i="10"/>
  <c r="AA9" i="10" s="1"/>
  <c r="AA14" i="10"/>
  <c r="AA32" i="10" s="1"/>
  <c r="I32" i="10"/>
  <c r="I21" i="10"/>
  <c r="AA22" i="10"/>
  <c r="F32" i="10"/>
  <c r="F25" i="10"/>
  <c r="X10" i="10"/>
  <c r="I25" i="8"/>
  <c r="I26" i="8" s="1"/>
  <c r="I27" i="8" s="1"/>
  <c r="AA5" i="8"/>
  <c r="AC25" i="8"/>
  <c r="Y25" i="8"/>
  <c r="W25" i="8"/>
  <c r="AE25" i="8"/>
  <c r="AB33" i="8"/>
  <c r="V33" i="8"/>
  <c r="U33" i="8" s="1"/>
  <c r="X25" i="8"/>
  <c r="X31" i="8"/>
  <c r="V31" i="8"/>
  <c r="J29" i="8"/>
  <c r="J30" i="8"/>
  <c r="V32" i="8"/>
  <c r="N31" i="8" l="1"/>
  <c r="O31" i="8" s="1"/>
  <c r="D33" i="8"/>
  <c r="N32" i="8"/>
  <c r="O32" i="8" s="1"/>
  <c r="AA31" i="10"/>
  <c r="D29" i="10"/>
  <c r="N32" i="10"/>
  <c r="O32" i="10" s="1"/>
  <c r="D25" i="8"/>
  <c r="AA21" i="10"/>
  <c r="AA33" i="10" s="1"/>
  <c r="I33" i="10"/>
  <c r="I31" i="10"/>
  <c r="Y32" i="10"/>
  <c r="Y25" i="10"/>
  <c r="AA31" i="8"/>
  <c r="AA25" i="8"/>
  <c r="X32" i="10"/>
  <c r="X25" i="10"/>
  <c r="V32" i="10"/>
  <c r="I25" i="10"/>
  <c r="I26" i="10" s="1"/>
  <c r="I27" i="10" s="1"/>
  <c r="F26" i="10"/>
  <c r="F27" i="10" s="1"/>
  <c r="D32" i="10"/>
  <c r="U31" i="8"/>
  <c r="S31" i="8"/>
  <c r="D28" i="8"/>
  <c r="AE28" i="8" s="1"/>
  <c r="U32" i="8"/>
  <c r="S32" i="8"/>
  <c r="O34" i="8" l="1"/>
  <c r="N34" i="8"/>
  <c r="AA25" i="10"/>
  <c r="D25" i="10"/>
  <c r="D28" i="10"/>
  <c r="Y28" i="10" s="1"/>
  <c r="N31" i="10"/>
  <c r="D31" i="10"/>
  <c r="S32" i="10"/>
  <c r="U32" i="10"/>
  <c r="D33" i="10"/>
  <c r="N33" i="10"/>
  <c r="O33" i="10" s="1"/>
  <c r="AD28" i="8"/>
  <c r="Z28" i="8"/>
  <c r="AF28" i="8"/>
  <c r="AB28" i="8"/>
  <c r="Y28" i="8"/>
  <c r="W28" i="8"/>
  <c r="AC28" i="8"/>
  <c r="AA28" i="8"/>
  <c r="X28" i="8"/>
  <c r="AA28" i="10" l="1"/>
  <c r="O31" i="10"/>
  <c r="O34" i="10" s="1"/>
  <c r="N34" i="10"/>
  <c r="AC28" i="10"/>
  <c r="AB28" i="10"/>
  <c r="Z28" i="10"/>
  <c r="AE28" i="10"/>
  <c r="AD28" i="10"/>
  <c r="AF28" i="10"/>
  <c r="W28" i="10"/>
  <c r="V28" i="10" s="1"/>
  <c r="X28" i="10"/>
  <c r="V28" i="8"/>
  <c r="C7" i="7" l="1"/>
  <c r="B7" i="7"/>
  <c r="L33" i="5"/>
  <c r="L31" i="5"/>
  <c r="D29" i="5" l="1"/>
  <c r="L32" i="5"/>
  <c r="L25" i="5"/>
  <c r="AC7" i="5" l="1"/>
  <c r="AC5" i="5"/>
  <c r="AE8" i="5"/>
  <c r="AD8" i="5"/>
  <c r="AC8" i="5"/>
  <c r="AB8" i="5"/>
  <c r="Z8" i="5"/>
  <c r="Y8" i="5"/>
  <c r="AA8" i="5"/>
  <c r="X8" i="5"/>
  <c r="W8" i="5"/>
  <c r="AC23" i="5"/>
  <c r="AC21" i="5"/>
  <c r="AE23" i="5"/>
  <c r="AD23" i="5"/>
  <c r="Z23" i="5"/>
  <c r="W23" i="5"/>
  <c r="AB23" i="5"/>
  <c r="AA23" i="5"/>
  <c r="Y23" i="5"/>
  <c r="X23" i="5"/>
  <c r="AC17" i="5"/>
  <c r="AC14" i="5"/>
  <c r="AF33" i="5"/>
  <c r="M33" i="5"/>
  <c r="H33" i="5"/>
  <c r="AF32" i="5"/>
  <c r="M32" i="5"/>
  <c r="H32" i="5"/>
  <c r="AF31" i="5"/>
  <c r="M31" i="5"/>
  <c r="H31" i="5"/>
  <c r="G31" i="5"/>
  <c r="AF25" i="5"/>
  <c r="AF26" i="5" s="1"/>
  <c r="M25" i="5"/>
  <c r="H25" i="5"/>
  <c r="H26" i="5" s="1"/>
  <c r="AE24" i="5"/>
  <c r="AD24" i="5"/>
  <c r="Z24" i="5"/>
  <c r="W24" i="5"/>
  <c r="AB24" i="5"/>
  <c r="AA24" i="5"/>
  <c r="Y24" i="5"/>
  <c r="X24" i="5"/>
  <c r="AE22" i="5"/>
  <c r="AD22" i="5"/>
  <c r="AC22" i="5"/>
  <c r="AA22" i="5"/>
  <c r="Z22" i="5"/>
  <c r="Y22" i="5"/>
  <c r="AB22" i="5"/>
  <c r="X22" i="5"/>
  <c r="W22" i="5"/>
  <c r="AE21" i="5"/>
  <c r="AD21" i="5"/>
  <c r="AA21" i="5"/>
  <c r="Z21" i="5"/>
  <c r="W21" i="5"/>
  <c r="AB21" i="5"/>
  <c r="Y21" i="5"/>
  <c r="X21" i="5"/>
  <c r="AE20" i="5"/>
  <c r="AD20" i="5"/>
  <c r="AC20" i="5"/>
  <c r="AA20" i="5"/>
  <c r="Z20" i="5"/>
  <c r="AB20" i="5"/>
  <c r="Y20" i="5"/>
  <c r="X20" i="5"/>
  <c r="AE19" i="5"/>
  <c r="AD19" i="5"/>
  <c r="AC19" i="5"/>
  <c r="AA19" i="5"/>
  <c r="Z19" i="5"/>
  <c r="W19" i="5"/>
  <c r="AB19" i="5"/>
  <c r="X19" i="5"/>
  <c r="AE18" i="5"/>
  <c r="AD18" i="5"/>
  <c r="AC18" i="5"/>
  <c r="AA18" i="5"/>
  <c r="Z18" i="5"/>
  <c r="Y18" i="5"/>
  <c r="X18" i="5"/>
  <c r="W18" i="5"/>
  <c r="AB18" i="5"/>
  <c r="AE17" i="5"/>
  <c r="AD17" i="5"/>
  <c r="AA17" i="5"/>
  <c r="Z17" i="5"/>
  <c r="Y17" i="5"/>
  <c r="W17" i="5"/>
  <c r="AB17" i="5"/>
  <c r="X17" i="5"/>
  <c r="AE16" i="5"/>
  <c r="AD16" i="5"/>
  <c r="AC16" i="5"/>
  <c r="AA16" i="5"/>
  <c r="Z16" i="5"/>
  <c r="Y16" i="5"/>
  <c r="W16" i="5"/>
  <c r="AB16" i="5"/>
  <c r="X16" i="5"/>
  <c r="AE15" i="5"/>
  <c r="AD15" i="5"/>
  <c r="AC15" i="5"/>
  <c r="Z15" i="5"/>
  <c r="Y15" i="5"/>
  <c r="AB15" i="5"/>
  <c r="AA15" i="5"/>
  <c r="X15" i="5"/>
  <c r="W15" i="5"/>
  <c r="AE14" i="5"/>
  <c r="AD14" i="5"/>
  <c r="AA14" i="5"/>
  <c r="Z14" i="5"/>
  <c r="W14" i="5"/>
  <c r="AB14" i="5"/>
  <c r="X14" i="5"/>
  <c r="AE13" i="5"/>
  <c r="AD13" i="5"/>
  <c r="AC13" i="5"/>
  <c r="AA13" i="5"/>
  <c r="Z13" i="5"/>
  <c r="Y13" i="5"/>
  <c r="X13" i="5"/>
  <c r="W13" i="5"/>
  <c r="AB13" i="5"/>
  <c r="AE12" i="5"/>
  <c r="AD12" i="5"/>
  <c r="AA12" i="5"/>
  <c r="Z12" i="5"/>
  <c r="Y12" i="5"/>
  <c r="W12" i="5"/>
  <c r="AB12" i="5"/>
  <c r="X12" i="5"/>
  <c r="AE11" i="5"/>
  <c r="AD11" i="5"/>
  <c r="AC11" i="5"/>
  <c r="AA11" i="5"/>
  <c r="Z11" i="5"/>
  <c r="Y11" i="5"/>
  <c r="X11" i="5"/>
  <c r="AB11" i="5"/>
  <c r="W11" i="5"/>
  <c r="AE10" i="5"/>
  <c r="AD10" i="5"/>
  <c r="AC10" i="5"/>
  <c r="AA10" i="5"/>
  <c r="Z10" i="5"/>
  <c r="Y10" i="5"/>
  <c r="AB10" i="5"/>
  <c r="W10" i="5"/>
  <c r="AE9" i="5"/>
  <c r="AD9" i="5"/>
  <c r="AC9" i="5"/>
  <c r="AB9" i="5"/>
  <c r="Z9" i="5"/>
  <c r="Y9" i="5"/>
  <c r="AA9" i="5"/>
  <c r="W9" i="5"/>
  <c r="AE7" i="5"/>
  <c r="AD7" i="5"/>
  <c r="AB7" i="5"/>
  <c r="Z7" i="5"/>
  <c r="Y7" i="5"/>
  <c r="X7" i="5"/>
  <c r="W7" i="5"/>
  <c r="AA7" i="5"/>
  <c r="AE6" i="5"/>
  <c r="AD6" i="5"/>
  <c r="AC6" i="5"/>
  <c r="Z6" i="5"/>
  <c r="Y6" i="5"/>
  <c r="W6" i="5"/>
  <c r="AB6" i="5"/>
  <c r="X6" i="5"/>
  <c r="AE5" i="5"/>
  <c r="AD5" i="5"/>
  <c r="Z5" i="5"/>
  <c r="Y5" i="5"/>
  <c r="W5" i="5"/>
  <c r="AB5" i="5"/>
  <c r="AA5" i="5"/>
  <c r="X5" i="5"/>
  <c r="AE4" i="5"/>
  <c r="AD4" i="5"/>
  <c r="AC4" i="5"/>
  <c r="AA4" i="5"/>
  <c r="Z4" i="5"/>
  <c r="Y4" i="5"/>
  <c r="X4" i="5"/>
  <c r="W4" i="5"/>
  <c r="AE3" i="5"/>
  <c r="AD3" i="5"/>
  <c r="AB3" i="5"/>
  <c r="AA3" i="5"/>
  <c r="Z3" i="5"/>
  <c r="Y3" i="5"/>
  <c r="X3" i="5"/>
  <c r="W3" i="5"/>
  <c r="I7" i="3"/>
  <c r="G18" i="4"/>
  <c r="F18" i="4"/>
  <c r="F14" i="4"/>
  <c r="F3" i="4"/>
  <c r="F13" i="4"/>
  <c r="G22" i="4"/>
  <c r="C22" i="4" s="1"/>
  <c r="F22" i="4"/>
  <c r="J22" i="4"/>
  <c r="F21" i="4"/>
  <c r="J17" i="4"/>
  <c r="J20" i="4"/>
  <c r="J21" i="4"/>
  <c r="G13" i="4"/>
  <c r="J13" i="4"/>
  <c r="J11" i="4"/>
  <c r="J9" i="4"/>
  <c r="E13" i="4"/>
  <c r="J10" i="4"/>
  <c r="C14" i="4"/>
  <c r="J15" i="4"/>
  <c r="J8" i="4"/>
  <c r="J7" i="4"/>
  <c r="I7" i="4"/>
  <c r="F8" i="4"/>
  <c r="F7" i="4"/>
  <c r="C9" i="4" l="1"/>
  <c r="F25" i="5"/>
  <c r="F26" i="5" s="1"/>
  <c r="F27" i="5" s="1"/>
  <c r="AE31" i="5"/>
  <c r="G25" i="5"/>
  <c r="G26" i="5" s="1"/>
  <c r="G27" i="5" s="1"/>
  <c r="E33" i="5"/>
  <c r="Z33" i="5"/>
  <c r="E25" i="5"/>
  <c r="E26" i="5" s="1"/>
  <c r="E27" i="5" s="1"/>
  <c r="F32" i="5"/>
  <c r="K33" i="5"/>
  <c r="AD31" i="5"/>
  <c r="AA33" i="5"/>
  <c r="J31" i="5"/>
  <c r="AD33" i="5"/>
  <c r="AB32" i="5"/>
  <c r="AE33" i="5"/>
  <c r="AC24" i="5"/>
  <c r="AC33" i="5" s="1"/>
  <c r="AD32" i="5"/>
  <c r="Y31" i="5"/>
  <c r="AB4" i="5"/>
  <c r="AB25" i="5" s="1"/>
  <c r="Z32" i="5"/>
  <c r="G33" i="5"/>
  <c r="AE32" i="5"/>
  <c r="F31" i="5"/>
  <c r="Z31" i="5"/>
  <c r="I31" i="5"/>
  <c r="Y14" i="5"/>
  <c r="Y32" i="5" s="1"/>
  <c r="K32" i="5"/>
  <c r="AC12" i="5"/>
  <c r="AC32" i="5" s="1"/>
  <c r="K25" i="5"/>
  <c r="K31" i="5"/>
  <c r="AC3" i="5"/>
  <c r="X33" i="5"/>
  <c r="AB33" i="5"/>
  <c r="AA32" i="5"/>
  <c r="W32" i="5"/>
  <c r="AA25" i="5"/>
  <c r="Z25" i="5"/>
  <c r="E32" i="5"/>
  <c r="X10" i="5"/>
  <c r="G32" i="5"/>
  <c r="W20" i="5"/>
  <c r="W33" i="5" s="1"/>
  <c r="AD25" i="5"/>
  <c r="I32" i="5"/>
  <c r="X9" i="5"/>
  <c r="J32" i="5"/>
  <c r="I25" i="5"/>
  <c r="I26" i="5" s="1"/>
  <c r="I27" i="5" s="1"/>
  <c r="AE25" i="5"/>
  <c r="W31" i="5"/>
  <c r="E31" i="5"/>
  <c r="Y19" i="5"/>
  <c r="Y33" i="5" s="1"/>
  <c r="J25" i="5"/>
  <c r="AA31" i="5"/>
  <c r="F33" i="5"/>
  <c r="I33" i="5"/>
  <c r="J33" i="5"/>
  <c r="C3" i="4"/>
  <c r="C17" i="4"/>
  <c r="X25" i="5" l="1"/>
  <c r="J30" i="5"/>
  <c r="J26" i="5"/>
  <c r="J27" i="5" s="1"/>
  <c r="D25" i="5"/>
  <c r="AB31" i="5"/>
  <c r="D31" i="5"/>
  <c r="N33" i="5"/>
  <c r="O33" i="5" s="1"/>
  <c r="W25" i="5"/>
  <c r="D33" i="5"/>
  <c r="X31" i="5"/>
  <c r="Y25" i="5"/>
  <c r="D32" i="5"/>
  <c r="AC25" i="5"/>
  <c r="N31" i="5"/>
  <c r="O31" i="5" s="1"/>
  <c r="AC31" i="5"/>
  <c r="V31" i="5"/>
  <c r="S31" i="5" s="1"/>
  <c r="V33" i="5"/>
  <c r="U33" i="5" s="1"/>
  <c r="X32" i="5"/>
  <c r="V32" i="5"/>
  <c r="N32" i="5"/>
  <c r="O32" i="5" s="1"/>
  <c r="J29" i="5"/>
  <c r="N23" i="4"/>
  <c r="M23" i="4"/>
  <c r="L23" i="4"/>
  <c r="H23" i="4"/>
  <c r="J14" i="3"/>
  <c r="J15" i="3"/>
  <c r="J16" i="3"/>
  <c r="J17" i="3"/>
  <c r="J18" i="3"/>
  <c r="J19" i="3"/>
  <c r="J20" i="3"/>
  <c r="J21" i="3"/>
  <c r="E7" i="1"/>
  <c r="F21" i="3"/>
  <c r="F20" i="3"/>
  <c r="AF27" i="3"/>
  <c r="AF28" i="3"/>
  <c r="AF29" i="3"/>
  <c r="AF23" i="3"/>
  <c r="H29" i="3"/>
  <c r="L29" i="3"/>
  <c r="M29" i="3"/>
  <c r="H28" i="3"/>
  <c r="K28" i="3"/>
  <c r="L28" i="3"/>
  <c r="M28" i="3"/>
  <c r="H27" i="3"/>
  <c r="L27" i="3"/>
  <c r="M27" i="3"/>
  <c r="D28" i="5" l="1"/>
  <c r="AE28" i="5" s="1"/>
  <c r="U31" i="5"/>
  <c r="U32" i="5"/>
  <c r="S32" i="5"/>
  <c r="N34" i="5"/>
  <c r="O34" i="5"/>
  <c r="G23" i="4"/>
  <c r="I23" i="4"/>
  <c r="J23" i="4"/>
  <c r="K23" i="4"/>
  <c r="F23" i="4"/>
  <c r="E23" i="4"/>
  <c r="AD3" i="3"/>
  <c r="X3" i="3"/>
  <c r="G2" i="1"/>
  <c r="W3" i="3"/>
  <c r="X4" i="3"/>
  <c r="W5" i="3"/>
  <c r="W6" i="3"/>
  <c r="X7" i="3"/>
  <c r="X10" i="3"/>
  <c r="W11" i="3"/>
  <c r="W12" i="3"/>
  <c r="W13" i="3"/>
  <c r="W15" i="3"/>
  <c r="W16" i="3"/>
  <c r="W17" i="3"/>
  <c r="X17" i="3"/>
  <c r="W18" i="3"/>
  <c r="W20" i="3"/>
  <c r="W22" i="3"/>
  <c r="K27" i="3"/>
  <c r="AC28" i="5" l="1"/>
  <c r="W28" i="5"/>
  <c r="AF28" i="5"/>
  <c r="Z28" i="5"/>
  <c r="AD28" i="5"/>
  <c r="AB28" i="5"/>
  <c r="AA28" i="5"/>
  <c r="X28" i="5"/>
  <c r="Y28" i="5"/>
  <c r="D23" i="4"/>
  <c r="Y4" i="3"/>
  <c r="Z4" i="3"/>
  <c r="AA4" i="3"/>
  <c r="AC4" i="3"/>
  <c r="AD4" i="3"/>
  <c r="AD27" i="3" s="1"/>
  <c r="AE4" i="3"/>
  <c r="Y5" i="3"/>
  <c r="Z5" i="3"/>
  <c r="AC5" i="3"/>
  <c r="AD5" i="3"/>
  <c r="AE5" i="3"/>
  <c r="Y6" i="3"/>
  <c r="Z6" i="3"/>
  <c r="AC6" i="3"/>
  <c r="AD6" i="3"/>
  <c r="AE6" i="3"/>
  <c r="Z7" i="3"/>
  <c r="AA7" i="3"/>
  <c r="AB7" i="3"/>
  <c r="AD7" i="3"/>
  <c r="AE7" i="3"/>
  <c r="Y8" i="3"/>
  <c r="Z8" i="3"/>
  <c r="AB8" i="3"/>
  <c r="AC8" i="3"/>
  <c r="AD8" i="3"/>
  <c r="AE8" i="3"/>
  <c r="Y9" i="3"/>
  <c r="Z9" i="3"/>
  <c r="AA9" i="3"/>
  <c r="AC9" i="3"/>
  <c r="AD9" i="3"/>
  <c r="AE9" i="3"/>
  <c r="Y10" i="3"/>
  <c r="Z10" i="3"/>
  <c r="AA10" i="3"/>
  <c r="AC10" i="3"/>
  <c r="AD10" i="3"/>
  <c r="AE10" i="3"/>
  <c r="Y11" i="3"/>
  <c r="Z11" i="3"/>
  <c r="AA11" i="3"/>
  <c r="AC11" i="3"/>
  <c r="AD11" i="3"/>
  <c r="AE11" i="3"/>
  <c r="Y12" i="3"/>
  <c r="Z12" i="3"/>
  <c r="AA12" i="3"/>
  <c r="AC12" i="3"/>
  <c r="AD12" i="3"/>
  <c r="AE12" i="3"/>
  <c r="Z13" i="3"/>
  <c r="AA13" i="3"/>
  <c r="AC13" i="3"/>
  <c r="AD13" i="3"/>
  <c r="AE13" i="3"/>
  <c r="Y14" i="3"/>
  <c r="Z14" i="3"/>
  <c r="AC14" i="3"/>
  <c r="AD14" i="3"/>
  <c r="AE14" i="3"/>
  <c r="Y15" i="3"/>
  <c r="Z15" i="3"/>
  <c r="AA15" i="3"/>
  <c r="AC15" i="3"/>
  <c r="AD15" i="3"/>
  <c r="AE15" i="3"/>
  <c r="Y16" i="3"/>
  <c r="Z16" i="3"/>
  <c r="AA16" i="3"/>
  <c r="AC16" i="3"/>
  <c r="AD16" i="3"/>
  <c r="AE16" i="3"/>
  <c r="Y17" i="3"/>
  <c r="Z17" i="3"/>
  <c r="AA17" i="3"/>
  <c r="AC17" i="3"/>
  <c r="AD17" i="3"/>
  <c r="AE17" i="3"/>
  <c r="Z18" i="3"/>
  <c r="AA18" i="3"/>
  <c r="AC18" i="3"/>
  <c r="AD18" i="3"/>
  <c r="AE18" i="3"/>
  <c r="Z19" i="3"/>
  <c r="AA19" i="3"/>
  <c r="AC19" i="3"/>
  <c r="AD19" i="3"/>
  <c r="AE19" i="3"/>
  <c r="Z20" i="3"/>
  <c r="AA20" i="3"/>
  <c r="AC20" i="3"/>
  <c r="AD20" i="3"/>
  <c r="AE20" i="3"/>
  <c r="Y21" i="3"/>
  <c r="Z21" i="3"/>
  <c r="AA21" i="3"/>
  <c r="AC21" i="3"/>
  <c r="AD21" i="3"/>
  <c r="AE21" i="3"/>
  <c r="Z22" i="3"/>
  <c r="AD22" i="3"/>
  <c r="AE22" i="3"/>
  <c r="AE3" i="3"/>
  <c r="AC3" i="3"/>
  <c r="AB3" i="3"/>
  <c r="AA3" i="3"/>
  <c r="Z3" i="3"/>
  <c r="Y3" i="3"/>
  <c r="F16" i="3"/>
  <c r="X16" i="3" s="1"/>
  <c r="G22" i="3"/>
  <c r="Y22" i="3" s="1"/>
  <c r="AB15" i="3"/>
  <c r="K22" i="3"/>
  <c r="I22" i="3"/>
  <c r="J22" i="3"/>
  <c r="AB22" i="3" s="1"/>
  <c r="F22" i="3"/>
  <c r="X22" i="3" s="1"/>
  <c r="AB21" i="3"/>
  <c r="X21" i="3"/>
  <c r="E21" i="3"/>
  <c r="W21" i="3" s="1"/>
  <c r="AB20" i="3"/>
  <c r="G20" i="3"/>
  <c r="Y20" i="3" s="1"/>
  <c r="X20" i="3"/>
  <c r="AB19" i="3"/>
  <c r="G19" i="3"/>
  <c r="Y19" i="3" s="1"/>
  <c r="F19" i="3"/>
  <c r="X19" i="3" s="1"/>
  <c r="E19" i="3"/>
  <c r="AB18" i="3"/>
  <c r="G18" i="3"/>
  <c r="F18" i="3"/>
  <c r="AB16" i="3"/>
  <c r="F15" i="3"/>
  <c r="X15" i="3" s="1"/>
  <c r="I14" i="3"/>
  <c r="AB14" i="3"/>
  <c r="F14" i="3"/>
  <c r="X14" i="3" s="1"/>
  <c r="H23" i="3"/>
  <c r="L23" i="3"/>
  <c r="M23" i="3"/>
  <c r="E14" i="3"/>
  <c r="W14" i="3" s="1"/>
  <c r="J13" i="3"/>
  <c r="AB13" i="3" s="1"/>
  <c r="G13" i="3"/>
  <c r="F13" i="3"/>
  <c r="X13" i="3" s="1"/>
  <c r="J12" i="3"/>
  <c r="AB12" i="3" s="1"/>
  <c r="F12" i="3"/>
  <c r="X12" i="3" s="1"/>
  <c r="J11" i="3"/>
  <c r="AB11" i="3" s="1"/>
  <c r="F11" i="3"/>
  <c r="X11" i="3" s="1"/>
  <c r="J10" i="3"/>
  <c r="AB10" i="3" s="1"/>
  <c r="E10" i="3"/>
  <c r="W10" i="3" s="1"/>
  <c r="J9" i="3"/>
  <c r="F9" i="3"/>
  <c r="E9" i="3"/>
  <c r="I8" i="3"/>
  <c r="AA8" i="3" s="1"/>
  <c r="F8" i="3"/>
  <c r="X8" i="3" s="1"/>
  <c r="W7" i="3"/>
  <c r="E8" i="3"/>
  <c r="W8" i="3" s="1"/>
  <c r="AC7" i="3"/>
  <c r="J6" i="3"/>
  <c r="AB6" i="3" s="1"/>
  <c r="F6" i="3"/>
  <c r="X6" i="3" s="1"/>
  <c r="J5" i="3"/>
  <c r="AB5" i="3" s="1"/>
  <c r="F5" i="3"/>
  <c r="E4" i="3"/>
  <c r="J4" i="3"/>
  <c r="AE29" i="3" l="1"/>
  <c r="AC28" i="3"/>
  <c r="AD29" i="3"/>
  <c r="V28" i="5"/>
  <c r="D25" i="3"/>
  <c r="W9" i="3"/>
  <c r="W28" i="3" s="1"/>
  <c r="E28" i="3"/>
  <c r="AB4" i="3"/>
  <c r="AB27" i="3" s="1"/>
  <c r="J27" i="3"/>
  <c r="Z27" i="3"/>
  <c r="AC27" i="3"/>
  <c r="AB9" i="3"/>
  <c r="AB28" i="3" s="1"/>
  <c r="J28" i="3"/>
  <c r="AA14" i="3"/>
  <c r="AA28" i="3" s="1"/>
  <c r="I28" i="3"/>
  <c r="E27" i="3"/>
  <c r="W19" i="3"/>
  <c r="W29" i="3" s="1"/>
  <c r="E29" i="3"/>
  <c r="Y7" i="3"/>
  <c r="Y27" i="3" s="1"/>
  <c r="G27" i="3"/>
  <c r="AE27" i="3"/>
  <c r="X9" i="3"/>
  <c r="X28" i="3" s="1"/>
  <c r="F28" i="3"/>
  <c r="AB17" i="3"/>
  <c r="AB29" i="3" s="1"/>
  <c r="J29" i="3"/>
  <c r="AA22" i="3"/>
  <c r="AA29" i="3" s="1"/>
  <c r="I29" i="3"/>
  <c r="X5" i="3"/>
  <c r="X27" i="3" s="1"/>
  <c r="F27" i="3"/>
  <c r="X18" i="3"/>
  <c r="X29" i="3" s="1"/>
  <c r="F29" i="3"/>
  <c r="AC22" i="3"/>
  <c r="AC29" i="3" s="1"/>
  <c r="K29" i="3"/>
  <c r="AE28" i="3"/>
  <c r="Y13" i="3"/>
  <c r="Y28" i="3" s="1"/>
  <c r="G28" i="3"/>
  <c r="AA5" i="3"/>
  <c r="AA27" i="3" s="1"/>
  <c r="I27" i="3"/>
  <c r="Y18" i="3"/>
  <c r="Y29" i="3" s="1"/>
  <c r="G29" i="3"/>
  <c r="AD28" i="3"/>
  <c r="Z29" i="3"/>
  <c r="Z28" i="3"/>
  <c r="W4" i="3"/>
  <c r="Z23" i="3"/>
  <c r="AD23" i="3"/>
  <c r="AE23" i="3"/>
  <c r="G23" i="3"/>
  <c r="I23" i="3"/>
  <c r="K23" i="3"/>
  <c r="E23" i="3"/>
  <c r="J23" i="3"/>
  <c r="F23" i="3"/>
  <c r="D29" i="3" l="1"/>
  <c r="D27" i="3"/>
  <c r="D28" i="3"/>
  <c r="J26" i="3"/>
  <c r="J25" i="3"/>
  <c r="V29" i="3"/>
  <c r="U29" i="3" s="1"/>
  <c r="Y23" i="3"/>
  <c r="AC23" i="3"/>
  <c r="AB23" i="3"/>
  <c r="V28" i="3"/>
  <c r="X23" i="3"/>
  <c r="AA23" i="3"/>
  <c r="N29" i="3"/>
  <c r="O29" i="3" s="1"/>
  <c r="N28" i="3"/>
  <c r="O28" i="3" s="1"/>
  <c r="N27" i="3"/>
  <c r="W23" i="3"/>
  <c r="W27" i="3"/>
  <c r="V27" i="3"/>
  <c r="D23" i="3"/>
  <c r="S28" i="3" l="1"/>
  <c r="U27" i="3"/>
  <c r="S27" i="3"/>
  <c r="D24" i="3"/>
  <c r="W24" i="3" s="1"/>
  <c r="U28" i="3"/>
  <c r="N30" i="3"/>
  <c r="O27" i="3"/>
  <c r="O30" i="3" s="1"/>
  <c r="AF24" i="3" l="1"/>
  <c r="AB24" i="3"/>
  <c r="AE24" i="3"/>
  <c r="AD24" i="3"/>
  <c r="X24" i="3"/>
  <c r="AA24" i="3"/>
  <c r="Z24" i="3"/>
  <c r="Y24" i="3"/>
  <c r="AC24" i="3"/>
  <c r="V24" i="3" l="1"/>
</calcChain>
</file>

<file path=xl/sharedStrings.xml><?xml version="1.0" encoding="utf-8"?>
<sst xmlns="http://schemas.openxmlformats.org/spreadsheetml/2006/main" count="643" uniqueCount="109">
  <si>
    <t>bus</t>
  </si>
  <si>
    <t>carrier</t>
  </si>
  <si>
    <t>region</t>
  </si>
  <si>
    <t>coal</t>
  </si>
  <si>
    <t>biomass</t>
  </si>
  <si>
    <t>gas</t>
  </si>
  <si>
    <t>hydro</t>
  </si>
  <si>
    <t xml:space="preserve">oil </t>
  </si>
  <si>
    <t>solar</t>
  </si>
  <si>
    <t>wind</t>
  </si>
  <si>
    <t>geothermal</t>
  </si>
  <si>
    <t>tidal</t>
  </si>
  <si>
    <t>capacity (MW)</t>
  </si>
  <si>
    <t>efficiency</t>
  </si>
  <si>
    <t>actual capacity (MW)</t>
  </si>
  <si>
    <t>lon</t>
  </si>
  <si>
    <t>lat</t>
  </si>
  <si>
    <t>W1</t>
  </si>
  <si>
    <t>W2</t>
  </si>
  <si>
    <t>W3</t>
  </si>
  <si>
    <t>W4</t>
  </si>
  <si>
    <t>W6</t>
  </si>
  <si>
    <t>W5</t>
  </si>
  <si>
    <t>C1</t>
  </si>
  <si>
    <t>C2</t>
  </si>
  <si>
    <t>C3</t>
  </si>
  <si>
    <t>C4</t>
  </si>
  <si>
    <t>C5</t>
  </si>
  <si>
    <t>S1</t>
  </si>
  <si>
    <t>S2</t>
  </si>
  <si>
    <t>S3</t>
  </si>
  <si>
    <t>E1</t>
  </si>
  <si>
    <t>E2</t>
  </si>
  <si>
    <t>E3</t>
  </si>
  <si>
    <t>E4</t>
  </si>
  <si>
    <t>E5</t>
  </si>
  <si>
    <t>N1</t>
  </si>
  <si>
    <t>1,2,3,4</t>
  </si>
  <si>
    <t>5,</t>
  </si>
  <si>
    <t>0,11,12</t>
  </si>
  <si>
    <t>10,</t>
  </si>
  <si>
    <t>13,</t>
  </si>
  <si>
    <t>14,15</t>
  </si>
  <si>
    <t>16,17,18</t>
  </si>
  <si>
    <t>19,20,21</t>
  </si>
  <si>
    <t>36,37,38</t>
  </si>
  <si>
    <t>22,23,24,28,29,33</t>
  </si>
  <si>
    <t>32,34,35</t>
  </si>
  <si>
    <t>39,40,41,42</t>
  </si>
  <si>
    <t>43,44,45,46,47,48</t>
  </si>
  <si>
    <t>49,50,51,52,53,54,55,56,57</t>
  </si>
  <si>
    <t>58,</t>
  </si>
  <si>
    <t>59,62</t>
  </si>
  <si>
    <t>60,61,63</t>
  </si>
  <si>
    <t>9,65,66,67</t>
  </si>
  <si>
    <t>6,7,8</t>
  </si>
  <si>
    <t>Total</t>
  </si>
  <si>
    <t>25,26,27,30,31</t>
  </si>
  <si>
    <t>no</t>
  </si>
  <si>
    <t>source</t>
  </si>
  <si>
    <t>lifetime (year)</t>
  </si>
  <si>
    <t>slwahid</t>
  </si>
  <si>
    <t>wind_ons</t>
  </si>
  <si>
    <t>wind_offs</t>
  </si>
  <si>
    <t>lombok_energy_outlook</t>
  </si>
  <si>
    <t>kgCO2eq/MWh</t>
  </si>
  <si>
    <t>volker_quaschning</t>
  </si>
  <si>
    <t>factor</t>
  </si>
  <si>
    <t>RUPTL 2021-30</t>
  </si>
  <si>
    <t>ruptl 2021</t>
  </si>
  <si>
    <t>import</t>
  </si>
  <si>
    <t>west</t>
  </si>
  <si>
    <t>south,central</t>
  </si>
  <si>
    <t>east,north</t>
  </si>
  <si>
    <t>LCOE Capacity full report</t>
  </si>
  <si>
    <t>assumption factor</t>
  </si>
  <si>
    <t>total cap</t>
  </si>
  <si>
    <t>demand ratio</t>
  </si>
  <si>
    <t>electrification ratio</t>
  </si>
  <si>
    <t>v_om_cost (USD/MWh)</t>
  </si>
  <si>
    <t>fix_om_cost (kUSD/MW)</t>
  </si>
  <si>
    <t>fische</t>
  </si>
  <si>
    <t>nrel.gov</t>
  </si>
  <si>
    <t>cap_cost (mUSD/MW)</t>
  </si>
  <si>
    <t>iesr</t>
  </si>
  <si>
    <t>diesel</t>
  </si>
  <si>
    <t>Kalimantan Barat</t>
  </si>
  <si>
    <t>Kalimantan Tengah</t>
  </si>
  <si>
    <t>Kalimantan Selatan</t>
  </si>
  <si>
    <t>Kalimantan Timur</t>
  </si>
  <si>
    <t>Kalimantan Utara</t>
  </si>
  <si>
    <t>potential (GWp)</t>
  </si>
  <si>
    <t>N2</t>
  </si>
  <si>
    <t>W7</t>
  </si>
  <si>
    <t>Scenario</t>
  </si>
  <si>
    <t>square-grid</t>
  </si>
  <si>
    <t>onshore potential (GWp)</t>
  </si>
  <si>
    <t>offshore potential (GWp)</t>
  </si>
  <si>
    <t>wind_off</t>
  </si>
  <si>
    <t>ENS</t>
  </si>
  <si>
    <t>EBTKE</t>
  </si>
  <si>
    <t>nuclear</t>
  </si>
  <si>
    <t>Femke</t>
  </si>
  <si>
    <t>cf max</t>
  </si>
  <si>
    <t>cf min</t>
  </si>
  <si>
    <t>ramp rate (hr-1)</t>
  </si>
  <si>
    <t>nulcear</t>
  </si>
  <si>
    <t>IAEA</t>
  </si>
  <si>
    <t>ENS*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</si>
</sst>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badi Extra Light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81FF"/>
        <bgColor indexed="64"/>
      </patternFill>
    </fill>
    <fill>
      <patternFill patternType="solid">
        <fgColor rgb="FFF6A54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E4C9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4" fontId="0" fillId="4" borderId="1" xfId="0" applyNumberForma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0" fillId="5" borderId="1" xfId="0" applyNumberFormat="1" applyFill="1" applyBorder="1"/>
    <xf numFmtId="4" fontId="0" fillId="6" borderId="1" xfId="0" applyNumberFormat="1" applyFill="1" applyBorder="1"/>
    <xf numFmtId="4" fontId="0" fillId="10" borderId="1" xfId="0" applyNumberFormat="1" applyFill="1" applyBorder="1"/>
    <xf numFmtId="4" fontId="0" fillId="7" borderId="1" xfId="0" applyNumberFormat="1" applyFill="1" applyBorder="1"/>
    <xf numFmtId="4" fontId="0" fillId="8" borderId="1" xfId="0" applyNumberFormat="1" applyFill="1" applyBorder="1"/>
    <xf numFmtId="4" fontId="0" fillId="9" borderId="1" xfId="0" applyNumberFormat="1" applyFill="1" applyBorder="1"/>
    <xf numFmtId="0" fontId="0" fillId="0" borderId="1" xfId="0" applyBorder="1"/>
    <xf numFmtId="0" fontId="0" fillId="0" borderId="0" xfId="0" applyFill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4" fontId="0" fillId="0" borderId="0" xfId="0" applyNumberFormat="1" applyFill="1"/>
    <xf numFmtId="0" fontId="0" fillId="0" borderId="2" xfId="0" applyFill="1" applyBorder="1"/>
    <xf numFmtId="4" fontId="0" fillId="0" borderId="2" xfId="0" applyNumberFormat="1" applyFill="1" applyBorder="1"/>
    <xf numFmtId="164" fontId="0" fillId="0" borderId="0" xfId="0" applyNumberFormat="1"/>
    <xf numFmtId="4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2" fontId="0" fillId="0" borderId="0" xfId="0" applyNumberFormat="1" applyFill="1"/>
    <xf numFmtId="0" fontId="0" fillId="0" borderId="0" xfId="0" applyFill="1" applyBorder="1" applyAlignment="1">
      <alignment horizontal="left"/>
    </xf>
    <xf numFmtId="4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4" fontId="0" fillId="4" borderId="0" xfId="0" applyNumberFormat="1" applyFill="1" applyBorder="1"/>
    <xf numFmtId="0" fontId="3" fillId="11" borderId="0" xfId="0" applyFont="1" applyFill="1"/>
    <xf numFmtId="0" fontId="3" fillId="0" borderId="0" xfId="0" applyFont="1" applyFill="1"/>
    <xf numFmtId="4" fontId="1" fillId="0" borderId="0" xfId="0" applyNumberFormat="1" applyFont="1"/>
    <xf numFmtId="0" fontId="0" fillId="12" borderId="1" xfId="0" applyFill="1" applyBorder="1" applyAlignment="1">
      <alignment horizontal="center"/>
    </xf>
    <xf numFmtId="4" fontId="0" fillId="12" borderId="1" xfId="0" applyNumberFormat="1" applyFill="1" applyBorder="1"/>
    <xf numFmtId="4" fontId="1" fillId="0" borderId="0" xfId="0" applyNumberFormat="1" applyFont="1" applyFill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1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3" borderId="1" xfId="0" applyFill="1" applyBorder="1" applyAlignment="1">
      <alignment horizontal="center"/>
    </xf>
    <xf numFmtId="4" fontId="0" fillId="13" borderId="1" xfId="0" applyNumberFormat="1" applyFill="1" applyBorder="1"/>
    <xf numFmtId="43" fontId="0" fillId="0" borderId="0" xfId="0" applyNumberFormat="1"/>
    <xf numFmtId="0" fontId="4" fillId="9" borderId="1" xfId="0" applyFont="1" applyFill="1" applyBorder="1" applyAlignment="1">
      <alignment horizontal="center"/>
    </xf>
    <xf numFmtId="4" fontId="4" fillId="9" borderId="1" xfId="0" applyNumberFormat="1" applyFont="1" applyFill="1" applyBorder="1"/>
    <xf numFmtId="1" fontId="0" fillId="0" borderId="0" xfId="0" applyNumberFormat="1" applyFill="1"/>
    <xf numFmtId="43" fontId="0" fillId="0" borderId="0" xfId="1" applyFont="1" applyFill="1"/>
    <xf numFmtId="0" fontId="0" fillId="0" borderId="0" xfId="0" applyFill="1" applyBorder="1"/>
    <xf numFmtId="4" fontId="0" fillId="0" borderId="0" xfId="0" applyNumberFormat="1" applyFill="1" applyBorder="1"/>
    <xf numFmtId="165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B3FF"/>
      <color rgb="FFE4C9FF"/>
      <color rgb="FFF6A544"/>
      <color rgb="FFC0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30</xdr:row>
      <xdr:rowOff>178592</xdr:rowOff>
    </xdr:from>
    <xdr:to>
      <xdr:col>34</xdr:col>
      <xdr:colOff>327277</xdr:colOff>
      <xdr:row>54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5FE5DC-A8D9-46C0-9155-88C868449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22030"/>
          <a:ext cx="9530808" cy="41195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31</xdr:col>
      <xdr:colOff>146302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1CC0FC-A504-4E98-8B84-E8C5842202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31742"/>
          <a:ext cx="9557002" cy="41843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494917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F92FAF-39B0-409A-BB71-2B90C7532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31742"/>
          <a:ext cx="9534142" cy="4184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129634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B48996-8E9D-47F6-A439-48F520641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96512"/>
          <a:ext cx="9532237" cy="423005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34</xdr:row>
      <xdr:rowOff>178592</xdr:rowOff>
    </xdr:from>
    <xdr:to>
      <xdr:col>12</xdr:col>
      <xdr:colOff>494917</xdr:colOff>
      <xdr:row>58</xdr:row>
      <xdr:rowOff>19525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844D22-A07C-40D0-9377-453EE9FF7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96512"/>
          <a:ext cx="9532237" cy="423005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lliope_generators_kalimanta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eninsular_malay_time_series_demand_2021.xm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_data_kalimant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ata_2050"/>
    </sheetNames>
    <sheetDataSet>
      <sheetData sheetId="0">
        <row r="2">
          <cell r="F2">
            <v>0.41199999999999998</v>
          </cell>
        </row>
        <row r="5">
          <cell r="F5">
            <v>55</v>
          </cell>
        </row>
        <row r="6">
          <cell r="F6">
            <v>55</v>
          </cell>
        </row>
        <row r="8">
          <cell r="F8">
            <v>18.399999999999999</v>
          </cell>
        </row>
        <row r="9">
          <cell r="F9">
            <v>5.585</v>
          </cell>
        </row>
        <row r="10">
          <cell r="F10">
            <v>0</v>
          </cell>
        </row>
        <row r="11">
          <cell r="F11">
            <v>0.5</v>
          </cell>
        </row>
        <row r="12">
          <cell r="F12">
            <v>0.77</v>
          </cell>
        </row>
        <row r="13">
          <cell r="F13">
            <v>30</v>
          </cell>
        </row>
        <row r="14">
          <cell r="F14">
            <v>100</v>
          </cell>
        </row>
        <row r="15">
          <cell r="F15">
            <v>3.375</v>
          </cell>
        </row>
        <row r="16">
          <cell r="F16">
            <v>10</v>
          </cell>
        </row>
        <row r="17">
          <cell r="F17">
            <v>4.0949999999999998</v>
          </cell>
        </row>
        <row r="18">
          <cell r="F18">
            <v>49.9</v>
          </cell>
        </row>
        <row r="19">
          <cell r="F19">
            <v>34</v>
          </cell>
        </row>
        <row r="20">
          <cell r="F20">
            <v>20</v>
          </cell>
        </row>
        <row r="22">
          <cell r="F22">
            <v>45</v>
          </cell>
        </row>
        <row r="26">
          <cell r="F26">
            <v>1.196</v>
          </cell>
        </row>
        <row r="27">
          <cell r="F27">
            <v>0.5</v>
          </cell>
        </row>
        <row r="28">
          <cell r="F28">
            <v>0.57599999999999996</v>
          </cell>
        </row>
        <row r="30">
          <cell r="F30">
            <v>0.75</v>
          </cell>
        </row>
        <row r="31">
          <cell r="F31">
            <v>0.22500000000000001</v>
          </cell>
        </row>
        <row r="32">
          <cell r="F32">
            <v>0.8</v>
          </cell>
        </row>
        <row r="33">
          <cell r="F33">
            <v>1.0840000000000001</v>
          </cell>
        </row>
        <row r="34">
          <cell r="F34">
            <v>1.5</v>
          </cell>
        </row>
        <row r="35">
          <cell r="F35">
            <v>0.44</v>
          </cell>
        </row>
        <row r="37">
          <cell r="F37">
            <v>1.72</v>
          </cell>
        </row>
        <row r="38">
          <cell r="F38">
            <v>0</v>
          </cell>
        </row>
        <row r="39">
          <cell r="F39">
            <v>10</v>
          </cell>
        </row>
        <row r="40">
          <cell r="F40">
            <v>10</v>
          </cell>
        </row>
        <row r="41">
          <cell r="F41">
            <v>7.98</v>
          </cell>
        </row>
        <row r="42">
          <cell r="F42">
            <v>7.5</v>
          </cell>
        </row>
        <row r="43">
          <cell r="F43">
            <v>7.5</v>
          </cell>
        </row>
        <row r="44">
          <cell r="F44">
            <v>3.5</v>
          </cell>
        </row>
        <row r="45">
          <cell r="F45">
            <v>14.798999999999999</v>
          </cell>
        </row>
        <row r="46">
          <cell r="F46">
            <v>0</v>
          </cell>
        </row>
        <row r="47">
          <cell r="F47">
            <v>7</v>
          </cell>
        </row>
        <row r="48">
          <cell r="F48">
            <v>3</v>
          </cell>
        </row>
        <row r="49">
          <cell r="F49">
            <v>0.28000000000000003</v>
          </cell>
        </row>
        <row r="51">
          <cell r="F51">
            <v>0.36799999999999999</v>
          </cell>
        </row>
        <row r="52">
          <cell r="F52">
            <v>0.82299999999999995</v>
          </cell>
        </row>
        <row r="53">
          <cell r="F53">
            <v>0.04</v>
          </cell>
        </row>
        <row r="55">
          <cell r="F55">
            <v>1.1200000000000001</v>
          </cell>
        </row>
        <row r="56">
          <cell r="F56">
            <v>3.0089999999999999</v>
          </cell>
        </row>
        <row r="57">
          <cell r="F57">
            <v>1.5740000000000001</v>
          </cell>
        </row>
        <row r="58">
          <cell r="F58">
            <v>0.23599999999999999</v>
          </cell>
        </row>
        <row r="59">
          <cell r="F59">
            <v>2.7549999999999999</v>
          </cell>
        </row>
        <row r="60">
          <cell r="F60">
            <v>1.4379999999999999</v>
          </cell>
        </row>
        <row r="61">
          <cell r="F61">
            <v>7</v>
          </cell>
        </row>
        <row r="62">
          <cell r="F62">
            <v>7</v>
          </cell>
        </row>
        <row r="63">
          <cell r="F63">
            <v>6</v>
          </cell>
        </row>
        <row r="64">
          <cell r="F64">
            <v>5</v>
          </cell>
        </row>
        <row r="65">
          <cell r="F65">
            <v>7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0.75</v>
          </cell>
        </row>
        <row r="69">
          <cell r="F69">
            <v>0</v>
          </cell>
        </row>
        <row r="70">
          <cell r="F70">
            <v>6</v>
          </cell>
        </row>
        <row r="71">
          <cell r="F71">
            <v>0.14000000000000001</v>
          </cell>
        </row>
        <row r="72">
          <cell r="F72">
            <v>1.35</v>
          </cell>
        </row>
        <row r="73">
          <cell r="F73">
            <v>1.05</v>
          </cell>
        </row>
        <row r="74">
          <cell r="F74">
            <v>0.246</v>
          </cell>
        </row>
        <row r="75">
          <cell r="F75">
            <v>3.5</v>
          </cell>
        </row>
        <row r="76">
          <cell r="F76">
            <v>0.69499999999999995</v>
          </cell>
        </row>
        <row r="77">
          <cell r="F77">
            <v>4.6900000000000004</v>
          </cell>
        </row>
        <row r="78">
          <cell r="F78">
            <v>2</v>
          </cell>
        </row>
        <row r="79">
          <cell r="F79">
            <v>2.3450000000000002</v>
          </cell>
        </row>
        <row r="80">
          <cell r="F80">
            <v>8</v>
          </cell>
        </row>
        <row r="81">
          <cell r="F81">
            <v>0.1</v>
          </cell>
        </row>
        <row r="82">
          <cell r="F82">
            <v>0.23200000000000001</v>
          </cell>
        </row>
        <row r="83">
          <cell r="F83">
            <v>0.48799999999999999</v>
          </cell>
        </row>
        <row r="84">
          <cell r="F84">
            <v>0.505</v>
          </cell>
        </row>
        <row r="85">
          <cell r="F85">
            <v>0.30599999999999999</v>
          </cell>
        </row>
        <row r="86">
          <cell r="F86">
            <v>0</v>
          </cell>
        </row>
        <row r="87">
          <cell r="F87">
            <v>0.996</v>
          </cell>
        </row>
        <row r="88">
          <cell r="F88">
            <v>3.3</v>
          </cell>
        </row>
        <row r="89">
          <cell r="F89">
            <v>9</v>
          </cell>
        </row>
        <row r="90">
          <cell r="F90">
            <v>9</v>
          </cell>
        </row>
        <row r="91">
          <cell r="F91">
            <v>9</v>
          </cell>
        </row>
        <row r="92">
          <cell r="F92">
            <v>12.21</v>
          </cell>
        </row>
        <row r="93">
          <cell r="F93">
            <v>0</v>
          </cell>
        </row>
        <row r="94">
          <cell r="F94">
            <v>0</v>
          </cell>
        </row>
        <row r="95">
          <cell r="F95">
            <v>7</v>
          </cell>
        </row>
        <row r="96">
          <cell r="F96">
            <v>2</v>
          </cell>
        </row>
        <row r="97">
          <cell r="F97">
            <v>0.6</v>
          </cell>
        </row>
        <row r="98">
          <cell r="F98">
            <v>0.33100000000000002</v>
          </cell>
        </row>
        <row r="99">
          <cell r="F99">
            <v>1</v>
          </cell>
        </row>
        <row r="100">
          <cell r="F100">
            <v>0.21299999999999999</v>
          </cell>
        </row>
        <row r="101">
          <cell r="F101">
            <v>0.218</v>
          </cell>
        </row>
        <row r="102">
          <cell r="F102">
            <v>1.0289999999999999</v>
          </cell>
        </row>
        <row r="103">
          <cell r="F103">
            <v>0.33700000000000002</v>
          </cell>
        </row>
        <row r="105">
          <cell r="F105">
            <v>7</v>
          </cell>
        </row>
        <row r="106">
          <cell r="F106">
            <v>1</v>
          </cell>
        </row>
        <row r="109">
          <cell r="F109">
            <v>0.2</v>
          </cell>
        </row>
        <row r="110">
          <cell r="F110">
            <v>0.748</v>
          </cell>
        </row>
        <row r="111">
          <cell r="F111">
            <v>0.32</v>
          </cell>
        </row>
        <row r="112">
          <cell r="F112">
            <v>0.16200000000000001</v>
          </cell>
        </row>
        <row r="113">
          <cell r="F113">
            <v>2.085</v>
          </cell>
        </row>
        <row r="114">
          <cell r="F114">
            <v>4.7480000000000002</v>
          </cell>
        </row>
        <row r="116">
          <cell r="F116">
            <v>0.156</v>
          </cell>
        </row>
        <row r="117">
          <cell r="F117">
            <v>1.4450000000000001</v>
          </cell>
        </row>
        <row r="118">
          <cell r="F118">
            <v>0.3</v>
          </cell>
        </row>
        <row r="119">
          <cell r="F119">
            <v>0.08</v>
          </cell>
        </row>
        <row r="120">
          <cell r="F120">
            <v>0.36</v>
          </cell>
        </row>
        <row r="121">
          <cell r="F121">
            <v>0.216</v>
          </cell>
        </row>
        <row r="122">
          <cell r="F122">
            <v>0.23200000000000001</v>
          </cell>
        </row>
        <row r="123">
          <cell r="F123">
            <v>0.66</v>
          </cell>
        </row>
        <row r="124">
          <cell r="F124">
            <v>1.39</v>
          </cell>
        </row>
        <row r="125">
          <cell r="F125">
            <v>3.99</v>
          </cell>
        </row>
        <row r="126">
          <cell r="F126">
            <v>0</v>
          </cell>
        </row>
        <row r="127">
          <cell r="F127">
            <v>0.496</v>
          </cell>
        </row>
        <row r="128">
          <cell r="F128">
            <v>1.8959999999999999</v>
          </cell>
        </row>
        <row r="129">
          <cell r="F129">
            <v>0.23799999999999999</v>
          </cell>
        </row>
        <row r="130">
          <cell r="F130">
            <v>0.60099999999999998</v>
          </cell>
        </row>
        <row r="131">
          <cell r="F131">
            <v>0.56999999999999995</v>
          </cell>
        </row>
        <row r="132">
          <cell r="F132">
            <v>0.216</v>
          </cell>
        </row>
        <row r="133">
          <cell r="F133">
            <v>0.222</v>
          </cell>
        </row>
        <row r="134">
          <cell r="F134">
            <v>12.484999999999999</v>
          </cell>
        </row>
        <row r="135">
          <cell r="F135">
            <v>0</v>
          </cell>
        </row>
        <row r="136">
          <cell r="F136">
            <v>0</v>
          </cell>
        </row>
        <row r="137">
          <cell r="F137">
            <v>0.56999999999999995</v>
          </cell>
        </row>
        <row r="138">
          <cell r="F138">
            <v>45</v>
          </cell>
        </row>
        <row r="139">
          <cell r="F139">
            <v>21</v>
          </cell>
        </row>
        <row r="140">
          <cell r="F140">
            <v>54.2</v>
          </cell>
        </row>
        <row r="141">
          <cell r="F141">
            <v>30</v>
          </cell>
        </row>
        <row r="142">
          <cell r="F142">
            <v>8.4</v>
          </cell>
        </row>
        <row r="143">
          <cell r="F143">
            <v>65</v>
          </cell>
        </row>
        <row r="144">
          <cell r="F144">
            <v>65</v>
          </cell>
        </row>
        <row r="145">
          <cell r="F145">
            <v>65</v>
          </cell>
        </row>
        <row r="146">
          <cell r="F146">
            <v>65</v>
          </cell>
        </row>
        <row r="147">
          <cell r="F147">
            <v>0.42</v>
          </cell>
        </row>
        <row r="148">
          <cell r="F148">
            <v>0.18</v>
          </cell>
        </row>
        <row r="149">
          <cell r="F149">
            <v>8.5340000000000007</v>
          </cell>
        </row>
        <row r="150">
          <cell r="F150">
            <v>6.6719999999999997</v>
          </cell>
        </row>
        <row r="151">
          <cell r="F151">
            <v>115</v>
          </cell>
        </row>
        <row r="152">
          <cell r="F152">
            <v>115</v>
          </cell>
        </row>
        <row r="153">
          <cell r="F153">
            <v>60</v>
          </cell>
        </row>
        <row r="154">
          <cell r="F154">
            <v>1.88</v>
          </cell>
        </row>
        <row r="155">
          <cell r="F155">
            <v>15</v>
          </cell>
        </row>
        <row r="156">
          <cell r="F156">
            <v>2.4</v>
          </cell>
        </row>
        <row r="157">
          <cell r="F157">
            <v>0.3</v>
          </cell>
        </row>
        <row r="158">
          <cell r="F158">
            <v>0</v>
          </cell>
        </row>
        <row r="159">
          <cell r="F159">
            <v>1.78</v>
          </cell>
        </row>
        <row r="160">
          <cell r="F160">
            <v>6</v>
          </cell>
        </row>
        <row r="161">
          <cell r="F161">
            <v>2.62</v>
          </cell>
        </row>
        <row r="162">
          <cell r="F162">
            <v>0.15</v>
          </cell>
        </row>
        <row r="163">
          <cell r="F163">
            <v>55</v>
          </cell>
        </row>
        <row r="164">
          <cell r="F164">
            <v>3.2</v>
          </cell>
        </row>
        <row r="165">
          <cell r="F165">
            <v>1.0900000000000001</v>
          </cell>
        </row>
        <row r="166">
          <cell r="F166">
            <v>0.46</v>
          </cell>
        </row>
        <row r="167">
          <cell r="F167">
            <v>1.77</v>
          </cell>
        </row>
        <row r="168">
          <cell r="F168">
            <v>2.6</v>
          </cell>
        </row>
        <row r="169">
          <cell r="F169">
            <v>0.46</v>
          </cell>
        </row>
        <row r="170">
          <cell r="F170">
            <v>0.33</v>
          </cell>
        </row>
        <row r="171">
          <cell r="F171">
            <v>1.85</v>
          </cell>
        </row>
        <row r="172">
          <cell r="F172">
            <v>0.61</v>
          </cell>
        </row>
        <row r="173">
          <cell r="F173">
            <v>15.47</v>
          </cell>
        </row>
        <row r="174">
          <cell r="F174">
            <v>5.0999999999999996</v>
          </cell>
        </row>
        <row r="175">
          <cell r="F175">
            <v>1</v>
          </cell>
        </row>
        <row r="176">
          <cell r="F176">
            <v>0.51</v>
          </cell>
        </row>
        <row r="177">
          <cell r="F177">
            <v>1.75</v>
          </cell>
        </row>
        <row r="178">
          <cell r="F178">
            <v>0.43</v>
          </cell>
        </row>
        <row r="179">
          <cell r="F179">
            <v>1.67</v>
          </cell>
        </row>
        <row r="180">
          <cell r="F180">
            <v>0.49</v>
          </cell>
        </row>
        <row r="181">
          <cell r="F181">
            <v>1.43</v>
          </cell>
        </row>
        <row r="182">
          <cell r="F182">
            <v>0.92</v>
          </cell>
        </row>
        <row r="183">
          <cell r="F183">
            <v>0.28999999999999998</v>
          </cell>
        </row>
        <row r="184">
          <cell r="F184">
            <v>0.22</v>
          </cell>
        </row>
        <row r="185">
          <cell r="F185">
            <v>0.24</v>
          </cell>
        </row>
        <row r="186">
          <cell r="F186">
            <v>0.7</v>
          </cell>
        </row>
        <row r="187">
          <cell r="F187">
            <v>0.52800000000000002</v>
          </cell>
        </row>
        <row r="188">
          <cell r="F188">
            <v>1.33</v>
          </cell>
        </row>
        <row r="189">
          <cell r="F189">
            <v>1.33</v>
          </cell>
        </row>
        <row r="190">
          <cell r="F190">
            <v>1.33</v>
          </cell>
        </row>
        <row r="191">
          <cell r="F191">
            <v>0.53600000000000003</v>
          </cell>
        </row>
        <row r="192">
          <cell r="F192">
            <v>0.53600000000000003</v>
          </cell>
        </row>
        <row r="193">
          <cell r="F193">
            <v>2.4</v>
          </cell>
        </row>
        <row r="194">
          <cell r="F194">
            <v>0.54</v>
          </cell>
        </row>
        <row r="195">
          <cell r="F195">
            <v>2.66</v>
          </cell>
        </row>
        <row r="196">
          <cell r="F196">
            <v>11.65</v>
          </cell>
        </row>
        <row r="197">
          <cell r="F197">
            <v>10.848000000000001</v>
          </cell>
        </row>
        <row r="198">
          <cell r="F198">
            <v>1.33</v>
          </cell>
        </row>
        <row r="199">
          <cell r="F199">
            <v>2.66</v>
          </cell>
        </row>
        <row r="200">
          <cell r="F200">
            <v>1.7</v>
          </cell>
        </row>
        <row r="202">
          <cell r="F202">
            <v>11</v>
          </cell>
        </row>
        <row r="203">
          <cell r="F203">
            <v>7.12</v>
          </cell>
        </row>
        <row r="204">
          <cell r="F204">
            <v>4</v>
          </cell>
        </row>
        <row r="205">
          <cell r="F205">
            <v>14</v>
          </cell>
        </row>
        <row r="206">
          <cell r="F206">
            <v>0.12</v>
          </cell>
        </row>
        <row r="207">
          <cell r="F207">
            <v>2.5</v>
          </cell>
        </row>
        <row r="208">
          <cell r="F208">
            <v>3</v>
          </cell>
        </row>
        <row r="209">
          <cell r="F209">
            <v>0.8</v>
          </cell>
        </row>
        <row r="210">
          <cell r="F210">
            <v>0.498</v>
          </cell>
        </row>
        <row r="211">
          <cell r="F211">
            <v>10</v>
          </cell>
        </row>
        <row r="212">
          <cell r="F212">
            <v>1.5840000000000001</v>
          </cell>
        </row>
        <row r="213">
          <cell r="F213">
            <v>0.96</v>
          </cell>
        </row>
        <row r="214">
          <cell r="F214">
            <v>1.1000000000000001</v>
          </cell>
        </row>
        <row r="215">
          <cell r="F215">
            <v>0.45</v>
          </cell>
        </row>
        <row r="216">
          <cell r="F216">
            <v>0.46</v>
          </cell>
        </row>
        <row r="217">
          <cell r="F217">
            <v>2.4</v>
          </cell>
        </row>
        <row r="218">
          <cell r="F218">
            <v>1</v>
          </cell>
        </row>
        <row r="219">
          <cell r="F219">
            <v>0.22</v>
          </cell>
        </row>
        <row r="220">
          <cell r="F220">
            <v>1.33</v>
          </cell>
        </row>
        <row r="221">
          <cell r="F221">
            <v>1.33</v>
          </cell>
        </row>
        <row r="222">
          <cell r="F222">
            <v>1.33</v>
          </cell>
        </row>
        <row r="223">
          <cell r="F223">
            <v>1.33</v>
          </cell>
        </row>
        <row r="224">
          <cell r="F224">
            <v>0.52800000000000002</v>
          </cell>
        </row>
        <row r="225">
          <cell r="F225">
            <v>0.52800000000000002</v>
          </cell>
        </row>
        <row r="226">
          <cell r="F226">
            <v>0.52800000000000002</v>
          </cell>
        </row>
        <row r="227">
          <cell r="F227">
            <v>1.33</v>
          </cell>
        </row>
        <row r="228">
          <cell r="F228">
            <v>1</v>
          </cell>
        </row>
        <row r="229">
          <cell r="F229">
            <v>3</v>
          </cell>
        </row>
        <row r="230">
          <cell r="F230">
            <v>1</v>
          </cell>
        </row>
        <row r="231">
          <cell r="F231">
            <v>2.5</v>
          </cell>
        </row>
        <row r="232">
          <cell r="F232">
            <v>0.56000000000000005</v>
          </cell>
        </row>
        <row r="233">
          <cell r="F233">
            <v>3.88</v>
          </cell>
        </row>
        <row r="234">
          <cell r="F234">
            <v>8</v>
          </cell>
        </row>
        <row r="235">
          <cell r="F235">
            <v>1.22</v>
          </cell>
        </row>
        <row r="236">
          <cell r="F236">
            <v>1.3520000000000001</v>
          </cell>
        </row>
        <row r="237">
          <cell r="F237">
            <v>0.12</v>
          </cell>
        </row>
        <row r="238">
          <cell r="F238">
            <v>5</v>
          </cell>
        </row>
        <row r="239">
          <cell r="F239">
            <v>1</v>
          </cell>
        </row>
        <row r="240">
          <cell r="F240">
            <v>1.06</v>
          </cell>
        </row>
        <row r="241">
          <cell r="F241">
            <v>115.03400000000001</v>
          </cell>
        </row>
        <row r="242">
          <cell r="F242">
            <v>115.03400000000001</v>
          </cell>
        </row>
        <row r="243">
          <cell r="F243">
            <v>2.1</v>
          </cell>
        </row>
        <row r="244">
          <cell r="F244">
            <v>0.44</v>
          </cell>
        </row>
        <row r="245">
          <cell r="F245">
            <v>0.16</v>
          </cell>
        </row>
        <row r="246">
          <cell r="F246">
            <v>0.61599999999999999</v>
          </cell>
        </row>
        <row r="247">
          <cell r="F247">
            <v>1.33</v>
          </cell>
        </row>
        <row r="248">
          <cell r="F248">
            <v>1.33</v>
          </cell>
        </row>
        <row r="249">
          <cell r="F249">
            <v>1.33</v>
          </cell>
        </row>
        <row r="250">
          <cell r="F250">
            <v>2.66</v>
          </cell>
        </row>
        <row r="251">
          <cell r="F251">
            <v>1.33</v>
          </cell>
        </row>
        <row r="252">
          <cell r="F252">
            <v>2</v>
          </cell>
        </row>
        <row r="253">
          <cell r="F253">
            <v>0.22</v>
          </cell>
        </row>
        <row r="254">
          <cell r="F254">
            <v>0.52800000000000002</v>
          </cell>
        </row>
        <row r="255">
          <cell r="F255">
            <v>17.45</v>
          </cell>
        </row>
        <row r="256">
          <cell r="F256">
            <v>0.38</v>
          </cell>
        </row>
        <row r="257">
          <cell r="F257">
            <v>60</v>
          </cell>
        </row>
        <row r="258">
          <cell r="F258">
            <v>60</v>
          </cell>
        </row>
        <row r="259">
          <cell r="F259">
            <v>0.38</v>
          </cell>
        </row>
        <row r="260">
          <cell r="F260">
            <v>0.98099999999999998</v>
          </cell>
        </row>
        <row r="261">
          <cell r="F261">
            <v>6</v>
          </cell>
        </row>
        <row r="262">
          <cell r="F262">
            <v>1.1080000000000001</v>
          </cell>
        </row>
        <row r="263">
          <cell r="F263">
            <v>2.19</v>
          </cell>
        </row>
        <row r="264">
          <cell r="F264">
            <v>4.5</v>
          </cell>
        </row>
        <row r="265">
          <cell r="F265">
            <v>2.0699999999999998</v>
          </cell>
        </row>
        <row r="266">
          <cell r="F266">
            <v>1.04</v>
          </cell>
        </row>
        <row r="267">
          <cell r="F267">
            <v>4.01</v>
          </cell>
        </row>
        <row r="268">
          <cell r="F268">
            <v>0.22</v>
          </cell>
        </row>
        <row r="269">
          <cell r="F269">
            <v>0.4</v>
          </cell>
        </row>
        <row r="270">
          <cell r="F270">
            <v>0.44</v>
          </cell>
        </row>
        <row r="271">
          <cell r="F271">
            <v>0.26</v>
          </cell>
        </row>
        <row r="272">
          <cell r="F272">
            <v>0.44</v>
          </cell>
        </row>
        <row r="273">
          <cell r="F273">
            <v>0.5</v>
          </cell>
        </row>
        <row r="274">
          <cell r="F274">
            <v>0.3</v>
          </cell>
        </row>
        <row r="275">
          <cell r="F275">
            <v>8.81</v>
          </cell>
        </row>
        <row r="276">
          <cell r="F276">
            <v>0.28000000000000003</v>
          </cell>
        </row>
        <row r="277">
          <cell r="F277">
            <v>0.26</v>
          </cell>
        </row>
        <row r="278">
          <cell r="F278">
            <v>0.12</v>
          </cell>
        </row>
        <row r="279">
          <cell r="F279">
            <v>0.48</v>
          </cell>
        </row>
        <row r="280">
          <cell r="F280">
            <v>0.22</v>
          </cell>
        </row>
        <row r="281">
          <cell r="F281">
            <v>0.18</v>
          </cell>
        </row>
        <row r="282">
          <cell r="F282">
            <v>0.36</v>
          </cell>
        </row>
        <row r="283">
          <cell r="F283">
            <v>1.1299999999999999</v>
          </cell>
        </row>
        <row r="284">
          <cell r="F284">
            <v>7</v>
          </cell>
        </row>
        <row r="285">
          <cell r="F285">
            <v>39.076000000000001</v>
          </cell>
        </row>
        <row r="286">
          <cell r="F286">
            <v>39.076000000000001</v>
          </cell>
        </row>
        <row r="287">
          <cell r="F287">
            <v>39.076000000000001</v>
          </cell>
        </row>
        <row r="288">
          <cell r="F288">
            <v>39.076000000000001</v>
          </cell>
        </row>
        <row r="289">
          <cell r="F289">
            <v>0.38</v>
          </cell>
        </row>
        <row r="290">
          <cell r="F290">
            <v>8.4</v>
          </cell>
        </row>
        <row r="291">
          <cell r="F291">
            <v>2.79</v>
          </cell>
        </row>
        <row r="292">
          <cell r="F292">
            <v>0.52</v>
          </cell>
        </row>
        <row r="293">
          <cell r="F293">
            <v>0.53</v>
          </cell>
        </row>
        <row r="294">
          <cell r="F294">
            <v>0.64</v>
          </cell>
        </row>
        <row r="295">
          <cell r="F295">
            <v>0.6</v>
          </cell>
        </row>
        <row r="296">
          <cell r="F296">
            <v>0.96</v>
          </cell>
        </row>
        <row r="297">
          <cell r="F297">
            <v>1.88</v>
          </cell>
        </row>
        <row r="298">
          <cell r="F298">
            <v>3.19</v>
          </cell>
        </row>
        <row r="299">
          <cell r="F299">
            <v>0.42</v>
          </cell>
        </row>
        <row r="300">
          <cell r="F300">
            <v>0.56000000000000005</v>
          </cell>
        </row>
        <row r="301">
          <cell r="F301">
            <v>0.4</v>
          </cell>
        </row>
        <row r="302">
          <cell r="F302">
            <v>1.5</v>
          </cell>
        </row>
        <row r="303">
          <cell r="F303">
            <v>0.16</v>
          </cell>
        </row>
        <row r="304">
          <cell r="F304">
            <v>0.18</v>
          </cell>
        </row>
        <row r="305">
          <cell r="F305">
            <v>1</v>
          </cell>
        </row>
        <row r="306">
          <cell r="F306">
            <v>1</v>
          </cell>
        </row>
        <row r="307">
          <cell r="F307">
            <v>1</v>
          </cell>
        </row>
        <row r="308">
          <cell r="F308">
            <v>1</v>
          </cell>
        </row>
        <row r="309">
          <cell r="F309">
            <v>0.76</v>
          </cell>
        </row>
        <row r="310">
          <cell r="F310">
            <v>110</v>
          </cell>
        </row>
        <row r="311">
          <cell r="F311">
            <v>110</v>
          </cell>
        </row>
        <row r="312">
          <cell r="F312">
            <v>15</v>
          </cell>
        </row>
        <row r="313">
          <cell r="F313">
            <v>15</v>
          </cell>
        </row>
        <row r="314">
          <cell r="F314">
            <v>0.22</v>
          </cell>
        </row>
        <row r="315">
          <cell r="F315">
            <v>15</v>
          </cell>
        </row>
        <row r="316">
          <cell r="F316">
            <v>0.44</v>
          </cell>
        </row>
        <row r="317">
          <cell r="F317">
            <v>0.52</v>
          </cell>
        </row>
        <row r="318">
          <cell r="F318">
            <v>0.3</v>
          </cell>
        </row>
        <row r="319">
          <cell r="F319">
            <v>0.54</v>
          </cell>
        </row>
        <row r="320">
          <cell r="F320">
            <v>0.44</v>
          </cell>
        </row>
        <row r="321">
          <cell r="F321">
            <v>30</v>
          </cell>
        </row>
        <row r="322">
          <cell r="F322">
            <v>1.44</v>
          </cell>
        </row>
        <row r="323">
          <cell r="F323">
            <v>0.5</v>
          </cell>
        </row>
        <row r="324">
          <cell r="F324">
            <v>12.16</v>
          </cell>
        </row>
        <row r="325">
          <cell r="F325">
            <v>40</v>
          </cell>
        </row>
        <row r="326">
          <cell r="F326">
            <v>20.079999999999998</v>
          </cell>
        </row>
        <row r="327">
          <cell r="F327">
            <v>0.4</v>
          </cell>
        </row>
        <row r="328">
          <cell r="F328">
            <v>6.8940000000000001</v>
          </cell>
        </row>
        <row r="329">
          <cell r="F329">
            <v>3</v>
          </cell>
        </row>
        <row r="330">
          <cell r="F330">
            <v>46</v>
          </cell>
        </row>
        <row r="331">
          <cell r="F331">
            <v>46</v>
          </cell>
        </row>
        <row r="332">
          <cell r="F332">
            <v>29.55</v>
          </cell>
        </row>
        <row r="333">
          <cell r="F333">
            <v>7.5</v>
          </cell>
        </row>
        <row r="334">
          <cell r="F334">
            <v>7.5</v>
          </cell>
        </row>
        <row r="335">
          <cell r="F335">
            <v>40.03</v>
          </cell>
        </row>
        <row r="336">
          <cell r="F336">
            <v>40</v>
          </cell>
        </row>
        <row r="337">
          <cell r="F337">
            <v>0.72399999999999998</v>
          </cell>
        </row>
        <row r="338">
          <cell r="F338">
            <v>70</v>
          </cell>
        </row>
        <row r="339">
          <cell r="F339">
            <v>70</v>
          </cell>
        </row>
        <row r="340">
          <cell r="F340">
            <v>9.6</v>
          </cell>
        </row>
        <row r="341">
          <cell r="F341">
            <v>25</v>
          </cell>
        </row>
        <row r="342">
          <cell r="F342">
            <v>25</v>
          </cell>
        </row>
        <row r="343">
          <cell r="F343">
            <v>50</v>
          </cell>
        </row>
        <row r="344">
          <cell r="F344">
            <v>115</v>
          </cell>
        </row>
        <row r="345">
          <cell r="F345">
            <v>115</v>
          </cell>
        </row>
        <row r="346">
          <cell r="F346">
            <v>7.5</v>
          </cell>
        </row>
        <row r="347">
          <cell r="F347">
            <v>20</v>
          </cell>
        </row>
        <row r="348">
          <cell r="F348">
            <v>20</v>
          </cell>
        </row>
        <row r="349">
          <cell r="F349">
            <v>20</v>
          </cell>
        </row>
        <row r="350">
          <cell r="F350">
            <v>5.8120000000000003</v>
          </cell>
        </row>
        <row r="351">
          <cell r="F351">
            <v>0.8</v>
          </cell>
        </row>
        <row r="352">
          <cell r="F352">
            <v>5.2</v>
          </cell>
        </row>
        <row r="353">
          <cell r="F353">
            <v>24.61</v>
          </cell>
        </row>
        <row r="354">
          <cell r="F354">
            <v>2</v>
          </cell>
        </row>
        <row r="355">
          <cell r="F355">
            <v>24.61</v>
          </cell>
        </row>
        <row r="356">
          <cell r="F356">
            <v>4</v>
          </cell>
        </row>
        <row r="357">
          <cell r="F357">
            <v>5.2</v>
          </cell>
        </row>
        <row r="358">
          <cell r="F358">
            <v>6</v>
          </cell>
        </row>
        <row r="359">
          <cell r="F359">
            <v>0.12</v>
          </cell>
        </row>
        <row r="360">
          <cell r="F360">
            <v>0.18</v>
          </cell>
        </row>
        <row r="361">
          <cell r="F361">
            <v>0.48</v>
          </cell>
        </row>
        <row r="362">
          <cell r="F362">
            <v>0.4</v>
          </cell>
        </row>
        <row r="363">
          <cell r="F363">
            <v>4</v>
          </cell>
        </row>
        <row r="364">
          <cell r="F364">
            <v>33</v>
          </cell>
        </row>
        <row r="365">
          <cell r="F365">
            <v>33</v>
          </cell>
        </row>
        <row r="366">
          <cell r="F366">
            <v>0.36</v>
          </cell>
        </row>
        <row r="367">
          <cell r="F367">
            <v>0.28000000000000003</v>
          </cell>
        </row>
        <row r="368">
          <cell r="F368">
            <v>20</v>
          </cell>
        </row>
        <row r="369">
          <cell r="F369">
            <v>20</v>
          </cell>
        </row>
        <row r="370">
          <cell r="F370">
            <v>100</v>
          </cell>
        </row>
        <row r="371">
          <cell r="F371">
            <v>125</v>
          </cell>
        </row>
        <row r="372">
          <cell r="F372">
            <v>6.97</v>
          </cell>
        </row>
        <row r="373">
          <cell r="F373">
            <v>6.97</v>
          </cell>
        </row>
        <row r="374">
          <cell r="F374">
            <v>9.7799999999999994</v>
          </cell>
        </row>
        <row r="375">
          <cell r="F375">
            <v>9.7799999999999994</v>
          </cell>
        </row>
        <row r="376">
          <cell r="F376">
            <v>9.7799999999999994</v>
          </cell>
        </row>
        <row r="377">
          <cell r="F377">
            <v>9.7799999999999994</v>
          </cell>
        </row>
        <row r="378">
          <cell r="F378">
            <v>27.59</v>
          </cell>
        </row>
        <row r="379">
          <cell r="F379">
            <v>8</v>
          </cell>
        </row>
        <row r="380">
          <cell r="F380">
            <v>34</v>
          </cell>
        </row>
        <row r="381">
          <cell r="F381">
            <v>4.49</v>
          </cell>
        </row>
        <row r="382">
          <cell r="F382">
            <v>0.92</v>
          </cell>
        </row>
        <row r="383">
          <cell r="F383">
            <v>0.22</v>
          </cell>
        </row>
        <row r="384">
          <cell r="F384">
            <v>1.9</v>
          </cell>
        </row>
        <row r="385">
          <cell r="F385">
            <v>9.1300000000000008</v>
          </cell>
        </row>
        <row r="386">
          <cell r="F386">
            <v>9.5</v>
          </cell>
        </row>
        <row r="387">
          <cell r="F387">
            <v>4.548</v>
          </cell>
        </row>
        <row r="388">
          <cell r="F388">
            <v>18</v>
          </cell>
        </row>
        <row r="389">
          <cell r="F389">
            <v>0.48</v>
          </cell>
        </row>
        <row r="390">
          <cell r="F390">
            <v>0.2</v>
          </cell>
        </row>
        <row r="391">
          <cell r="F391">
            <v>3</v>
          </cell>
        </row>
        <row r="392">
          <cell r="F392">
            <v>0.8</v>
          </cell>
        </row>
        <row r="393">
          <cell r="F393">
            <v>1.64</v>
          </cell>
        </row>
        <row r="394">
          <cell r="F394">
            <v>1</v>
          </cell>
        </row>
        <row r="395">
          <cell r="F395">
            <v>0.35</v>
          </cell>
        </row>
        <row r="396">
          <cell r="F396">
            <v>0.62</v>
          </cell>
        </row>
        <row r="397">
          <cell r="F397">
            <v>0.82</v>
          </cell>
        </row>
        <row r="398">
          <cell r="F398">
            <v>0.8</v>
          </cell>
        </row>
        <row r="399">
          <cell r="F399">
            <v>2.25</v>
          </cell>
        </row>
        <row r="400">
          <cell r="F400">
            <v>1</v>
          </cell>
        </row>
        <row r="401">
          <cell r="F401">
            <v>0.26</v>
          </cell>
        </row>
        <row r="402">
          <cell r="F402">
            <v>0.45500000000000002</v>
          </cell>
        </row>
        <row r="403">
          <cell r="F403">
            <v>15.917999999999999</v>
          </cell>
        </row>
        <row r="404">
          <cell r="F404">
            <v>3</v>
          </cell>
        </row>
        <row r="405">
          <cell r="F405">
            <v>21</v>
          </cell>
        </row>
        <row r="406">
          <cell r="F406">
            <v>1.27</v>
          </cell>
        </row>
        <row r="407">
          <cell r="F407">
            <v>0.09</v>
          </cell>
        </row>
        <row r="408">
          <cell r="F408">
            <v>0.56999999999999995</v>
          </cell>
        </row>
        <row r="409">
          <cell r="F409">
            <v>0.2</v>
          </cell>
        </row>
        <row r="410">
          <cell r="F410">
            <v>1.2749999999999999</v>
          </cell>
        </row>
        <row r="411">
          <cell r="F411">
            <v>0.8</v>
          </cell>
        </row>
        <row r="412">
          <cell r="F412">
            <v>0.08</v>
          </cell>
        </row>
        <row r="413">
          <cell r="F413">
            <v>0.16</v>
          </cell>
        </row>
        <row r="414">
          <cell r="F414">
            <v>0.5</v>
          </cell>
        </row>
        <row r="415">
          <cell r="F415">
            <v>0.5</v>
          </cell>
        </row>
        <row r="416">
          <cell r="F416">
            <v>0.5</v>
          </cell>
        </row>
        <row r="417">
          <cell r="F417">
            <v>0.1</v>
          </cell>
        </row>
        <row r="418">
          <cell r="F418">
            <v>10.64</v>
          </cell>
        </row>
        <row r="419">
          <cell r="F419">
            <v>7.6719999999999997</v>
          </cell>
        </row>
        <row r="420">
          <cell r="F420">
            <v>2</v>
          </cell>
        </row>
        <row r="421">
          <cell r="F421">
            <v>0.443</v>
          </cell>
        </row>
        <row r="422">
          <cell r="F422">
            <v>3.68</v>
          </cell>
        </row>
        <row r="423">
          <cell r="F423">
            <v>3.81</v>
          </cell>
        </row>
        <row r="424">
          <cell r="F424">
            <v>1</v>
          </cell>
        </row>
        <row r="425">
          <cell r="F425">
            <v>0.1</v>
          </cell>
        </row>
        <row r="426">
          <cell r="F426">
            <v>0.69499999999999995</v>
          </cell>
        </row>
        <row r="427">
          <cell r="F427">
            <v>0.1</v>
          </cell>
        </row>
        <row r="428">
          <cell r="F428">
            <v>0.3</v>
          </cell>
        </row>
        <row r="429">
          <cell r="F429">
            <v>0.42599999999999999</v>
          </cell>
        </row>
        <row r="430">
          <cell r="F430">
            <v>0.6</v>
          </cell>
        </row>
        <row r="431">
          <cell r="F431">
            <v>0.6</v>
          </cell>
        </row>
        <row r="432">
          <cell r="F432">
            <v>0.1</v>
          </cell>
        </row>
        <row r="433">
          <cell r="F433">
            <v>8.9120000000000008</v>
          </cell>
        </row>
        <row r="434">
          <cell r="F434">
            <v>8.9120000000000008</v>
          </cell>
        </row>
        <row r="435">
          <cell r="F435">
            <v>19.384</v>
          </cell>
        </row>
        <row r="436">
          <cell r="F436">
            <v>2</v>
          </cell>
        </row>
        <row r="437">
          <cell r="F437">
            <v>7.3</v>
          </cell>
        </row>
        <row r="438">
          <cell r="F438">
            <v>7.5</v>
          </cell>
        </row>
        <row r="439">
          <cell r="F439">
            <v>0.6</v>
          </cell>
        </row>
        <row r="440">
          <cell r="F440">
            <v>0.43</v>
          </cell>
        </row>
        <row r="441">
          <cell r="F441">
            <v>0.1</v>
          </cell>
        </row>
        <row r="442">
          <cell r="F442">
            <v>15.263999999999999</v>
          </cell>
        </row>
        <row r="443">
          <cell r="F443">
            <v>17</v>
          </cell>
        </row>
        <row r="444">
          <cell r="F444">
            <v>6</v>
          </cell>
        </row>
        <row r="445">
          <cell r="F445">
            <v>6</v>
          </cell>
        </row>
        <row r="446">
          <cell r="F446">
            <v>15.7</v>
          </cell>
        </row>
        <row r="447">
          <cell r="F447">
            <v>30</v>
          </cell>
        </row>
        <row r="448">
          <cell r="F448">
            <v>23.6</v>
          </cell>
        </row>
        <row r="449">
          <cell r="F449">
            <v>1.7</v>
          </cell>
        </row>
        <row r="450">
          <cell r="F450">
            <v>1</v>
          </cell>
        </row>
        <row r="451">
          <cell r="F451">
            <v>7</v>
          </cell>
        </row>
        <row r="452">
          <cell r="F452">
            <v>11.198</v>
          </cell>
        </row>
        <row r="453">
          <cell r="F453">
            <v>7.02</v>
          </cell>
        </row>
        <row r="454">
          <cell r="F454">
            <v>6</v>
          </cell>
        </row>
        <row r="455">
          <cell r="F455">
            <v>1.6</v>
          </cell>
        </row>
        <row r="456">
          <cell r="F456">
            <v>1.7</v>
          </cell>
        </row>
        <row r="457">
          <cell r="F457">
            <v>4.5</v>
          </cell>
        </row>
        <row r="458">
          <cell r="F458">
            <v>3</v>
          </cell>
        </row>
        <row r="459">
          <cell r="F459">
            <v>2.5</v>
          </cell>
        </row>
        <row r="460">
          <cell r="F460">
            <v>0.2</v>
          </cell>
        </row>
        <row r="461">
          <cell r="F461">
            <v>1</v>
          </cell>
        </row>
        <row r="462">
          <cell r="F462">
            <v>2</v>
          </cell>
        </row>
        <row r="463">
          <cell r="F463">
            <v>6.7119999999999997</v>
          </cell>
        </row>
        <row r="464">
          <cell r="F464">
            <v>0.34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calliope_1"/>
      <sheetName val="calliope_2"/>
      <sheetName val="Sheet2"/>
      <sheetName val="-jr28gpurfjy0ufw0"/>
      <sheetName val="-jr28gpurfjy0ufw0 (2)"/>
      <sheetName val="-jr28gpurfjy0ufw0 (3)"/>
    </sheetNames>
    <sheetDataSet>
      <sheetData sheetId="0" refreshError="1"/>
      <sheetData sheetId="1" refreshError="1"/>
      <sheetData sheetId="2">
        <row r="2">
          <cell r="L2">
            <v>352.95152055845813</v>
          </cell>
          <cell r="M2">
            <v>213.5804325130739</v>
          </cell>
          <cell r="N2">
            <v>325.86064954249946</v>
          </cell>
          <cell r="O2">
            <v>429.07122508811278</v>
          </cell>
          <cell r="P2">
            <v>79.958862020278815</v>
          </cell>
        </row>
        <row r="11">
          <cell r="D11">
            <v>370.10844748858648</v>
          </cell>
          <cell r="E11">
            <v>565.6632420091338</v>
          </cell>
          <cell r="F11">
            <v>531.15514126215476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ypsa"/>
      <sheetName val="dist_shift"/>
      <sheetName val="curve"/>
      <sheetName val="calliope_1"/>
      <sheetName val="calliope_2021"/>
      <sheetName val="calliope_2021_steep"/>
      <sheetName val="calliope_2021_flat"/>
      <sheetName val="calliope_2030"/>
      <sheetName val="calliope_2030_steep"/>
      <sheetName val="calliope_2030_flat"/>
      <sheetName val="calliope_2050"/>
      <sheetName val="calliope_2050_steep"/>
      <sheetName val="calliope_2050_flat"/>
      <sheetName val="2021"/>
      <sheetName val="2030"/>
      <sheetName val="2050"/>
      <sheetName val="time_res"/>
      <sheetName val="time_res_sel"/>
      <sheetName val="time_res_hr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763">
          <cell r="S8763">
            <v>27060000.000000205</v>
          </cell>
        </row>
      </sheetData>
      <sheetData sheetId="8"/>
      <sheetData sheetId="9"/>
      <sheetData sheetId="10">
        <row r="8763">
          <cell r="S8763">
            <v>32559192.941232059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A0967-938E-4AEF-B084-DA659F2B9109}">
  <sheetPr codeName="Sheet1"/>
  <dimension ref="A1:O22"/>
  <sheetViews>
    <sheetView workbookViewId="0">
      <selection activeCell="H12" sqref="H12"/>
    </sheetView>
  </sheetViews>
  <sheetFormatPr defaultRowHeight="14.4" x14ac:dyDescent="0.3"/>
  <cols>
    <col min="1" max="1" width="5.77734375" customWidth="1"/>
    <col min="2" max="2" width="13.21875" customWidth="1"/>
    <col min="3" max="3" width="12.33203125" customWidth="1"/>
    <col min="4" max="5" width="11.5546875" customWidth="1"/>
    <col min="7" max="7" width="9.33203125" customWidth="1"/>
    <col min="8" max="9" width="8.44140625" customWidth="1"/>
  </cols>
  <sheetData>
    <row r="1" spans="1:15" ht="43.2" x14ac:dyDescent="0.3">
      <c r="A1" s="32" t="s">
        <v>58</v>
      </c>
      <c r="B1" s="32" t="s">
        <v>1</v>
      </c>
      <c r="C1" s="33" t="s">
        <v>83</v>
      </c>
      <c r="D1" s="33" t="s">
        <v>79</v>
      </c>
      <c r="E1" s="33" t="s">
        <v>80</v>
      </c>
      <c r="F1" s="33" t="s">
        <v>60</v>
      </c>
      <c r="G1" s="33" t="s">
        <v>65</v>
      </c>
      <c r="H1" s="33" t="s">
        <v>105</v>
      </c>
      <c r="I1" s="33" t="s">
        <v>104</v>
      </c>
      <c r="J1" s="33" t="s">
        <v>103</v>
      </c>
      <c r="K1" s="33"/>
      <c r="L1" s="22"/>
      <c r="M1" s="22"/>
      <c r="N1" s="22"/>
      <c r="O1" s="22"/>
    </row>
    <row r="2" spans="1:15" x14ac:dyDescent="0.3">
      <c r="A2" s="22"/>
      <c r="B2" s="31" t="s">
        <v>4</v>
      </c>
      <c r="C2" s="34">
        <v>2.5</v>
      </c>
      <c r="D2" s="34">
        <v>3</v>
      </c>
      <c r="E2" s="34">
        <v>48</v>
      </c>
      <c r="F2" s="58">
        <v>25</v>
      </c>
      <c r="G2" s="22">
        <f>0.5*1000</f>
        <v>500</v>
      </c>
      <c r="H2" s="34">
        <f>0.1*60</f>
        <v>6</v>
      </c>
      <c r="I2" s="34">
        <v>0.7</v>
      </c>
      <c r="J2" s="34">
        <v>0.85</v>
      </c>
      <c r="K2" s="22"/>
      <c r="L2" s="22"/>
      <c r="M2" s="22"/>
      <c r="N2" s="22"/>
      <c r="O2" s="22"/>
    </row>
    <row r="3" spans="1:15" x14ac:dyDescent="0.3">
      <c r="A3" s="22"/>
      <c r="B3" s="31" t="s">
        <v>3</v>
      </c>
      <c r="C3" s="34">
        <v>1.65</v>
      </c>
      <c r="D3" s="34">
        <v>0.13</v>
      </c>
      <c r="E3" s="34">
        <v>45</v>
      </c>
      <c r="F3" s="58">
        <v>30</v>
      </c>
      <c r="G3" s="22">
        <v>849</v>
      </c>
      <c r="H3" s="34">
        <f>0.01*60</f>
        <v>0.6</v>
      </c>
      <c r="I3" s="34">
        <v>0.8</v>
      </c>
      <c r="J3" s="34">
        <v>0.8</v>
      </c>
      <c r="K3" s="22"/>
      <c r="L3" s="22"/>
      <c r="M3" s="22"/>
      <c r="N3" s="22"/>
      <c r="O3" s="22"/>
    </row>
    <row r="4" spans="1:15" x14ac:dyDescent="0.3">
      <c r="A4" s="22"/>
      <c r="B4" s="31" t="s">
        <v>5</v>
      </c>
      <c r="C4" s="34">
        <v>0.75</v>
      </c>
      <c r="D4" s="34">
        <v>2.5</v>
      </c>
      <c r="E4" s="34">
        <v>23</v>
      </c>
      <c r="F4" s="58">
        <v>25</v>
      </c>
      <c r="G4" s="22">
        <v>433</v>
      </c>
      <c r="H4" s="34">
        <f>0.2*60</f>
        <v>12</v>
      </c>
      <c r="I4" s="34">
        <v>0.5</v>
      </c>
      <c r="J4" s="34">
        <v>0.5</v>
      </c>
      <c r="K4" s="22"/>
      <c r="L4" s="22"/>
      <c r="M4" s="22"/>
      <c r="N4" s="22"/>
      <c r="O4" s="22"/>
    </row>
    <row r="5" spans="1:15" x14ac:dyDescent="0.3">
      <c r="A5" s="22"/>
      <c r="B5" s="31" t="s">
        <v>10</v>
      </c>
      <c r="C5" s="34">
        <v>4.5</v>
      </c>
      <c r="D5" s="34">
        <v>0.37</v>
      </c>
      <c r="E5" s="34">
        <v>20</v>
      </c>
      <c r="F5" s="58">
        <v>30</v>
      </c>
      <c r="G5" s="22">
        <v>38</v>
      </c>
      <c r="H5" s="34"/>
      <c r="I5" s="34"/>
      <c r="J5" s="34">
        <v>0.98</v>
      </c>
      <c r="K5" s="22"/>
      <c r="L5" s="22"/>
      <c r="M5" s="22"/>
      <c r="N5" s="22"/>
      <c r="O5" s="22"/>
    </row>
    <row r="6" spans="1:15" x14ac:dyDescent="0.3">
      <c r="A6" s="22"/>
      <c r="B6" s="31" t="s">
        <v>6</v>
      </c>
      <c r="C6" s="34">
        <v>1.9</v>
      </c>
      <c r="D6" s="34">
        <v>0.5</v>
      </c>
      <c r="E6" s="34">
        <v>53</v>
      </c>
      <c r="F6" s="58">
        <v>50</v>
      </c>
      <c r="G6" s="22">
        <v>6</v>
      </c>
      <c r="H6" s="34">
        <f>0.5*60</f>
        <v>30</v>
      </c>
      <c r="I6" s="34"/>
      <c r="J6" s="34">
        <v>0.4</v>
      </c>
      <c r="K6" s="22" t="s">
        <v>108</v>
      </c>
      <c r="L6" s="22"/>
      <c r="M6" s="22"/>
      <c r="N6" s="22"/>
      <c r="O6" s="22"/>
    </row>
    <row r="7" spans="1:15" x14ac:dyDescent="0.3">
      <c r="A7" s="22"/>
      <c r="B7" s="31" t="s">
        <v>7</v>
      </c>
      <c r="C7" s="34">
        <v>1</v>
      </c>
      <c r="D7" s="34">
        <v>2.4</v>
      </c>
      <c r="E7" s="34">
        <f>0.02*1000</f>
        <v>20</v>
      </c>
      <c r="F7" s="58">
        <v>25</v>
      </c>
      <c r="G7" s="22">
        <v>600</v>
      </c>
      <c r="H7" s="34"/>
      <c r="I7" s="34"/>
      <c r="J7" s="22"/>
      <c r="K7" s="22"/>
      <c r="L7" s="22"/>
      <c r="M7" s="22"/>
      <c r="N7" s="22"/>
      <c r="O7" s="22"/>
    </row>
    <row r="8" spans="1:15" x14ac:dyDescent="0.3">
      <c r="A8" s="22"/>
      <c r="B8" s="31" t="s">
        <v>8</v>
      </c>
      <c r="C8" s="34">
        <v>0.7</v>
      </c>
      <c r="D8" s="34">
        <v>0</v>
      </c>
      <c r="E8" s="34">
        <v>15</v>
      </c>
      <c r="F8" s="58">
        <v>25</v>
      </c>
      <c r="G8" s="22">
        <v>7</v>
      </c>
      <c r="H8" s="22"/>
      <c r="I8" s="22"/>
      <c r="J8" s="22"/>
      <c r="K8" s="22"/>
      <c r="L8" s="22"/>
      <c r="M8" s="22"/>
      <c r="N8" s="22"/>
      <c r="O8" s="22"/>
    </row>
    <row r="9" spans="1:15" x14ac:dyDescent="0.3">
      <c r="A9" s="22"/>
      <c r="B9" s="31" t="s">
        <v>11</v>
      </c>
      <c r="C9" s="34"/>
      <c r="D9" s="34"/>
      <c r="E9" s="34"/>
      <c r="F9" s="58"/>
      <c r="G9" s="22"/>
      <c r="H9" s="22"/>
      <c r="I9" s="22"/>
      <c r="J9" s="22"/>
      <c r="K9" s="22"/>
      <c r="L9" s="22"/>
      <c r="M9" s="22"/>
      <c r="N9" s="22"/>
      <c r="O9" s="22"/>
    </row>
    <row r="10" spans="1:15" x14ac:dyDescent="0.3">
      <c r="A10" s="22"/>
      <c r="B10" s="31" t="s">
        <v>62</v>
      </c>
      <c r="C10" s="34">
        <v>1.88</v>
      </c>
      <c r="D10" s="34">
        <v>0</v>
      </c>
      <c r="E10" s="34">
        <v>60</v>
      </c>
      <c r="F10" s="58">
        <v>27</v>
      </c>
      <c r="G10" s="22">
        <v>8</v>
      </c>
      <c r="H10" s="22"/>
      <c r="I10" s="22"/>
      <c r="J10" s="22"/>
      <c r="K10" s="22"/>
      <c r="L10" s="22"/>
      <c r="M10" s="22"/>
      <c r="N10" s="22"/>
      <c r="O10" s="22"/>
    </row>
    <row r="11" spans="1:15" x14ac:dyDescent="0.3">
      <c r="A11" s="22"/>
      <c r="B11" s="35" t="s">
        <v>63</v>
      </c>
      <c r="C11" s="34">
        <v>4</v>
      </c>
      <c r="D11" s="34">
        <v>0</v>
      </c>
      <c r="E11" s="34">
        <v>124</v>
      </c>
      <c r="F11" s="58">
        <v>27</v>
      </c>
      <c r="G11" s="22">
        <v>12</v>
      </c>
      <c r="H11" s="22"/>
      <c r="I11" s="22"/>
      <c r="J11" s="22"/>
      <c r="K11" s="22"/>
      <c r="L11" s="22"/>
      <c r="M11" s="22"/>
      <c r="N11" s="22"/>
      <c r="O11" s="22"/>
    </row>
    <row r="12" spans="1:15" x14ac:dyDescent="0.3">
      <c r="A12" s="22"/>
      <c r="B12" s="35" t="s">
        <v>106</v>
      </c>
      <c r="C12" s="22"/>
      <c r="D12" s="22"/>
      <c r="E12" s="22"/>
      <c r="F12" s="58"/>
      <c r="G12" s="22"/>
      <c r="H12" s="34">
        <f>0.05*60</f>
        <v>3</v>
      </c>
      <c r="I12" s="22"/>
      <c r="J12" s="22"/>
      <c r="K12" s="22" t="s">
        <v>107</v>
      </c>
      <c r="L12" s="22"/>
      <c r="M12" s="22"/>
      <c r="N12" s="22"/>
      <c r="O12" s="22"/>
    </row>
    <row r="13" spans="1:15" x14ac:dyDescent="0.3">
      <c r="A13" s="32" t="s">
        <v>59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</row>
    <row r="14" spans="1:15" x14ac:dyDescent="0.3">
      <c r="A14" s="22" t="s">
        <v>61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 spans="1:15" x14ac:dyDescent="0.3">
      <c r="A15" s="22" t="s">
        <v>64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 spans="1:15" x14ac:dyDescent="0.3">
      <c r="A16" s="22" t="s">
        <v>66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 spans="1:15" x14ac:dyDescent="0.3">
      <c r="A17" s="22" t="s">
        <v>81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1:15" x14ac:dyDescent="0.3">
      <c r="A18" s="22" t="s">
        <v>82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 spans="1:15" x14ac:dyDescent="0.3">
      <c r="A19" s="22" t="s">
        <v>84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 spans="1:15" x14ac:dyDescent="0.3">
      <c r="A20" s="22" t="s">
        <v>99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1:15" x14ac:dyDescent="0.3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 spans="1:15" x14ac:dyDescent="0.3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E7F3-B837-43E6-BF88-00ED77709958}">
  <sheetPr codeName="Sheet2"/>
  <dimension ref="A1:BA5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14" sqref="I14"/>
    </sheetView>
  </sheetViews>
  <sheetFormatPr defaultRowHeight="14.4" x14ac:dyDescent="0.3"/>
  <cols>
    <col min="3" max="3" width="9.109375" style="22" customWidth="1"/>
    <col min="4" max="4" width="9.88671875" style="1" bestFit="1" customWidth="1"/>
    <col min="5" max="12" width="8.88671875" style="22" customWidth="1"/>
    <col min="13" max="13" width="8.88671875" style="22" hidden="1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30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10" t="s">
        <v>11</v>
      </c>
      <c r="M2" s="11" t="s">
        <v>9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0</v>
      </c>
      <c r="F3" s="13">
        <v>250</v>
      </c>
      <c r="G3" s="14">
        <v>0</v>
      </c>
      <c r="H3" s="15">
        <v>0</v>
      </c>
      <c r="I3" s="16">
        <v>0</v>
      </c>
      <c r="J3" s="17">
        <v>24.556999999999999</v>
      </c>
      <c r="K3" s="18">
        <v>0.08</v>
      </c>
      <c r="L3" s="19">
        <v>0</v>
      </c>
      <c r="M3" s="20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E3" si="0">E3*N3</f>
        <v>0</v>
      </c>
      <c r="X3" s="13">
        <f t="shared" si="0"/>
        <v>117.5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1.71899</v>
      </c>
      <c r="AC3" s="18">
        <f t="shared" si="0"/>
        <v>0.08</v>
      </c>
      <c r="AD3" s="19">
        <f t="shared" si="0"/>
        <v>0</v>
      </c>
      <c r="AE3" s="20">
        <f t="shared" si="0"/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</f>
        <v>10</v>
      </c>
      <c r="F4" s="13">
        <v>0</v>
      </c>
      <c r="G4" s="14">
        <v>0</v>
      </c>
      <c r="H4" s="15">
        <v>0</v>
      </c>
      <c r="I4" s="16">
        <v>0</v>
      </c>
      <c r="J4" s="17">
        <f>[1]data!$F$11+[1]data!$F$12+[1]data!$F$13+[1]data!$F$14+[1]data!$F$15</f>
        <v>134.64500000000001</v>
      </c>
      <c r="K4" s="18">
        <v>0</v>
      </c>
      <c r="L4" s="19">
        <v>0</v>
      </c>
      <c r="M4" s="20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ref="W4:W22" si="1">E4*N4</f>
        <v>3</v>
      </c>
      <c r="X4" s="13">
        <f t="shared" ref="X4:X22" si="2">F4*O4</f>
        <v>0</v>
      </c>
      <c r="Y4" s="14">
        <f t="shared" ref="Y4:Y22" si="3">G4*P4</f>
        <v>0</v>
      </c>
      <c r="Z4" s="15">
        <f t="shared" ref="Z4:Z22" si="4">H4*Q4</f>
        <v>0</v>
      </c>
      <c r="AA4" s="16">
        <f t="shared" ref="AA4:AA22" si="5">I4*R4</f>
        <v>0</v>
      </c>
      <c r="AB4" s="17">
        <f t="shared" ref="AB4:AB22" si="6">J4*S4</f>
        <v>9.4251500000000021</v>
      </c>
      <c r="AC4" s="18">
        <f t="shared" ref="AC4:AC22" si="7">K4*T4</f>
        <v>0</v>
      </c>
      <c r="AD4" s="19">
        <f t="shared" ref="AD4:AD22" si="8">L4*U4</f>
        <v>0</v>
      </c>
      <c r="AE4" s="20">
        <f t="shared" ref="AE4:AE22" si="9">M4*V4</f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</f>
        <v>110</v>
      </c>
      <c r="G5" s="14">
        <v>0</v>
      </c>
      <c r="H5" s="15">
        <v>0</v>
      </c>
      <c r="I5" s="16">
        <v>0</v>
      </c>
      <c r="J5" s="17">
        <f>[1]data!$F$10+[1]data!$F$17+[1]data!$F$27+[1]data!$F$28+[1]data!$F$30+[1]data!$F$37+[1]data!$F$38</f>
        <v>7.6409999999999991</v>
      </c>
      <c r="K5" s="18">
        <v>0.04</v>
      </c>
      <c r="L5" s="19">
        <v>0</v>
      </c>
      <c r="M5" s="20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1"/>
        <v>0</v>
      </c>
      <c r="X5" s="13">
        <f t="shared" si="2"/>
        <v>51.699999999999996</v>
      </c>
      <c r="Y5" s="14">
        <f t="shared" si="3"/>
        <v>0</v>
      </c>
      <c r="Z5" s="15">
        <f t="shared" si="4"/>
        <v>0</v>
      </c>
      <c r="AA5" s="16">
        <f t="shared" si="5"/>
        <v>0</v>
      </c>
      <c r="AB5" s="17">
        <f t="shared" si="6"/>
        <v>0.53486999999999996</v>
      </c>
      <c r="AC5" s="18">
        <f t="shared" si="7"/>
        <v>0.04</v>
      </c>
      <c r="AD5" s="19">
        <f t="shared" si="8"/>
        <v>0</v>
      </c>
      <c r="AE5" s="20">
        <f t="shared" si="9"/>
        <v>0</v>
      </c>
      <c r="AF5" s="43">
        <v>230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</f>
        <v>27</v>
      </c>
      <c r="G6" s="14">
        <v>34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</f>
        <v>70.355999999999995</v>
      </c>
      <c r="K6" s="18">
        <v>0.06</v>
      </c>
      <c r="L6" s="19">
        <v>0</v>
      </c>
      <c r="M6" s="20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1"/>
        <v>1.5</v>
      </c>
      <c r="X6" s="13">
        <f t="shared" si="2"/>
        <v>12.69</v>
      </c>
      <c r="Y6" s="14">
        <f t="shared" si="3"/>
        <v>18.700000000000003</v>
      </c>
      <c r="Z6" s="15">
        <f t="shared" si="4"/>
        <v>0</v>
      </c>
      <c r="AA6" s="16">
        <v>0</v>
      </c>
      <c r="AB6" s="17">
        <f t="shared" si="6"/>
        <v>4.9249200000000002</v>
      </c>
      <c r="AC6" s="18">
        <f t="shared" si="7"/>
        <v>0.06</v>
      </c>
      <c r="AD6" s="19">
        <f t="shared" si="8"/>
        <v>0</v>
      </c>
      <c r="AE6" s="20">
        <f t="shared" si="9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</f>
        <v>3.9650000000000003</v>
      </c>
      <c r="J7" s="17">
        <v>166.49600000000001</v>
      </c>
      <c r="K7" s="18">
        <v>0</v>
      </c>
      <c r="L7" s="19">
        <v>0</v>
      </c>
      <c r="M7" s="20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1"/>
        <v>0</v>
      </c>
      <c r="X7" s="13">
        <f t="shared" si="2"/>
        <v>0</v>
      </c>
      <c r="Y7" s="14">
        <f t="shared" si="3"/>
        <v>0</v>
      </c>
      <c r="Z7" s="15">
        <f t="shared" si="4"/>
        <v>0</v>
      </c>
      <c r="AA7" s="16">
        <f t="shared" si="5"/>
        <v>2.5772500000000003</v>
      </c>
      <c r="AB7" s="17">
        <f t="shared" si="6"/>
        <v>11.654720000000001</v>
      </c>
      <c r="AC7" s="18">
        <f t="shared" si="7"/>
        <v>0</v>
      </c>
      <c r="AD7" s="19">
        <f t="shared" si="8"/>
        <v>0</v>
      </c>
      <c r="AE7" s="20">
        <f t="shared" si="9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</f>
        <v>3.5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v>97.691000000000003</v>
      </c>
      <c r="K8" s="18">
        <v>0</v>
      </c>
      <c r="L8" s="19">
        <v>0</v>
      </c>
      <c r="M8" s="20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1"/>
        <v>1.05</v>
      </c>
      <c r="X8" s="13">
        <f t="shared" si="2"/>
        <v>23.029999999999998</v>
      </c>
      <c r="Y8" s="14">
        <f t="shared" si="3"/>
        <v>0</v>
      </c>
      <c r="Z8" s="15">
        <f t="shared" si="4"/>
        <v>0</v>
      </c>
      <c r="AA8" s="16">
        <f t="shared" si="5"/>
        <v>0.19500000000000003</v>
      </c>
      <c r="AB8" s="17">
        <f t="shared" si="6"/>
        <v>6.8383700000000012</v>
      </c>
      <c r="AC8" s="18">
        <f t="shared" si="7"/>
        <v>0</v>
      </c>
      <c r="AD8" s="19">
        <f t="shared" si="8"/>
        <v>0</v>
      </c>
      <c r="AE8" s="20">
        <f t="shared" si="9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-2.6152000000000002</v>
      </c>
      <c r="B9" s="28">
        <v>111.7037</v>
      </c>
      <c r="C9" s="23" t="s">
        <v>41</v>
      </c>
      <c r="D9" s="21" t="s">
        <v>23</v>
      </c>
      <c r="E9" s="12">
        <f>[1]data!$F$208+[1]data!$F$211</f>
        <v>13</v>
      </c>
      <c r="F9" s="13">
        <f>[1]data!$F$201</f>
        <v>0</v>
      </c>
      <c r="G9" s="14">
        <v>0</v>
      </c>
      <c r="H9" s="15">
        <v>0</v>
      </c>
      <c r="I9" s="16">
        <v>0</v>
      </c>
      <c r="J9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</f>
        <v>79.385999999999996</v>
      </c>
      <c r="K9" s="18">
        <v>0</v>
      </c>
      <c r="L9" s="19">
        <v>0</v>
      </c>
      <c r="M9" s="20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1"/>
        <v>3.9</v>
      </c>
      <c r="X9" s="13">
        <f t="shared" si="2"/>
        <v>0</v>
      </c>
      <c r="Y9" s="14">
        <f t="shared" si="3"/>
        <v>0</v>
      </c>
      <c r="Z9" s="15">
        <f t="shared" si="4"/>
        <v>0</v>
      </c>
      <c r="AA9" s="16">
        <f t="shared" si="5"/>
        <v>0</v>
      </c>
      <c r="AB9" s="17">
        <f t="shared" si="6"/>
        <v>5.5570200000000005</v>
      </c>
      <c r="AC9" s="18">
        <f t="shared" si="7"/>
        <v>0</v>
      </c>
      <c r="AD9" s="19">
        <f t="shared" si="8"/>
        <v>0</v>
      </c>
      <c r="AE9" s="20">
        <f t="shared" si="9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-2.6220500000000002</v>
      </c>
      <c r="B10" s="28">
        <v>112.91540000000001</v>
      </c>
      <c r="C10" s="23" t="s">
        <v>42</v>
      </c>
      <c r="D10" s="21" t="s">
        <v>24</v>
      </c>
      <c r="E10" s="12">
        <f>[1]data!$F$217+[1]data!$F$218+[1]data!$F$230</f>
        <v>4.4000000000000004</v>
      </c>
      <c r="F10" s="13">
        <v>0</v>
      </c>
      <c r="G10" s="14">
        <v>0</v>
      </c>
      <c r="H10" s="15">
        <v>0</v>
      </c>
      <c r="I10" s="16">
        <v>0</v>
      </c>
      <c r="J10" s="17">
        <f>[1]data!$F$212+[1]data!$F$213+[1]data!$F$214+[1]data!$F$215+[1]data!$F$216+[1]data!$F$219+[1]data!$F$220+[1]data!$F$221+[1]data!$F$222+[1]data!$F$223+[1]data!$F$224+[1]data!$F$225+[1]data!$F$226+[1]data!$F$227+[1]data!$F$228+[1]data!$F$231+[1]data!$F$232</f>
        <v>17.068000000000001</v>
      </c>
      <c r="K10" s="18">
        <v>0</v>
      </c>
      <c r="L10" s="19">
        <v>0</v>
      </c>
      <c r="M10" s="20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1"/>
        <v>1.32</v>
      </c>
      <c r="X10" s="13">
        <f t="shared" si="2"/>
        <v>0</v>
      </c>
      <c r="Y10" s="14">
        <f t="shared" si="3"/>
        <v>0</v>
      </c>
      <c r="Z10" s="15">
        <f t="shared" si="4"/>
        <v>0</v>
      </c>
      <c r="AA10" s="16">
        <f t="shared" si="5"/>
        <v>0</v>
      </c>
      <c r="AB10" s="17">
        <f t="shared" si="6"/>
        <v>1.1947600000000003</v>
      </c>
      <c r="AC10" s="18">
        <f t="shared" si="7"/>
        <v>0</v>
      </c>
      <c r="AD10" s="19">
        <f t="shared" si="8"/>
        <v>0</v>
      </c>
      <c r="AE10" s="20">
        <f t="shared" si="9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-2.1166</v>
      </c>
      <c r="B11" s="28">
        <v>113.7459333</v>
      </c>
      <c r="C11" s="23" t="s">
        <v>43</v>
      </c>
      <c r="D11" s="21" t="s">
        <v>25</v>
      </c>
      <c r="E11" s="12">
        <v>0</v>
      </c>
      <c r="F11" s="13">
        <f>[1]data!$F$241+[1]data!$F$242</f>
        <v>230.06800000000001</v>
      </c>
      <c r="G11" s="14">
        <v>0</v>
      </c>
      <c r="H11" s="15">
        <v>0</v>
      </c>
      <c r="I11" s="16">
        <v>0</v>
      </c>
      <c r="J11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</f>
        <v>58.905999999999999</v>
      </c>
      <c r="K11" s="18">
        <v>0</v>
      </c>
      <c r="L11" s="19">
        <v>0</v>
      </c>
      <c r="M11" s="20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1"/>
        <v>0</v>
      </c>
      <c r="X11" s="13">
        <f t="shared" si="2"/>
        <v>108.13196000000001</v>
      </c>
      <c r="Y11" s="14">
        <f t="shared" si="3"/>
        <v>0</v>
      </c>
      <c r="Z11" s="15">
        <f t="shared" si="4"/>
        <v>0</v>
      </c>
      <c r="AA11" s="16">
        <f t="shared" si="5"/>
        <v>0</v>
      </c>
      <c r="AB11" s="17">
        <f t="shared" si="6"/>
        <v>4.1234200000000003</v>
      </c>
      <c r="AC11" s="18">
        <f t="shared" si="7"/>
        <v>0</v>
      </c>
      <c r="AD11" s="19">
        <f t="shared" si="8"/>
        <v>0</v>
      </c>
      <c r="AE11" s="20">
        <f t="shared" si="9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-2.8550333330000002</v>
      </c>
      <c r="B12" s="28">
        <v>114.2789667</v>
      </c>
      <c r="C12" s="23" t="s">
        <v>44</v>
      </c>
      <c r="D12" s="21" t="s">
        <v>26</v>
      </c>
      <c r="E12" s="12">
        <v>0</v>
      </c>
      <c r="F12" s="13">
        <f>[1]data!$F$257+[1]data!$F$258</f>
        <v>120</v>
      </c>
      <c r="G12" s="14">
        <v>0</v>
      </c>
      <c r="H12" s="15">
        <v>0</v>
      </c>
      <c r="I12" s="16">
        <v>0</v>
      </c>
      <c r="J12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</f>
        <v>25.499000000000002</v>
      </c>
      <c r="K12" s="18">
        <v>0</v>
      </c>
      <c r="L12" s="19">
        <v>0</v>
      </c>
      <c r="M12" s="20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1"/>
        <v>0</v>
      </c>
      <c r="X12" s="13">
        <f t="shared" si="2"/>
        <v>56.4</v>
      </c>
      <c r="Y12" s="14">
        <f t="shared" si="3"/>
        <v>0</v>
      </c>
      <c r="Z12" s="15">
        <f t="shared" si="4"/>
        <v>0</v>
      </c>
      <c r="AA12" s="16">
        <f t="shared" si="5"/>
        <v>0</v>
      </c>
      <c r="AB12" s="17">
        <f t="shared" si="6"/>
        <v>1.7849300000000003</v>
      </c>
      <c r="AC12" s="18">
        <f t="shared" si="7"/>
        <v>0</v>
      </c>
      <c r="AD12" s="19">
        <f t="shared" si="8"/>
        <v>0</v>
      </c>
      <c r="AE12" s="20">
        <f t="shared" si="9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-0.74419999999999997</v>
      </c>
      <c r="B13" s="28">
        <v>115.00215</v>
      </c>
      <c r="C13" s="23" t="s">
        <v>45</v>
      </c>
      <c r="D13" s="21" t="s">
        <v>27</v>
      </c>
      <c r="E13" s="12">
        <v>0</v>
      </c>
      <c r="F13" s="13">
        <f>[1]data!$F$284</f>
        <v>7</v>
      </c>
      <c r="G13" s="14">
        <f>[1]data!$F$285+[1]data!$F$286+[1]data!$F$287+[1]data!$F$288</f>
        <v>156.304</v>
      </c>
      <c r="H13" s="15">
        <v>0</v>
      </c>
      <c r="I13" s="16">
        <v>0</v>
      </c>
      <c r="J13" s="17">
        <f>[1]data!$F$275+[1]data!$F$279+[1]data!$F$280+[1]data!$F$281+[1]data!$F$282+[1]data!$F$283+[1]data!$F$289</f>
        <v>11.56</v>
      </c>
      <c r="K13" s="18">
        <v>0</v>
      </c>
      <c r="L13" s="19">
        <v>0</v>
      </c>
      <c r="M13" s="20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1"/>
        <v>0</v>
      </c>
      <c r="X13" s="13">
        <f t="shared" si="2"/>
        <v>3.29</v>
      </c>
      <c r="Y13" s="14">
        <f t="shared" si="3"/>
        <v>85.967200000000005</v>
      </c>
      <c r="Z13" s="15">
        <f t="shared" si="4"/>
        <v>0</v>
      </c>
      <c r="AA13" s="16">
        <f t="shared" si="5"/>
        <v>0</v>
      </c>
      <c r="AB13" s="17">
        <f t="shared" si="6"/>
        <v>0.80920000000000014</v>
      </c>
      <c r="AC13" s="18">
        <f t="shared" si="7"/>
        <v>0</v>
      </c>
      <c r="AD13" s="19">
        <f t="shared" si="8"/>
        <v>0</v>
      </c>
      <c r="AE13" s="20">
        <f t="shared" si="9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-3.4291333329999998</v>
      </c>
      <c r="B14" s="28">
        <v>114.7738222</v>
      </c>
      <c r="C14" s="23" t="s">
        <v>46</v>
      </c>
      <c r="D14" s="21" t="s">
        <v>28</v>
      </c>
      <c r="E14" s="12">
        <f>[1]data!$F$156</f>
        <v>2.4</v>
      </c>
      <c r="F14" s="13">
        <f>[1]data!$F$138+[1]data!$F$163+[1]data!$F$164</f>
        <v>103.2</v>
      </c>
      <c r="G14" s="14">
        <v>0</v>
      </c>
      <c r="H14" s="15">
        <v>0</v>
      </c>
      <c r="I14" s="16">
        <f>[1]data!$F$141</f>
        <v>30</v>
      </c>
      <c r="J14" s="17">
        <f>[1]data!$F$139+[1]data!$F$140+[1]data!$F$173+[1]data!$F$174+[1]data!$F$175+[1]data!$F$176+[1]data!$F$178</f>
        <v>97.710000000000008</v>
      </c>
      <c r="K14" s="18">
        <v>0</v>
      </c>
      <c r="L14" s="19">
        <v>0</v>
      </c>
      <c r="M14" s="20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1"/>
        <v>0.72</v>
      </c>
      <c r="X14" s="13">
        <f t="shared" si="2"/>
        <v>48.503999999999998</v>
      </c>
      <c r="Y14" s="14">
        <f t="shared" si="3"/>
        <v>0</v>
      </c>
      <c r="Z14" s="15">
        <f t="shared" si="4"/>
        <v>0</v>
      </c>
      <c r="AA14" s="16">
        <f t="shared" si="5"/>
        <v>19.5</v>
      </c>
      <c r="AB14" s="17">
        <f t="shared" si="6"/>
        <v>6.8397000000000014</v>
      </c>
      <c r="AC14" s="18">
        <f t="shared" si="7"/>
        <v>0</v>
      </c>
      <c r="AD14" s="19">
        <f t="shared" si="8"/>
        <v>0</v>
      </c>
      <c r="AE14" s="20">
        <f t="shared" si="9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-2.26065</v>
      </c>
      <c r="B15" s="28">
        <v>115.26295</v>
      </c>
      <c r="C15" s="23" t="s">
        <v>47</v>
      </c>
      <c r="D15" s="21" t="s">
        <v>29</v>
      </c>
      <c r="E15" s="12">
        <v>0</v>
      </c>
      <c r="F15" s="13">
        <f>[1]data!$F$151+[1]data!$F$152+[1]data!$F$153</f>
        <v>290</v>
      </c>
      <c r="G15" s="14">
        <v>0</v>
      </c>
      <c r="H15" s="15">
        <v>0</v>
      </c>
      <c r="I15" s="16">
        <v>0</v>
      </c>
      <c r="J15" s="17">
        <f>[1]data!$F$149+[1]data!$F$150+[1]data!$F$154+[1]data!$F$165+[1]data!$F$167+[1]data!$F$169+[1]data!$F$171+[1]data!$F$180+[1]data!$F$181+[1]data!$F$158+[1]data!$F$168</f>
        <v>26.776</v>
      </c>
      <c r="K15" s="18">
        <v>0</v>
      </c>
      <c r="L15" s="19">
        <v>0</v>
      </c>
      <c r="M15" s="20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1"/>
        <v>0</v>
      </c>
      <c r="X15" s="13">
        <f t="shared" si="2"/>
        <v>136.29999999999998</v>
      </c>
      <c r="Y15" s="14">
        <f t="shared" si="3"/>
        <v>0</v>
      </c>
      <c r="Z15" s="15">
        <f t="shared" si="4"/>
        <v>0</v>
      </c>
      <c r="AA15" s="16">
        <f t="shared" si="5"/>
        <v>0</v>
      </c>
      <c r="AB15" s="17">
        <f t="shared" si="6"/>
        <v>1.8743200000000002</v>
      </c>
      <c r="AC15" s="18">
        <f t="shared" si="7"/>
        <v>0</v>
      </c>
      <c r="AD15" s="19">
        <f t="shared" si="8"/>
        <v>0</v>
      </c>
      <c r="AE15" s="20">
        <f t="shared" si="9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-3.5974499999999998</v>
      </c>
      <c r="B16" s="28">
        <v>115.7526</v>
      </c>
      <c r="C16" s="23" t="s">
        <v>57</v>
      </c>
      <c r="D16" s="21" t="s">
        <v>30</v>
      </c>
      <c r="E16" s="12">
        <v>0</v>
      </c>
      <c r="F16" s="13">
        <f>[1]data!$F$143+[1]data!$F$144+[1]data!$F$145+[1]data!$F$146+[1]data!$F$160+[1]data!$F$155</f>
        <v>281</v>
      </c>
      <c r="G16" s="14">
        <v>0</v>
      </c>
      <c r="H16" s="15">
        <v>0</v>
      </c>
      <c r="I16" s="16">
        <v>0</v>
      </c>
      <c r="J16" s="17">
        <f>[1]data!$F$142+[1]data!$F$147+[1]data!$F$148+[1]data!$F$157+[1]data!$F$159+[1]data!$F$161+[1]data!$F$162+[1]data!$F$166+[1]data!$F$170+[1]data!$F$172+[1]data!$F$177+[1]data!$F$179</f>
        <v>18.670000000000002</v>
      </c>
      <c r="K16" s="18">
        <v>0</v>
      </c>
      <c r="L16" s="19">
        <v>0</v>
      </c>
      <c r="M16" s="20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1"/>
        <v>0</v>
      </c>
      <c r="X16" s="13">
        <f t="shared" si="2"/>
        <v>132.07</v>
      </c>
      <c r="Y16" s="14">
        <f t="shared" si="3"/>
        <v>0</v>
      </c>
      <c r="Z16" s="15">
        <f t="shared" si="4"/>
        <v>0</v>
      </c>
      <c r="AA16" s="16">
        <f t="shared" si="5"/>
        <v>0</v>
      </c>
      <c r="AB16" s="17">
        <f t="shared" si="6"/>
        <v>1.3069000000000002</v>
      </c>
      <c r="AC16" s="18">
        <f t="shared" si="7"/>
        <v>0</v>
      </c>
      <c r="AD16" s="19">
        <f t="shared" si="8"/>
        <v>0</v>
      </c>
      <c r="AE16" s="20">
        <f t="shared" si="9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-1.761425</v>
      </c>
      <c r="B17" s="28">
        <v>116.11315</v>
      </c>
      <c r="C17" s="23" t="s">
        <v>48</v>
      </c>
      <c r="D17" s="21" t="s">
        <v>31</v>
      </c>
      <c r="E17" s="12">
        <v>0</v>
      </c>
      <c r="F17" s="13">
        <v>0</v>
      </c>
      <c r="G17" s="14">
        <v>0</v>
      </c>
      <c r="H17" s="15">
        <v>0</v>
      </c>
      <c r="I17" s="16">
        <v>0</v>
      </c>
      <c r="J17" s="17">
        <f>[1]data!$F$290+[1]data!$F$291+[1]data!$F$292+[1]data!$F$293+[1]data!$F$294+[1]data!$F$295+[1]data!$F$296+[1]data!$F$297+[1]data!$F$298+[1]data!$F$299+[1]data!$F$300+[1]data!$F$301+[1]data!$F$302+[1]data!$F$303+[1]data!$F$304</f>
        <v>22.73</v>
      </c>
      <c r="K17" s="18">
        <v>0</v>
      </c>
      <c r="L17" s="19">
        <v>0</v>
      </c>
      <c r="M17" s="20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1"/>
        <v>0</v>
      </c>
      <c r="X17" s="13">
        <f t="shared" si="2"/>
        <v>0</v>
      </c>
      <c r="Y17" s="14">
        <f t="shared" si="3"/>
        <v>0</v>
      </c>
      <c r="Z17" s="15">
        <f t="shared" si="4"/>
        <v>0</v>
      </c>
      <c r="AA17" s="16">
        <f t="shared" si="5"/>
        <v>0</v>
      </c>
      <c r="AB17" s="17">
        <f t="shared" si="6"/>
        <v>1.5911000000000002</v>
      </c>
      <c r="AC17" s="18">
        <f t="shared" si="7"/>
        <v>0</v>
      </c>
      <c r="AD17" s="19">
        <f t="shared" si="8"/>
        <v>0</v>
      </c>
      <c r="AE17" s="20">
        <f t="shared" si="9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-1.190416667</v>
      </c>
      <c r="B18" s="28">
        <v>116.87775000000001</v>
      </c>
      <c r="C18" s="23" t="s">
        <v>49</v>
      </c>
      <c r="D18" s="21" t="s">
        <v>32</v>
      </c>
      <c r="E18" s="12">
        <v>0</v>
      </c>
      <c r="F18" s="13">
        <f>[1]data!$F$310+[1]data!$F$311+[1]data!$F$312+[1]data!$F$313+[1]data!$F$315</f>
        <v>265</v>
      </c>
      <c r="G18" s="14">
        <f>[1]data!$F$305+[1]data!$F$306+[1]data!$F$307+[1]data!$F$308+[1]data!$F$330+[1]data!$F$331+[1]data!$F$332</f>
        <v>125.55</v>
      </c>
      <c r="H18" s="15">
        <v>0</v>
      </c>
      <c r="I18" s="16">
        <v>0</v>
      </c>
      <c r="J18" s="17">
        <f>[1]data!$F$309+[1]data!$F$314+[1]data!$F$316+[1]data!$F$317+[1]data!$F$318+[1]data!$F$319+[1]data!$F$320+[1]data!$F$321+[1]data!$F$322+[1]data!$F$323+[1]data!$F$324+[1]data!$F$325+[1]data!$F$326+[1]data!$F$327+[1]data!$F$328+[1]data!$F$329</f>
        <v>117.694</v>
      </c>
      <c r="K18" s="18">
        <v>0</v>
      </c>
      <c r="L18" s="19">
        <v>0</v>
      </c>
      <c r="M18" s="20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1"/>
        <v>0</v>
      </c>
      <c r="X18" s="13">
        <f t="shared" si="2"/>
        <v>124.55</v>
      </c>
      <c r="Y18" s="14">
        <f t="shared" si="3"/>
        <v>69.052500000000009</v>
      </c>
      <c r="Z18" s="15">
        <f t="shared" si="4"/>
        <v>0</v>
      </c>
      <c r="AA18" s="16">
        <f t="shared" si="5"/>
        <v>0</v>
      </c>
      <c r="AB18" s="17">
        <f t="shared" si="6"/>
        <v>8.2385800000000007</v>
      </c>
      <c r="AC18" s="18">
        <f t="shared" si="7"/>
        <v>0</v>
      </c>
      <c r="AD18" s="19">
        <f t="shared" si="8"/>
        <v>0</v>
      </c>
      <c r="AE18" s="20">
        <f t="shared" si="9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-0.48473333299999999</v>
      </c>
      <c r="B19" s="28">
        <v>117.0814444</v>
      </c>
      <c r="C19" s="23" t="s">
        <v>50</v>
      </c>
      <c r="D19" s="21" t="s">
        <v>33</v>
      </c>
      <c r="E19" s="12">
        <f>[1]data!$F$354</f>
        <v>2</v>
      </c>
      <c r="F19" s="13">
        <f>[1]data!$F$333+[1]data!$F$334+[1]data!$F$341+[1]data!$F$342+[1]data!$F$343+[1]data!$F$344+[1]data!$F$345+[1]data!$F$346+[1]data!$F$363+[1]data!$F$364+[1]data!$F$365</f>
        <v>422.5</v>
      </c>
      <c r="G19" s="14">
        <f>[1]data!$F$340</f>
        <v>9.6</v>
      </c>
      <c r="H19" s="15">
        <v>0</v>
      </c>
      <c r="I19" s="16">
        <v>0</v>
      </c>
      <c r="J19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</f>
        <v>398.80600000000004</v>
      </c>
      <c r="K19" s="18">
        <v>0</v>
      </c>
      <c r="L19" s="19">
        <v>0</v>
      </c>
      <c r="M19" s="20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1"/>
        <v>0.6</v>
      </c>
      <c r="X19" s="13">
        <f t="shared" si="2"/>
        <v>198.57499999999999</v>
      </c>
      <c r="Y19" s="14">
        <f t="shared" si="3"/>
        <v>5.28</v>
      </c>
      <c r="Z19" s="15">
        <f t="shared" si="4"/>
        <v>0</v>
      </c>
      <c r="AA19" s="16">
        <f t="shared" si="5"/>
        <v>0</v>
      </c>
      <c r="AB19" s="17">
        <f t="shared" si="6"/>
        <v>27.916420000000006</v>
      </c>
      <c r="AC19" s="18">
        <f t="shared" si="7"/>
        <v>0</v>
      </c>
      <c r="AD19" s="19">
        <f t="shared" si="8"/>
        <v>0</v>
      </c>
      <c r="AE19" s="20">
        <f t="shared" si="9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0.31574999999999998</v>
      </c>
      <c r="B20" s="28">
        <v>117.50215</v>
      </c>
      <c r="C20" s="23" t="s">
        <v>51</v>
      </c>
      <c r="D20" s="21" t="s">
        <v>34</v>
      </c>
      <c r="E20" s="12">
        <v>0</v>
      </c>
      <c r="F20" s="13">
        <f>[1]data!$F$370+[1]data!$F$371+[1]data!$F$380</f>
        <v>259</v>
      </c>
      <c r="G20" s="14">
        <f>[1]data!$F$372+[1]data!$F$373+[1]data!$F$374+[1]data!$F$375+[1]data!$F$376+[1]data!$F$377+[1]data!$F$379</f>
        <v>61.06</v>
      </c>
      <c r="H20" s="15">
        <v>0</v>
      </c>
      <c r="I20" s="16">
        <v>0</v>
      </c>
      <c r="J20" s="17">
        <f>[1]data!$F$378+[1]data!$F$381+[1]data!$F$382+[1]data!$F$383+[1]data!$F$384</f>
        <v>35.119999999999997</v>
      </c>
      <c r="K20" s="18">
        <v>0</v>
      </c>
      <c r="L20" s="19">
        <v>0</v>
      </c>
      <c r="M20" s="20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1"/>
        <v>0</v>
      </c>
      <c r="X20" s="13">
        <f t="shared" si="2"/>
        <v>121.72999999999999</v>
      </c>
      <c r="Y20" s="14">
        <f t="shared" si="3"/>
        <v>33.583000000000006</v>
      </c>
      <c r="Z20" s="15">
        <f t="shared" si="4"/>
        <v>0</v>
      </c>
      <c r="AA20" s="16">
        <f t="shared" si="5"/>
        <v>0</v>
      </c>
      <c r="AB20" s="17">
        <f t="shared" si="6"/>
        <v>2.4584000000000001</v>
      </c>
      <c r="AC20" s="18">
        <f t="shared" si="7"/>
        <v>0</v>
      </c>
      <c r="AD20" s="19">
        <f t="shared" si="8"/>
        <v>0</v>
      </c>
      <c r="AE20" s="20">
        <f t="shared" si="9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1.0532999999999999</v>
      </c>
      <c r="B21" s="28">
        <v>116.92149999999999</v>
      </c>
      <c r="C21" s="23" t="s">
        <v>52</v>
      </c>
      <c r="D21" s="21" t="s">
        <v>35</v>
      </c>
      <c r="E21" s="12">
        <f>[1]data!$F$395+[1]data!$F$401+[1]data!$F$409</f>
        <v>0.81</v>
      </c>
      <c r="F21" s="13">
        <f>+[1]data!$F$388+[1]data!$F$405+[1]data!$F$385+[1]data!$F$386</f>
        <v>57.63</v>
      </c>
      <c r="G21" s="14">
        <v>0</v>
      </c>
      <c r="H21" s="15">
        <v>0</v>
      </c>
      <c r="I21" s="16">
        <v>0</v>
      </c>
      <c r="J21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</f>
        <v>38.461000000000006</v>
      </c>
      <c r="K21" s="18">
        <v>0</v>
      </c>
      <c r="L21" s="19">
        <v>0</v>
      </c>
      <c r="M21" s="20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1"/>
        <v>0.24299999999999999</v>
      </c>
      <c r="X21" s="13">
        <f t="shared" si="2"/>
        <v>27.086099999999998</v>
      </c>
      <c r="Y21" s="14">
        <f t="shared" si="3"/>
        <v>0</v>
      </c>
      <c r="Z21" s="15">
        <f t="shared" si="4"/>
        <v>0</v>
      </c>
      <c r="AA21" s="16">
        <f t="shared" si="5"/>
        <v>0</v>
      </c>
      <c r="AB21" s="17">
        <f t="shared" si="6"/>
        <v>2.6922700000000006</v>
      </c>
      <c r="AC21" s="18">
        <f t="shared" si="7"/>
        <v>0</v>
      </c>
      <c r="AD21" s="19">
        <f t="shared" si="8"/>
        <v>0</v>
      </c>
      <c r="AE21" s="20">
        <f t="shared" si="9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3.2987666670000002</v>
      </c>
      <c r="B22" s="28">
        <v>116.9458333</v>
      </c>
      <c r="C22" s="23" t="s">
        <v>53</v>
      </c>
      <c r="D22" s="21" t="s">
        <v>36</v>
      </c>
      <c r="E22" s="12">
        <v>0</v>
      </c>
      <c r="F22" s="13">
        <f>[1]data!$F$438+[1]data!$F$451</f>
        <v>14.5</v>
      </c>
      <c r="G22" s="14">
        <f>[1]data!$F$433+[1]data!$F$434+[1]data!$F$444+[1]data!$F$445+[1]data!$F$446+[1]data!$F$447+[1]data!$F$448+[1]data!$F$439+[1]data!$F$449+[1]data!$F$450+[1]data!$F$454+[1]data!$F$455+[1]data!$F$456+[1]data!$F$457+[1]data!$F$458+[1]data!$F$459+[1]data!$F$462</f>
        <v>123.72399999999999</v>
      </c>
      <c r="H22" s="15">
        <v>0</v>
      </c>
      <c r="I22" s="16">
        <f>[1]data!$F$412+[1]data!$F$413</f>
        <v>0.24</v>
      </c>
      <c r="J22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</f>
        <v>122.749</v>
      </c>
      <c r="K22" s="18">
        <f>[1]data!$F$417+[1]data!$F$425+[1]data!$F$427+[1]data!$F$432+[1]data!$F$441+[1]data!$F$460+[1]data!$F$464</f>
        <v>1.04</v>
      </c>
      <c r="L22" s="19">
        <v>0</v>
      </c>
      <c r="M22" s="20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1"/>
        <v>0</v>
      </c>
      <c r="X22" s="13">
        <f t="shared" si="2"/>
        <v>6.8149999999999995</v>
      </c>
      <c r="Y22" s="14">
        <f t="shared" si="3"/>
        <v>68.048199999999994</v>
      </c>
      <c r="Z22" s="15">
        <f t="shared" si="4"/>
        <v>0</v>
      </c>
      <c r="AA22" s="16">
        <f t="shared" si="5"/>
        <v>0.156</v>
      </c>
      <c r="AB22" s="17">
        <f t="shared" si="6"/>
        <v>8.5924300000000002</v>
      </c>
      <c r="AC22" s="18">
        <f t="shared" si="7"/>
        <v>1.04</v>
      </c>
      <c r="AD22" s="19">
        <f t="shared" si="8"/>
        <v>0</v>
      </c>
      <c r="AE22" s="20">
        <f t="shared" si="9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C23" s="26" t="s">
        <v>56</v>
      </c>
      <c r="D23" s="27">
        <f>SUM(E23:M23)</f>
        <v>4645.4920000000002</v>
      </c>
      <c r="E23" s="25">
        <f>SUM(E3:E22)</f>
        <v>41.11</v>
      </c>
      <c r="F23" s="25">
        <f t="shared" ref="F23:M23" si="10">SUM(F3:F22)</f>
        <v>2485.8980000000001</v>
      </c>
      <c r="G23" s="25">
        <f t="shared" si="10"/>
        <v>510.238</v>
      </c>
      <c r="H23" s="25">
        <f t="shared" si="10"/>
        <v>0</v>
      </c>
      <c r="I23" s="25">
        <f t="shared" si="10"/>
        <v>34.505000000000003</v>
      </c>
      <c r="J23" s="25">
        <f t="shared" si="10"/>
        <v>1572.5209999999997</v>
      </c>
      <c r="K23" s="25">
        <f t="shared" si="10"/>
        <v>1.22</v>
      </c>
      <c r="L23" s="25">
        <f t="shared" si="10"/>
        <v>0</v>
      </c>
      <c r="M23" s="25">
        <f t="shared" si="10"/>
        <v>0</v>
      </c>
      <c r="W23" s="29">
        <f>SUM(W3:W22)</f>
        <v>12.333</v>
      </c>
      <c r="X23" s="29">
        <f t="shared" ref="X23:AE23" si="11">SUM(X3:X22)</f>
        <v>1168.3720600000001</v>
      </c>
      <c r="Y23" s="29">
        <f t="shared" si="11"/>
        <v>280.6309</v>
      </c>
      <c r="Z23" s="29">
        <f t="shared" si="11"/>
        <v>0</v>
      </c>
      <c r="AA23" s="29">
        <f t="shared" si="11"/>
        <v>22.428249999999998</v>
      </c>
      <c r="AB23" s="29">
        <f t="shared" si="11"/>
        <v>110.07647</v>
      </c>
      <c r="AC23" s="29">
        <f t="shared" si="11"/>
        <v>1.22</v>
      </c>
      <c r="AD23" s="29">
        <f t="shared" si="11"/>
        <v>0</v>
      </c>
      <c r="AE23" s="29">
        <f t="shared" si="11"/>
        <v>0</v>
      </c>
      <c r="AF23" s="29">
        <f t="shared" ref="AF23" si="12">SUM(AF3:AF22)</f>
        <v>230</v>
      </c>
    </row>
    <row r="24" spans="1:53" x14ac:dyDescent="0.3">
      <c r="D24" s="36">
        <f>SUM(W23:AE23)+AF5</f>
        <v>1825.0606800000003</v>
      </c>
      <c r="E24" s="25"/>
      <c r="F24" s="25"/>
      <c r="G24" s="25"/>
      <c r="H24" s="25"/>
      <c r="I24" s="25"/>
      <c r="J24" s="44">
        <v>227.99</v>
      </c>
      <c r="K24" s="25"/>
      <c r="L24" s="25"/>
      <c r="M24" s="25"/>
      <c r="V24" s="29">
        <f>SUM(W24:AF24)</f>
        <v>100</v>
      </c>
      <c r="W24" s="38">
        <f>W23/$D$24*100</f>
        <v>0.67575835341540524</v>
      </c>
      <c r="X24" s="38">
        <f t="shared" ref="X24:AF24" si="13">X23/$D$24*100</f>
        <v>64.018258286075181</v>
      </c>
      <c r="Y24" s="38">
        <f t="shared" si="13"/>
        <v>15.376524357535331</v>
      </c>
      <c r="Z24" s="38">
        <f t="shared" si="13"/>
        <v>0</v>
      </c>
      <c r="AA24" s="38">
        <f t="shared" si="13"/>
        <v>1.2289043452516875</v>
      </c>
      <c r="AB24" s="38">
        <f t="shared" si="13"/>
        <v>6.0313868577783394</v>
      </c>
      <c r="AC24" s="38">
        <f t="shared" si="13"/>
        <v>6.6847092448454909E-2</v>
      </c>
      <c r="AD24" s="38">
        <f t="shared" si="13"/>
        <v>0</v>
      </c>
      <c r="AE24" s="38">
        <f t="shared" si="13"/>
        <v>0</v>
      </c>
      <c r="AF24" s="38">
        <f t="shared" si="13"/>
        <v>12.602320707495599</v>
      </c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</row>
    <row r="25" spans="1:53" x14ac:dyDescent="0.3">
      <c r="D25" s="37">
        <f>SUMPRODUCT(E3:M22,AG3:AO22)</f>
        <v>1424.3024999999996</v>
      </c>
      <c r="E25" s="25"/>
      <c r="F25" s="25"/>
      <c r="G25" s="25"/>
      <c r="H25" s="25"/>
      <c r="I25" s="25"/>
      <c r="J25" s="25">
        <f>J24/J23</f>
        <v>0.1449837553838709</v>
      </c>
      <c r="K25" s="25"/>
      <c r="L25" s="25"/>
      <c r="M25" s="25"/>
      <c r="V25" t="s">
        <v>69</v>
      </c>
      <c r="W25" s="39">
        <v>0.52</v>
      </c>
      <c r="X25" s="39">
        <v>68.58</v>
      </c>
      <c r="Y25" s="39">
        <v>16.3</v>
      </c>
      <c r="Z25" s="39">
        <v>0</v>
      </c>
      <c r="AA25" s="39">
        <v>1.04</v>
      </c>
      <c r="AB25" s="39">
        <v>6.73</v>
      </c>
      <c r="AC25" s="39">
        <v>0</v>
      </c>
      <c r="AD25" s="39">
        <v>0</v>
      </c>
      <c r="AE25" s="39">
        <v>0</v>
      </c>
      <c r="AF25" s="39">
        <v>6.82</v>
      </c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</row>
    <row r="26" spans="1:53" x14ac:dyDescent="0.3">
      <c r="D26" s="37"/>
      <c r="E26" s="25"/>
      <c r="F26" s="25"/>
      <c r="G26" s="25"/>
      <c r="H26" s="25"/>
      <c r="I26" s="25"/>
      <c r="J26" s="25">
        <f>J24-J23</f>
        <v>-1344.5309999999997</v>
      </c>
      <c r="K26" s="25"/>
      <c r="L26" s="25"/>
      <c r="M26" s="25"/>
      <c r="T26" t="s">
        <v>78</v>
      </c>
      <c r="U26" t="s">
        <v>77</v>
      </c>
      <c r="V26" t="s">
        <v>76</v>
      </c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</row>
    <row r="27" spans="1:53" x14ac:dyDescent="0.3">
      <c r="C27" s="22" t="s">
        <v>71</v>
      </c>
      <c r="D27" s="48">
        <f>SUM(E27:L27)+AF27</f>
        <v>1224.3309999999999</v>
      </c>
      <c r="E27" s="25">
        <f>SUM(E3:E8)</f>
        <v>18.5</v>
      </c>
      <c r="F27" s="25">
        <f t="shared" ref="F27:M27" si="14">SUM(F3:F8)</f>
        <v>436</v>
      </c>
      <c r="G27" s="25">
        <f t="shared" si="14"/>
        <v>34</v>
      </c>
      <c r="H27" s="25">
        <f t="shared" si="14"/>
        <v>0</v>
      </c>
      <c r="I27" s="25">
        <f t="shared" si="14"/>
        <v>4.2650000000000006</v>
      </c>
      <c r="J27" s="25">
        <f t="shared" si="14"/>
        <v>501.38599999999997</v>
      </c>
      <c r="K27" s="25">
        <f t="shared" si="14"/>
        <v>0.18</v>
      </c>
      <c r="L27" s="25">
        <f t="shared" si="14"/>
        <v>0</v>
      </c>
      <c r="M27" s="25">
        <f t="shared" si="14"/>
        <v>0</v>
      </c>
      <c r="N27" s="29">
        <f>SUM(E27:M27)</f>
        <v>994.3309999999999</v>
      </c>
      <c r="O27" s="29">
        <f>N27*19.55%</f>
        <v>194.39171049999999</v>
      </c>
      <c r="S27">
        <f>(V27+90)/[2]calliope_2!$D$11</f>
        <v>0.96517459253889626</v>
      </c>
      <c r="T27">
        <v>0.93240000000000001</v>
      </c>
      <c r="U27" s="29">
        <f>V27-[2]calliope_2!$L$2</f>
        <v>-85.73225055845819</v>
      </c>
      <c r="V27" s="41">
        <f>SUM(W3:AE8)</f>
        <v>267.21926999999994</v>
      </c>
      <c r="W27" s="25">
        <f t="shared" ref="W27:AE27" si="15">SUM(W3:W8)</f>
        <v>5.55</v>
      </c>
      <c r="X27" s="25">
        <f t="shared" si="15"/>
        <v>204.92</v>
      </c>
      <c r="Y27" s="25">
        <f t="shared" si="15"/>
        <v>18.700000000000003</v>
      </c>
      <c r="Z27" s="25">
        <f t="shared" si="15"/>
        <v>0</v>
      </c>
      <c r="AA27" s="25">
        <f t="shared" si="15"/>
        <v>2.7722500000000001</v>
      </c>
      <c r="AB27" s="25">
        <f t="shared" si="15"/>
        <v>35.097020000000001</v>
      </c>
      <c r="AC27" s="25">
        <f t="shared" si="15"/>
        <v>0.18</v>
      </c>
      <c r="AD27" s="25">
        <f t="shared" si="15"/>
        <v>0</v>
      </c>
      <c r="AE27" s="25">
        <f t="shared" si="15"/>
        <v>0</v>
      </c>
      <c r="AF27" s="25">
        <f t="shared" ref="AF27" si="16">SUM(AF3:AF8)</f>
        <v>230</v>
      </c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</row>
    <row r="28" spans="1:53" x14ac:dyDescent="0.3">
      <c r="C28" s="22" t="s">
        <v>72</v>
      </c>
      <c r="D28" s="48">
        <f t="shared" ref="D28:D29" si="17">SUM(E28:L28)+AF28</f>
        <v>1572.9470000000001</v>
      </c>
      <c r="E28" s="25">
        <f>SUM(E9:E16)</f>
        <v>19.799999999999997</v>
      </c>
      <c r="F28" s="25">
        <f t="shared" ref="F28:M28" si="18">SUM(F9:F16)</f>
        <v>1031.268</v>
      </c>
      <c r="G28" s="25">
        <f t="shared" si="18"/>
        <v>156.304</v>
      </c>
      <c r="H28" s="25">
        <f t="shared" si="18"/>
        <v>0</v>
      </c>
      <c r="I28" s="25">
        <f t="shared" si="18"/>
        <v>30</v>
      </c>
      <c r="J28" s="25">
        <f t="shared" si="18"/>
        <v>335.57500000000005</v>
      </c>
      <c r="K28" s="25">
        <f t="shared" si="18"/>
        <v>0</v>
      </c>
      <c r="L28" s="25">
        <f t="shared" si="18"/>
        <v>0</v>
      </c>
      <c r="M28" s="25">
        <f t="shared" si="18"/>
        <v>0</v>
      </c>
      <c r="N28" s="29">
        <f t="shared" ref="N28:N29" si="19">SUM(E28:M28)</f>
        <v>1572.9470000000001</v>
      </c>
      <c r="O28" s="29">
        <f>N28*14.02%</f>
        <v>220.52716939999999</v>
      </c>
      <c r="S28">
        <f>SUM(V28:V29)/SUM([2]calliope_2!$E$11:$F$11)</f>
        <v>1.210630155595751</v>
      </c>
      <c r="T28">
        <v>0.95479999999999998</v>
      </c>
      <c r="U28" s="29">
        <f>V28-(SUM([2]calliope_2!$M$2:$N$2))</f>
        <v>80.152327944426588</v>
      </c>
      <c r="V28" s="41">
        <f>SUMPRODUCT(W9:AE16)</f>
        <v>619.59340999999995</v>
      </c>
      <c r="W28" s="25">
        <f t="shared" ref="W28:AE28" si="20">SUM(W9:W16)</f>
        <v>5.9399999999999995</v>
      </c>
      <c r="X28" s="25">
        <f t="shared" si="20"/>
        <v>484.69595999999996</v>
      </c>
      <c r="Y28" s="25">
        <f t="shared" si="20"/>
        <v>85.967200000000005</v>
      </c>
      <c r="Z28" s="25">
        <f t="shared" si="20"/>
        <v>0</v>
      </c>
      <c r="AA28" s="25">
        <f t="shared" si="20"/>
        <v>19.5</v>
      </c>
      <c r="AB28" s="25">
        <f t="shared" si="20"/>
        <v>23.490250000000003</v>
      </c>
      <c r="AC28" s="25">
        <f t="shared" si="20"/>
        <v>0</v>
      </c>
      <c r="AD28" s="25">
        <f t="shared" si="20"/>
        <v>0</v>
      </c>
      <c r="AE28" s="25">
        <f t="shared" si="20"/>
        <v>0</v>
      </c>
      <c r="AF28" s="25">
        <f t="shared" ref="AF28" si="21">SUM(AF9:AF16)</f>
        <v>0</v>
      </c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</row>
    <row r="29" spans="1:53" x14ac:dyDescent="0.3">
      <c r="C29" s="22" t="s">
        <v>73</v>
      </c>
      <c r="D29" s="48">
        <f t="shared" si="17"/>
        <v>2078.2139999999999</v>
      </c>
      <c r="E29" s="25">
        <f>SUM(E17:E22)</f>
        <v>2.81</v>
      </c>
      <c r="F29" s="25">
        <f t="shared" ref="F29:M29" si="22">SUM(F17:F22)</f>
        <v>1018.63</v>
      </c>
      <c r="G29" s="25">
        <f t="shared" si="22"/>
        <v>319.93399999999997</v>
      </c>
      <c r="H29" s="25">
        <f t="shared" si="22"/>
        <v>0</v>
      </c>
      <c r="I29" s="25">
        <f t="shared" si="22"/>
        <v>0.24</v>
      </c>
      <c r="J29" s="25">
        <f t="shared" si="22"/>
        <v>735.56000000000006</v>
      </c>
      <c r="K29" s="25">
        <f t="shared" si="22"/>
        <v>1.04</v>
      </c>
      <c r="L29" s="25">
        <f t="shared" si="22"/>
        <v>0</v>
      </c>
      <c r="M29" s="25">
        <f t="shared" si="22"/>
        <v>0</v>
      </c>
      <c r="N29" s="29">
        <f t="shared" si="19"/>
        <v>2078.2139999999999</v>
      </c>
      <c r="O29" s="29">
        <f>N29*31.62%</f>
        <v>657.13126680000005</v>
      </c>
      <c r="T29">
        <v>0.94810000000000005</v>
      </c>
      <c r="U29" s="29">
        <f>V29-SUM([2]calliope_2!$O$2:$P$2)</f>
        <v>199.21791289160831</v>
      </c>
      <c r="V29" s="41">
        <f>SUMPRODUCT(W17:AE22)</f>
        <v>708.24799999999993</v>
      </c>
      <c r="W29" s="25">
        <f t="shared" ref="W29:AE29" si="23">SUM(W17:W22)</f>
        <v>0.84299999999999997</v>
      </c>
      <c r="X29" s="25">
        <f t="shared" si="23"/>
        <v>478.7561</v>
      </c>
      <c r="Y29" s="25">
        <f t="shared" si="23"/>
        <v>175.96370000000002</v>
      </c>
      <c r="Z29" s="25">
        <f t="shared" si="23"/>
        <v>0</v>
      </c>
      <c r="AA29" s="25">
        <f t="shared" si="23"/>
        <v>0.156</v>
      </c>
      <c r="AB29" s="25">
        <f t="shared" si="23"/>
        <v>51.489200000000004</v>
      </c>
      <c r="AC29" s="25">
        <f t="shared" si="23"/>
        <v>1.04</v>
      </c>
      <c r="AD29" s="25">
        <f t="shared" si="23"/>
        <v>0</v>
      </c>
      <c r="AE29" s="25">
        <f t="shared" si="23"/>
        <v>0</v>
      </c>
      <c r="AF29" s="25">
        <f t="shared" ref="AF29" si="24">SUM(AF17:AF22)</f>
        <v>0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A30" t="s">
        <v>59</v>
      </c>
      <c r="D30" s="49"/>
      <c r="E30" s="25"/>
      <c r="F30" s="25"/>
      <c r="G30" s="25"/>
      <c r="H30" s="25"/>
      <c r="I30" s="25"/>
      <c r="J30" s="25"/>
      <c r="K30" s="25"/>
      <c r="L30" s="25"/>
      <c r="M30" s="25"/>
      <c r="N30" s="29">
        <f>SUM(N27:N29)</f>
        <v>4645.4920000000002</v>
      </c>
      <c r="O30" s="29">
        <f>SUM(O27:O29)</f>
        <v>1072.0501466999999</v>
      </c>
      <c r="AE30" t="s">
        <v>70</v>
      </c>
    </row>
    <row r="31" spans="1:53" x14ac:dyDescent="0.3">
      <c r="A31" t="s">
        <v>68</v>
      </c>
      <c r="E31" s="25"/>
      <c r="F31" s="25"/>
      <c r="G31" s="25"/>
      <c r="H31" s="25"/>
      <c r="I31" s="25"/>
      <c r="J31" s="25"/>
      <c r="K31" s="25"/>
      <c r="L31" s="25"/>
      <c r="M31" s="25"/>
      <c r="AE31" s="39">
        <v>6.82</v>
      </c>
      <c r="AF31" s="39"/>
    </row>
    <row r="32" spans="1:53" x14ac:dyDescent="0.3">
      <c r="E32" s="25"/>
      <c r="F32" s="25"/>
      <c r="G32" s="25"/>
      <c r="H32" s="25"/>
      <c r="I32" s="25"/>
      <c r="J32" s="25"/>
      <c r="K32" s="25"/>
      <c r="L32" s="25"/>
      <c r="M32" s="25"/>
    </row>
    <row r="33" spans="5:13" x14ac:dyDescent="0.3">
      <c r="E33" s="25"/>
      <c r="F33" s="25"/>
      <c r="G33" s="25"/>
      <c r="H33" s="25"/>
      <c r="I33" s="25"/>
      <c r="J33" s="25"/>
      <c r="K33" s="25"/>
      <c r="L33" s="25"/>
      <c r="M33" s="25"/>
    </row>
    <row r="34" spans="5:13" x14ac:dyDescent="0.3">
      <c r="E34" s="25"/>
      <c r="F34" s="25"/>
      <c r="G34" s="25"/>
      <c r="H34" s="25"/>
      <c r="I34" s="25"/>
      <c r="J34" s="25"/>
      <c r="K34" s="25"/>
      <c r="L34" s="25"/>
      <c r="M34" s="25"/>
    </row>
    <row r="35" spans="5:13" x14ac:dyDescent="0.3">
      <c r="E35" s="25"/>
      <c r="F35" s="25"/>
      <c r="G35" s="25"/>
      <c r="H35" s="25"/>
      <c r="I35" s="25"/>
      <c r="J35" s="25"/>
      <c r="K35" s="25"/>
      <c r="L35" s="25"/>
      <c r="M35" s="25"/>
    </row>
    <row r="36" spans="5:13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5:13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5:13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5:13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5:13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5:13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5:13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5:13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5:13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5:13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5:13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5:13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5:13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6" spans="1:13" x14ac:dyDescent="0.3">
      <c r="A56" t="s">
        <v>74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C6C22-F4D3-4FD5-B3E7-30320A6E2BB0}">
  <sheetPr codeName="Sheet3"/>
  <dimension ref="A2:N56"/>
  <sheetViews>
    <sheetView zoomScale="80" zoomScaleNormal="80" workbookViewId="0">
      <selection activeCell="G34" sqref="G34"/>
    </sheetView>
  </sheetViews>
  <sheetFormatPr defaultRowHeight="14.4" x14ac:dyDescent="0.3"/>
  <sheetData>
    <row r="2" spans="1:14" x14ac:dyDescent="0.3">
      <c r="A2" t="s">
        <v>16</v>
      </c>
      <c r="B2" t="s">
        <v>15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85</v>
      </c>
      <c r="K2" s="9" t="s">
        <v>8</v>
      </c>
      <c r="L2" s="10" t="s">
        <v>11</v>
      </c>
      <c r="M2" s="11" t="s">
        <v>9</v>
      </c>
      <c r="N2" s="42" t="s">
        <v>70</v>
      </c>
    </row>
    <row r="3" spans="1:14" x14ac:dyDescent="0.3">
      <c r="A3" s="28">
        <v>0.86423333300000005</v>
      </c>
      <c r="B3" s="28">
        <v>108.9092</v>
      </c>
      <c r="C3" s="29">
        <f>SUM(E3:N8)</f>
        <v>956.90000000000009</v>
      </c>
      <c r="D3" s="21" t="s">
        <v>17</v>
      </c>
      <c r="E3" s="12"/>
      <c r="F3" s="13">
        <f>100+100</f>
        <v>200</v>
      </c>
      <c r="G3" s="14"/>
      <c r="H3" s="15"/>
      <c r="I3" s="16"/>
      <c r="J3" s="17">
        <v>90</v>
      </c>
      <c r="K3" s="18"/>
      <c r="L3" s="19"/>
      <c r="M3" s="20"/>
      <c r="N3" s="43"/>
    </row>
    <row r="4" spans="1:14" x14ac:dyDescent="0.3">
      <c r="A4" s="28">
        <v>4.5260000000000002E-2</v>
      </c>
      <c r="B4" s="28">
        <v>109.23968000000001</v>
      </c>
      <c r="D4" s="21" t="s">
        <v>18</v>
      </c>
      <c r="E4" s="12">
        <v>15</v>
      </c>
      <c r="F4" s="13"/>
      <c r="G4" s="14"/>
      <c r="H4" s="15"/>
      <c r="I4" s="16"/>
      <c r="J4" s="17"/>
      <c r="K4" s="18"/>
      <c r="L4" s="19"/>
      <c r="M4" s="20"/>
      <c r="N4" s="43"/>
    </row>
    <row r="5" spans="1:14" x14ac:dyDescent="0.3">
      <c r="A5" s="28">
        <v>1.1174249999999999</v>
      </c>
      <c r="B5" s="28">
        <v>109.55835</v>
      </c>
      <c r="D5" s="21" t="s">
        <v>19</v>
      </c>
      <c r="E5" s="12"/>
      <c r="F5" s="13">
        <v>100</v>
      </c>
      <c r="G5" s="14"/>
      <c r="H5" s="15"/>
      <c r="I5" s="16">
        <v>0.8</v>
      </c>
      <c r="J5" s="17"/>
      <c r="K5" s="18"/>
      <c r="L5" s="19"/>
      <c r="M5" s="20"/>
      <c r="N5" s="43">
        <v>230</v>
      </c>
    </row>
    <row r="6" spans="1:14" x14ac:dyDescent="0.3">
      <c r="A6" s="28">
        <v>0.17745</v>
      </c>
      <c r="B6" s="28">
        <v>110.0471</v>
      </c>
      <c r="D6" s="21" t="s">
        <v>20</v>
      </c>
      <c r="E6" s="12">
        <v>7</v>
      </c>
      <c r="F6" s="13"/>
      <c r="G6" s="14">
        <v>100</v>
      </c>
      <c r="H6" s="15"/>
      <c r="I6" s="16"/>
      <c r="J6" s="17"/>
      <c r="K6" s="18"/>
      <c r="L6" s="19"/>
      <c r="M6" s="20"/>
      <c r="N6" s="43"/>
    </row>
    <row r="7" spans="1:14" x14ac:dyDescent="0.3">
      <c r="A7" s="28">
        <v>6.3899999999999998E-2</v>
      </c>
      <c r="B7" s="28">
        <v>110.9554667</v>
      </c>
      <c r="D7" s="21" t="s">
        <v>22</v>
      </c>
      <c r="E7" s="12"/>
      <c r="F7" s="13">
        <f>14+21</f>
        <v>35</v>
      </c>
      <c r="G7" s="14"/>
      <c r="H7" s="15"/>
      <c r="I7" s="16">
        <f>1.2+0.4</f>
        <v>1.6</v>
      </c>
      <c r="J7" s="17">
        <f>6+7.7+12.9+13+4+6.2+4+3.5+12+8+9+8+2</f>
        <v>96.300000000000011</v>
      </c>
      <c r="K7" s="18"/>
      <c r="L7" s="19"/>
      <c r="M7" s="20"/>
      <c r="N7" s="43"/>
    </row>
    <row r="8" spans="1:14" x14ac:dyDescent="0.3">
      <c r="A8" s="28">
        <v>-1.7742</v>
      </c>
      <c r="B8" s="28">
        <v>110.0303</v>
      </c>
      <c r="D8" s="21" t="s">
        <v>21</v>
      </c>
      <c r="E8" s="12">
        <v>7</v>
      </c>
      <c r="F8" s="13">
        <f>20</f>
        <v>20</v>
      </c>
      <c r="G8" s="14"/>
      <c r="H8" s="15"/>
      <c r="I8" s="16"/>
      <c r="J8" s="17">
        <f>23+1.2+2.8+0.8+5.9+10+3.5+6+1</f>
        <v>54.2</v>
      </c>
      <c r="K8" s="18"/>
      <c r="L8" s="19"/>
      <c r="M8" s="20"/>
      <c r="N8" s="43"/>
    </row>
    <row r="9" spans="1:14" x14ac:dyDescent="0.3">
      <c r="A9" s="28">
        <v>-2.6152000000000002</v>
      </c>
      <c r="B9" s="28">
        <v>111.7037</v>
      </c>
      <c r="C9" s="29">
        <f>SUM(E9:N13)</f>
        <v>734</v>
      </c>
      <c r="D9" s="21" t="s">
        <v>23</v>
      </c>
      <c r="E9" s="12"/>
      <c r="F9" s="13"/>
      <c r="G9" s="14"/>
      <c r="H9" s="15"/>
      <c r="I9" s="16"/>
      <c r="J9" s="17">
        <f>6+10+3</f>
        <v>19</v>
      </c>
      <c r="K9" s="18"/>
      <c r="L9" s="19"/>
      <c r="M9" s="20"/>
      <c r="N9" s="43"/>
    </row>
    <row r="10" spans="1:14" x14ac:dyDescent="0.3">
      <c r="A10" s="28">
        <v>-2.6220500000000002</v>
      </c>
      <c r="B10" s="28">
        <v>112.91540000000001</v>
      </c>
      <c r="D10" s="21" t="s">
        <v>24</v>
      </c>
      <c r="E10" s="12"/>
      <c r="F10" s="13"/>
      <c r="G10" s="14"/>
      <c r="H10" s="15"/>
      <c r="I10" s="16"/>
      <c r="J10" s="17">
        <f>8</f>
        <v>8</v>
      </c>
      <c r="K10" s="18"/>
      <c r="L10" s="19"/>
      <c r="M10" s="20"/>
      <c r="N10" s="43"/>
    </row>
    <row r="11" spans="1:14" x14ac:dyDescent="0.3">
      <c r="A11" s="28">
        <v>-2.1166</v>
      </c>
      <c r="B11" s="28">
        <v>113.7459333</v>
      </c>
      <c r="D11" s="21" t="s">
        <v>25</v>
      </c>
      <c r="E11" s="12"/>
      <c r="F11" s="13"/>
      <c r="G11" s="14"/>
      <c r="H11" s="15"/>
      <c r="I11" s="16"/>
      <c r="J11" s="17">
        <f>5+34+2</f>
        <v>41</v>
      </c>
      <c r="K11" s="18"/>
      <c r="L11" s="19"/>
      <c r="M11" s="20"/>
      <c r="N11" s="43"/>
    </row>
    <row r="12" spans="1:14" x14ac:dyDescent="0.3">
      <c r="A12" s="28">
        <v>-2.8550333330000002</v>
      </c>
      <c r="B12" s="28">
        <v>114.2789667</v>
      </c>
      <c r="D12" s="21" t="s">
        <v>26</v>
      </c>
      <c r="E12" s="12"/>
      <c r="F12" s="13">
        <v>120</v>
      </c>
      <c r="G12" s="14"/>
      <c r="H12" s="15"/>
      <c r="I12" s="16"/>
      <c r="J12" s="17"/>
      <c r="K12" s="18"/>
      <c r="L12" s="19"/>
      <c r="M12" s="20"/>
      <c r="N12" s="43"/>
    </row>
    <row r="13" spans="1:14" x14ac:dyDescent="0.3">
      <c r="A13" s="28">
        <v>-0.74419999999999997</v>
      </c>
      <c r="B13" s="28">
        <v>115.00215</v>
      </c>
      <c r="D13" s="21" t="s">
        <v>27</v>
      </c>
      <c r="E13" s="12">
        <f>9</f>
        <v>9</v>
      </c>
      <c r="F13" s="13">
        <f>211</f>
        <v>211</v>
      </c>
      <c r="G13" s="14">
        <f>156+140</f>
        <v>296</v>
      </c>
      <c r="H13" s="15"/>
      <c r="I13" s="16"/>
      <c r="J13" s="17">
        <f>21+4+5</f>
        <v>30</v>
      </c>
      <c r="K13" s="18"/>
      <c r="L13" s="19"/>
      <c r="M13" s="20"/>
      <c r="N13" s="43"/>
    </row>
    <row r="14" spans="1:14" x14ac:dyDescent="0.3">
      <c r="A14" s="28">
        <v>-3.4291333329999998</v>
      </c>
      <c r="B14" s="28">
        <v>114.7738222</v>
      </c>
      <c r="C14" s="29">
        <f>SUM(E14:N16)</f>
        <v>666.94</v>
      </c>
      <c r="D14" s="21" t="s">
        <v>28</v>
      </c>
      <c r="E14" s="12"/>
      <c r="F14" s="13">
        <f>55</f>
        <v>55</v>
      </c>
      <c r="G14" s="14">
        <v>21</v>
      </c>
      <c r="H14" s="15"/>
      <c r="I14" s="16">
        <v>30</v>
      </c>
      <c r="J14" s="17">
        <v>87.74</v>
      </c>
      <c r="K14" s="18"/>
      <c r="L14" s="19"/>
      <c r="M14" s="20"/>
      <c r="N14" s="43"/>
    </row>
    <row r="15" spans="1:14" x14ac:dyDescent="0.3">
      <c r="A15" s="28">
        <v>-2.26065</v>
      </c>
      <c r="B15" s="28">
        <v>115.26295</v>
      </c>
      <c r="D15" s="21" t="s">
        <v>29</v>
      </c>
      <c r="E15" s="12"/>
      <c r="F15" s="13">
        <v>260</v>
      </c>
      <c r="G15" s="14"/>
      <c r="H15" s="15"/>
      <c r="I15" s="16"/>
      <c r="J15" s="17">
        <f>6.81+2.12</f>
        <v>8.93</v>
      </c>
      <c r="K15" s="18"/>
      <c r="L15" s="19"/>
      <c r="M15" s="20"/>
      <c r="N15" s="43"/>
    </row>
    <row r="16" spans="1:14" x14ac:dyDescent="0.3">
      <c r="A16" s="28">
        <v>-3.5974499999999998</v>
      </c>
      <c r="B16" s="28">
        <v>115.7526</v>
      </c>
      <c r="D16" s="21" t="s">
        <v>30</v>
      </c>
      <c r="E16" s="12"/>
      <c r="F16" s="13">
        <v>200</v>
      </c>
      <c r="G16" s="14"/>
      <c r="H16" s="15"/>
      <c r="I16" s="16"/>
      <c r="J16" s="17">
        <v>4.2699999999999996</v>
      </c>
      <c r="K16" s="18"/>
      <c r="L16" s="19"/>
      <c r="M16" s="20"/>
      <c r="N16" s="43"/>
    </row>
    <row r="17" spans="1:14" x14ac:dyDescent="0.3">
      <c r="A17" s="28">
        <v>-1.761425</v>
      </c>
      <c r="B17" s="28">
        <v>116.11315</v>
      </c>
      <c r="C17" s="29">
        <f>SUM(E17:M21)</f>
        <v>1523.4</v>
      </c>
      <c r="D17" s="21" t="s">
        <v>31</v>
      </c>
      <c r="E17" s="12"/>
      <c r="F17" s="13"/>
      <c r="G17" s="14"/>
      <c r="H17" s="15"/>
      <c r="I17" s="16"/>
      <c r="J17" s="17">
        <f>133.3+20+44.5</f>
        <v>197.8</v>
      </c>
      <c r="K17" s="18"/>
      <c r="L17" s="19"/>
      <c r="M17" s="20"/>
      <c r="N17" s="43"/>
    </row>
    <row r="18" spans="1:14" x14ac:dyDescent="0.3">
      <c r="A18" s="28">
        <v>-1.190416667</v>
      </c>
      <c r="B18" s="28">
        <v>116.87775000000001</v>
      </c>
      <c r="D18" s="21" t="s">
        <v>32</v>
      </c>
      <c r="E18" s="12"/>
      <c r="F18" s="13">
        <f>220+50</f>
        <v>270</v>
      </c>
      <c r="G18" s="14">
        <f>200+80+53.1+82+35+4</f>
        <v>454.1</v>
      </c>
      <c r="H18" s="15"/>
      <c r="I18" s="16"/>
      <c r="J18" s="17"/>
      <c r="K18" s="18"/>
      <c r="L18" s="19"/>
      <c r="M18" s="20"/>
      <c r="N18" s="43"/>
    </row>
    <row r="19" spans="1:14" x14ac:dyDescent="0.3">
      <c r="A19" s="28">
        <v>-0.48473333299999999</v>
      </c>
      <c r="B19" s="28">
        <v>117.0814444</v>
      </c>
      <c r="D19" s="21" t="s">
        <v>33</v>
      </c>
      <c r="E19" s="12"/>
      <c r="F19" s="13">
        <v>550</v>
      </c>
      <c r="G19" s="14"/>
      <c r="H19" s="15"/>
      <c r="I19" s="16"/>
      <c r="J19" s="17"/>
      <c r="K19" s="18"/>
      <c r="L19" s="19"/>
      <c r="M19" s="20"/>
      <c r="N19" s="43"/>
    </row>
    <row r="20" spans="1:14" x14ac:dyDescent="0.3">
      <c r="A20" s="28">
        <v>0.31574999999999998</v>
      </c>
      <c r="B20" s="28">
        <v>117.50215</v>
      </c>
      <c r="D20" s="21" t="s">
        <v>34</v>
      </c>
      <c r="E20" s="12"/>
      <c r="F20" s="13"/>
      <c r="G20" s="14"/>
      <c r="H20" s="15"/>
      <c r="I20" s="16"/>
      <c r="J20" s="17">
        <f>4.4+3.8+7.8</f>
        <v>16</v>
      </c>
      <c r="K20" s="18"/>
      <c r="L20" s="19"/>
      <c r="M20" s="20"/>
      <c r="N20" s="43"/>
    </row>
    <row r="21" spans="1:14" x14ac:dyDescent="0.3">
      <c r="A21" s="28">
        <v>1.0532999999999999</v>
      </c>
      <c r="B21" s="28">
        <v>116.92149999999999</v>
      </c>
      <c r="D21" s="21" t="s">
        <v>35</v>
      </c>
      <c r="E21" s="12"/>
      <c r="F21" s="13">
        <f>15</f>
        <v>15</v>
      </c>
      <c r="G21" s="14"/>
      <c r="H21" s="15"/>
      <c r="I21" s="16"/>
      <c r="J21" s="17">
        <f>16.1+4.4</f>
        <v>20.5</v>
      </c>
      <c r="K21" s="18"/>
      <c r="L21" s="19"/>
      <c r="M21" s="20"/>
      <c r="N21" s="43"/>
    </row>
    <row r="22" spans="1:14" x14ac:dyDescent="0.3">
      <c r="A22" s="28">
        <v>3.2987666670000002</v>
      </c>
      <c r="B22" s="28">
        <v>116.9458333</v>
      </c>
      <c r="C22" s="29">
        <f>SUM(E22:N22)</f>
        <v>175.55</v>
      </c>
      <c r="D22" s="21" t="s">
        <v>36</v>
      </c>
      <c r="E22" s="12"/>
      <c r="F22" s="13">
        <f>5+3.5+17</f>
        <v>25.5</v>
      </c>
      <c r="G22" s="14">
        <f>17.82+12+5+6+24.4+10</f>
        <v>75.22</v>
      </c>
      <c r="H22" s="15"/>
      <c r="I22" s="16"/>
      <c r="J22" s="17">
        <f>13.26+17.43+12+4.96+7.63+16.4+2.35+0.8</f>
        <v>74.83</v>
      </c>
      <c r="K22" s="18"/>
      <c r="L22" s="19"/>
      <c r="M22" s="20"/>
      <c r="N22" s="43"/>
    </row>
    <row r="23" spans="1:14" x14ac:dyDescent="0.3">
      <c r="D23" s="27">
        <f>SUM(E23:M23)</f>
        <v>3826.7900000000004</v>
      </c>
      <c r="E23" s="25">
        <f>SUM(E3:E22)</f>
        <v>38</v>
      </c>
      <c r="F23" s="25">
        <f t="shared" ref="F23:M23" si="0">SUM(F3:F22)</f>
        <v>2061.5</v>
      </c>
      <c r="G23" s="25">
        <f t="shared" si="0"/>
        <v>946.32</v>
      </c>
      <c r="H23" s="25">
        <f t="shared" si="0"/>
        <v>0</v>
      </c>
      <c r="I23" s="25">
        <f t="shared" si="0"/>
        <v>32.4</v>
      </c>
      <c r="J23" s="25">
        <f>SUM(J3:J22)</f>
        <v>748.57</v>
      </c>
      <c r="K23" s="25">
        <f t="shared" si="0"/>
        <v>0</v>
      </c>
      <c r="L23" s="25">
        <f t="shared" si="0"/>
        <v>0</v>
      </c>
      <c r="M23" s="25">
        <f t="shared" si="0"/>
        <v>0</v>
      </c>
      <c r="N23" s="29">
        <f t="shared" ref="N23" si="1">SUM(N3:N22)</f>
        <v>230</v>
      </c>
    </row>
    <row r="25" spans="1:14" x14ac:dyDescent="0.3">
      <c r="D25" s="29"/>
    </row>
    <row r="30" spans="1:14" x14ac:dyDescent="0.3">
      <c r="A30" t="s">
        <v>59</v>
      </c>
    </row>
    <row r="31" spans="1:14" x14ac:dyDescent="0.3">
      <c r="A31" t="s">
        <v>68</v>
      </c>
    </row>
    <row r="56" spans="1:1" x14ac:dyDescent="0.3">
      <c r="A5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931-9D67-474D-B2F7-31728626DDB2}">
  <sheetPr codeName="Sheet4"/>
  <dimension ref="A1:BA66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3" sqref="I3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11.44140625" style="22" bestFit="1" customWidth="1"/>
    <col min="6" max="6" width="12.44140625" style="22" bestFit="1" customWidth="1"/>
    <col min="7" max="7" width="11.44140625" style="22" bestFit="1" customWidth="1"/>
    <col min="8" max="8" width="8.88671875" style="22" customWidth="1"/>
    <col min="9" max="9" width="12.44140625" style="22" bestFit="1" customWidth="1"/>
    <col min="10" max="11" width="11.44140625" style="22" bestFit="1" customWidth="1"/>
    <col min="12" max="13" width="8.88671875" style="22" customWidth="1"/>
    <col min="14" max="31" width="8.88671875" hidden="1" customWidth="1"/>
    <col min="32" max="32" width="11.44140625" bestFit="1" customWidth="1"/>
    <col min="33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47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98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100</v>
      </c>
      <c r="F3" s="13">
        <f>250+100</f>
        <v>350</v>
      </c>
      <c r="G3" s="14">
        <v>0</v>
      </c>
      <c r="H3" s="15">
        <v>0</v>
      </c>
      <c r="I3" s="16">
        <v>0</v>
      </c>
      <c r="J3" s="17">
        <f>24.557-[1]data!$F$2-[1]data!$F$8-[1]data!$F$9</f>
        <v>0.16000000000000103</v>
      </c>
      <c r="K3" s="18">
        <f>30+0.08</f>
        <v>30.08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AC5" si="0">E3*N3</f>
        <v>30</v>
      </c>
      <c r="X3" s="13">
        <f t="shared" si="0"/>
        <v>164.5</v>
      </c>
      <c r="Y3" s="14">
        <f t="shared" si="0"/>
        <v>0</v>
      </c>
      <c r="Z3" s="15">
        <f t="shared" si="0"/>
        <v>0</v>
      </c>
      <c r="AA3" s="16">
        <f t="shared" si="0"/>
        <v>0</v>
      </c>
      <c r="AB3" s="17">
        <f t="shared" si="0"/>
        <v>1.1200000000000073E-2</v>
      </c>
      <c r="AC3" s="18">
        <f t="shared" si="0"/>
        <v>30.08</v>
      </c>
      <c r="AD3" s="19" t="e">
        <f>#REF!*U3</f>
        <v>#REF!</v>
      </c>
      <c r="AE3" s="20">
        <f t="shared" ref="AE3:AE19" si="1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[1]data!$F$16+5+31+10+10</f>
        <v>66</v>
      </c>
      <c r="F4" s="13">
        <v>0</v>
      </c>
      <c r="G4" s="14">
        <v>300</v>
      </c>
      <c r="H4" s="15">
        <v>0</v>
      </c>
      <c r="I4" s="16">
        <v>0</v>
      </c>
      <c r="J4" s="17">
        <f>[1]data!$F$11+[1]data!$F$12+[1]data!$F$13+[1]data!$F$14+[1]data!$F$15-[1]data!$F$12-[1]data!$F$13</f>
        <v>103.875</v>
      </c>
      <c r="K4" s="18">
        <v>0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19.8</v>
      </c>
      <c r="X4" s="13">
        <f t="shared" si="0"/>
        <v>0</v>
      </c>
      <c r="Y4" s="14">
        <f t="shared" si="0"/>
        <v>165</v>
      </c>
      <c r="Z4" s="15">
        <f t="shared" si="0"/>
        <v>0</v>
      </c>
      <c r="AA4" s="16">
        <f t="shared" si="0"/>
        <v>0</v>
      </c>
      <c r="AB4" s="17">
        <f t="shared" si="0"/>
        <v>7.2712500000000011</v>
      </c>
      <c r="AC4" s="18">
        <f t="shared" si="0"/>
        <v>0</v>
      </c>
      <c r="AD4" s="19" t="e">
        <f>#REF!*U4</f>
        <v>#REF!</v>
      </c>
      <c r="AE4" s="20">
        <f t="shared" si="1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0</v>
      </c>
      <c r="F5" s="13">
        <f>[1]data!$F$5+[1]data!$F$6+55</f>
        <v>165</v>
      </c>
      <c r="G5" s="14">
        <v>0</v>
      </c>
      <c r="H5" s="15">
        <v>0</v>
      </c>
      <c r="I5" s="16">
        <f>[1]data!$F$31+[1]data!$F$32+[1]data!$F$34+[1]data!$F$55+[1]data!$F$111+9</f>
        <v>12.965</v>
      </c>
      <c r="J5" s="17">
        <f>[1]data!$F$10+[1]data!$F$17+[1]data!$F$27+[1]data!$F$28+[1]data!$F$30+[1]data!$F$37+[1]data!$F$38-[1]data!$F$17-[1]data!$F$27-[1]data!$F$28-[1]data!$F$37-[1]data!$F$38</f>
        <v>0.74999999999999933</v>
      </c>
      <c r="K5" s="18">
        <f>0.04+23.1</f>
        <v>23.14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0</v>
      </c>
      <c r="X5" s="13">
        <f t="shared" si="0"/>
        <v>77.55</v>
      </c>
      <c r="Y5" s="14">
        <f t="shared" si="0"/>
        <v>0</v>
      </c>
      <c r="Z5" s="15">
        <f t="shared" si="0"/>
        <v>0</v>
      </c>
      <c r="AA5" s="16">
        <f t="shared" si="0"/>
        <v>8.4272500000000008</v>
      </c>
      <c r="AB5" s="17">
        <f t="shared" si="0"/>
        <v>5.2499999999999956E-2</v>
      </c>
      <c r="AC5" s="18">
        <f t="shared" si="0"/>
        <v>23.14</v>
      </c>
      <c r="AD5" s="19" t="e">
        <f>#REF!*U5</f>
        <v>#REF!</v>
      </c>
      <c r="AE5" s="20">
        <f t="shared" si="1"/>
        <v>0</v>
      </c>
      <c r="AF5" s="43">
        <v>230</v>
      </c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5</v>
      </c>
      <c r="F6" s="13">
        <f>[1]data!$F$89+[1]data!$F$90+[1]data!$F$91-[1]data!$F$89-[1]data!$F$90</f>
        <v>9</v>
      </c>
      <c r="G6" s="14">
        <f>34-[1]data!$F$19</f>
        <v>0</v>
      </c>
      <c r="H6" s="15">
        <v>0</v>
      </c>
      <c r="I6" s="16">
        <v>0</v>
      </c>
      <c r="J6" s="17">
        <f>[1]data!$F$49+[1]data!$F$63+[1]data!$F$69+[1]data!$F$70+[1]data!$F$71+[1]data!$F$77+[1]data!$F$78+[1]data!$F$82+[1]data!$F$83+[1]data!$F$84+[1]data!$F$85+[1]data!$F$86+[1]data!$F$87+[1]data!$F$88+[1]data!$F$92+[1]data!$F$93+[1]data!$F$94+[1]data!$F$95+[1]data!$F$96+[1]data!$F$97+[1]data!$F$99+[1]data!$F$100+[1]data!$F$101+[1]data!$F$118+[1]data!$F$119+[1]data!$F$120+[1]data!$F$123+[1]data!$F$124+[1]data!$F$125+[1]data!$F$126+[1]data!$F$127+[1]data!$F$129+[1]data!$F$130+[1]data!$F$131+[1]data!$F$132+[1]data!$F$133+[1]data!$F$134+[1]data!$F$135+[1]data!$F$136+[1]data!$F$137-[1]data!$F$63-[1]data!$F$69-[1]data!$F$70-[1]data!$F$77-[1]data!$F$125-[1]data!$F$126-[1]data!$F$133-[1]data!$F$96-[1]data!$F$95-[1]data!$F$82-[1]data!$F$97</f>
        <v>39.621999999999993</v>
      </c>
      <c r="K6" s="18">
        <f>0.06+13.6</f>
        <v>13.66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ref="W6:W24" si="2">E6*N6</f>
        <v>1.5</v>
      </c>
      <c r="X6" s="13">
        <f t="shared" ref="X6:X24" si="3">F6*O6</f>
        <v>4.2299999999999995</v>
      </c>
      <c r="Y6" s="14">
        <f t="shared" ref="Y6:Y24" si="4">G6*P6</f>
        <v>0</v>
      </c>
      <c r="Z6" s="15">
        <f t="shared" ref="Z6:Z24" si="5">H6*Q6</f>
        <v>0</v>
      </c>
      <c r="AA6" s="16">
        <v>0</v>
      </c>
      <c r="AB6" s="17">
        <f t="shared" ref="AB6:AB24" si="6">J6*S6</f>
        <v>2.7735399999999997</v>
      </c>
      <c r="AC6" s="18">
        <f t="shared" ref="AC6:AC24" si="7">K6*T6</f>
        <v>13.66</v>
      </c>
      <c r="AD6" s="19" t="e">
        <f>#REF!*U6</f>
        <v>#REF!</v>
      </c>
      <c r="AE6" s="20">
        <f t="shared" si="1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v>0</v>
      </c>
      <c r="G7" s="14">
        <v>0</v>
      </c>
      <c r="H7" s="15">
        <v>0</v>
      </c>
      <c r="I7" s="16">
        <f>[1]data!$F$31+[1]data!$F$32+[1]data!$F$34+[1]data!$F$55+[1]data!$F$111+100-0.4</f>
        <v>103.565</v>
      </c>
      <c r="J7" s="17">
        <f>166.496-J9-[1]data!$F$18-[1]data!$F$22-[1]data!$F$26-[1]data!$F$20</f>
        <v>23.700000000000017</v>
      </c>
      <c r="K7" s="18">
        <f>69.84</f>
        <v>69.84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2"/>
        <v>0</v>
      </c>
      <c r="X7" s="13">
        <f t="shared" si="3"/>
        <v>0</v>
      </c>
      <c r="Y7" s="14">
        <f t="shared" si="4"/>
        <v>0</v>
      </c>
      <c r="Z7" s="15">
        <f t="shared" si="5"/>
        <v>0</v>
      </c>
      <c r="AA7" s="16">
        <f t="shared" ref="AA7:AA24" si="8">I7*R7</f>
        <v>67.317250000000001</v>
      </c>
      <c r="AB7" s="17">
        <f t="shared" si="6"/>
        <v>1.6590000000000014</v>
      </c>
      <c r="AC7" s="18">
        <f t="shared" si="7"/>
        <v>69.84</v>
      </c>
      <c r="AD7" s="19" t="e">
        <f>#REF!*U7</f>
        <v>#REF!</v>
      </c>
      <c r="AE7" s="20">
        <f t="shared" si="1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[1]data!$F$44+2+3+3+3</f>
        <v>14.5</v>
      </c>
      <c r="F8" s="13">
        <f>[1]data!$F$39+[1]data!$F$40+[1]data!$F$42+[1]data!$F$43+[1]data!$F$61+[1]data!$F$62</f>
        <v>49</v>
      </c>
      <c r="G8" s="14">
        <v>0</v>
      </c>
      <c r="H8" s="15">
        <v>0</v>
      </c>
      <c r="I8" s="16">
        <f>[1]data!$F$81+[1]data!$F$109</f>
        <v>0.30000000000000004</v>
      </c>
      <c r="J8" s="17">
        <f>97.691-[1]data!$F$33-[1]data!$F$35-[1]data!$F$45-[1]data!$F$51-[1]data!$F$52-[1]data!$F$53-[1]data!$F$56-[1]data!$F$57-[1]data!$F$58-[1]data!$F$59-[1]data!$F$60-[1]data!$F$64-[1]data!$F$72-[1]data!$F$73-[1]data!$F$74-[1]data!$F$76-[1]data!$F$80-[1]data!$F$102-[1]data!$F$103-[1]data!$F$112-[1]data!$F$116-[1]data!$F$121-[1]data!$F$128-[1]data!$F$41-[1]data!$F$46-[1]data!$F$47-[1]data!$F$48-[1]data!$F$65-[1]data!$F$66-[1]data!$F$67-[1]data!$F$68-[1]data!$F$75-[1]data!$F$79-[1]data!$F$110-[1]data!$F$113-[1]data!$F$114-[1]data!$F$117-[1]data!$F$105-[1]data!$F$106-[1]data!$F$98-[1]data!$F$122</f>
        <v>1.8240000000000076</v>
      </c>
      <c r="K8" s="18">
        <v>22.5</v>
      </c>
      <c r="L8" s="57">
        <v>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2"/>
        <v>4.3499999999999996</v>
      </c>
      <c r="X8" s="13">
        <f t="shared" si="3"/>
        <v>23.029999999999998</v>
      </c>
      <c r="Y8" s="14">
        <f t="shared" si="4"/>
        <v>0</v>
      </c>
      <c r="Z8" s="15">
        <f t="shared" si="5"/>
        <v>0</v>
      </c>
      <c r="AA8" s="16">
        <f t="shared" si="8"/>
        <v>0.19500000000000003</v>
      </c>
      <c r="AB8" s="17">
        <f t="shared" si="6"/>
        <v>0.12768000000000054</v>
      </c>
      <c r="AC8" s="18">
        <f t="shared" si="7"/>
        <v>22.5</v>
      </c>
      <c r="AD8" s="19" t="e">
        <f>#REF!*U8</f>
        <v>#REF!</v>
      </c>
      <c r="AE8" s="20">
        <f t="shared" ref="AE8" si="9">M8*V8</f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/>
      <c r="D9" s="21" t="s">
        <v>93</v>
      </c>
      <c r="E9" s="12">
        <v>0</v>
      </c>
      <c r="F9" s="13">
        <v>0</v>
      </c>
      <c r="G9" s="14">
        <v>0</v>
      </c>
      <c r="H9" s="15">
        <v>0</v>
      </c>
      <c r="I9" s="16">
        <f>17+0.4</f>
        <v>17.399999999999999</v>
      </c>
      <c r="J9" s="17">
        <f>13+6.2+4+3.5</f>
        <v>26.7</v>
      </c>
      <c r="K9" s="18">
        <f>10.5</f>
        <v>10.5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2"/>
        <v>0</v>
      </c>
      <c r="X9" s="13">
        <f t="shared" si="3"/>
        <v>0</v>
      </c>
      <c r="Y9" s="14">
        <f t="shared" si="4"/>
        <v>0</v>
      </c>
      <c r="Z9" s="15">
        <f t="shared" si="5"/>
        <v>0</v>
      </c>
      <c r="AA9" s="16">
        <f t="shared" si="8"/>
        <v>11.309999999999999</v>
      </c>
      <c r="AB9" s="17">
        <f t="shared" si="6"/>
        <v>1.8690000000000002</v>
      </c>
      <c r="AC9" s="18">
        <f t="shared" si="7"/>
        <v>10.5</v>
      </c>
      <c r="AD9" s="19" t="e">
        <f>#REF!*U9</f>
        <v>#REF!</v>
      </c>
      <c r="AE9" s="20">
        <f t="shared" si="1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[1]data!$F$208+[1]data!$F$211+10+10</f>
        <v>33</v>
      </c>
      <c r="F10" s="13">
        <f>[1]data!$F$201</f>
        <v>0</v>
      </c>
      <c r="G10" s="14">
        <v>100</v>
      </c>
      <c r="H10" s="15">
        <v>0</v>
      </c>
      <c r="I10" s="16">
        <v>0</v>
      </c>
      <c r="J10" s="17">
        <f>[1]data!$F$182+[1]data!$F$183+[1]data!$F$184+[1]data!$F$185+[1]data!$F$186+[1]data!$F$187+[1]data!$F$188+[1]data!$F$189+[1]data!$F$190+[1]data!$F$191+[1]data!$F$192+[1]data!$F$194+[1]data!$F$195+[1]data!$F$196+[1]data!$F$197+[1]data!$F$198+[1]data!$F$199+[1]data!$F$200+[1]data!$F$202+[1]data!$F$203+[1]data!$F$204+[1]data!$F$205+[1]data!$F$206+[1]data!$F$207+[1]data!$F$209+[1]data!$F$210-[1]data!$F$182-[1]data!$F$183-[1]data!$F$184-[1]data!$F$188-[1]data!$F$190-[1]data!$F$191-[1]data!$F$192-[1]data!$F$194-[1]data!$F$195-[1]data!$F$196-[1]data!$F$199-[1]data!$F$200-[1]data!$F$202-[1]data!$F$209-[1]data!$F$210-[1]data!$F$185-[1]data!$F$186-[1]data!$F$187</f>
        <v>41.247999999999983</v>
      </c>
      <c r="K10" s="18">
        <f>9.83</f>
        <v>9.83</v>
      </c>
      <c r="L10" s="57">
        <v>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2"/>
        <v>9.9</v>
      </c>
      <c r="X10" s="13">
        <f t="shared" si="3"/>
        <v>0</v>
      </c>
      <c r="Y10" s="14">
        <f t="shared" si="4"/>
        <v>55.000000000000007</v>
      </c>
      <c r="Z10" s="15">
        <f t="shared" si="5"/>
        <v>0</v>
      </c>
      <c r="AA10" s="16">
        <f t="shared" si="8"/>
        <v>0</v>
      </c>
      <c r="AB10" s="17">
        <f t="shared" si="6"/>
        <v>2.8873599999999993</v>
      </c>
      <c r="AC10" s="18">
        <f t="shared" si="7"/>
        <v>9.83</v>
      </c>
      <c r="AD10" s="19" t="e">
        <f>#REF!*U10</f>
        <v>#REF!</v>
      </c>
      <c r="AE10" s="20">
        <f t="shared" si="1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>[1]data!$F$217+[1]data!$F$218+[1]data!$F$230-1-1-2.4</f>
        <v>0</v>
      </c>
      <c r="F11" s="13">
        <v>50</v>
      </c>
      <c r="G11" s="14">
        <v>0</v>
      </c>
      <c r="H11" s="15">
        <v>0</v>
      </c>
      <c r="I11" s="16">
        <v>0</v>
      </c>
      <c r="J11" s="17">
        <f>[1]data!$F$212+[1]data!$F$213+[1]data!$F$214+[1]data!$F$215+[1]data!$F$216+[1]data!$F$219+[1]data!$F$220+[1]data!$F$221+[1]data!$F$222+[1]data!$F$223+[1]data!$F$224+[1]data!$F$225+[1]data!$F$226+[1]data!$F$227+[1]data!$F$228+[1]data!$F$231+[1]data!$F$232-[1]data!$F$212-[1]data!$F$215-[1]data!$F$216-[1]data!$F$221-[1]data!$F$222-[1]data!$F$223-[1]data!$F$226-[1]data!$F$227-[1]data!$F$228-[1]data!$F$231-[1]data!$F$232-[1]data!$F$224</f>
        <v>4.1379999999999999</v>
      </c>
      <c r="K11" s="18">
        <v>0</v>
      </c>
      <c r="L11" s="57">
        <v>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2"/>
        <v>0</v>
      </c>
      <c r="X11" s="13">
        <f t="shared" si="3"/>
        <v>23.5</v>
      </c>
      <c r="Y11" s="14">
        <f t="shared" si="4"/>
        <v>0</v>
      </c>
      <c r="Z11" s="15">
        <f t="shared" si="5"/>
        <v>0</v>
      </c>
      <c r="AA11" s="16">
        <f t="shared" si="8"/>
        <v>0</v>
      </c>
      <c r="AB11" s="17">
        <f t="shared" si="6"/>
        <v>0.28966000000000003</v>
      </c>
      <c r="AC11" s="18">
        <f t="shared" si="7"/>
        <v>0</v>
      </c>
      <c r="AD11" s="19" t="e">
        <f>#REF!*U11</f>
        <v>#REF!</v>
      </c>
      <c r="AE11" s="20">
        <f t="shared" si="1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[1]data!$F$241+[1]data!$F$242-[1]data!$F$241-[1]data!$F$242</f>
        <v>0</v>
      </c>
      <c r="G12" s="14">
        <v>0</v>
      </c>
      <c r="H12" s="15">
        <v>0</v>
      </c>
      <c r="I12" s="16">
        <v>0</v>
      </c>
      <c r="J12" s="17">
        <f>[1]data!$F$193+[1]data!$F$229+[1]data!$F$233+[1]data!$F$234+[1]data!$F$235+[1]data!$F$236+[1]data!$F$237+[1]data!$F$238+[1]data!$F$239+[1]data!$F$240+[1]data!$F$243+[1]data!$F$244+[1]data!$F$245+[1]data!$F$246+[1]data!$F$247+[1]data!$F$248+[1]data!$F$249+[1]data!$F$250+[1]data!$F$251+[1]data!$F$252+[1]data!$F$253+[1]data!$F$254+[1]data!$F$255+[1]data!$F$256-[1]data!$F$193-[1]data!$F$229-[1]data!$F$233-[1]data!$F$234-[1]data!$F$235-[1]data!$F$236-[1]data!$F$237-[1]data!$F$238-[1]data!$F$240-[1]data!$F$243-[1]data!$F$244-[1]data!$F$245-[1]data!$F$246-[1]data!$F$247-[1]data!$F$248-[1]data!$F$251-[1]data!$F$239-[1]data!$F$250</f>
        <v>21.908000000000005</v>
      </c>
      <c r="K12" s="18">
        <f>5.7</f>
        <v>5.7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2"/>
        <v>0</v>
      </c>
      <c r="X12" s="13">
        <f t="shared" si="3"/>
        <v>0</v>
      </c>
      <c r="Y12" s="14">
        <f t="shared" si="4"/>
        <v>0</v>
      </c>
      <c r="Z12" s="15">
        <f t="shared" si="5"/>
        <v>0</v>
      </c>
      <c r="AA12" s="16">
        <f t="shared" si="8"/>
        <v>0</v>
      </c>
      <c r="AB12" s="17">
        <f t="shared" si="6"/>
        <v>1.5335600000000005</v>
      </c>
      <c r="AC12" s="18">
        <f t="shared" si="7"/>
        <v>5.7</v>
      </c>
      <c r="AD12" s="19" t="e">
        <f>#REF!*U12</f>
        <v>#REF!</v>
      </c>
      <c r="AE12" s="20">
        <f t="shared" si="1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[1]data!$F$257+[1]data!$F$258-[1]data!$F$257-[1]data!$F$258</f>
        <v>0</v>
      </c>
      <c r="G13" s="14">
        <v>0</v>
      </c>
      <c r="H13" s="15">
        <v>0</v>
      </c>
      <c r="I13" s="16">
        <v>0</v>
      </c>
      <c r="J13" s="17">
        <f>[1]data!$F$259+[1]data!$F$260+[1]data!$F$261+[1]data!$F$262+[1]data!$F$263+[1]data!$F$264+[1]data!$F$265+[1]data!$F$266+[1]data!$F$267+[1]data!$F$268+[1]data!$F$269+[1]data!$F$270+[1]data!$F$271+[1]data!$F$272+[1]data!$F$273+[1]data!$F$274+[1]data!$F$276+[1]data!$F$277+[1]data!$F$278-[1]data!$F$259-[1]data!$F$261-[1]data!$F$262-[1]data!$F$266-[1]data!$F$267-[1]data!$F$270-[1]data!$F$271-[1]data!$F$264-[1]data!$F$278</f>
        <v>7.6410000000000045</v>
      </c>
      <c r="K13" s="18">
        <v>0</v>
      </c>
      <c r="L13" s="57">
        <v>0</v>
      </c>
      <c r="M13" s="54">
        <v>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2"/>
        <v>0</v>
      </c>
      <c r="X13" s="13">
        <f t="shared" si="3"/>
        <v>0</v>
      </c>
      <c r="Y13" s="14">
        <f t="shared" si="4"/>
        <v>0</v>
      </c>
      <c r="Z13" s="15">
        <f t="shared" si="5"/>
        <v>0</v>
      </c>
      <c r="AA13" s="16">
        <f t="shared" si="8"/>
        <v>0</v>
      </c>
      <c r="AB13" s="17">
        <f t="shared" si="6"/>
        <v>0.5348700000000004</v>
      </c>
      <c r="AC13" s="18">
        <f t="shared" si="7"/>
        <v>0</v>
      </c>
      <c r="AD13" s="19" t="e">
        <f>#REF!*U13</f>
        <v>#REF!</v>
      </c>
      <c r="AE13" s="20">
        <f t="shared" si="1"/>
        <v>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f>[1]data!$F$284</f>
        <v>7</v>
      </c>
      <c r="G14" s="14">
        <f>[1]data!$F$285+[1]data!$F$286+[1]data!$F$287+[1]data!$F$288-[1]data!$F$285-[1]data!$F$286-[1]data!$F$288</f>
        <v>39.076000000000015</v>
      </c>
      <c r="H14" s="15">
        <v>0</v>
      </c>
      <c r="I14" s="16">
        <f>200+200</f>
        <v>400</v>
      </c>
      <c r="J14" s="17">
        <f>[1]data!$F$275+[1]data!$F$279+[1]data!$F$280+[1]data!$F$281+[1]data!$F$282+[1]data!$F$283+[1]data!$F$289-[1]data!$F$275-[1]data!$F$280-[1]data!$F$281-[1]data!$F$282-[1]data!$F$283-[1]data!$F$289</f>
        <v>0.47999999999999987</v>
      </c>
      <c r="K14" s="18">
        <v>8.67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2"/>
        <v>0</v>
      </c>
      <c r="X14" s="13">
        <f t="shared" si="3"/>
        <v>3.29</v>
      </c>
      <c r="Y14" s="14">
        <f t="shared" si="4"/>
        <v>21.491800000000008</v>
      </c>
      <c r="Z14" s="15">
        <f t="shared" si="5"/>
        <v>0</v>
      </c>
      <c r="AA14" s="16">
        <f t="shared" si="8"/>
        <v>260</v>
      </c>
      <c r="AB14" s="17">
        <f t="shared" si="6"/>
        <v>3.3599999999999991E-2</v>
      </c>
      <c r="AC14" s="18">
        <f t="shared" si="7"/>
        <v>8.67</v>
      </c>
      <c r="AD14" s="19" t="e">
        <f>#REF!*U14</f>
        <v>#REF!</v>
      </c>
      <c r="AE14" s="20">
        <f t="shared" si="1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[1]data!$F$156</f>
        <v>2.4</v>
      </c>
      <c r="F15" s="13">
        <f>[1]data!$F$138+[1]data!$F$163+[1]data!$F$164-[1]data!$F$163</f>
        <v>48.2</v>
      </c>
      <c r="G15" s="14">
        <f>65+135+100</f>
        <v>300</v>
      </c>
      <c r="H15" s="15">
        <v>0</v>
      </c>
      <c r="I15" s="16">
        <f>[1]data!$F$141</f>
        <v>30</v>
      </c>
      <c r="J15" s="17">
        <f>[1]data!$F$139+[1]data!$F$140+[1]data!$F$173+[1]data!$F$174+[1]data!$F$175+[1]data!$F$176+-[1]data!$F$178-[1]data!$F$139-[1]data!$F$173-[1]data!$F$174-[1]data!$F$175</f>
        <v>54.279999999999994</v>
      </c>
      <c r="K15" s="18">
        <v>0</v>
      </c>
      <c r="L15" s="57">
        <v>30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2"/>
        <v>0.72</v>
      </c>
      <c r="X15" s="13">
        <f t="shared" si="3"/>
        <v>22.654</v>
      </c>
      <c r="Y15" s="14">
        <f t="shared" si="4"/>
        <v>165</v>
      </c>
      <c r="Z15" s="15">
        <f t="shared" si="5"/>
        <v>0</v>
      </c>
      <c r="AA15" s="16">
        <f t="shared" si="8"/>
        <v>19.5</v>
      </c>
      <c r="AB15" s="17">
        <f t="shared" si="6"/>
        <v>3.7995999999999999</v>
      </c>
      <c r="AC15" s="18">
        <f t="shared" si="7"/>
        <v>0</v>
      </c>
      <c r="AD15" s="19" t="e">
        <f>#REF!*U15</f>
        <v>#REF!</v>
      </c>
      <c r="AE15" s="20">
        <f t="shared" si="1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f>[1]data!$F$151+[1]data!$F$152+[1]data!$F$153-[1]data!$F$152-[1]data!$F$153</f>
        <v>115</v>
      </c>
      <c r="G16" s="14">
        <v>0</v>
      </c>
      <c r="H16" s="15">
        <v>0</v>
      </c>
      <c r="I16" s="16">
        <v>0</v>
      </c>
      <c r="J16" s="17">
        <f>[1]data!$F$149+[1]data!$F$150+[1]data!$F$154+[1]data!$F$165+[1]data!$F$167+[1]data!$F$169+[1]data!$F$171+[1]data!$F$180+[1]data!$F$181+[1]data!$F$158+[1]data!$F$168-[1]data!$F$150-[1]data!$F$154-[1]data!$F$158-[1]data!$F$165-[1]data!$F$167-[1]data!$F$181</f>
        <v>13.934000000000001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2"/>
        <v>0</v>
      </c>
      <c r="X16" s="13">
        <f t="shared" si="3"/>
        <v>54.05</v>
      </c>
      <c r="Y16" s="14">
        <f t="shared" si="4"/>
        <v>0</v>
      </c>
      <c r="Z16" s="15">
        <f t="shared" si="5"/>
        <v>0</v>
      </c>
      <c r="AA16" s="16">
        <f t="shared" si="8"/>
        <v>0</v>
      </c>
      <c r="AB16" s="17">
        <f t="shared" si="6"/>
        <v>0.97538000000000014</v>
      </c>
      <c r="AC16" s="18">
        <f t="shared" si="7"/>
        <v>0</v>
      </c>
      <c r="AD16" s="19" t="e">
        <f>#REF!*U16</f>
        <v>#REF!</v>
      </c>
      <c r="AE16" s="20">
        <f t="shared" si="1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[1]data!$F$143+[1]data!$F$144+[1]data!$F$145+[1]data!$F$146+[1]data!$F$160+[1]data!$F$155+14+200-[1]data!$F$146-[1]data!$F$155</f>
        <v>415</v>
      </c>
      <c r="G17" s="14">
        <v>0</v>
      </c>
      <c r="H17" s="15">
        <v>0</v>
      </c>
      <c r="I17" s="16">
        <v>0</v>
      </c>
      <c r="J17" s="17">
        <f>[1]data!$F$142+[1]data!$F$147+[1]data!$F$148+[1]data!$F$157+[1]data!$F$159+[1]data!$F$161+[1]data!$F$162+[1]data!$F$166+[1]data!$F$170+[1]data!$F$172+[1]data!$F$177+[1]data!$F$179-[1]data!$F$142-[1]data!$F$148-[1]data!$F$157-[1]data!$F$159-[1]data!$F$161-[1]data!$F$162-[1]data!$F$172-[1]data!$F$179-[1]data!$F$147</f>
        <v>2.5400000000000009</v>
      </c>
      <c r="K17" s="18">
        <f>0.9+2+4.55</f>
        <v>7.4499999999999993</v>
      </c>
      <c r="L17" s="57">
        <v>40</v>
      </c>
      <c r="M17" s="54">
        <v>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2"/>
        <v>0</v>
      </c>
      <c r="X17" s="13">
        <f t="shared" si="3"/>
        <v>195.04999999999998</v>
      </c>
      <c r="Y17" s="14">
        <f t="shared" si="4"/>
        <v>0</v>
      </c>
      <c r="Z17" s="15">
        <f t="shared" si="5"/>
        <v>0</v>
      </c>
      <c r="AA17" s="16">
        <f t="shared" si="8"/>
        <v>0</v>
      </c>
      <c r="AB17" s="17">
        <f t="shared" si="6"/>
        <v>0.17780000000000007</v>
      </c>
      <c r="AC17" s="18">
        <f t="shared" si="7"/>
        <v>7.4499999999999993</v>
      </c>
      <c r="AD17" s="19" t="e">
        <f>#REF!*U17</f>
        <v>#REF!</v>
      </c>
      <c r="AE17" s="20">
        <f t="shared" si="1"/>
        <v>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v>0</v>
      </c>
      <c r="F18" s="13">
        <v>14</v>
      </c>
      <c r="G18" s="14">
        <v>0</v>
      </c>
      <c r="H18" s="15">
        <v>0</v>
      </c>
      <c r="I18" s="16">
        <v>0</v>
      </c>
      <c r="J18" s="17">
        <f>[1]data!$F$290+[1]data!$F$291+[1]data!$F$292+[1]data!$F$293+[1]data!$F$294+[1]data!$F$295+[1]data!$F$296+[1]data!$F$297+[1]data!$F$298+[1]data!$F$299+[1]data!$F$300+[1]data!$F$301+[1]data!$F$302+[1]data!$F$303+[1]data!$F$304-[1]data!$F$290-[1]data!$F$291-[1]data!$F$293-[1]data!$F$294-[1]data!$F$295-[1]data!$F$296-[1]data!$F$297-[1]data!$F$299-[1]data!$F$300-[1]data!$F$301-[1]data!$F$303-[1]data!$F$304-[1]data!$F$292</f>
        <v>4.6899999999999995</v>
      </c>
      <c r="K18" s="18">
        <f>3.2</f>
        <v>3.2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2"/>
        <v>0</v>
      </c>
      <c r="X18" s="13">
        <f t="shared" si="3"/>
        <v>6.58</v>
      </c>
      <c r="Y18" s="14">
        <f t="shared" si="4"/>
        <v>0</v>
      </c>
      <c r="Z18" s="15">
        <f t="shared" si="5"/>
        <v>0</v>
      </c>
      <c r="AA18" s="16">
        <f t="shared" si="8"/>
        <v>0</v>
      </c>
      <c r="AB18" s="17">
        <f t="shared" si="6"/>
        <v>0.32829999999999998</v>
      </c>
      <c r="AC18" s="18">
        <f t="shared" si="7"/>
        <v>3.2</v>
      </c>
      <c r="AD18" s="19" t="e">
        <f>#REF!*U18</f>
        <v>#REF!</v>
      </c>
      <c r="AE18" s="20">
        <f t="shared" si="1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v>0</v>
      </c>
      <c r="F19" s="13">
        <f>[1]data!$F$310+[1]data!$F$311+[1]data!$F$312+[1]data!$F$313+[1]data!$F$315-[1]data!$F$310-[1]data!$F$312-[1]data!$F$313-[1]data!$F$315</f>
        <v>110</v>
      </c>
      <c r="G19" s="14">
        <f>[1]data!$F$305+[1]data!$F$306+[1]data!$F$307+[1]data!$F$308+[1]data!$F$330+[1]data!$F$331+[1]data!$F$332+80-[1]data!$F$305-[1]data!$F$306-[1]data!$F$307-[1]data!$F$330-[1]data!$F$331-[1]data!$F$332</f>
        <v>81.000000000000014</v>
      </c>
      <c r="H19" s="15">
        <v>0</v>
      </c>
      <c r="I19" s="16">
        <v>0</v>
      </c>
      <c r="J19" s="17">
        <f>[1]data!$F$309+[1]data!$F$314+[1]data!$F$316+[1]data!$F$317+[1]data!$F$318+[1]data!$F$319+[1]data!$F$320+[1]data!$F$321+[1]data!$F$322+[1]data!$F$323+[1]data!$F$324+[1]data!$F$325+[1]data!$F$326+[1]data!$F$327+[1]data!$F$328+[1]data!$F$329-[1]data!$F$309-[1]data!$F$314-[1]data!$F$316-[1]data!$F$317-[1]data!$F$318-[1]data!$F$319-[1]data!$F$320-[1]data!$F$321-[1]data!$F$322-[1]data!$F$323-[1]data!$F$324-[1]data!$F$325-[1]data!$F$326-[1]data!$F$329</f>
        <v>7.2940000000000111</v>
      </c>
      <c r="K19" s="18">
        <f>1+4.1</f>
        <v>5.0999999999999996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2"/>
        <v>0</v>
      </c>
      <c r="X19" s="13">
        <f t="shared" si="3"/>
        <v>51.699999999999996</v>
      </c>
      <c r="Y19" s="14">
        <f t="shared" si="4"/>
        <v>44.550000000000011</v>
      </c>
      <c r="Z19" s="15">
        <f t="shared" si="5"/>
        <v>0</v>
      </c>
      <c r="AA19" s="16">
        <f t="shared" si="8"/>
        <v>0</v>
      </c>
      <c r="AB19" s="17">
        <f t="shared" si="6"/>
        <v>0.51058000000000081</v>
      </c>
      <c r="AC19" s="18">
        <f t="shared" si="7"/>
        <v>5.0999999999999996</v>
      </c>
      <c r="AD19" s="19" t="e">
        <f>#REF!*U19</f>
        <v>#REF!</v>
      </c>
      <c r="AE19" s="20">
        <f t="shared" si="1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[1]data!$F$354-2</f>
        <v>0</v>
      </c>
      <c r="F20" s="13">
        <f>[1]data!$F$333+[1]data!$F$334+[1]data!$F$341+[1]data!$F$342+[1]data!$F$343+[1]data!$F$344+[1]data!$F$345+[1]data!$F$346+[1]data!$F$363+[1]data!$F$364+[1]data!$F$365-[1]data!$F$343-[1]data!$F$365</f>
        <v>339.5</v>
      </c>
      <c r="G20" s="14">
        <f>[1]data!$F$340</f>
        <v>9.6</v>
      </c>
      <c r="H20" s="15">
        <v>0</v>
      </c>
      <c r="I20" s="16">
        <v>90</v>
      </c>
      <c r="J20" s="17">
        <f>[1]data!$F$335+[1]data!$F$336+[1]data!$F$337+[1]data!$F$338+[1]data!$F$339+[1]data!$F$347+[1]data!$F$348+[1]data!$F$349+[1]data!$F$350+[1]data!$F$351+[1]data!$F$352+[1]data!$F$353+[1]data!$F$355+[1]data!$F$356+[1]data!$F$357+[1]data!$F$358+[1]data!$F$359+[1]data!$F$360+[1]data!$F$361+[1]data!$F$362+[1]data!$F$366+[1]data!$F$367+[1]data!$F$368+[1]data!$F$369-[1]data!$F$335-[1]data!$F$336-[1]data!$F$337-[1]data!$F$338-[1]data!$F$348-[1]data!$F$349-[1]data!$F$350-[1]data!$F$352-[1]data!$F$353-[1]data!$F$358-[1]data!$F$366-[1]data!$F$367-[1]data!$F$368-[1]data!$F$356-[1]data!$F$357-[1]data!$F$359</f>
        <v>136.47000000000006</v>
      </c>
      <c r="K20" s="18">
        <f>7.2+50</f>
        <v>57.2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2"/>
        <v>0</v>
      </c>
      <c r="X20" s="13">
        <f t="shared" si="3"/>
        <v>159.565</v>
      </c>
      <c r="Y20" s="14">
        <f t="shared" si="4"/>
        <v>5.28</v>
      </c>
      <c r="Z20" s="15">
        <f t="shared" si="5"/>
        <v>0</v>
      </c>
      <c r="AA20" s="16">
        <f t="shared" si="8"/>
        <v>58.5</v>
      </c>
      <c r="AB20" s="17">
        <f t="shared" si="6"/>
        <v>9.5529000000000046</v>
      </c>
      <c r="AC20" s="18">
        <f t="shared" si="7"/>
        <v>57.2</v>
      </c>
      <c r="AD20" s="19" t="e">
        <f>#REF!*U20</f>
        <v>#REF!</v>
      </c>
      <c r="AE20" s="20">
        <f t="shared" ref="AE20:AE24" si="10">M20*V20</f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v>0</v>
      </c>
      <c r="F21" s="13">
        <f>[1]data!$F$370+[1]data!$F$371+[1]data!$F$380</f>
        <v>259</v>
      </c>
      <c r="G21" s="14">
        <f>[1]data!$F$372+[1]data!$F$373+[1]data!$F$374+[1]data!$F$375+[1]data!$F$376+[1]data!$F$377+[1]data!$F$379-[1]data!$F$377</f>
        <v>51.28</v>
      </c>
      <c r="H21" s="15">
        <v>0</v>
      </c>
      <c r="I21" s="16">
        <f>18</f>
        <v>18</v>
      </c>
      <c r="J21" s="17">
        <f>[1]data!$F$378+[1]data!$F$381+[1]data!$F$382+[1]data!$F$383+[1]data!$F$384-[1]data!$F$378-[1]data!$F$381-[1]data!$F$382-[1]data!$F$384-[1]data!$F$383</f>
        <v>-2.4702462297909733E-15</v>
      </c>
      <c r="K21" s="18">
        <f>24.81</f>
        <v>24.81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2"/>
        <v>0</v>
      </c>
      <c r="X21" s="13">
        <f t="shared" si="3"/>
        <v>121.72999999999999</v>
      </c>
      <c r="Y21" s="14">
        <f t="shared" si="4"/>
        <v>28.204000000000004</v>
      </c>
      <c r="Z21" s="15">
        <f t="shared" si="5"/>
        <v>0</v>
      </c>
      <c r="AA21" s="16">
        <f t="shared" si="8"/>
        <v>11.700000000000001</v>
      </c>
      <c r="AB21" s="17">
        <f t="shared" si="6"/>
        <v>-1.7291723608536814E-16</v>
      </c>
      <c r="AC21" s="18">
        <f t="shared" si="7"/>
        <v>24.81</v>
      </c>
      <c r="AD21" s="19" t="e">
        <f>#REF!*U21</f>
        <v>#REF!</v>
      </c>
      <c r="AE21" s="20">
        <f t="shared" si="10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f>[1]data!$F$395+[1]data!$F$401+[1]data!$F$409</f>
        <v>0.81</v>
      </c>
      <c r="F22" s="13">
        <f>+[1]data!$F$388+[1]data!$F$405+[1]data!$F$385+[1]data!$F$386</f>
        <v>57.63</v>
      </c>
      <c r="G22" s="14">
        <v>0</v>
      </c>
      <c r="H22" s="15">
        <v>0</v>
      </c>
      <c r="I22" s="16">
        <f>55+100</f>
        <v>155</v>
      </c>
      <c r="J22" s="17">
        <f>[1]data!$F$387+[1]data!$F$389+[1]data!$F$390+[1]data!$F$391+[1]data!$F$392+[1]data!$F$393+[1]data!$F$394+[1]data!$F$396+[1]data!$F$397+[1]data!$F$398+[1]data!$F$399+[1]data!$F$400+[1]data!$F$402+[1]data!$F$403+[1]data!$F$404+[1]data!$F$406+[1]data!$F$407+[1]data!$F$408-[1]data!$F$391-[1]data!$F$398-[1]data!$F$399-[1]data!$F$400-[1]data!$F$396-[1]data!$F$392-[1]data!$F$393-[1]data!$F$404</f>
        <v>25.351000000000006</v>
      </c>
      <c r="K22" s="18">
        <f>5.5</f>
        <v>5.5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2"/>
        <v>0.24299999999999999</v>
      </c>
      <c r="X22" s="13">
        <f t="shared" si="3"/>
        <v>27.086099999999998</v>
      </c>
      <c r="Y22" s="14">
        <f t="shared" si="4"/>
        <v>0</v>
      </c>
      <c r="Z22" s="15">
        <f t="shared" si="5"/>
        <v>0</v>
      </c>
      <c r="AA22" s="16">
        <f t="shared" si="8"/>
        <v>100.75</v>
      </c>
      <c r="AB22" s="17">
        <f t="shared" si="6"/>
        <v>1.7745700000000006</v>
      </c>
      <c r="AC22" s="18">
        <f t="shared" si="7"/>
        <v>5.5</v>
      </c>
      <c r="AD22" s="19" t="e">
        <f>#REF!*U22</f>
        <v>#REF!</v>
      </c>
      <c r="AE22" s="20">
        <f t="shared" si="10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v>0</v>
      </c>
      <c r="F23" s="13">
        <f>[1]data!$F$438+[1]data!$F$451-[1]data!$F$451-[1]data!$F$438</f>
        <v>0</v>
      </c>
      <c r="G23" s="14">
        <f>[1]data!$F$433+[1]data!$F$434+[1]data!$F$444+[1]data!$F$445+[1]data!$F$446+[1]data!$F$447+[1]data!$F$448+[1]data!$F$439+[1]data!$F$449+[1]data!$F$450+[1]data!$F$454+[1]data!$F$455+[1]data!$F$456+[1]data!$F$457+[1]data!$F$458+[1]data!$F$459+[1]data!$F$462+40+40-G24-[1]data!$F$439-[1]data!$F$445-[1]data!$F$449-[1]data!$F$446-[1]data!$F$454-[1]data!$F$456-[1]data!$F$457-[1]data!$F$462</f>
        <v>160.52400000000003</v>
      </c>
      <c r="H23" s="15">
        <v>0</v>
      </c>
      <c r="I23" s="16">
        <f>[1]data!$F$412+[1]data!$F$413+90</f>
        <v>90.24</v>
      </c>
      <c r="J23" s="17">
        <f>[1]data!$F$410+[1]data!$F$411+[1]data!$F$414+[1]data!$F$415+[1]data!$F$416+[1]data!$F$418+[1]data!$F$419+[1]data!$F$420+[1]data!$F$421+[1]data!$F$422+[1]data!$F$423+[1]data!$F$424+[1]data!$F$426+[1]data!$F$428+[1]data!$F$429+[1]data!$F$430+[1]data!$F$431+[1]data!$F$435+[1]data!$F$436+[1]data!$F$437+[1]data!$F$440+[1]data!$F$442+[1]data!$F$443+[1]data!$F$452+[1]data!$F$453+[1]data!$F$461+[1]data!$F$463-J24-[1]data!$F$410-[1]data!$F$414-[1]data!$F$415-[1]data!$F$418-[1]data!$F$419-[1]data!$F$423-[1]data!$F$428-[1]data!$F$429-[1]data!$F$430-[1]data!$F$435-[1]data!$F$452-[1]data!$F$453-[1]data!$F$461-[1]data!$F$463-[1]data!$F$424-[1]data!$F$426-[1]data!$F$437</f>
        <v>15.106999999999996</v>
      </c>
      <c r="K23" s="18">
        <f>1.04+2.1+1.01</f>
        <v>4.1500000000000004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2"/>
        <v>0</v>
      </c>
      <c r="X23" s="13">
        <f t="shared" si="3"/>
        <v>0</v>
      </c>
      <c r="Y23" s="14">
        <f t="shared" si="4"/>
        <v>88.288200000000018</v>
      </c>
      <c r="Z23" s="15">
        <f t="shared" si="5"/>
        <v>0</v>
      </c>
      <c r="AA23" s="16">
        <f t="shared" si="8"/>
        <v>58.655999999999999</v>
      </c>
      <c r="AB23" s="17">
        <f t="shared" si="6"/>
        <v>1.0574899999999998</v>
      </c>
      <c r="AC23" s="18">
        <f t="shared" si="7"/>
        <v>4.1500000000000004</v>
      </c>
      <c r="AD23" s="19" t="e">
        <f>#REF!*U23</f>
        <v>#REF!</v>
      </c>
      <c r="AE23" s="20">
        <f t="shared" ref="AE23" si="11">M23*V23</f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/>
      <c r="D24" s="21" t="s">
        <v>92</v>
      </c>
      <c r="E24" s="12">
        <v>0</v>
      </c>
      <c r="F24" s="13">
        <v>0</v>
      </c>
      <c r="G24" s="14">
        <f>5</f>
        <v>5</v>
      </c>
      <c r="H24" s="15">
        <v>0</v>
      </c>
      <c r="I24" s="16">
        <f>200+100</f>
        <v>300</v>
      </c>
      <c r="J24" s="17">
        <f>13.26+12+2.35</f>
        <v>27.61</v>
      </c>
      <c r="K24" s="18">
        <f>1.19+4.55</f>
        <v>5.74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2"/>
        <v>0</v>
      </c>
      <c r="X24" s="13">
        <f t="shared" si="3"/>
        <v>0</v>
      </c>
      <c r="Y24" s="14">
        <f t="shared" si="4"/>
        <v>2.75</v>
      </c>
      <c r="Z24" s="15">
        <f t="shared" si="5"/>
        <v>0</v>
      </c>
      <c r="AA24" s="16">
        <f t="shared" si="8"/>
        <v>195</v>
      </c>
      <c r="AB24" s="17">
        <f t="shared" si="6"/>
        <v>1.9327000000000001</v>
      </c>
      <c r="AC24" s="18">
        <f t="shared" si="7"/>
        <v>5.74</v>
      </c>
      <c r="AD24" s="19" t="e">
        <f>#REF!*U24</f>
        <v>#REF!</v>
      </c>
      <c r="AE24" s="20">
        <f t="shared" si="10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5410.3819999999996</v>
      </c>
      <c r="E25" s="25">
        <f>SUM(E3:E24)</f>
        <v>221.71</v>
      </c>
      <c r="F25" s="25">
        <f t="shared" ref="F25:M25" si="12">SUM(F3:F24)</f>
        <v>1988.3300000000002</v>
      </c>
      <c r="G25" s="25">
        <f t="shared" si="12"/>
        <v>1046.48</v>
      </c>
      <c r="H25" s="25">
        <f t="shared" si="12"/>
        <v>0</v>
      </c>
      <c r="I25" s="25">
        <f t="shared" si="12"/>
        <v>1217.47</v>
      </c>
      <c r="J25" s="25">
        <f t="shared" si="12"/>
        <v>559.32200000000012</v>
      </c>
      <c r="K25" s="25">
        <f t="shared" si="12"/>
        <v>307.06999999999994</v>
      </c>
      <c r="L25" s="25">
        <f t="shared" ref="L25" si="13">SUM(L3:L24)</f>
        <v>70</v>
      </c>
      <c r="M25" s="25">
        <f t="shared" si="12"/>
        <v>0</v>
      </c>
      <c r="W25" s="29">
        <f>SUM(W3:W24)</f>
        <v>66.512999999999991</v>
      </c>
      <c r="X25" s="29">
        <f t="shared" ref="X25:AF25" si="14">SUM(X3:X24)</f>
        <v>934.51510000000007</v>
      </c>
      <c r="Y25" s="29">
        <f t="shared" si="14"/>
        <v>575.56400000000008</v>
      </c>
      <c r="Z25" s="29">
        <f t="shared" si="14"/>
        <v>0</v>
      </c>
      <c r="AA25" s="29">
        <f t="shared" si="14"/>
        <v>791.35549999999989</v>
      </c>
      <c r="AB25" s="29">
        <f t="shared" si="14"/>
        <v>39.152540000000002</v>
      </c>
      <c r="AC25" s="29">
        <f t="shared" si="14"/>
        <v>307.06999999999994</v>
      </c>
      <c r="AD25" s="29" t="e">
        <f t="shared" si="14"/>
        <v>#REF!</v>
      </c>
      <c r="AE25" s="29">
        <f t="shared" si="14"/>
        <v>0</v>
      </c>
      <c r="AF25" s="29">
        <f t="shared" si="14"/>
        <v>230</v>
      </c>
    </row>
    <row r="26" spans="1:53" x14ac:dyDescent="0.3">
      <c r="C26" s="60"/>
      <c r="D26" s="61"/>
      <c r="E26" s="25">
        <f>E25*8760</f>
        <v>1942179.6</v>
      </c>
      <c r="F26" s="25">
        <f t="shared" ref="F26:J26" si="15">F25*8760</f>
        <v>17417770.800000001</v>
      </c>
      <c r="G26" s="25">
        <f t="shared" si="15"/>
        <v>9167164.8000000007</v>
      </c>
      <c r="H26" s="25">
        <f t="shared" si="15"/>
        <v>0</v>
      </c>
      <c r="I26" s="25">
        <f t="shared" si="15"/>
        <v>10665037.200000001</v>
      </c>
      <c r="J26" s="25">
        <f t="shared" si="15"/>
        <v>4899660.7200000007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6">AF25*8760</f>
        <v>2014800</v>
      </c>
    </row>
    <row r="27" spans="1:53" x14ac:dyDescent="0.3">
      <c r="C27" s="60"/>
      <c r="D27" s="61"/>
      <c r="E27" s="62">
        <f>E26*0.9/[3]calliope_2030!$S$8763</f>
        <v>6.459577383591969E-2</v>
      </c>
      <c r="F27" s="62">
        <f>F26*0.9/[3]calliope_2030!$S$8763</f>
        <v>0.57930501552105995</v>
      </c>
      <c r="G27" s="62">
        <f>G26*0.9/[3]calliope_2030!$S$8763</f>
        <v>0.30489461640797999</v>
      </c>
      <c r="H27" s="62">
        <f>H26*0.9/[3]calliope_2030!$S$8763</f>
        <v>0</v>
      </c>
      <c r="I27" s="62">
        <f>I26*0.9/[3]calliope_2030!$S$8763</f>
        <v>0.35471298891352282</v>
      </c>
      <c r="J27" s="62">
        <f>J26*0.9/[3]calliope_2030!$S$8763</f>
        <v>0.16295989090908972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6.7011086474500603E-2</v>
      </c>
    </row>
    <row r="28" spans="1:53" x14ac:dyDescent="0.3">
      <c r="D28" s="36" t="e">
        <f>SUM(W25:AE25)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7">X25/$D$28*100</f>
        <v>#REF!</v>
      </c>
      <c r="Y28" s="38" t="e">
        <f t="shared" si="17"/>
        <v>#REF!</v>
      </c>
      <c r="Z28" s="38" t="e">
        <f t="shared" si="17"/>
        <v>#REF!</v>
      </c>
      <c r="AA28" s="38" t="e">
        <f t="shared" si="17"/>
        <v>#REF!</v>
      </c>
      <c r="AB28" s="38" t="e">
        <f t="shared" si="17"/>
        <v>#REF!</v>
      </c>
      <c r="AC28" s="38" t="e">
        <f t="shared" si="17"/>
        <v>#REF!</v>
      </c>
      <c r="AD28" s="38" t="e">
        <f t="shared" si="17"/>
        <v>#REF!</v>
      </c>
      <c r="AE28" s="38" t="e">
        <f t="shared" si="17"/>
        <v>#REF!</v>
      </c>
      <c r="AF28" s="38" t="e">
        <f t="shared" si="17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2145.6059999999998</v>
      </c>
      <c r="E29" s="25"/>
      <c r="F29" s="25"/>
      <c r="G29" s="25"/>
      <c r="H29" s="25"/>
      <c r="I29" s="25"/>
      <c r="J29" s="25">
        <f>J28/J25</f>
        <v>0.4076185095526369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-331.33200000000011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1789.0810000000001</v>
      </c>
      <c r="E31" s="25">
        <f>SUM(E3:E9)</f>
        <v>185.5</v>
      </c>
      <c r="F31" s="25">
        <f t="shared" ref="F31:M31" si="18">SUM(F3:F9)</f>
        <v>573</v>
      </c>
      <c r="G31" s="25">
        <f t="shared" si="18"/>
        <v>300</v>
      </c>
      <c r="H31" s="25">
        <f t="shared" si="18"/>
        <v>0</v>
      </c>
      <c r="I31" s="25">
        <f t="shared" si="18"/>
        <v>134.22999999999999</v>
      </c>
      <c r="J31" s="25">
        <f t="shared" si="18"/>
        <v>196.631</v>
      </c>
      <c r="K31" s="25">
        <f t="shared" si="18"/>
        <v>169.72</v>
      </c>
      <c r="L31" s="25">
        <f t="shared" ref="L31" si="19">SUM(L3:L9)</f>
        <v>0</v>
      </c>
      <c r="M31" s="25">
        <f t="shared" si="18"/>
        <v>0</v>
      </c>
      <c r="N31" s="29">
        <f>SUM(E31:M31)</f>
        <v>1559.0810000000001</v>
      </c>
      <c r="O31" s="29">
        <f>N31*19.55%</f>
        <v>304.80033550000002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20">SUM(W3:W9)</f>
        <v>55.65</v>
      </c>
      <c r="X31" s="25">
        <f t="shared" si="20"/>
        <v>269.31</v>
      </c>
      <c r="Y31" s="25">
        <f t="shared" si="20"/>
        <v>165</v>
      </c>
      <c r="Z31" s="25">
        <f t="shared" si="20"/>
        <v>0</v>
      </c>
      <c r="AA31" s="25">
        <f t="shared" si="20"/>
        <v>87.249499999999998</v>
      </c>
      <c r="AB31" s="25">
        <f t="shared" si="20"/>
        <v>13.76417</v>
      </c>
      <c r="AC31" s="25">
        <f t="shared" si="20"/>
        <v>169.72</v>
      </c>
      <c r="AD31" s="25" t="e">
        <f t="shared" si="20"/>
        <v>#REF!</v>
      </c>
      <c r="AE31" s="25">
        <f t="shared" si="20"/>
        <v>0</v>
      </c>
      <c r="AF31" s="25">
        <f t="shared" si="20"/>
        <v>230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1717.4949999999999</v>
      </c>
      <c r="E32" s="25">
        <f>SUM(E10:E17)</f>
        <v>35.4</v>
      </c>
      <c r="F32" s="25">
        <f t="shared" ref="F32:M32" si="21">SUM(F10:F17)</f>
        <v>635.20000000000005</v>
      </c>
      <c r="G32" s="25">
        <f t="shared" si="21"/>
        <v>439.07600000000002</v>
      </c>
      <c r="H32" s="25">
        <f t="shared" si="21"/>
        <v>0</v>
      </c>
      <c r="I32" s="25">
        <f t="shared" si="21"/>
        <v>430</v>
      </c>
      <c r="J32" s="25">
        <f t="shared" si="21"/>
        <v>146.16899999999998</v>
      </c>
      <c r="K32" s="25">
        <f t="shared" si="21"/>
        <v>31.650000000000002</v>
      </c>
      <c r="L32" s="25">
        <f t="shared" ref="L32" si="22">SUM(L10:L17)</f>
        <v>70</v>
      </c>
      <c r="M32" s="25">
        <f t="shared" si="21"/>
        <v>0</v>
      </c>
      <c r="N32" s="29">
        <f>SUM(E32:M32)</f>
        <v>1787.4949999999999</v>
      </c>
      <c r="O32" s="29">
        <f>N32*14.02%</f>
        <v>250.60679899999997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23">SUM(W10:W17)</f>
        <v>10.620000000000001</v>
      </c>
      <c r="X32" s="25">
        <f t="shared" si="23"/>
        <v>298.54399999999998</v>
      </c>
      <c r="Y32" s="25">
        <f t="shared" si="23"/>
        <v>241.49180000000001</v>
      </c>
      <c r="Z32" s="25">
        <f t="shared" si="23"/>
        <v>0</v>
      </c>
      <c r="AA32" s="25">
        <f t="shared" si="23"/>
        <v>279.5</v>
      </c>
      <c r="AB32" s="25">
        <f t="shared" si="23"/>
        <v>10.231829999999999</v>
      </c>
      <c r="AC32" s="25">
        <f t="shared" si="23"/>
        <v>31.650000000000002</v>
      </c>
      <c r="AD32" s="25" t="e">
        <f t="shared" si="23"/>
        <v>#REF!</v>
      </c>
      <c r="AE32" s="25">
        <f t="shared" si="23"/>
        <v>0</v>
      </c>
      <c r="AF32" s="25">
        <f t="shared" si="23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2063.806</v>
      </c>
      <c r="E33" s="25">
        <f>SUM(E18:E24)</f>
        <v>0.81</v>
      </c>
      <c r="F33" s="25">
        <f t="shared" ref="F33:M33" si="24">SUM(F18:F24)</f>
        <v>780.13</v>
      </c>
      <c r="G33" s="25">
        <f t="shared" si="24"/>
        <v>307.404</v>
      </c>
      <c r="H33" s="25">
        <f t="shared" si="24"/>
        <v>0</v>
      </c>
      <c r="I33" s="25">
        <f t="shared" si="24"/>
        <v>653.24</v>
      </c>
      <c r="J33" s="25">
        <f t="shared" si="24"/>
        <v>216.52200000000005</v>
      </c>
      <c r="K33" s="25">
        <f t="shared" si="24"/>
        <v>105.7</v>
      </c>
      <c r="L33" s="25">
        <f t="shared" ref="L33" si="25">SUM(L18:L24)</f>
        <v>0</v>
      </c>
      <c r="M33" s="25">
        <f t="shared" si="24"/>
        <v>0</v>
      </c>
      <c r="N33" s="29">
        <f>SUM(E33:M33)</f>
        <v>2063.806</v>
      </c>
      <c r="O33" s="29">
        <f>N33*31.62%</f>
        <v>652.57545720000007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26">SUM(W18:W24)</f>
        <v>0.24299999999999999</v>
      </c>
      <c r="X33" s="25">
        <f t="shared" si="26"/>
        <v>366.66109999999998</v>
      </c>
      <c r="Y33" s="25">
        <f t="shared" si="26"/>
        <v>169.07220000000004</v>
      </c>
      <c r="Z33" s="25">
        <f t="shared" si="26"/>
        <v>0</v>
      </c>
      <c r="AA33" s="25">
        <f t="shared" si="26"/>
        <v>424.60599999999999</v>
      </c>
      <c r="AB33" s="25">
        <f t="shared" si="26"/>
        <v>15.156540000000007</v>
      </c>
      <c r="AC33" s="25">
        <f t="shared" si="26"/>
        <v>105.7</v>
      </c>
      <c r="AD33" s="25" t="e">
        <f t="shared" si="26"/>
        <v>#REF!</v>
      </c>
      <c r="AE33" s="25">
        <f t="shared" si="26"/>
        <v>0</v>
      </c>
      <c r="AF33" s="25">
        <f t="shared" si="26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5410.3819999999996</v>
      </c>
      <c r="O34" s="29">
        <f>SUM(O31:O33)</f>
        <v>1207.9825917000001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6" spans="3:4" x14ac:dyDescent="0.3">
      <c r="C66" s="59"/>
      <c r="D66" s="59"/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82B3-252A-46DA-B20A-32B68CAAE093}">
  <sheetPr codeName="Sheet5"/>
  <dimension ref="A1:BA61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I7" sqref="I7"/>
    </sheetView>
  </sheetViews>
  <sheetFormatPr defaultRowHeight="14.4" x14ac:dyDescent="0.3"/>
  <cols>
    <col min="3" max="3" width="9.109375" style="22" customWidth="1"/>
    <col min="4" max="4" width="13.109375" style="46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3" style="22" customWidth="1"/>
    <col min="10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47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101</v>
      </c>
      <c r="K2" s="9" t="s">
        <v>8</v>
      </c>
      <c r="L2" s="56" t="s">
        <v>62</v>
      </c>
      <c r="M2" s="53" t="s">
        <v>98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v>230.8</v>
      </c>
      <c r="F3" s="13">
        <f>'esdm+ruptl_2030'!F3</f>
        <v>350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f>solar_iesr!$B$2/6*1000*0.1</f>
        <v>16233.333333333336</v>
      </c>
      <c r="L3" s="57">
        <v>0</v>
      </c>
      <c r="M3" s="54">
        <v>0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W24" si="0">E3*N3</f>
        <v>69.239999999999995</v>
      </c>
      <c r="X3" s="13">
        <f t="shared" ref="X3:X24" si="1">F3*O3</f>
        <v>164.5</v>
      </c>
      <c r="Y3" s="14">
        <f t="shared" ref="Y3:Y24" si="2">G3*P3</f>
        <v>0</v>
      </c>
      <c r="Z3" s="15" t="e">
        <f>#REF!*Q3</f>
        <v>#REF!</v>
      </c>
      <c r="AA3" s="16">
        <f t="shared" ref="AA3:AC5" si="3">I3*R3</f>
        <v>0</v>
      </c>
      <c r="AB3" s="17">
        <f t="shared" si="3"/>
        <v>0</v>
      </c>
      <c r="AC3" s="18">
        <f t="shared" si="3"/>
        <v>16233.333333333336</v>
      </c>
      <c r="AD3" s="19" t="e">
        <f>#REF!*U3</f>
        <v>#REF!</v>
      </c>
      <c r="AE3" s="20">
        <f t="shared" ref="AE3:AE24" si="4">M3*V3</f>
        <v>0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v>56</v>
      </c>
      <c r="F4" s="13">
        <f>'esdm+ruptl_2030'!F4</f>
        <v>0</v>
      </c>
      <c r="G4" s="14">
        <f>'esdm+ruptl_2030'!G4</f>
        <v>300</v>
      </c>
      <c r="H4" s="15">
        <f>'esdm+ruptl_2030'!H4</f>
        <v>0</v>
      </c>
      <c r="I4" s="16">
        <v>0</v>
      </c>
      <c r="J4" s="17">
        <v>0</v>
      </c>
      <c r="K4" s="18">
        <f>solar_iesr!$B$2/6*1000*0.1</f>
        <v>16233.333333333336</v>
      </c>
      <c r="L4" s="57">
        <v>0</v>
      </c>
      <c r="M4" s="54">
        <v>0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16.8</v>
      </c>
      <c r="X4" s="13">
        <f t="shared" si="1"/>
        <v>0</v>
      </c>
      <c r="Y4" s="14">
        <f t="shared" si="2"/>
        <v>165</v>
      </c>
      <c r="Z4" s="15" t="e">
        <f>#REF!*Q4</f>
        <v>#REF!</v>
      </c>
      <c r="AA4" s="16">
        <f t="shared" si="3"/>
        <v>0</v>
      </c>
      <c r="AB4" s="17">
        <f t="shared" si="3"/>
        <v>0</v>
      </c>
      <c r="AC4" s="18">
        <f t="shared" si="3"/>
        <v>16233.333333333336</v>
      </c>
      <c r="AD4" s="19" t="e">
        <f>#REF!*U4</f>
        <v>#REF!</v>
      </c>
      <c r="AE4" s="20">
        <f t="shared" si="4"/>
        <v>0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v>5</v>
      </c>
      <c r="F5" s="13">
        <v>0</v>
      </c>
      <c r="G5" s="14">
        <f>'esdm+ruptl_2030'!G5</f>
        <v>0</v>
      </c>
      <c r="H5" s="15">
        <f>'esdm+ruptl_2030'!H5</f>
        <v>0</v>
      </c>
      <c r="I5" s="16">
        <f>'esdm+ruptl_2030'!I5</f>
        <v>12.965</v>
      </c>
      <c r="J5" s="17">
        <v>300</v>
      </c>
      <c r="K5" s="18">
        <f>solar_iesr!$B$2/6*1000*0.1</f>
        <v>16233.333333333336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1.5</v>
      </c>
      <c r="X5" s="13">
        <f t="shared" si="1"/>
        <v>0</v>
      </c>
      <c r="Y5" s="14">
        <f t="shared" si="2"/>
        <v>0</v>
      </c>
      <c r="Z5" s="15" t="e">
        <f>#REF!*Q5</f>
        <v>#REF!</v>
      </c>
      <c r="AA5" s="16">
        <f t="shared" si="3"/>
        <v>8.4272500000000008</v>
      </c>
      <c r="AB5" s="17">
        <f t="shared" si="3"/>
        <v>21.000000000000004</v>
      </c>
      <c r="AC5" s="18">
        <f t="shared" si="3"/>
        <v>16233.333333333336</v>
      </c>
      <c r="AD5" s="19" t="e">
        <f>#REF!*U5</f>
        <v>#REF!</v>
      </c>
      <c r="AE5" s="20">
        <f t="shared" si="4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v>0</v>
      </c>
      <c r="F6" s="13">
        <v>0</v>
      </c>
      <c r="G6" s="14">
        <f>'esdm+ruptl_2030'!G6</f>
        <v>0</v>
      </c>
      <c r="H6" s="15">
        <f>'esdm+ruptl_2030'!H6</f>
        <v>0</v>
      </c>
      <c r="I6" s="16">
        <f>124*0.1</f>
        <v>12.4</v>
      </c>
      <c r="J6" s="17">
        <v>0</v>
      </c>
      <c r="K6" s="18">
        <f>solar_iesr!$B$2/6*1000*0.1</f>
        <v>16233.333333333336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0</v>
      </c>
      <c r="X6" s="13">
        <f t="shared" si="1"/>
        <v>0</v>
      </c>
      <c r="Y6" s="14">
        <f t="shared" si="2"/>
        <v>0</v>
      </c>
      <c r="Z6" s="15" t="e">
        <f>#REF!*Q6</f>
        <v>#REF!</v>
      </c>
      <c r="AA6" s="16">
        <v>0</v>
      </c>
      <c r="AB6" s="17">
        <f t="shared" ref="AB6:AB24" si="5">J6*S6</f>
        <v>0</v>
      </c>
      <c r="AC6" s="18">
        <f t="shared" ref="AC6:AC24" si="6">K6*T6</f>
        <v>16233.333333333336</v>
      </c>
      <c r="AD6" s="19" t="e">
        <f>#REF!*U6</f>
        <v>#REF!</v>
      </c>
      <c r="AE6" s="20">
        <f t="shared" si="4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f>'esdm+ruptl_2030'!I7</f>
        <v>103.565</v>
      </c>
      <c r="J7" s="17">
        <v>0</v>
      </c>
      <c r="K7" s="18">
        <f>solar_iesr!$B$2/6*1000*0.1</f>
        <v>16233.333333333336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0</v>
      </c>
      <c r="X7" s="13">
        <f t="shared" si="1"/>
        <v>0</v>
      </c>
      <c r="Y7" s="14">
        <f t="shared" si="2"/>
        <v>0</v>
      </c>
      <c r="Z7" s="15" t="e">
        <f>#REF!*Q7</f>
        <v>#REF!</v>
      </c>
      <c r="AA7" s="16">
        <f t="shared" ref="AA7:AA24" si="7">I7*R7</f>
        <v>67.317250000000001</v>
      </c>
      <c r="AB7" s="17">
        <f t="shared" si="5"/>
        <v>0</v>
      </c>
      <c r="AC7" s="18">
        <f t="shared" si="6"/>
        <v>16233.333333333336</v>
      </c>
      <c r="AD7" s="19" t="e">
        <f>#REF!*U7</f>
        <v>#REF!</v>
      </c>
      <c r="AE7" s="20">
        <f t="shared" si="4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v>11</v>
      </c>
      <c r="F8" s="13">
        <v>0</v>
      </c>
      <c r="G8" s="14">
        <f>'esdm+ruptl_2030'!G8</f>
        <v>0</v>
      </c>
      <c r="H8" s="15">
        <f>'esdm+ruptl_2030'!H8</f>
        <v>0</v>
      </c>
      <c r="I8" s="16">
        <f>'esdm+ruptl_2030'!I8</f>
        <v>0.30000000000000004</v>
      </c>
      <c r="J8" s="17">
        <v>0</v>
      </c>
      <c r="K8" s="18">
        <f>solar_iesr!$B$2/6*1000*0.1</f>
        <v>16233.333333333336</v>
      </c>
      <c r="L8" s="57">
        <f>wind_sergio!$B$2*1000</f>
        <v>1010</v>
      </c>
      <c r="M8" s="54">
        <v>0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3.3</v>
      </c>
      <c r="X8" s="13">
        <f t="shared" si="1"/>
        <v>0</v>
      </c>
      <c r="Y8" s="14">
        <f t="shared" si="2"/>
        <v>0</v>
      </c>
      <c r="Z8" s="15" t="e">
        <f>#REF!*Q8</f>
        <v>#REF!</v>
      </c>
      <c r="AA8" s="16">
        <f t="shared" si="7"/>
        <v>0.19500000000000003</v>
      </c>
      <c r="AB8" s="17">
        <f t="shared" si="5"/>
        <v>0</v>
      </c>
      <c r="AC8" s="18">
        <f t="shared" si="6"/>
        <v>16233.333333333336</v>
      </c>
      <c r="AD8" s="19" t="e">
        <f>#REF!*U8</f>
        <v>#REF!</v>
      </c>
      <c r="AE8" s="20">
        <f t="shared" si="4"/>
        <v>0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93</v>
      </c>
      <c r="E9" s="12">
        <v>0</v>
      </c>
      <c r="F9" s="13">
        <f>'esdm+ruptl_2030'!F9</f>
        <v>0</v>
      </c>
      <c r="G9" s="14">
        <f>'esdm+ruptl_2030'!G9</f>
        <v>0</v>
      </c>
      <c r="H9" s="15">
        <f>'esdm+ruptl_2030'!H9</f>
        <v>0</v>
      </c>
      <c r="I9" s="16">
        <f>4737*0.1+'esdm+ruptl_2030'!I9-I7-I5</f>
        <v>374.57000000000005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0</v>
      </c>
      <c r="X9" s="13">
        <f t="shared" si="1"/>
        <v>0</v>
      </c>
      <c r="Y9" s="14">
        <f t="shared" si="2"/>
        <v>0</v>
      </c>
      <c r="Z9" s="15" t="e">
        <f>#REF!*Q9</f>
        <v>#REF!</v>
      </c>
      <c r="AA9" s="16">
        <f t="shared" si="7"/>
        <v>243.47050000000004</v>
      </c>
      <c r="AB9" s="17">
        <f t="shared" si="5"/>
        <v>0</v>
      </c>
      <c r="AC9" s="18">
        <f t="shared" si="6"/>
        <v>0</v>
      </c>
      <c r="AD9" s="19" t="e">
        <f>#REF!*U9</f>
        <v>#REF!</v>
      </c>
      <c r="AE9" s="20">
        <f t="shared" si="4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v>170</v>
      </c>
      <c r="F10" s="13">
        <f>'esdm+ruptl_2030'!F10</f>
        <v>0</v>
      </c>
      <c r="G10" s="14">
        <f>'esdm+ruptl_2030'!G10</f>
        <v>100</v>
      </c>
      <c r="H10" s="15">
        <f>'esdm+ruptl_2030'!H10</f>
        <v>0</v>
      </c>
      <c r="I10" s="16">
        <v>0</v>
      </c>
      <c r="J10" s="17">
        <v>0</v>
      </c>
      <c r="K10" s="18">
        <f>solar_iesr!$B$3/5*1000*0.1</f>
        <v>11440</v>
      </c>
      <c r="L10" s="57">
        <f>wind_sergio!$B$3/2*1000</f>
        <v>590</v>
      </c>
      <c r="M10" s="54">
        <v>0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51</v>
      </c>
      <c r="X10" s="13">
        <f t="shared" si="1"/>
        <v>0</v>
      </c>
      <c r="Y10" s="14">
        <f t="shared" si="2"/>
        <v>55.000000000000007</v>
      </c>
      <c r="Z10" s="15" t="e">
        <f>#REF!*Q10</f>
        <v>#REF!</v>
      </c>
      <c r="AA10" s="16">
        <f t="shared" si="7"/>
        <v>0</v>
      </c>
      <c r="AB10" s="17">
        <f t="shared" si="5"/>
        <v>0</v>
      </c>
      <c r="AC10" s="18">
        <f t="shared" si="6"/>
        <v>11440</v>
      </c>
      <c r="AD10" s="19" t="e">
        <f>#REF!*U10</f>
        <v>#REF!</v>
      </c>
      <c r="AE10" s="20">
        <f t="shared" si="4"/>
        <v>0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v>0</v>
      </c>
      <c r="F11" s="13">
        <f>'esdm+ruptl_2030'!F11</f>
        <v>50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solar_iesr!$B$3/5*1000*0.1</f>
        <v>11440</v>
      </c>
      <c r="L11" s="57">
        <f>wind_sergio!$B$3/2*1000</f>
        <v>590</v>
      </c>
      <c r="M11" s="54">
        <v>0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0</v>
      </c>
      <c r="X11" s="13">
        <f t="shared" si="1"/>
        <v>23.5</v>
      </c>
      <c r="Y11" s="14">
        <f t="shared" si="2"/>
        <v>0</v>
      </c>
      <c r="Z11" s="15" t="e">
        <f>#REF!*Q11</f>
        <v>#REF!</v>
      </c>
      <c r="AA11" s="16">
        <f t="shared" si="7"/>
        <v>0</v>
      </c>
      <c r="AB11" s="17">
        <f t="shared" si="5"/>
        <v>0</v>
      </c>
      <c r="AC11" s="18">
        <f t="shared" si="6"/>
        <v>11440</v>
      </c>
      <c r="AD11" s="19" t="e">
        <f>#REF!*U11</f>
        <v>#REF!</v>
      </c>
      <c r="AE11" s="20">
        <f t="shared" si="4"/>
        <v>0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solar_iesr!$B$3/5*1000*0.1</f>
        <v>11440</v>
      </c>
      <c r="L12" s="57">
        <v>0</v>
      </c>
      <c r="M12" s="54">
        <v>0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0</v>
      </c>
      <c r="X12" s="13">
        <f t="shared" si="1"/>
        <v>0</v>
      </c>
      <c r="Y12" s="14">
        <f t="shared" si="2"/>
        <v>0</v>
      </c>
      <c r="Z12" s="15" t="e">
        <f>#REF!*Q12</f>
        <v>#REF!</v>
      </c>
      <c r="AA12" s="16">
        <f t="shared" si="7"/>
        <v>0</v>
      </c>
      <c r="AB12" s="17">
        <f t="shared" si="5"/>
        <v>0</v>
      </c>
      <c r="AC12" s="18">
        <f t="shared" si="6"/>
        <v>11440</v>
      </c>
      <c r="AD12" s="19" t="e">
        <f>#REF!*U12</f>
        <v>#REF!</v>
      </c>
      <c r="AE12" s="20">
        <f t="shared" si="4"/>
        <v>0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f>3313*0.1</f>
        <v>331.3</v>
      </c>
      <c r="J13" s="17">
        <v>0</v>
      </c>
      <c r="K13" s="18">
        <f>solar_iesr!$B$3/5*1000*0.1</f>
        <v>11440</v>
      </c>
      <c r="L13" s="57">
        <v>0</v>
      </c>
      <c r="M13" s="54">
        <f>wind_sergio!C3*1000</f>
        <v>20830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0</v>
      </c>
      <c r="X13" s="13">
        <f t="shared" si="1"/>
        <v>0</v>
      </c>
      <c r="Y13" s="14">
        <f t="shared" si="2"/>
        <v>0</v>
      </c>
      <c r="Z13" s="15" t="e">
        <f>#REF!*Q13</f>
        <v>#REF!</v>
      </c>
      <c r="AA13" s="16">
        <f t="shared" si="7"/>
        <v>215.34500000000003</v>
      </c>
      <c r="AB13" s="17">
        <f t="shared" si="5"/>
        <v>0</v>
      </c>
      <c r="AC13" s="18">
        <f t="shared" si="6"/>
        <v>11440</v>
      </c>
      <c r="AD13" s="19" t="e">
        <f>#REF!*U13</f>
        <v>#REF!</v>
      </c>
      <c r="AE13" s="20">
        <f t="shared" si="4"/>
        <v>20830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v>0</v>
      </c>
      <c r="G14" s="14">
        <v>0</v>
      </c>
      <c r="H14" s="15">
        <f>'esdm+ruptl_2030'!H14</f>
        <v>0</v>
      </c>
      <c r="I14" s="16">
        <f>'esdm+ruptl_2030'!I14</f>
        <v>400</v>
      </c>
      <c r="J14" s="17">
        <v>0</v>
      </c>
      <c r="K14" s="18">
        <f>solar_iesr!$B$3/5*1000*0.1</f>
        <v>11440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0</v>
      </c>
      <c r="X14" s="13">
        <f t="shared" si="1"/>
        <v>0</v>
      </c>
      <c r="Y14" s="14">
        <f t="shared" si="2"/>
        <v>0</v>
      </c>
      <c r="Z14" s="15" t="e">
        <f>#REF!*Q14</f>
        <v>#REF!</v>
      </c>
      <c r="AA14" s="16">
        <f t="shared" si="7"/>
        <v>260</v>
      </c>
      <c r="AB14" s="17">
        <f t="shared" si="5"/>
        <v>0</v>
      </c>
      <c r="AC14" s="18">
        <f t="shared" si="6"/>
        <v>11440</v>
      </c>
      <c r="AD14" s="19" t="e">
        <f>#REF!*U14</f>
        <v>#REF!</v>
      </c>
      <c r="AE14" s="20">
        <f t="shared" si="4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v>129</v>
      </c>
      <c r="F15" s="13">
        <v>0</v>
      </c>
      <c r="G15" s="14">
        <f>'esdm+ruptl_2030'!G15</f>
        <v>300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v>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38.699999999999996</v>
      </c>
      <c r="X15" s="13">
        <f t="shared" si="1"/>
        <v>0</v>
      </c>
      <c r="Y15" s="14">
        <f t="shared" si="2"/>
        <v>165</v>
      </c>
      <c r="Z15" s="15" t="e">
        <f>#REF!*Q15</f>
        <v>#REF!</v>
      </c>
      <c r="AA15" s="16">
        <f t="shared" si="7"/>
        <v>19.5</v>
      </c>
      <c r="AB15" s="17">
        <f t="shared" si="5"/>
        <v>0</v>
      </c>
      <c r="AC15" s="18">
        <f t="shared" si="6"/>
        <v>0</v>
      </c>
      <c r="AD15" s="19" t="e">
        <f>#REF!*U15</f>
        <v>#REF!</v>
      </c>
      <c r="AE15" s="20">
        <f t="shared" si="4"/>
        <v>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v>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f>158*0.1</f>
        <v>15.8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0</v>
      </c>
      <c r="X16" s="13">
        <f t="shared" si="1"/>
        <v>0</v>
      </c>
      <c r="Y16" s="14">
        <f t="shared" si="2"/>
        <v>0</v>
      </c>
      <c r="Z16" s="15" t="e">
        <f>#REF!*Q16</f>
        <v>#REF!</v>
      </c>
      <c r="AA16" s="16">
        <f t="shared" si="7"/>
        <v>10.270000000000001</v>
      </c>
      <c r="AB16" s="17">
        <f t="shared" si="5"/>
        <v>0</v>
      </c>
      <c r="AC16" s="18">
        <f t="shared" si="6"/>
        <v>0</v>
      </c>
      <c r="AD16" s="19" t="e">
        <f>#REF!*U16</f>
        <v>#REF!</v>
      </c>
      <c r="AE16" s="20">
        <f t="shared" si="4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v>0</v>
      </c>
      <c r="F17" s="13">
        <f>200</f>
        <v>200</v>
      </c>
      <c r="G17" s="14">
        <f>'esdm+ruptl_2030'!G17</f>
        <v>0</v>
      </c>
      <c r="H17" s="15">
        <f>'esdm+ruptl_2030'!H17+40</f>
        <v>40</v>
      </c>
      <c r="I17" s="16">
        <v>0</v>
      </c>
      <c r="J17" s="17">
        <v>0</v>
      </c>
      <c r="K17" s="18">
        <f>solar_iesr!$B$4*1000*0.1</f>
        <v>18500</v>
      </c>
      <c r="L17" s="57">
        <f>wind_sergio!$B$4/2*1000</f>
        <v>140</v>
      </c>
      <c r="M17" s="54">
        <f>wind_sergio!$C$4*1000</f>
        <v>10840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0</v>
      </c>
      <c r="X17" s="13">
        <f t="shared" si="1"/>
        <v>94</v>
      </c>
      <c r="Y17" s="14">
        <f t="shared" si="2"/>
        <v>0</v>
      </c>
      <c r="Z17" s="15" t="e">
        <f>#REF!*Q17</f>
        <v>#REF!</v>
      </c>
      <c r="AA17" s="16">
        <f t="shared" si="7"/>
        <v>0</v>
      </c>
      <c r="AB17" s="17">
        <f t="shared" si="5"/>
        <v>0</v>
      </c>
      <c r="AC17" s="18">
        <f t="shared" si="6"/>
        <v>18500</v>
      </c>
      <c r="AD17" s="19" t="e">
        <f>#REF!*U17</f>
        <v>#REF!</v>
      </c>
      <c r="AE17" s="20">
        <f t="shared" si="4"/>
        <v>10840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f>'esdm+ruptl_2030'!F18</f>
        <v>14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solar_iesr!$B$5/5*1000*0.1</f>
        <v>21720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1"/>
        <v>6.58</v>
      </c>
      <c r="Y18" s="14">
        <f t="shared" si="2"/>
        <v>0</v>
      </c>
      <c r="Z18" s="15" t="e">
        <f>#REF!*Q18</f>
        <v>#REF!</v>
      </c>
      <c r="AA18" s="16">
        <f t="shared" si="7"/>
        <v>0</v>
      </c>
      <c r="AB18" s="17">
        <f t="shared" si="5"/>
        <v>0</v>
      </c>
      <c r="AC18" s="18">
        <f t="shared" si="6"/>
        <v>21720</v>
      </c>
      <c r="AD18" s="19" t="e">
        <f>#REF!*U18</f>
        <v>#REF!</v>
      </c>
      <c r="AE18" s="20">
        <f t="shared" si="4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80</v>
      </c>
      <c r="H19" s="15">
        <f>'esdm+ruptl_2030'!H19</f>
        <v>0</v>
      </c>
      <c r="I19" s="16">
        <v>0</v>
      </c>
      <c r="J19" s="17">
        <v>0</v>
      </c>
      <c r="K19" s="18">
        <f>solar_iesr!$B$5/5*1000*0.1</f>
        <v>21720</v>
      </c>
      <c r="L19" s="57">
        <v>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1"/>
        <v>0</v>
      </c>
      <c r="Y19" s="14">
        <f t="shared" si="2"/>
        <v>44</v>
      </c>
      <c r="Z19" s="15" t="e">
        <f>#REF!*Q19</f>
        <v>#REF!</v>
      </c>
      <c r="AA19" s="16">
        <f t="shared" si="7"/>
        <v>0</v>
      </c>
      <c r="AB19" s="17">
        <f t="shared" si="5"/>
        <v>0</v>
      </c>
      <c r="AC19" s="18">
        <f t="shared" si="6"/>
        <v>21720</v>
      </c>
      <c r="AD19" s="19" t="e">
        <f>#REF!*U19</f>
        <v>#REF!</v>
      </c>
      <c r="AE19" s="20">
        <f t="shared" si="4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f>'esdm+ruptl_2030'!I20</f>
        <v>90</v>
      </c>
      <c r="J20" s="17">
        <v>0</v>
      </c>
      <c r="K20" s="18">
        <f>solar_iesr!$B$5/5*1000*0.1</f>
        <v>21720</v>
      </c>
      <c r="L20" s="57">
        <v>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1"/>
        <v>0</v>
      </c>
      <c r="Y20" s="14">
        <f t="shared" si="2"/>
        <v>0</v>
      </c>
      <c r="Z20" s="15" t="e">
        <f>#REF!*Q20</f>
        <v>#REF!</v>
      </c>
      <c r="AA20" s="16">
        <f t="shared" si="7"/>
        <v>58.5</v>
      </c>
      <c r="AB20" s="17">
        <f t="shared" si="5"/>
        <v>0</v>
      </c>
      <c r="AC20" s="18">
        <f t="shared" si="6"/>
        <v>21720</v>
      </c>
      <c r="AD20" s="19" t="e">
        <f>#REF!*U20</f>
        <v>#REF!</v>
      </c>
      <c r="AE20" s="20">
        <f t="shared" si="4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f>16844*0.1+'esdm+ruptl_2030'!I21</f>
        <v>1702.4</v>
      </c>
      <c r="J21" s="17">
        <v>0</v>
      </c>
      <c r="K21" s="18">
        <f>solar_iesr!$B$5/5*1000*0.1</f>
        <v>21720</v>
      </c>
      <c r="L21" s="57">
        <v>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1"/>
        <v>0</v>
      </c>
      <c r="Y21" s="14">
        <f t="shared" si="2"/>
        <v>0</v>
      </c>
      <c r="Z21" s="15" t="e">
        <f>#REF!*Q21</f>
        <v>#REF!</v>
      </c>
      <c r="AA21" s="16">
        <f t="shared" si="7"/>
        <v>1106.5600000000002</v>
      </c>
      <c r="AB21" s="17">
        <f t="shared" si="5"/>
        <v>0</v>
      </c>
      <c r="AC21" s="18">
        <f t="shared" si="6"/>
        <v>21720</v>
      </c>
      <c r="AD21" s="19" t="e">
        <f>#REF!*U21</f>
        <v>#REF!</v>
      </c>
      <c r="AE21" s="20">
        <f t="shared" si="4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f>'esdm+ruptl_2030'!I22+3562*0.1</f>
        <v>511.20000000000005</v>
      </c>
      <c r="J22" s="17">
        <v>0</v>
      </c>
      <c r="K22" s="18">
        <f>solar_iesr!$B$5/5*1000*0.1</f>
        <v>21720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1"/>
        <v>0</v>
      </c>
      <c r="Y22" s="14">
        <f t="shared" si="2"/>
        <v>0</v>
      </c>
      <c r="Z22" s="15" t="e">
        <f>#REF!*Q22</f>
        <v>#REF!</v>
      </c>
      <c r="AA22" s="16">
        <f t="shared" si="7"/>
        <v>332.28000000000003</v>
      </c>
      <c r="AB22" s="17">
        <f t="shared" si="5"/>
        <v>0</v>
      </c>
      <c r="AC22" s="18">
        <f t="shared" si="6"/>
        <v>21720</v>
      </c>
      <c r="AD22" s="19" t="e">
        <f>#REF!*U22</f>
        <v>#REF!</v>
      </c>
      <c r="AE22" s="20">
        <f t="shared" si="4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f>40+40</f>
        <v>80</v>
      </c>
      <c r="H23" s="15">
        <f>'esdm+ruptl_2030'!H23</f>
        <v>0</v>
      </c>
      <c r="I23" s="16">
        <f>'esdm+ruptl_2030'!I23+943*0.1</f>
        <v>184.54000000000002</v>
      </c>
      <c r="J23" s="17">
        <v>0</v>
      </c>
      <c r="K23" s="18">
        <f>solar_iesr!$B$6*1000/2*0.1</f>
        <v>6650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1"/>
        <v>0</v>
      </c>
      <c r="Y23" s="14">
        <f t="shared" si="2"/>
        <v>44</v>
      </c>
      <c r="Z23" s="15" t="e">
        <f>#REF!*Q23</f>
        <v>#REF!</v>
      </c>
      <c r="AA23" s="16">
        <f t="shared" si="7"/>
        <v>119.95100000000002</v>
      </c>
      <c r="AB23" s="17">
        <f t="shared" si="5"/>
        <v>0</v>
      </c>
      <c r="AC23" s="18">
        <f t="shared" si="6"/>
        <v>6650</v>
      </c>
      <c r="AD23" s="19" t="e">
        <f>#REF!*U23</f>
        <v>#REF!</v>
      </c>
      <c r="AE23" s="20">
        <f t="shared" si="4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92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'esdm+ruptl_2030'!I24</f>
        <v>300</v>
      </c>
      <c r="J24" s="17">
        <v>0</v>
      </c>
      <c r="K24" s="18">
        <f>solar_iesr!$B$6*1000/2*0.1</f>
        <v>6650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1"/>
        <v>0</v>
      </c>
      <c r="Y24" s="14">
        <f t="shared" si="2"/>
        <v>0</v>
      </c>
      <c r="Z24" s="15" t="e">
        <f>#REF!*Q24</f>
        <v>#REF!</v>
      </c>
      <c r="AA24" s="16">
        <f t="shared" si="7"/>
        <v>195</v>
      </c>
      <c r="AB24" s="17">
        <f t="shared" si="5"/>
        <v>0</v>
      </c>
      <c r="AC24" s="18">
        <f t="shared" si="6"/>
        <v>6650</v>
      </c>
      <c r="AD24" s="19" t="e">
        <f>#REF!*U24</f>
        <v>#REF!</v>
      </c>
      <c r="AE24" s="20">
        <f t="shared" si="4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335624.84</v>
      </c>
      <c r="E25" s="25">
        <f>SUM(E3:E24)</f>
        <v>601.79999999999995</v>
      </c>
      <c r="F25" s="25">
        <f t="shared" ref="F25:M25" si="8">SUM(F3:F24)</f>
        <v>614</v>
      </c>
      <c r="G25" s="25">
        <f t="shared" si="8"/>
        <v>860</v>
      </c>
      <c r="H25" s="25">
        <f t="shared" si="8"/>
        <v>40</v>
      </c>
      <c r="I25" s="25">
        <f t="shared" si="8"/>
        <v>4069.04</v>
      </c>
      <c r="J25" s="25">
        <f t="shared" si="8"/>
        <v>300</v>
      </c>
      <c r="K25" s="25">
        <f t="shared" si="8"/>
        <v>295000</v>
      </c>
      <c r="L25" s="25">
        <f t="shared" si="8"/>
        <v>2470</v>
      </c>
      <c r="M25" s="25">
        <f t="shared" si="8"/>
        <v>31670</v>
      </c>
      <c r="W25" s="29">
        <f>SUM(W3:W24)</f>
        <v>180.53999999999996</v>
      </c>
      <c r="X25" s="29">
        <f t="shared" ref="X25:AF25" si="9">SUM(X3:X24)</f>
        <v>288.58</v>
      </c>
      <c r="Y25" s="29">
        <f t="shared" si="9"/>
        <v>473</v>
      </c>
      <c r="Z25" s="29" t="e">
        <f t="shared" si="9"/>
        <v>#REF!</v>
      </c>
      <c r="AA25" s="29">
        <f t="shared" si="9"/>
        <v>2636.8160000000003</v>
      </c>
      <c r="AB25" s="29">
        <f t="shared" si="9"/>
        <v>21.000000000000004</v>
      </c>
      <c r="AC25" s="29">
        <f t="shared" si="9"/>
        <v>295000</v>
      </c>
      <c r="AD25" s="29" t="e">
        <f t="shared" si="9"/>
        <v>#REF!</v>
      </c>
      <c r="AE25" s="29">
        <f t="shared" si="9"/>
        <v>31670</v>
      </c>
      <c r="AF25" s="29">
        <f t="shared" si="9"/>
        <v>0</v>
      </c>
    </row>
    <row r="26" spans="1:53" x14ac:dyDescent="0.3">
      <c r="C26" s="60"/>
      <c r="D26" s="61"/>
      <c r="E26" s="25">
        <f>E25*8760</f>
        <v>5271768</v>
      </c>
      <c r="F26" s="25">
        <f t="shared" ref="F26:J26" si="10">F25*8760</f>
        <v>5378640</v>
      </c>
      <c r="G26" s="25">
        <f t="shared" si="10"/>
        <v>7533600</v>
      </c>
      <c r="H26" s="25">
        <f t="shared" si="10"/>
        <v>350400</v>
      </c>
      <c r="I26" s="25">
        <f t="shared" si="10"/>
        <v>35644790.399999999</v>
      </c>
      <c r="J26" s="25">
        <f t="shared" si="10"/>
        <v>2628000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1">AF25*8760</f>
        <v>0</v>
      </c>
    </row>
    <row r="27" spans="1:53" x14ac:dyDescent="0.3">
      <c r="C27" s="60"/>
      <c r="D27" s="61"/>
      <c r="E27" s="62">
        <f>E26*0.9/[3]calliope_2050!$S$8763</f>
        <v>0.14572201493334871</v>
      </c>
      <c r="F27" s="62">
        <f>F26*0.9/[3]calliope_2050!$S$8763</f>
        <v>0.14867616678144915</v>
      </c>
      <c r="G27" s="62">
        <f>G26*0.9/[3]calliope_2050!$S$8763</f>
        <v>0.20824349093167147</v>
      </c>
      <c r="H27" s="62">
        <f>H26*0.9/[3]calliope_2050!$S$8763</f>
        <v>9.6857437642637895E-3</v>
      </c>
      <c r="I27" s="62">
        <f>I26*0.9/[3]calliope_2050!$S$8763</f>
        <v>0.98529197016349823</v>
      </c>
      <c r="J27" s="62">
        <f>J26*0.9/[3]calliope_2050!$S$8763</f>
        <v>7.2643078231978422E-2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36" t="e">
        <f>SUM(W25:AE25)+AF5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2">X25/$D$28*100</f>
        <v>#REF!</v>
      </c>
      <c r="Y28" s="38" t="e">
        <f t="shared" si="12"/>
        <v>#REF!</v>
      </c>
      <c r="Z28" s="38" t="e">
        <f t="shared" si="12"/>
        <v>#REF!</v>
      </c>
      <c r="AA28" s="38" t="e">
        <f t="shared" si="12"/>
        <v>#REF!</v>
      </c>
      <c r="AB28" s="38" t="e">
        <f t="shared" si="12"/>
        <v>#REF!</v>
      </c>
      <c r="AC28" s="38" t="e">
        <f t="shared" si="12"/>
        <v>#REF!</v>
      </c>
      <c r="AD28" s="38" t="e">
        <f t="shared" si="12"/>
        <v>#REF!</v>
      </c>
      <c r="AE28" s="38" t="e">
        <f t="shared" si="12"/>
        <v>#REF!</v>
      </c>
      <c r="AF28" s="38" t="e">
        <f t="shared" si="12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331431.96519999998</v>
      </c>
      <c r="E29" s="25"/>
      <c r="F29" s="25"/>
      <c r="G29" s="25"/>
      <c r="H29" s="25"/>
      <c r="I29" s="25"/>
      <c r="J29" s="25">
        <f>J28/J25</f>
        <v>0.75996666666666668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-72.009999999999991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99156.600000000035</v>
      </c>
      <c r="E31" s="25">
        <f>SUM(E3:E9)</f>
        <v>302.8</v>
      </c>
      <c r="F31" s="25">
        <f t="shared" ref="F31:M31" si="13">SUM(F3:F9)</f>
        <v>350</v>
      </c>
      <c r="G31" s="25">
        <f t="shared" si="13"/>
        <v>300</v>
      </c>
      <c r="H31" s="25">
        <f t="shared" si="13"/>
        <v>0</v>
      </c>
      <c r="I31" s="25">
        <f t="shared" si="13"/>
        <v>503.80000000000007</v>
      </c>
      <c r="J31" s="25">
        <f t="shared" si="13"/>
        <v>300</v>
      </c>
      <c r="K31" s="25">
        <f t="shared" si="13"/>
        <v>97400.000000000029</v>
      </c>
      <c r="L31" s="25">
        <f t="shared" si="13"/>
        <v>1010</v>
      </c>
      <c r="M31" s="25">
        <f t="shared" si="13"/>
        <v>0</v>
      </c>
      <c r="N31" s="29">
        <f>SUM(E31:M31)</f>
        <v>100166.60000000003</v>
      </c>
      <c r="O31" s="29">
        <f>N31*19.55%</f>
        <v>19582.570300000007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4">SUM(W3:W9)</f>
        <v>90.839999999999989</v>
      </c>
      <c r="X31" s="25">
        <f t="shared" si="14"/>
        <v>164.5</v>
      </c>
      <c r="Y31" s="25">
        <f t="shared" si="14"/>
        <v>165</v>
      </c>
      <c r="Z31" s="25" t="e">
        <f t="shared" si="14"/>
        <v>#REF!</v>
      </c>
      <c r="AA31" s="25">
        <f t="shared" si="14"/>
        <v>319.41000000000003</v>
      </c>
      <c r="AB31" s="25">
        <f t="shared" si="14"/>
        <v>21.000000000000004</v>
      </c>
      <c r="AC31" s="25">
        <f t="shared" si="14"/>
        <v>97400.000000000029</v>
      </c>
      <c r="AD31" s="25" t="e">
        <f t="shared" si="14"/>
        <v>#REF!</v>
      </c>
      <c r="AE31" s="25">
        <f t="shared" si="14"/>
        <v>0</v>
      </c>
      <c r="AF31" s="25">
        <f t="shared" si="14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77466.100000000006</v>
      </c>
      <c r="E32" s="25">
        <f>SUM(E10:E17)</f>
        <v>299</v>
      </c>
      <c r="F32" s="25">
        <f t="shared" ref="F32:M32" si="15">SUM(F10:F17)</f>
        <v>250</v>
      </c>
      <c r="G32" s="25">
        <f t="shared" si="15"/>
        <v>400</v>
      </c>
      <c r="H32" s="25">
        <f t="shared" si="15"/>
        <v>40</v>
      </c>
      <c r="I32" s="25">
        <f t="shared" si="15"/>
        <v>777.09999999999991</v>
      </c>
      <c r="J32" s="25">
        <f t="shared" si="15"/>
        <v>0</v>
      </c>
      <c r="K32" s="25">
        <f t="shared" si="15"/>
        <v>75700</v>
      </c>
      <c r="L32" s="25">
        <f t="shared" si="15"/>
        <v>1460</v>
      </c>
      <c r="M32" s="25">
        <f t="shared" si="15"/>
        <v>31670</v>
      </c>
      <c r="N32" s="29">
        <f>SUM(E32:M32)</f>
        <v>110596.1</v>
      </c>
      <c r="O32" s="29">
        <f>N32*14.02%</f>
        <v>15505.57322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6">SUM(W10:W17)</f>
        <v>89.699999999999989</v>
      </c>
      <c r="X32" s="25">
        <f t="shared" si="16"/>
        <v>117.5</v>
      </c>
      <c r="Y32" s="25">
        <f t="shared" si="16"/>
        <v>220</v>
      </c>
      <c r="Z32" s="25" t="e">
        <f t="shared" si="16"/>
        <v>#REF!</v>
      </c>
      <c r="AA32" s="25">
        <f t="shared" si="16"/>
        <v>505.11500000000001</v>
      </c>
      <c r="AB32" s="25">
        <f t="shared" si="16"/>
        <v>0</v>
      </c>
      <c r="AC32" s="25">
        <f t="shared" si="16"/>
        <v>75700</v>
      </c>
      <c r="AD32" s="25" t="e">
        <f t="shared" si="16"/>
        <v>#REF!</v>
      </c>
      <c r="AE32" s="25">
        <f t="shared" si="16"/>
        <v>31670</v>
      </c>
      <c r="AF32" s="25">
        <f t="shared" si="16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124862.14</v>
      </c>
      <c r="E33" s="25">
        <f>SUM(E18:E24)</f>
        <v>0</v>
      </c>
      <c r="F33" s="25">
        <f t="shared" ref="F33:M33" si="17">SUM(F18:F24)</f>
        <v>14</v>
      </c>
      <c r="G33" s="25">
        <f t="shared" si="17"/>
        <v>160</v>
      </c>
      <c r="H33" s="25">
        <f t="shared" si="17"/>
        <v>0</v>
      </c>
      <c r="I33" s="25">
        <f t="shared" si="17"/>
        <v>2788.1400000000003</v>
      </c>
      <c r="J33" s="25">
        <f t="shared" si="17"/>
        <v>0</v>
      </c>
      <c r="K33" s="25">
        <f t="shared" si="17"/>
        <v>121900</v>
      </c>
      <c r="L33" s="25">
        <f t="shared" si="17"/>
        <v>0</v>
      </c>
      <c r="M33" s="25">
        <f t="shared" si="17"/>
        <v>0</v>
      </c>
      <c r="N33" s="29">
        <f>SUM(E33:M33)</f>
        <v>124862.14</v>
      </c>
      <c r="O33" s="29">
        <f>N33*31.62%</f>
        <v>39481.408668000004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8">SUM(W18:W24)</f>
        <v>0</v>
      </c>
      <c r="X33" s="25">
        <f t="shared" si="18"/>
        <v>6.58</v>
      </c>
      <c r="Y33" s="25">
        <f t="shared" si="18"/>
        <v>88</v>
      </c>
      <c r="Z33" s="25" t="e">
        <f t="shared" si="18"/>
        <v>#REF!</v>
      </c>
      <c r="AA33" s="25">
        <f t="shared" si="18"/>
        <v>1812.2910000000002</v>
      </c>
      <c r="AB33" s="25">
        <f t="shared" si="18"/>
        <v>0</v>
      </c>
      <c r="AC33" s="25">
        <f t="shared" si="18"/>
        <v>121900</v>
      </c>
      <c r="AD33" s="25" t="e">
        <f t="shared" si="18"/>
        <v>#REF!</v>
      </c>
      <c r="AE33" s="25">
        <f t="shared" si="18"/>
        <v>0</v>
      </c>
      <c r="AF33" s="25">
        <f t="shared" si="18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335624.84</v>
      </c>
      <c r="O34" s="29">
        <f>SUM(O31:O33)</f>
        <v>74569.552188000001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100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25C5-56EB-4173-9671-DD148E735217}">
  <dimension ref="A1:BA61"/>
  <sheetViews>
    <sheetView tabSelected="1"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E15" sqref="E15"/>
    </sheetView>
  </sheetViews>
  <sheetFormatPr defaultRowHeight="14.4" x14ac:dyDescent="0.3"/>
  <cols>
    <col min="3" max="3" width="9.109375" style="22" customWidth="1"/>
    <col min="4" max="4" width="13.109375" style="65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4.44140625" style="22" bestFit="1" customWidth="1"/>
    <col min="10" max="11" width="12.10937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66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101</v>
      </c>
      <c r="K2" s="9" t="s">
        <v>8</v>
      </c>
      <c r="L2" s="56" t="s">
        <v>62</v>
      </c>
      <c r="M2" s="53" t="s">
        <v>98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f>1308/4</f>
        <v>327</v>
      </c>
      <c r="F3" s="13">
        <v>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f>solar_iesr!$C$2/6*1000</f>
        <v>262833.33333333331</v>
      </c>
      <c r="L3" s="57">
        <v>0</v>
      </c>
      <c r="M3" s="54">
        <f>wind_sergio!$C$2/3*1000</f>
        <v>6096.666666666667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Y24" si="0">E3*N3</f>
        <v>98.1</v>
      </c>
      <c r="X3" s="13">
        <f t="shared" si="0"/>
        <v>0</v>
      </c>
      <c r="Y3" s="14">
        <f t="shared" si="0"/>
        <v>0</v>
      </c>
      <c r="Z3" s="15" t="e">
        <f>#REF!*Q3</f>
        <v>#REF!</v>
      </c>
      <c r="AA3" s="16">
        <f t="shared" ref="AA3:AC18" si="1">I3*R3</f>
        <v>0</v>
      </c>
      <c r="AB3" s="17">
        <f t="shared" si="1"/>
        <v>0</v>
      </c>
      <c r="AC3" s="18">
        <f t="shared" si="1"/>
        <v>262833.33333333331</v>
      </c>
      <c r="AD3" s="19" t="e">
        <f>#REF!*U3</f>
        <v>#REF!</v>
      </c>
      <c r="AE3" s="20">
        <f t="shared" ref="AE3:AE24" si="2">M3*V3</f>
        <v>6096.666666666667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v>0</v>
      </c>
      <c r="F4" s="13">
        <f>'esdm+ruptl_2030'!F4</f>
        <v>0</v>
      </c>
      <c r="G4" s="14">
        <v>0</v>
      </c>
      <c r="H4" s="15">
        <f>'esdm+ruptl_2030'!H4</f>
        <v>0</v>
      </c>
      <c r="I4" s="16">
        <v>0</v>
      </c>
      <c r="J4" s="17">
        <v>0</v>
      </c>
      <c r="K4" s="18">
        <f>solar_iesr!$C$2/6*1000</f>
        <v>262833.33333333331</v>
      </c>
      <c r="L4" s="57">
        <v>0</v>
      </c>
      <c r="M4" s="54">
        <f>wind_sergio!$C$2/3*1000</f>
        <v>6096.666666666667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0</v>
      </c>
      <c r="X4" s="13">
        <f t="shared" si="0"/>
        <v>0</v>
      </c>
      <c r="Y4" s="14">
        <f t="shared" si="0"/>
        <v>0</v>
      </c>
      <c r="Z4" s="15" t="e">
        <f>#REF!*Q4</f>
        <v>#REF!</v>
      </c>
      <c r="AA4" s="16">
        <f t="shared" si="1"/>
        <v>0</v>
      </c>
      <c r="AB4" s="17">
        <f t="shared" si="1"/>
        <v>0</v>
      </c>
      <c r="AC4" s="18">
        <f t="shared" si="1"/>
        <v>262833.33333333331</v>
      </c>
      <c r="AD4" s="19" t="e">
        <f>#REF!*U4</f>
        <v>#REF!</v>
      </c>
      <c r="AE4" s="20">
        <f t="shared" si="2"/>
        <v>6096.666666666667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f>1308/4</f>
        <v>327</v>
      </c>
      <c r="F5" s="13">
        <v>0</v>
      </c>
      <c r="G5" s="14">
        <f>'esdm+ruptl_2030'!G5</f>
        <v>0</v>
      </c>
      <c r="H5" s="15">
        <f>'esdm+ruptl_2030'!H5</f>
        <v>0</v>
      </c>
      <c r="I5" s="16">
        <v>12.97</v>
      </c>
      <c r="J5" s="17">
        <v>1400</v>
      </c>
      <c r="K5" s="18">
        <f>solar_iesr!$C$2/6*1000</f>
        <v>262833.33333333331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98.1</v>
      </c>
      <c r="X5" s="13">
        <f t="shared" si="0"/>
        <v>0</v>
      </c>
      <c r="Y5" s="14">
        <f t="shared" si="0"/>
        <v>0</v>
      </c>
      <c r="Z5" s="15" t="e">
        <f>#REF!*Q5</f>
        <v>#REF!</v>
      </c>
      <c r="AA5" s="16">
        <f t="shared" si="1"/>
        <v>8.4305000000000003</v>
      </c>
      <c r="AB5" s="17">
        <f t="shared" si="1"/>
        <v>98.000000000000014</v>
      </c>
      <c r="AC5" s="18">
        <f t="shared" si="1"/>
        <v>262833.33333333331</v>
      </c>
      <c r="AD5" s="19" t="e">
        <f>#REF!*U5</f>
        <v>#REF!</v>
      </c>
      <c r="AE5" s="20">
        <f t="shared" si="2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f>1308/4</f>
        <v>327</v>
      </c>
      <c r="F6" s="13">
        <v>0</v>
      </c>
      <c r="G6" s="14">
        <f>'esdm+ruptl_2030'!G6</f>
        <v>0</v>
      </c>
      <c r="H6" s="15">
        <f>'esdm+ruptl_2030'!H6</f>
        <v>0</v>
      </c>
      <c r="I6" s="16">
        <v>0</v>
      </c>
      <c r="J6" s="17">
        <v>0</v>
      </c>
      <c r="K6" s="18">
        <f>solar_iesr!$C$2/6*1000</f>
        <v>262833.33333333331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98.1</v>
      </c>
      <c r="X6" s="13">
        <f t="shared" si="0"/>
        <v>0</v>
      </c>
      <c r="Y6" s="14">
        <f t="shared" si="0"/>
        <v>0</v>
      </c>
      <c r="Z6" s="15" t="e">
        <f>#REF!*Q6</f>
        <v>#REF!</v>
      </c>
      <c r="AA6" s="16">
        <v>0</v>
      </c>
      <c r="AB6" s="17">
        <f t="shared" si="1"/>
        <v>0</v>
      </c>
      <c r="AC6" s="18">
        <f t="shared" si="1"/>
        <v>262833.33333333331</v>
      </c>
      <c r="AD6" s="19" t="e">
        <f>#REF!*U6</f>
        <v>#REF!</v>
      </c>
      <c r="AE6" s="20">
        <f t="shared" si="2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v>0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v>103.57</v>
      </c>
      <c r="J7" s="17">
        <v>0</v>
      </c>
      <c r="K7" s="18">
        <f>solar_iesr!$C$2/6*1000</f>
        <v>262833.33333333331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0</v>
      </c>
      <c r="X7" s="13">
        <f t="shared" si="0"/>
        <v>0</v>
      </c>
      <c r="Y7" s="14">
        <f t="shared" si="0"/>
        <v>0</v>
      </c>
      <c r="Z7" s="15" t="e">
        <f>#REF!*Q7</f>
        <v>#REF!</v>
      </c>
      <c r="AA7" s="16">
        <f t="shared" ref="AA7:AC24" si="3">I7*R7</f>
        <v>67.320499999999996</v>
      </c>
      <c r="AB7" s="17">
        <f t="shared" si="1"/>
        <v>0</v>
      </c>
      <c r="AC7" s="18">
        <f t="shared" si="1"/>
        <v>262833.33333333331</v>
      </c>
      <c r="AD7" s="19" t="e">
        <f>#REF!*U7</f>
        <v>#REF!</v>
      </c>
      <c r="AE7" s="20">
        <f t="shared" si="2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>1308/4</f>
        <v>327</v>
      </c>
      <c r="F8" s="13">
        <v>0</v>
      </c>
      <c r="G8" s="14">
        <f>'esdm+ruptl_2030'!G8</f>
        <v>0</v>
      </c>
      <c r="H8" s="15">
        <f>'esdm+ruptl_2030'!H8</f>
        <v>0</v>
      </c>
      <c r="I8" s="16">
        <v>0.3</v>
      </c>
      <c r="J8" s="17">
        <v>0</v>
      </c>
      <c r="K8" s="18">
        <f>solar_iesr!$C$2/6*1000</f>
        <v>262833.33333333331</v>
      </c>
      <c r="L8" s="57">
        <f>wind_sergio!$B$2*1000</f>
        <v>1010</v>
      </c>
      <c r="M8" s="54">
        <f>wind_sergio!$C$2/3*1000</f>
        <v>6096.666666666667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98.1</v>
      </c>
      <c r="X8" s="13">
        <f t="shared" si="0"/>
        <v>0</v>
      </c>
      <c r="Y8" s="14">
        <f t="shared" si="0"/>
        <v>0</v>
      </c>
      <c r="Z8" s="15" t="e">
        <f>#REF!*Q8</f>
        <v>#REF!</v>
      </c>
      <c r="AA8" s="16">
        <f t="shared" si="3"/>
        <v>0.19500000000000001</v>
      </c>
      <c r="AB8" s="17">
        <f t="shared" si="1"/>
        <v>0</v>
      </c>
      <c r="AC8" s="18">
        <f t="shared" si="1"/>
        <v>262833.33333333331</v>
      </c>
      <c r="AD8" s="19" t="e">
        <f>#REF!*U8</f>
        <v>#REF!</v>
      </c>
      <c r="AE8" s="20">
        <f t="shared" si="2"/>
        <v>6096.666666666667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93</v>
      </c>
      <c r="E9" s="12">
        <v>0</v>
      </c>
      <c r="F9" s="13">
        <f>'esdm+ruptl_2030'!F9</f>
        <v>0</v>
      </c>
      <c r="G9" s="14">
        <v>0</v>
      </c>
      <c r="H9" s="15">
        <f>'esdm+ruptl_2030'!H9</f>
        <v>0</v>
      </c>
      <c r="I9" s="16">
        <f>4737</f>
        <v>4737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0</v>
      </c>
      <c r="X9" s="13">
        <f t="shared" si="0"/>
        <v>0</v>
      </c>
      <c r="Y9" s="14">
        <f t="shared" si="0"/>
        <v>0</v>
      </c>
      <c r="Z9" s="15" t="e">
        <f>#REF!*Q9</f>
        <v>#REF!</v>
      </c>
      <c r="AA9" s="16">
        <f t="shared" si="3"/>
        <v>3079.05</v>
      </c>
      <c r="AB9" s="17">
        <f t="shared" si="1"/>
        <v>0</v>
      </c>
      <c r="AC9" s="18">
        <f t="shared" si="1"/>
        <v>0</v>
      </c>
      <c r="AD9" s="19" t="e">
        <f>#REF!*U9</f>
        <v>#REF!</v>
      </c>
      <c r="AE9" s="20">
        <f t="shared" si="2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1499/2</f>
        <v>749.5</v>
      </c>
      <c r="F10" s="13">
        <f>'esdm+ruptl_2030'!F10</f>
        <v>0</v>
      </c>
      <c r="G10" s="14">
        <v>0</v>
      </c>
      <c r="H10" s="15">
        <f>'esdm+ruptl_2030'!H10</f>
        <v>0</v>
      </c>
      <c r="I10" s="16">
        <v>0</v>
      </c>
      <c r="J10" s="17">
        <v>0</v>
      </c>
      <c r="K10" s="18">
        <f>solar_iesr!$C$3/5*1000</f>
        <v>205000</v>
      </c>
      <c r="L10" s="57">
        <f>wind_sergio!$B$3/2*1000</f>
        <v>590</v>
      </c>
      <c r="M10" s="54">
        <f>wind_sergio!$C$3*1000/4</f>
        <v>5207.5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224.85</v>
      </c>
      <c r="X10" s="13">
        <f t="shared" si="0"/>
        <v>0</v>
      </c>
      <c r="Y10" s="14">
        <f t="shared" si="0"/>
        <v>0</v>
      </c>
      <c r="Z10" s="15" t="e">
        <f>#REF!*Q10</f>
        <v>#REF!</v>
      </c>
      <c r="AA10" s="16">
        <f t="shared" si="3"/>
        <v>0</v>
      </c>
      <c r="AB10" s="17">
        <f t="shared" si="1"/>
        <v>0</v>
      </c>
      <c r="AC10" s="18">
        <f t="shared" si="1"/>
        <v>205000</v>
      </c>
      <c r="AD10" s="19" t="e">
        <f>#REF!*U10</f>
        <v>#REF!</v>
      </c>
      <c r="AE10" s="20">
        <f t="shared" si="2"/>
        <v>5207.5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>1499/2</f>
        <v>749.5</v>
      </c>
      <c r="F11" s="13">
        <v>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solar_iesr!$C$3/5*1000</f>
        <v>205000</v>
      </c>
      <c r="L11" s="57">
        <f>wind_sergio!$B$3/2*1000</f>
        <v>590</v>
      </c>
      <c r="M11" s="54">
        <f>wind_sergio!$C$3*1000/4</f>
        <v>5207.5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224.85</v>
      </c>
      <c r="X11" s="13">
        <f t="shared" si="0"/>
        <v>0</v>
      </c>
      <c r="Y11" s="14">
        <f t="shared" si="0"/>
        <v>0</v>
      </c>
      <c r="Z11" s="15" t="e">
        <f>#REF!*Q11</f>
        <v>#REF!</v>
      </c>
      <c r="AA11" s="16">
        <f t="shared" si="3"/>
        <v>0</v>
      </c>
      <c r="AB11" s="17">
        <f t="shared" si="1"/>
        <v>0</v>
      </c>
      <c r="AC11" s="18">
        <f t="shared" si="1"/>
        <v>205000</v>
      </c>
      <c r="AD11" s="19" t="e">
        <f>#REF!*U11</f>
        <v>#REF!</v>
      </c>
      <c r="AE11" s="20">
        <f t="shared" si="2"/>
        <v>5207.5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v>0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solar_iesr!$C$3/5*1000</f>
        <v>205000</v>
      </c>
      <c r="L12" s="57">
        <v>0</v>
      </c>
      <c r="M12" s="54">
        <f>wind_sergio!$C$3*1000/4</f>
        <v>5207.5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0</v>
      </c>
      <c r="X12" s="13">
        <f t="shared" si="0"/>
        <v>0</v>
      </c>
      <c r="Y12" s="14">
        <f t="shared" si="0"/>
        <v>0</v>
      </c>
      <c r="Z12" s="15" t="e">
        <f>#REF!*Q12</f>
        <v>#REF!</v>
      </c>
      <c r="AA12" s="16">
        <f t="shared" si="3"/>
        <v>0</v>
      </c>
      <c r="AB12" s="17">
        <f t="shared" si="1"/>
        <v>0</v>
      </c>
      <c r="AC12" s="18">
        <f t="shared" si="1"/>
        <v>205000</v>
      </c>
      <c r="AD12" s="19" t="e">
        <f>#REF!*U12</f>
        <v>#REF!</v>
      </c>
      <c r="AE12" s="20">
        <f t="shared" si="2"/>
        <v>5207.5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v>0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v>0</v>
      </c>
      <c r="J13" s="17">
        <v>0</v>
      </c>
      <c r="K13" s="18">
        <f>solar_iesr!$C$3/5*1000</f>
        <v>205000</v>
      </c>
      <c r="L13" s="57">
        <v>0</v>
      </c>
      <c r="M13" s="54">
        <f>wind_sergio!$C$3*1000/4</f>
        <v>5207.5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0</v>
      </c>
      <c r="X13" s="13">
        <f t="shared" si="0"/>
        <v>0</v>
      </c>
      <c r="Y13" s="14">
        <f t="shared" si="0"/>
        <v>0</v>
      </c>
      <c r="Z13" s="15" t="e">
        <f>#REF!*Q13</f>
        <v>#REF!</v>
      </c>
      <c r="AA13" s="16">
        <f t="shared" si="3"/>
        <v>0</v>
      </c>
      <c r="AB13" s="17">
        <f t="shared" si="1"/>
        <v>0</v>
      </c>
      <c r="AC13" s="18">
        <f t="shared" si="1"/>
        <v>205000</v>
      </c>
      <c r="AD13" s="19" t="e">
        <f>#REF!*U13</f>
        <v>#REF!</v>
      </c>
      <c r="AE13" s="20">
        <f t="shared" si="2"/>
        <v>5207.5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v>0</v>
      </c>
      <c r="F14" s="13">
        <v>0</v>
      </c>
      <c r="G14" s="14">
        <v>0</v>
      </c>
      <c r="H14" s="15">
        <f>'esdm+ruptl_2030'!H14</f>
        <v>0</v>
      </c>
      <c r="I14" s="16">
        <f>400</f>
        <v>400</v>
      </c>
      <c r="J14" s="17">
        <v>0</v>
      </c>
      <c r="K14" s="18">
        <f>solar_iesr!$C$3/5*1000</f>
        <v>205000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0</v>
      </c>
      <c r="X14" s="13">
        <f t="shared" si="0"/>
        <v>0</v>
      </c>
      <c r="Y14" s="14">
        <f t="shared" si="0"/>
        <v>0</v>
      </c>
      <c r="Z14" s="15" t="e">
        <f>#REF!*Q14</f>
        <v>#REF!</v>
      </c>
      <c r="AA14" s="16">
        <f t="shared" si="3"/>
        <v>260</v>
      </c>
      <c r="AB14" s="17">
        <f t="shared" si="1"/>
        <v>0</v>
      </c>
      <c r="AC14" s="18">
        <f t="shared" si="1"/>
        <v>205000</v>
      </c>
      <c r="AD14" s="19" t="e">
        <f>#REF!*U14</f>
        <v>#REF!</v>
      </c>
      <c r="AE14" s="20">
        <f t="shared" si="2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1290/3</f>
        <v>430</v>
      </c>
      <c r="F15" s="13">
        <v>0</v>
      </c>
      <c r="G15" s="14">
        <v>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f>wind_sergio!$C$4*1000/2</f>
        <v>5420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129</v>
      </c>
      <c r="X15" s="13">
        <f t="shared" si="0"/>
        <v>0</v>
      </c>
      <c r="Y15" s="14">
        <f t="shared" si="0"/>
        <v>0</v>
      </c>
      <c r="Z15" s="15" t="e">
        <f>#REF!*Q15</f>
        <v>#REF!</v>
      </c>
      <c r="AA15" s="16">
        <f t="shared" si="3"/>
        <v>19.5</v>
      </c>
      <c r="AB15" s="17">
        <f t="shared" si="1"/>
        <v>0</v>
      </c>
      <c r="AC15" s="18">
        <f t="shared" si="1"/>
        <v>0</v>
      </c>
      <c r="AD15" s="19" t="e">
        <f>#REF!*U15</f>
        <v>#REF!</v>
      </c>
      <c r="AE15" s="20">
        <f t="shared" si="2"/>
        <v>5420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f>1290/3</f>
        <v>430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v>0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129</v>
      </c>
      <c r="X16" s="13">
        <f t="shared" si="0"/>
        <v>0</v>
      </c>
      <c r="Y16" s="14">
        <f t="shared" si="0"/>
        <v>0</v>
      </c>
      <c r="Z16" s="15" t="e">
        <f>#REF!*Q16</f>
        <v>#REF!</v>
      </c>
      <c r="AA16" s="16">
        <f t="shared" si="3"/>
        <v>0</v>
      </c>
      <c r="AB16" s="17">
        <f t="shared" si="1"/>
        <v>0</v>
      </c>
      <c r="AC16" s="18">
        <f t="shared" si="1"/>
        <v>0</v>
      </c>
      <c r="AD16" s="19" t="e">
        <f>#REF!*U16</f>
        <v>#REF!</v>
      </c>
      <c r="AE16" s="20">
        <f t="shared" si="2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f>1290/3</f>
        <v>430</v>
      </c>
      <c r="F17" s="13">
        <v>0</v>
      </c>
      <c r="G17" s="14">
        <f>'esdm+ruptl_2030'!G17</f>
        <v>0</v>
      </c>
      <c r="H17" s="15">
        <v>0</v>
      </c>
      <c r="I17" s="16">
        <v>0</v>
      </c>
      <c r="J17" s="17">
        <v>0</v>
      </c>
      <c r="K17" s="18">
        <f>solar_iesr!$C$4*1000</f>
        <v>275000</v>
      </c>
      <c r="L17" s="57">
        <f>wind_sergio!$B$4/2*1000</f>
        <v>140</v>
      </c>
      <c r="M17" s="54">
        <f>wind_sergio!$C$4*1000/2</f>
        <v>5420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129</v>
      </c>
      <c r="X17" s="13">
        <f t="shared" si="0"/>
        <v>0</v>
      </c>
      <c r="Y17" s="14">
        <f t="shared" si="0"/>
        <v>0</v>
      </c>
      <c r="Z17" s="15" t="e">
        <f>#REF!*Q17</f>
        <v>#REF!</v>
      </c>
      <c r="AA17" s="16">
        <f t="shared" si="3"/>
        <v>0</v>
      </c>
      <c r="AB17" s="17">
        <f t="shared" si="1"/>
        <v>0</v>
      </c>
      <c r="AC17" s="18">
        <f t="shared" si="1"/>
        <v>275000</v>
      </c>
      <c r="AD17" s="19" t="e">
        <f>#REF!*U17</f>
        <v>#REF!</v>
      </c>
      <c r="AE17" s="20">
        <f t="shared" si="2"/>
        <v>5420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v>0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solar_iesr!$C$5/4*1000</f>
        <v>421500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0"/>
        <v>0</v>
      </c>
      <c r="Y18" s="14">
        <f t="shared" si="0"/>
        <v>0</v>
      </c>
      <c r="Z18" s="15" t="e">
        <f>#REF!*Q18</f>
        <v>#REF!</v>
      </c>
      <c r="AA18" s="16">
        <f t="shared" si="3"/>
        <v>0</v>
      </c>
      <c r="AB18" s="17">
        <f t="shared" si="1"/>
        <v>0</v>
      </c>
      <c r="AC18" s="18">
        <f t="shared" si="1"/>
        <v>421500</v>
      </c>
      <c r="AD18" s="19" t="e">
        <f>#REF!*U18</f>
        <v>#REF!</v>
      </c>
      <c r="AE18" s="20">
        <f t="shared" si="2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0</v>
      </c>
      <c r="H19" s="15">
        <f>'esdm+ruptl_2030'!H19</f>
        <v>0</v>
      </c>
      <c r="I19" s="16">
        <v>0</v>
      </c>
      <c r="J19" s="17">
        <v>0</v>
      </c>
      <c r="K19" s="18">
        <v>0</v>
      </c>
      <c r="L19" s="57">
        <f>wind_sergio!$B$5*1000/3</f>
        <v>20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0"/>
        <v>0</v>
      </c>
      <c r="Y19" s="14">
        <f t="shared" si="0"/>
        <v>0</v>
      </c>
      <c r="Z19" s="15" t="e">
        <f>#REF!*Q19</f>
        <v>#REF!</v>
      </c>
      <c r="AA19" s="16">
        <f t="shared" si="3"/>
        <v>0</v>
      </c>
      <c r="AB19" s="17">
        <f t="shared" si="3"/>
        <v>0</v>
      </c>
      <c r="AC19" s="18">
        <f t="shared" si="3"/>
        <v>0</v>
      </c>
      <c r="AD19" s="19" t="e">
        <f>#REF!*U19</f>
        <v>#REF!</v>
      </c>
      <c r="AE19" s="20">
        <f t="shared" si="2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v>90</v>
      </c>
      <c r="J20" s="17">
        <v>0</v>
      </c>
      <c r="K20" s="18">
        <f>solar_iesr!$C$5/4*1000</f>
        <v>421500</v>
      </c>
      <c r="L20" s="57">
        <f>wind_sergio!$B$5*1000/3</f>
        <v>20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0"/>
        <v>0</v>
      </c>
      <c r="Y20" s="14">
        <f t="shared" si="0"/>
        <v>0</v>
      </c>
      <c r="Z20" s="15" t="e">
        <f>#REF!*Q20</f>
        <v>#REF!</v>
      </c>
      <c r="AA20" s="16">
        <f t="shared" si="3"/>
        <v>58.5</v>
      </c>
      <c r="AB20" s="17">
        <f t="shared" si="3"/>
        <v>0</v>
      </c>
      <c r="AC20" s="18">
        <f t="shared" si="3"/>
        <v>421500</v>
      </c>
      <c r="AD20" s="19" t="e">
        <f>#REF!*U20</f>
        <v>#REF!</v>
      </c>
      <c r="AE20" s="20">
        <f t="shared" si="2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v>18</v>
      </c>
      <c r="J21" s="17">
        <v>0</v>
      </c>
      <c r="K21" s="18">
        <f>solar_iesr!$C$5/4*1000</f>
        <v>421500</v>
      </c>
      <c r="L21" s="57">
        <f>wind_sergio!$B$5*1000/3</f>
        <v>20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0"/>
        <v>0</v>
      </c>
      <c r="Y21" s="14">
        <f t="shared" si="0"/>
        <v>0</v>
      </c>
      <c r="Z21" s="15" t="e">
        <f>#REF!*Q21</f>
        <v>#REF!</v>
      </c>
      <c r="AA21" s="16">
        <f t="shared" si="3"/>
        <v>11.700000000000001</v>
      </c>
      <c r="AB21" s="17">
        <f t="shared" si="3"/>
        <v>0</v>
      </c>
      <c r="AC21" s="18">
        <f t="shared" si="3"/>
        <v>421500</v>
      </c>
      <c r="AD21" s="19" t="e">
        <f>#REF!*U21</f>
        <v>#REF!</v>
      </c>
      <c r="AE21" s="20">
        <f t="shared" si="2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v>155</v>
      </c>
      <c r="J22" s="17">
        <v>0</v>
      </c>
      <c r="K22" s="18">
        <f>solar_iesr!$C$5/4*1000</f>
        <v>421500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0"/>
        <v>0</v>
      </c>
      <c r="Y22" s="14">
        <f t="shared" si="0"/>
        <v>0</v>
      </c>
      <c r="Z22" s="15" t="e">
        <f>#REF!*Q22</f>
        <v>#REF!</v>
      </c>
      <c r="AA22" s="16">
        <f t="shared" si="3"/>
        <v>100.75</v>
      </c>
      <c r="AB22" s="17">
        <f t="shared" si="3"/>
        <v>0</v>
      </c>
      <c r="AC22" s="18">
        <f t="shared" si="3"/>
        <v>421500</v>
      </c>
      <c r="AD22" s="19" t="e">
        <f>#REF!*U22</f>
        <v>#REF!</v>
      </c>
      <c r="AE22" s="20">
        <f t="shared" si="2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v>0</v>
      </c>
      <c r="H23" s="15">
        <f>'esdm+ruptl_2030'!H23</f>
        <v>0</v>
      </c>
      <c r="I23" s="16">
        <v>90.24</v>
      </c>
      <c r="J23" s="17">
        <v>0</v>
      </c>
      <c r="K23" s="18">
        <f>solar_iesr!$C$6*1000/2</f>
        <v>82500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0"/>
        <v>0</v>
      </c>
      <c r="Y23" s="14">
        <f t="shared" si="0"/>
        <v>0</v>
      </c>
      <c r="Z23" s="15" t="e">
        <f>#REF!*Q23</f>
        <v>#REF!</v>
      </c>
      <c r="AA23" s="16">
        <f t="shared" si="3"/>
        <v>58.655999999999999</v>
      </c>
      <c r="AB23" s="17">
        <f t="shared" si="3"/>
        <v>0</v>
      </c>
      <c r="AC23" s="18">
        <f t="shared" si="3"/>
        <v>82500</v>
      </c>
      <c r="AD23" s="19" t="e">
        <f>#REF!*U23</f>
        <v>#REF!</v>
      </c>
      <c r="AE23" s="20">
        <f t="shared" si="2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92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21580</f>
        <v>21580</v>
      </c>
      <c r="J24" s="17">
        <v>0</v>
      </c>
      <c r="K24" s="18">
        <f>solar_iesr!$C$6*1000/2</f>
        <v>82500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0"/>
        <v>0</v>
      </c>
      <c r="Y24" s="14">
        <f t="shared" si="0"/>
        <v>0</v>
      </c>
      <c r="Z24" s="15" t="e">
        <f>#REF!*Q24</f>
        <v>#REF!</v>
      </c>
      <c r="AA24" s="16">
        <f t="shared" si="3"/>
        <v>14027</v>
      </c>
      <c r="AB24" s="17">
        <f t="shared" si="3"/>
        <v>0</v>
      </c>
      <c r="AC24" s="18">
        <f t="shared" si="3"/>
        <v>82500</v>
      </c>
      <c r="AD24" s="19" t="e">
        <f>#REF!*U24</f>
        <v>#REF!</v>
      </c>
      <c r="AE24" s="20">
        <f t="shared" si="2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4813204.08</v>
      </c>
      <c r="E25" s="25">
        <f>SUM(E3:E24)</f>
        <v>4097</v>
      </c>
      <c r="F25" s="25">
        <f t="shared" ref="F25:M25" si="4">SUM(F3:F24)</f>
        <v>0</v>
      </c>
      <c r="G25" s="25">
        <f t="shared" si="4"/>
        <v>0</v>
      </c>
      <c r="H25" s="25">
        <f t="shared" si="4"/>
        <v>0</v>
      </c>
      <c r="I25" s="25">
        <f t="shared" si="4"/>
        <v>27217.08</v>
      </c>
      <c r="J25" s="25">
        <f t="shared" si="4"/>
        <v>1400</v>
      </c>
      <c r="K25" s="25">
        <f t="shared" si="4"/>
        <v>4728000</v>
      </c>
      <c r="L25" s="25">
        <f t="shared" si="4"/>
        <v>2530</v>
      </c>
      <c r="M25" s="25">
        <f t="shared" si="4"/>
        <v>49960</v>
      </c>
      <c r="W25" s="29">
        <f>SUM(W3:W24)</f>
        <v>1229.0999999999999</v>
      </c>
      <c r="X25" s="29">
        <f t="shared" ref="X25:AF25" si="5">SUM(X3:X24)</f>
        <v>0</v>
      </c>
      <c r="Y25" s="29">
        <f t="shared" si="5"/>
        <v>0</v>
      </c>
      <c r="Z25" s="29" t="e">
        <f t="shared" si="5"/>
        <v>#REF!</v>
      </c>
      <c r="AA25" s="29">
        <f t="shared" si="5"/>
        <v>17691.101999999999</v>
      </c>
      <c r="AB25" s="29">
        <f t="shared" si="5"/>
        <v>98.000000000000014</v>
      </c>
      <c r="AC25" s="29">
        <f t="shared" si="5"/>
        <v>4728000</v>
      </c>
      <c r="AD25" s="29" t="e">
        <f t="shared" si="5"/>
        <v>#REF!</v>
      </c>
      <c r="AE25" s="29">
        <f t="shared" si="5"/>
        <v>49960</v>
      </c>
      <c r="AF25" s="29">
        <f t="shared" si="5"/>
        <v>0</v>
      </c>
    </row>
    <row r="26" spans="1:53" x14ac:dyDescent="0.3">
      <c r="C26" s="60"/>
      <c r="D26" s="61"/>
      <c r="E26" s="25">
        <f>E25*8760</f>
        <v>35889720</v>
      </c>
      <c r="F26" s="25">
        <f t="shared" ref="F26:J26" si="6">F25*8760</f>
        <v>0</v>
      </c>
      <c r="G26" s="25">
        <f t="shared" si="6"/>
        <v>0</v>
      </c>
      <c r="H26" s="25">
        <f t="shared" si="6"/>
        <v>0</v>
      </c>
      <c r="I26" s="25">
        <f t="shared" si="6"/>
        <v>238421620.80000001</v>
      </c>
      <c r="J26" s="25">
        <f t="shared" si="6"/>
        <v>12264000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7">AF25*8760</f>
        <v>0</v>
      </c>
    </row>
    <row r="27" spans="1:53" x14ac:dyDescent="0.3">
      <c r="C27" s="60"/>
      <c r="D27" s="61" t="s">
        <v>103</v>
      </c>
      <c r="E27" s="62">
        <f>E26*0.8/[3]calliope_2050!$S$8763</f>
        <v>0.88183316004863876</v>
      </c>
      <c r="F27" s="62">
        <f>F26*0.9/[3]calliope_2050!$S$8763</f>
        <v>0</v>
      </c>
      <c r="G27" s="62">
        <f>G26*0.9/[3]calliope_2050!$S$8763</f>
        <v>0</v>
      </c>
      <c r="H27" s="62">
        <f>H26*0.9/[3]calliope_2050!$S$8763</f>
        <v>0</v>
      </c>
      <c r="I27" s="62">
        <f>I26*0.9/[3]calliope_2050!$S$8763</f>
        <v>6.5904415722867178</v>
      </c>
      <c r="J27" s="62">
        <f>J26*0.9/[3]calliope_2050!$S$8763</f>
        <v>0.33900103174923263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67" t="s">
        <v>104</v>
      </c>
      <c r="E28" s="25"/>
      <c r="F28" s="25"/>
      <c r="G28" s="25"/>
      <c r="H28" s="25"/>
      <c r="I28" s="25"/>
      <c r="J28" s="44"/>
      <c r="K28" s="25"/>
      <c r="L28" s="25"/>
      <c r="M28" s="25"/>
      <c r="V28" s="29" t="e">
        <f>SUM(W28:AF28)</f>
        <v>#VALUE!</v>
      </c>
      <c r="W28" s="38" t="e">
        <f>W25/$D$28*100</f>
        <v>#VALUE!</v>
      </c>
      <c r="X28" s="38" t="e">
        <f t="shared" ref="X28:AF28" si="8">X25/$D$28*100</f>
        <v>#VALUE!</v>
      </c>
      <c r="Y28" s="38" t="e">
        <f t="shared" si="8"/>
        <v>#VALUE!</v>
      </c>
      <c r="Z28" s="38" t="e">
        <f t="shared" si="8"/>
        <v>#REF!</v>
      </c>
      <c r="AA28" s="38" t="e">
        <f t="shared" si="8"/>
        <v>#VALUE!</v>
      </c>
      <c r="AB28" s="38" t="e">
        <f t="shared" si="8"/>
        <v>#VALUE!</v>
      </c>
      <c r="AC28" s="38" t="e">
        <f t="shared" si="8"/>
        <v>#VALUE!</v>
      </c>
      <c r="AD28" s="38" t="e">
        <f t="shared" si="8"/>
        <v>#REF!</v>
      </c>
      <c r="AE28" s="38" t="e">
        <f t="shared" si="8"/>
        <v>#VALUE!</v>
      </c>
      <c r="AF28" s="38" t="e">
        <f t="shared" si="8"/>
        <v>#VALUE!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4791009.766400001</v>
      </c>
      <c r="E29" s="25"/>
      <c r="F29" s="25"/>
      <c r="G29" s="25"/>
      <c r="H29" s="25"/>
      <c r="I29" s="25"/>
      <c r="J29" s="25">
        <f>J28/J25</f>
        <v>0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-1400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1584561.8399999999</v>
      </c>
      <c r="E31" s="25">
        <f>SUM(E3:E9)</f>
        <v>1308</v>
      </c>
      <c r="F31" s="25">
        <f t="shared" ref="F31:M31" si="9">SUM(F3:F9)</f>
        <v>0</v>
      </c>
      <c r="G31" s="25">
        <f t="shared" si="9"/>
        <v>0</v>
      </c>
      <c r="H31" s="25">
        <f t="shared" si="9"/>
        <v>0</v>
      </c>
      <c r="I31" s="25">
        <f t="shared" si="9"/>
        <v>4853.84</v>
      </c>
      <c r="J31" s="25">
        <f t="shared" si="9"/>
        <v>1400</v>
      </c>
      <c r="K31" s="25">
        <f t="shared" si="9"/>
        <v>1576999.9999999998</v>
      </c>
      <c r="L31" s="25">
        <f t="shared" si="9"/>
        <v>1010</v>
      </c>
      <c r="M31" s="25">
        <f t="shared" si="9"/>
        <v>18290</v>
      </c>
      <c r="N31" s="29">
        <f>SUM(E31:M31)</f>
        <v>1603861.8399999999</v>
      </c>
      <c r="O31" s="29">
        <f>N31*19.55%</f>
        <v>313554.98971999995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0">SUM(W3:W9)</f>
        <v>392.4</v>
      </c>
      <c r="X31" s="25">
        <f t="shared" si="10"/>
        <v>0</v>
      </c>
      <c r="Y31" s="25">
        <f t="shared" si="10"/>
        <v>0</v>
      </c>
      <c r="Z31" s="25" t="e">
        <f t="shared" si="10"/>
        <v>#REF!</v>
      </c>
      <c r="AA31" s="25">
        <f t="shared" si="10"/>
        <v>3154.9960000000001</v>
      </c>
      <c r="AB31" s="25">
        <f t="shared" si="10"/>
        <v>98.000000000000014</v>
      </c>
      <c r="AC31" s="25">
        <f t="shared" si="10"/>
        <v>1576999.9999999998</v>
      </c>
      <c r="AD31" s="25" t="e">
        <f t="shared" si="10"/>
        <v>#REF!</v>
      </c>
      <c r="AE31" s="25">
        <f t="shared" si="10"/>
        <v>18290</v>
      </c>
      <c r="AF31" s="25">
        <f t="shared" si="10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1303219</v>
      </c>
      <c r="E32" s="25">
        <f>SUM(E10:E17)</f>
        <v>2789</v>
      </c>
      <c r="F32" s="25">
        <f t="shared" ref="F32:M32" si="11">SUM(F10:F17)</f>
        <v>0</v>
      </c>
      <c r="G32" s="25">
        <f t="shared" si="11"/>
        <v>0</v>
      </c>
      <c r="H32" s="25">
        <f t="shared" si="11"/>
        <v>0</v>
      </c>
      <c r="I32" s="25">
        <f t="shared" si="11"/>
        <v>430</v>
      </c>
      <c r="J32" s="25">
        <f t="shared" si="11"/>
        <v>0</v>
      </c>
      <c r="K32" s="25">
        <f t="shared" si="11"/>
        <v>1300000</v>
      </c>
      <c r="L32" s="25">
        <f t="shared" si="11"/>
        <v>1460</v>
      </c>
      <c r="M32" s="25">
        <f t="shared" si="11"/>
        <v>31670</v>
      </c>
      <c r="N32" s="29">
        <f>SUM(E32:M32)</f>
        <v>1336349</v>
      </c>
      <c r="O32" s="29">
        <f>N32*14.02%</f>
        <v>187356.1298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2">SUM(W10:W17)</f>
        <v>836.7</v>
      </c>
      <c r="X32" s="25">
        <f t="shared" si="12"/>
        <v>0</v>
      </c>
      <c r="Y32" s="25">
        <f t="shared" si="12"/>
        <v>0</v>
      </c>
      <c r="Z32" s="25" t="e">
        <f t="shared" si="12"/>
        <v>#REF!</v>
      </c>
      <c r="AA32" s="25">
        <f t="shared" si="12"/>
        <v>279.5</v>
      </c>
      <c r="AB32" s="25">
        <f t="shared" si="12"/>
        <v>0</v>
      </c>
      <c r="AC32" s="25">
        <f t="shared" si="12"/>
        <v>1300000</v>
      </c>
      <c r="AD32" s="25" t="e">
        <f t="shared" si="12"/>
        <v>#REF!</v>
      </c>
      <c r="AE32" s="25">
        <f t="shared" si="12"/>
        <v>31670</v>
      </c>
      <c r="AF32" s="25">
        <f t="shared" si="12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1872933.24</v>
      </c>
      <c r="E33" s="25">
        <f>SUM(E18:E24)</f>
        <v>0</v>
      </c>
      <c r="F33" s="25">
        <f t="shared" ref="F33:M33" si="13">SUM(F18:F24)</f>
        <v>0</v>
      </c>
      <c r="G33" s="25">
        <f t="shared" si="13"/>
        <v>0</v>
      </c>
      <c r="H33" s="25">
        <f t="shared" si="13"/>
        <v>0</v>
      </c>
      <c r="I33" s="25">
        <f t="shared" si="13"/>
        <v>21933.24</v>
      </c>
      <c r="J33" s="25">
        <f t="shared" si="13"/>
        <v>0</v>
      </c>
      <c r="K33" s="25">
        <f t="shared" si="13"/>
        <v>1851000</v>
      </c>
      <c r="L33" s="25">
        <f t="shared" si="13"/>
        <v>60</v>
      </c>
      <c r="M33" s="25">
        <f t="shared" si="13"/>
        <v>0</v>
      </c>
      <c r="N33" s="29">
        <f>SUM(E33:M33)</f>
        <v>1872993.24</v>
      </c>
      <c r="O33" s="29">
        <f>N33*31.62%</f>
        <v>592240.46248800005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4">SUM(W18:W24)</f>
        <v>0</v>
      </c>
      <c r="X33" s="25">
        <f t="shared" si="14"/>
        <v>0</v>
      </c>
      <c r="Y33" s="25">
        <f t="shared" si="14"/>
        <v>0</v>
      </c>
      <c r="Z33" s="25" t="e">
        <f t="shared" si="14"/>
        <v>#REF!</v>
      </c>
      <c r="AA33" s="25">
        <f t="shared" si="14"/>
        <v>14256.606</v>
      </c>
      <c r="AB33" s="25">
        <f t="shared" si="14"/>
        <v>0</v>
      </c>
      <c r="AC33" s="25">
        <f t="shared" si="14"/>
        <v>1851000</v>
      </c>
      <c r="AD33" s="25" t="e">
        <f t="shared" si="14"/>
        <v>#REF!</v>
      </c>
      <c r="AE33" s="25">
        <f t="shared" si="14"/>
        <v>0</v>
      </c>
      <c r="AF33" s="25">
        <f t="shared" si="14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4813204.08</v>
      </c>
      <c r="O34" s="29">
        <f>SUM(O31:O33)</f>
        <v>1093151.582008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100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4E148-1851-4CA0-AD9C-213A96A7A2DD}">
  <dimension ref="A1:BA61"/>
  <sheetViews>
    <sheetView zoomScale="80" zoomScaleNormal="80" workbookViewId="0">
      <pane xSplit="4" ySplit="2" topLeftCell="E3" activePane="bottomRight" state="frozen"/>
      <selection pane="topRight" activeCell="D1" sqref="D1"/>
      <selection pane="bottomLeft" activeCell="A3" sqref="A3"/>
      <selection pane="bottomRight" activeCell="H17" sqref="H17"/>
    </sheetView>
  </sheetViews>
  <sheetFormatPr defaultRowHeight="14.4" x14ac:dyDescent="0.3"/>
  <cols>
    <col min="3" max="3" width="9.109375" style="22" customWidth="1"/>
    <col min="4" max="4" width="13.109375" style="63" bestFit="1" customWidth="1"/>
    <col min="5" max="5" width="14" style="22" customWidth="1"/>
    <col min="6" max="6" width="11.77734375" style="22" customWidth="1"/>
    <col min="7" max="7" width="12.21875" style="22" customWidth="1"/>
    <col min="8" max="8" width="11.5546875" style="22" customWidth="1"/>
    <col min="9" max="9" width="13" style="22" customWidth="1"/>
    <col min="10" max="10" width="8.88671875" style="22" customWidth="1"/>
    <col min="11" max="11" width="11.44140625" style="22" bestFit="1" customWidth="1"/>
    <col min="12" max="13" width="8.88671875" style="22" customWidth="1"/>
    <col min="14" max="31" width="8.88671875" hidden="1" customWidth="1"/>
    <col min="32" max="41" width="8.88671875" customWidth="1"/>
    <col min="42" max="50" width="8.88671875" hidden="1" customWidth="1"/>
  </cols>
  <sheetData>
    <row r="1" spans="1:53" x14ac:dyDescent="0.3">
      <c r="C1" s="69">
        <v>2021</v>
      </c>
      <c r="D1" s="69"/>
      <c r="E1" s="70" t="s">
        <v>12</v>
      </c>
      <c r="F1" s="70"/>
      <c r="G1" s="70"/>
      <c r="H1" s="70"/>
      <c r="I1" s="70"/>
      <c r="J1" s="70"/>
      <c r="K1" s="70"/>
      <c r="L1" s="70"/>
      <c r="M1" s="70"/>
      <c r="N1" s="68" t="s">
        <v>75</v>
      </c>
      <c r="O1" s="68"/>
      <c r="P1" s="68"/>
      <c r="Q1" s="68"/>
      <c r="R1" s="68"/>
      <c r="S1" s="68"/>
      <c r="T1" s="68"/>
      <c r="U1" s="68"/>
      <c r="V1" s="68"/>
      <c r="W1" s="71" t="s">
        <v>14</v>
      </c>
      <c r="X1" s="71"/>
      <c r="Y1" s="71"/>
      <c r="Z1" s="71"/>
      <c r="AA1" s="71"/>
      <c r="AB1" s="71"/>
      <c r="AC1" s="71"/>
      <c r="AD1" s="71"/>
      <c r="AE1" s="71"/>
      <c r="AF1" s="64"/>
      <c r="AG1" s="68" t="s">
        <v>13</v>
      </c>
      <c r="AH1" s="68"/>
      <c r="AI1" s="68"/>
      <c r="AJ1" s="68"/>
      <c r="AK1" s="68"/>
      <c r="AL1" s="68"/>
      <c r="AM1" s="68"/>
      <c r="AN1" s="68"/>
      <c r="AO1" s="68"/>
      <c r="AP1" s="68" t="s">
        <v>67</v>
      </c>
      <c r="AQ1" s="68"/>
      <c r="AR1" s="68"/>
      <c r="AS1" s="68"/>
      <c r="AT1" s="68"/>
      <c r="AU1" s="68"/>
      <c r="AV1" s="68"/>
      <c r="AW1" s="68"/>
      <c r="AX1" s="68"/>
    </row>
    <row r="2" spans="1:53" x14ac:dyDescent="0.3">
      <c r="A2" t="s">
        <v>16</v>
      </c>
      <c r="B2" t="s">
        <v>15</v>
      </c>
      <c r="C2" s="24" t="s">
        <v>0</v>
      </c>
      <c r="D2" s="2" t="s">
        <v>2</v>
      </c>
      <c r="E2" s="3" t="s">
        <v>4</v>
      </c>
      <c r="F2" s="4" t="s">
        <v>3</v>
      </c>
      <c r="G2" s="5" t="s">
        <v>5</v>
      </c>
      <c r="H2" s="6" t="s">
        <v>10</v>
      </c>
      <c r="I2" s="7" t="s">
        <v>6</v>
      </c>
      <c r="J2" s="8" t="s">
        <v>7</v>
      </c>
      <c r="K2" s="9" t="s">
        <v>8</v>
      </c>
      <c r="L2" s="56" t="s">
        <v>62</v>
      </c>
      <c r="M2" s="53" t="s">
        <v>98</v>
      </c>
      <c r="N2" s="3" t="s">
        <v>4</v>
      </c>
      <c r="O2" s="4" t="s">
        <v>3</v>
      </c>
      <c r="P2" s="5" t="s">
        <v>5</v>
      </c>
      <c r="Q2" s="6" t="s">
        <v>10</v>
      </c>
      <c r="R2" s="7" t="s">
        <v>6</v>
      </c>
      <c r="S2" s="8" t="s">
        <v>7</v>
      </c>
      <c r="T2" s="9" t="s">
        <v>8</v>
      </c>
      <c r="U2" s="10" t="s">
        <v>11</v>
      </c>
      <c r="V2" s="11" t="s">
        <v>9</v>
      </c>
      <c r="W2" s="3" t="s">
        <v>4</v>
      </c>
      <c r="X2" s="4" t="s">
        <v>3</v>
      </c>
      <c r="Y2" s="5" t="s">
        <v>5</v>
      </c>
      <c r="Z2" s="6" t="s">
        <v>10</v>
      </c>
      <c r="AA2" s="7" t="s">
        <v>6</v>
      </c>
      <c r="AB2" s="8" t="s">
        <v>7</v>
      </c>
      <c r="AC2" s="9" t="s">
        <v>8</v>
      </c>
      <c r="AD2" s="10" t="s">
        <v>11</v>
      </c>
      <c r="AE2" s="11" t="s">
        <v>9</v>
      </c>
      <c r="AF2" s="42" t="s">
        <v>70</v>
      </c>
      <c r="AG2" s="3" t="s">
        <v>4</v>
      </c>
      <c r="AH2" s="4" t="s">
        <v>3</v>
      </c>
      <c r="AI2" s="5" t="s">
        <v>5</v>
      </c>
      <c r="AJ2" s="6" t="s">
        <v>10</v>
      </c>
      <c r="AK2" s="7" t="s">
        <v>6</v>
      </c>
      <c r="AL2" s="8" t="s">
        <v>7</v>
      </c>
      <c r="AM2" s="9" t="s">
        <v>8</v>
      </c>
      <c r="AN2" s="10" t="s">
        <v>11</v>
      </c>
      <c r="AO2" s="11" t="s">
        <v>9</v>
      </c>
      <c r="AP2" s="3" t="s">
        <v>4</v>
      </c>
      <c r="AQ2" s="4" t="s">
        <v>3</v>
      </c>
      <c r="AR2" s="5" t="s">
        <v>5</v>
      </c>
      <c r="AS2" s="6" t="s">
        <v>10</v>
      </c>
      <c r="AT2" s="7" t="s">
        <v>6</v>
      </c>
      <c r="AU2" s="8" t="s">
        <v>7</v>
      </c>
      <c r="AV2" s="9" t="s">
        <v>8</v>
      </c>
      <c r="AW2" s="10" t="s">
        <v>11</v>
      </c>
      <c r="AX2" s="11" t="s">
        <v>9</v>
      </c>
    </row>
    <row r="3" spans="1:53" x14ac:dyDescent="0.3">
      <c r="A3" s="28">
        <v>0.86423333300000005</v>
      </c>
      <c r="B3" s="28">
        <v>108.9092</v>
      </c>
      <c r="C3" s="23" t="s">
        <v>37</v>
      </c>
      <c r="D3" s="21" t="s">
        <v>17</v>
      </c>
      <c r="E3" s="12">
        <f>1308/5</f>
        <v>261.60000000000002</v>
      </c>
      <c r="F3" s="13">
        <f>'esdm+ruptl_2030'!F3</f>
        <v>350</v>
      </c>
      <c r="G3" s="14">
        <f>'esdm+ruptl_2030'!G3</f>
        <v>0</v>
      </c>
      <c r="H3" s="15">
        <f>'esdm+ruptl_2030'!H3</f>
        <v>0</v>
      </c>
      <c r="I3" s="16">
        <v>0</v>
      </c>
      <c r="J3" s="17">
        <v>0</v>
      </c>
      <c r="K3" s="18">
        <v>0</v>
      </c>
      <c r="L3" s="57">
        <v>0</v>
      </c>
      <c r="M3" s="54">
        <f>wind_sergio!$C$2/3*1000</f>
        <v>6096.666666666667</v>
      </c>
      <c r="N3" s="12">
        <v>0.3</v>
      </c>
      <c r="O3" s="13">
        <v>0.47</v>
      </c>
      <c r="P3" s="14">
        <v>0.55000000000000004</v>
      </c>
      <c r="Q3" s="15">
        <v>0.9</v>
      </c>
      <c r="R3" s="16">
        <v>0.65</v>
      </c>
      <c r="S3" s="17">
        <v>7.0000000000000007E-2</v>
      </c>
      <c r="T3" s="18">
        <v>1</v>
      </c>
      <c r="U3" s="19">
        <v>1</v>
      </c>
      <c r="V3" s="20">
        <v>1</v>
      </c>
      <c r="W3" s="12">
        <f t="shared" ref="W3:Y24" si="0">E3*N3</f>
        <v>78.48</v>
      </c>
      <c r="X3" s="13">
        <f t="shared" si="0"/>
        <v>164.5</v>
      </c>
      <c r="Y3" s="14">
        <f t="shared" si="0"/>
        <v>0</v>
      </c>
      <c r="Z3" s="15" t="e">
        <f>#REF!*Q3</f>
        <v>#REF!</v>
      </c>
      <c r="AA3" s="16">
        <f t="shared" ref="AA3:AC18" si="1">I3*R3</f>
        <v>0</v>
      </c>
      <c r="AB3" s="17">
        <f t="shared" si="1"/>
        <v>0</v>
      </c>
      <c r="AC3" s="18">
        <f t="shared" si="1"/>
        <v>0</v>
      </c>
      <c r="AD3" s="19" t="e">
        <f>#REF!*U3</f>
        <v>#REF!</v>
      </c>
      <c r="AE3" s="20">
        <f t="shared" ref="AE3:AE24" si="2">M3*V3</f>
        <v>6096.666666666667</v>
      </c>
      <c r="AF3" s="43"/>
      <c r="AG3" s="12">
        <v>0.28999999999999998</v>
      </c>
      <c r="AH3" s="13">
        <v>0.28999999999999998</v>
      </c>
      <c r="AI3" s="14">
        <v>0.56000000000000005</v>
      </c>
      <c r="AJ3" s="15">
        <v>1</v>
      </c>
      <c r="AK3" s="16">
        <v>0.33</v>
      </c>
      <c r="AL3" s="17">
        <v>0.25</v>
      </c>
      <c r="AM3" s="18">
        <v>1</v>
      </c>
      <c r="AN3" s="19">
        <v>1</v>
      </c>
      <c r="AO3" s="20">
        <v>1</v>
      </c>
      <c r="AP3" s="12">
        <v>0.35</v>
      </c>
      <c r="AQ3" s="13">
        <v>0.56999999999999995</v>
      </c>
      <c r="AR3" s="14">
        <v>0.37</v>
      </c>
      <c r="AS3" s="15">
        <v>0.73</v>
      </c>
      <c r="AT3" s="16">
        <v>0.95</v>
      </c>
      <c r="AU3" s="17">
        <v>0.37</v>
      </c>
      <c r="AV3" s="18">
        <v>1</v>
      </c>
      <c r="AW3" s="19">
        <v>1</v>
      </c>
      <c r="AX3" s="20">
        <v>1</v>
      </c>
      <c r="BA3" s="45"/>
    </row>
    <row r="4" spans="1:53" x14ac:dyDescent="0.3">
      <c r="A4" s="28">
        <v>4.5260000000000002E-2</v>
      </c>
      <c r="B4" s="28">
        <v>109.23968000000001</v>
      </c>
      <c r="C4" s="23" t="s">
        <v>38</v>
      </c>
      <c r="D4" s="21" t="s">
        <v>18</v>
      </c>
      <c r="E4" s="12">
        <f>1308/5</f>
        <v>261.60000000000002</v>
      </c>
      <c r="F4" s="13">
        <f>'esdm+ruptl_2030'!F4</f>
        <v>0</v>
      </c>
      <c r="G4" s="14">
        <f>'esdm+ruptl_2030'!G4</f>
        <v>300</v>
      </c>
      <c r="H4" s="15">
        <f>'esdm+ruptl_2030'!H4</f>
        <v>0</v>
      </c>
      <c r="I4" s="16">
        <v>0</v>
      </c>
      <c r="J4" s="17">
        <v>0</v>
      </c>
      <c r="K4" s="18">
        <f>solar_iesr!$B$2/5*1000*0.01</f>
        <v>1948</v>
      </c>
      <c r="L4" s="57">
        <v>0</v>
      </c>
      <c r="M4" s="54">
        <f>wind_sergio!$C$2/3*1000</f>
        <v>6096.666666666667</v>
      </c>
      <c r="N4" s="12">
        <v>0.3</v>
      </c>
      <c r="O4" s="13">
        <v>0.47</v>
      </c>
      <c r="P4" s="14">
        <v>0.55000000000000004</v>
      </c>
      <c r="Q4" s="15">
        <v>0.9</v>
      </c>
      <c r="R4" s="16">
        <v>0.65</v>
      </c>
      <c r="S4" s="17">
        <v>7.0000000000000007E-2</v>
      </c>
      <c r="T4" s="18">
        <v>1</v>
      </c>
      <c r="U4" s="19">
        <v>1</v>
      </c>
      <c r="V4" s="20">
        <v>1</v>
      </c>
      <c r="W4" s="12">
        <f t="shared" si="0"/>
        <v>78.48</v>
      </c>
      <c r="X4" s="13">
        <f t="shared" si="0"/>
        <v>0</v>
      </c>
      <c r="Y4" s="14">
        <f t="shared" si="0"/>
        <v>165</v>
      </c>
      <c r="Z4" s="15" t="e">
        <f>#REF!*Q4</f>
        <v>#REF!</v>
      </c>
      <c r="AA4" s="16">
        <f t="shared" si="1"/>
        <v>0</v>
      </c>
      <c r="AB4" s="17">
        <f t="shared" si="1"/>
        <v>0</v>
      </c>
      <c r="AC4" s="18">
        <f t="shared" si="1"/>
        <v>1948</v>
      </c>
      <c r="AD4" s="19" t="e">
        <f>#REF!*U4</f>
        <v>#REF!</v>
      </c>
      <c r="AE4" s="20">
        <f t="shared" si="2"/>
        <v>6096.666666666667</v>
      </c>
      <c r="AF4" s="43"/>
      <c r="AG4" s="12">
        <v>0.28999999999999998</v>
      </c>
      <c r="AH4" s="13">
        <v>0.28999999999999998</v>
      </c>
      <c r="AI4" s="14">
        <v>0.56000000000000005</v>
      </c>
      <c r="AJ4" s="15">
        <v>1</v>
      </c>
      <c r="AK4" s="16">
        <v>0.33</v>
      </c>
      <c r="AL4" s="17">
        <v>0.25</v>
      </c>
      <c r="AM4" s="18">
        <v>1</v>
      </c>
      <c r="AN4" s="19">
        <v>1</v>
      </c>
      <c r="AO4" s="20">
        <v>1</v>
      </c>
      <c r="AP4" s="12">
        <v>0.35</v>
      </c>
      <c r="AQ4" s="13">
        <v>0.56999999999999995</v>
      </c>
      <c r="AR4" s="14">
        <v>0.37</v>
      </c>
      <c r="AS4" s="15">
        <v>0.73</v>
      </c>
      <c r="AT4" s="16">
        <v>0.95</v>
      </c>
      <c r="AU4" s="17">
        <v>0.37</v>
      </c>
      <c r="AV4" s="18">
        <v>1</v>
      </c>
      <c r="AW4" s="19">
        <v>1</v>
      </c>
      <c r="AX4" s="20">
        <v>1</v>
      </c>
      <c r="BA4" s="45"/>
    </row>
    <row r="5" spans="1:53" x14ac:dyDescent="0.3">
      <c r="A5" s="28">
        <v>1.1174249999999999</v>
      </c>
      <c r="B5" s="28">
        <v>109.55835</v>
      </c>
      <c r="C5" s="23" t="s">
        <v>39</v>
      </c>
      <c r="D5" s="21" t="s">
        <v>19</v>
      </c>
      <c r="E5" s="12">
        <f t="shared" ref="E5:E9" si="3">1308/5</f>
        <v>261.60000000000002</v>
      </c>
      <c r="F5" s="13">
        <v>0</v>
      </c>
      <c r="G5" s="14">
        <f>'esdm+ruptl_2030'!G5</f>
        <v>0</v>
      </c>
      <c r="H5" s="15">
        <f>'esdm+ruptl_2030'!H5</f>
        <v>0</v>
      </c>
      <c r="I5" s="16">
        <f>'esdm+ruptl_2030'!I5</f>
        <v>12.965</v>
      </c>
      <c r="J5" s="17">
        <v>0</v>
      </c>
      <c r="K5" s="18">
        <f>solar_iesr!$B$2/5*1000*0.01</f>
        <v>1948</v>
      </c>
      <c r="L5" s="57">
        <v>0</v>
      </c>
      <c r="M5" s="54">
        <v>0</v>
      </c>
      <c r="N5" s="12">
        <v>0.3</v>
      </c>
      <c r="O5" s="13">
        <v>0.47</v>
      </c>
      <c r="P5" s="14">
        <v>0.55000000000000004</v>
      </c>
      <c r="Q5" s="15">
        <v>0.9</v>
      </c>
      <c r="R5" s="16">
        <v>0.65</v>
      </c>
      <c r="S5" s="17">
        <v>7.0000000000000007E-2</v>
      </c>
      <c r="T5" s="18">
        <v>1</v>
      </c>
      <c r="U5" s="19">
        <v>1</v>
      </c>
      <c r="V5" s="20">
        <v>1</v>
      </c>
      <c r="W5" s="12">
        <f t="shared" si="0"/>
        <v>78.48</v>
      </c>
      <c r="X5" s="13">
        <f t="shared" si="0"/>
        <v>0</v>
      </c>
      <c r="Y5" s="14">
        <f t="shared" si="0"/>
        <v>0</v>
      </c>
      <c r="Z5" s="15" t="e">
        <f>#REF!*Q5</f>
        <v>#REF!</v>
      </c>
      <c r="AA5" s="16">
        <f t="shared" si="1"/>
        <v>8.4272500000000008</v>
      </c>
      <c r="AB5" s="17">
        <f t="shared" si="1"/>
        <v>0</v>
      </c>
      <c r="AC5" s="18">
        <f t="shared" si="1"/>
        <v>1948</v>
      </c>
      <c r="AD5" s="19" t="e">
        <f>#REF!*U5</f>
        <v>#REF!</v>
      </c>
      <c r="AE5" s="20">
        <f t="shared" si="2"/>
        <v>0</v>
      </c>
      <c r="AF5" s="43"/>
      <c r="AG5" s="12">
        <v>0.28999999999999998</v>
      </c>
      <c r="AH5" s="13">
        <v>0.28999999999999998</v>
      </c>
      <c r="AI5" s="14">
        <v>0.56000000000000005</v>
      </c>
      <c r="AJ5" s="15">
        <v>1</v>
      </c>
      <c r="AK5" s="16">
        <v>0.33</v>
      </c>
      <c r="AL5" s="17">
        <v>0.25</v>
      </c>
      <c r="AM5" s="18">
        <v>1</v>
      </c>
      <c r="AN5" s="19">
        <v>1</v>
      </c>
      <c r="AO5" s="20">
        <v>1</v>
      </c>
      <c r="AP5" s="12">
        <v>0.35</v>
      </c>
      <c r="AQ5" s="13">
        <v>0.56999999999999995</v>
      </c>
      <c r="AR5" s="14">
        <v>0.37</v>
      </c>
      <c r="AS5" s="15">
        <v>0.73</v>
      </c>
      <c r="AT5" s="16">
        <v>0.95</v>
      </c>
      <c r="AU5" s="17">
        <v>0.37</v>
      </c>
      <c r="AV5" s="18">
        <v>1</v>
      </c>
      <c r="AW5" s="19">
        <v>1</v>
      </c>
      <c r="AX5" s="20">
        <v>1</v>
      </c>
      <c r="BA5" s="45"/>
    </row>
    <row r="6" spans="1:53" x14ac:dyDescent="0.3">
      <c r="A6" s="28">
        <v>0.17745</v>
      </c>
      <c r="B6" s="28">
        <v>110.0471</v>
      </c>
      <c r="C6" s="23" t="s">
        <v>40</v>
      </c>
      <c r="D6" s="21" t="s">
        <v>20</v>
      </c>
      <c r="E6" s="12">
        <f t="shared" si="3"/>
        <v>261.60000000000002</v>
      </c>
      <c r="F6" s="13">
        <v>0</v>
      </c>
      <c r="G6" s="14">
        <f>'esdm+ruptl_2030'!G6</f>
        <v>0</v>
      </c>
      <c r="H6" s="15">
        <f>'esdm+ruptl_2030'!H6</f>
        <v>0</v>
      </c>
      <c r="I6" s="16">
        <v>0</v>
      </c>
      <c r="J6" s="17">
        <v>0</v>
      </c>
      <c r="K6" s="18">
        <f>solar_iesr!$B$2/5*1000*0.01</f>
        <v>1948</v>
      </c>
      <c r="L6" s="57">
        <v>0</v>
      </c>
      <c r="M6" s="54">
        <v>0</v>
      </c>
      <c r="N6" s="12">
        <v>0.3</v>
      </c>
      <c r="O6" s="13">
        <v>0.47</v>
      </c>
      <c r="P6" s="14">
        <v>0.55000000000000004</v>
      </c>
      <c r="Q6" s="15">
        <v>0.9</v>
      </c>
      <c r="R6" s="16">
        <v>0.65</v>
      </c>
      <c r="S6" s="17">
        <v>7.0000000000000007E-2</v>
      </c>
      <c r="T6" s="18">
        <v>1</v>
      </c>
      <c r="U6" s="19">
        <v>1</v>
      </c>
      <c r="V6" s="20">
        <v>1</v>
      </c>
      <c r="W6" s="12">
        <f t="shared" si="0"/>
        <v>78.48</v>
      </c>
      <c r="X6" s="13">
        <f t="shared" si="0"/>
        <v>0</v>
      </c>
      <c r="Y6" s="14">
        <f t="shared" si="0"/>
        <v>0</v>
      </c>
      <c r="Z6" s="15" t="e">
        <f>#REF!*Q6</f>
        <v>#REF!</v>
      </c>
      <c r="AA6" s="16">
        <v>0</v>
      </c>
      <c r="AB6" s="17">
        <f t="shared" si="1"/>
        <v>0</v>
      </c>
      <c r="AC6" s="18">
        <f t="shared" si="1"/>
        <v>1948</v>
      </c>
      <c r="AD6" s="19" t="e">
        <f>#REF!*U6</f>
        <v>#REF!</v>
      </c>
      <c r="AE6" s="20">
        <f t="shared" si="2"/>
        <v>0</v>
      </c>
      <c r="AF6" s="43"/>
      <c r="AG6" s="12">
        <v>0.28999999999999998</v>
      </c>
      <c r="AH6" s="13">
        <v>0.28999999999999998</v>
      </c>
      <c r="AI6" s="14">
        <v>0.56000000000000005</v>
      </c>
      <c r="AJ6" s="15">
        <v>1</v>
      </c>
      <c r="AK6" s="16">
        <v>0.33</v>
      </c>
      <c r="AL6" s="17">
        <v>0.25</v>
      </c>
      <c r="AM6" s="18">
        <v>1</v>
      </c>
      <c r="AN6" s="19">
        <v>1</v>
      </c>
      <c r="AO6" s="20">
        <v>1</v>
      </c>
      <c r="AP6" s="12">
        <v>0.35</v>
      </c>
      <c r="AQ6" s="13">
        <v>0.56999999999999995</v>
      </c>
      <c r="AR6" s="14">
        <v>0.37</v>
      </c>
      <c r="AS6" s="15">
        <v>0.73</v>
      </c>
      <c r="AT6" s="16">
        <v>0.95</v>
      </c>
      <c r="AU6" s="17">
        <v>0.37</v>
      </c>
      <c r="AV6" s="18">
        <v>1</v>
      </c>
      <c r="AW6" s="19">
        <v>1</v>
      </c>
      <c r="AX6" s="20">
        <v>1</v>
      </c>
      <c r="BA6" s="45"/>
    </row>
    <row r="7" spans="1:53" x14ac:dyDescent="0.3">
      <c r="A7" s="28">
        <v>6.3899999999999998E-2</v>
      </c>
      <c r="B7" s="28">
        <v>110.9554667</v>
      </c>
      <c r="C7" s="23" t="s">
        <v>55</v>
      </c>
      <c r="D7" s="21" t="s">
        <v>22</v>
      </c>
      <c r="E7" s="12">
        <f t="shared" si="3"/>
        <v>261.60000000000002</v>
      </c>
      <c r="F7" s="13">
        <f>'esdm+ruptl_2030'!F7</f>
        <v>0</v>
      </c>
      <c r="G7" s="14">
        <f>'esdm+ruptl_2030'!G7</f>
        <v>0</v>
      </c>
      <c r="H7" s="15">
        <f>'esdm+ruptl_2030'!H7</f>
        <v>0</v>
      </c>
      <c r="I7" s="16">
        <f>'esdm+ruptl_2030'!I7</f>
        <v>103.565</v>
      </c>
      <c r="J7" s="17">
        <v>0</v>
      </c>
      <c r="K7" s="18">
        <f>solar_iesr!$B$2/5*1000*0.01</f>
        <v>1948</v>
      </c>
      <c r="L7" s="57">
        <v>0</v>
      </c>
      <c r="M7" s="54">
        <v>0</v>
      </c>
      <c r="N7" s="12">
        <v>0.3</v>
      </c>
      <c r="O7" s="13">
        <v>0.47</v>
      </c>
      <c r="P7" s="14">
        <v>0.55000000000000004</v>
      </c>
      <c r="Q7" s="15">
        <v>0.9</v>
      </c>
      <c r="R7" s="16">
        <v>0.65</v>
      </c>
      <c r="S7" s="17">
        <v>7.0000000000000007E-2</v>
      </c>
      <c r="T7" s="18">
        <v>1</v>
      </c>
      <c r="U7" s="19">
        <v>1</v>
      </c>
      <c r="V7" s="20">
        <v>1</v>
      </c>
      <c r="W7" s="12">
        <f t="shared" si="0"/>
        <v>78.48</v>
      </c>
      <c r="X7" s="13">
        <f t="shared" si="0"/>
        <v>0</v>
      </c>
      <c r="Y7" s="14">
        <f t="shared" si="0"/>
        <v>0</v>
      </c>
      <c r="Z7" s="15" t="e">
        <f>#REF!*Q7</f>
        <v>#REF!</v>
      </c>
      <c r="AA7" s="16">
        <f t="shared" ref="AA7:AC24" si="4">I7*R7</f>
        <v>67.317250000000001</v>
      </c>
      <c r="AB7" s="17">
        <f t="shared" si="1"/>
        <v>0</v>
      </c>
      <c r="AC7" s="18">
        <f t="shared" si="1"/>
        <v>1948</v>
      </c>
      <c r="AD7" s="19" t="e">
        <f>#REF!*U7</f>
        <v>#REF!</v>
      </c>
      <c r="AE7" s="20">
        <f t="shared" si="2"/>
        <v>0</v>
      </c>
      <c r="AF7" s="43"/>
      <c r="AG7" s="12">
        <v>0.28999999999999998</v>
      </c>
      <c r="AH7" s="13">
        <v>0.28999999999999998</v>
      </c>
      <c r="AI7" s="14">
        <v>0.56000000000000005</v>
      </c>
      <c r="AJ7" s="15">
        <v>1</v>
      </c>
      <c r="AK7" s="16">
        <v>0.33</v>
      </c>
      <c r="AL7" s="17">
        <v>0.25</v>
      </c>
      <c r="AM7" s="18">
        <v>1</v>
      </c>
      <c r="AN7" s="19">
        <v>1</v>
      </c>
      <c r="AO7" s="20">
        <v>1</v>
      </c>
      <c r="AP7" s="12">
        <v>0.35</v>
      </c>
      <c r="AQ7" s="13">
        <v>0.56999999999999995</v>
      </c>
      <c r="AR7" s="14">
        <v>0.37</v>
      </c>
      <c r="AS7" s="15">
        <v>0.73</v>
      </c>
      <c r="AT7" s="16">
        <v>0.95</v>
      </c>
      <c r="AU7" s="17">
        <v>0.37</v>
      </c>
      <c r="AV7" s="18">
        <v>1</v>
      </c>
      <c r="AW7" s="19">
        <v>1</v>
      </c>
      <c r="AX7" s="20">
        <v>1</v>
      </c>
      <c r="BA7" s="45"/>
    </row>
    <row r="8" spans="1:53" x14ac:dyDescent="0.3">
      <c r="A8" s="28">
        <v>-1.7742</v>
      </c>
      <c r="B8" s="28">
        <v>110.0303</v>
      </c>
      <c r="C8" s="23" t="s">
        <v>54</v>
      </c>
      <c r="D8" s="21" t="s">
        <v>21</v>
      </c>
      <c r="E8" s="12">
        <f t="shared" si="3"/>
        <v>261.60000000000002</v>
      </c>
      <c r="F8" s="13">
        <v>0</v>
      </c>
      <c r="G8" s="14">
        <f>'esdm+ruptl_2030'!G8</f>
        <v>0</v>
      </c>
      <c r="H8" s="15">
        <f>'esdm+ruptl_2030'!H8</f>
        <v>0</v>
      </c>
      <c r="I8" s="16">
        <f>'esdm+ruptl_2030'!I8</f>
        <v>0.30000000000000004</v>
      </c>
      <c r="J8" s="17">
        <v>0</v>
      </c>
      <c r="K8" s="18">
        <f>solar_iesr!$B$2/5*1000*0.01</f>
        <v>1948</v>
      </c>
      <c r="L8" s="57">
        <f>wind_sergio!$B$2*1000</f>
        <v>1010</v>
      </c>
      <c r="M8" s="54">
        <f>wind_sergio!$C$2/3*1000</f>
        <v>6096.666666666667</v>
      </c>
      <c r="N8" s="12">
        <v>0.3</v>
      </c>
      <c r="O8" s="13">
        <v>0.47</v>
      </c>
      <c r="P8" s="14">
        <v>0.55000000000000004</v>
      </c>
      <c r="Q8" s="15">
        <v>0.9</v>
      </c>
      <c r="R8" s="16">
        <v>0.65</v>
      </c>
      <c r="S8" s="17">
        <v>7.0000000000000007E-2</v>
      </c>
      <c r="T8" s="18">
        <v>1</v>
      </c>
      <c r="U8" s="19">
        <v>1</v>
      </c>
      <c r="V8" s="20">
        <v>1</v>
      </c>
      <c r="W8" s="12">
        <f t="shared" si="0"/>
        <v>78.48</v>
      </c>
      <c r="X8" s="13">
        <f t="shared" si="0"/>
        <v>0</v>
      </c>
      <c r="Y8" s="14">
        <f t="shared" si="0"/>
        <v>0</v>
      </c>
      <c r="Z8" s="15" t="e">
        <f>#REF!*Q8</f>
        <v>#REF!</v>
      </c>
      <c r="AA8" s="16">
        <f t="shared" si="4"/>
        <v>0.19500000000000003</v>
      </c>
      <c r="AB8" s="17">
        <f t="shared" si="1"/>
        <v>0</v>
      </c>
      <c r="AC8" s="18">
        <f t="shared" si="1"/>
        <v>1948</v>
      </c>
      <c r="AD8" s="19" t="e">
        <f>#REF!*U8</f>
        <v>#REF!</v>
      </c>
      <c r="AE8" s="20">
        <f t="shared" si="2"/>
        <v>6096.666666666667</v>
      </c>
      <c r="AF8" s="43"/>
      <c r="AG8" s="12">
        <v>0.28999999999999998</v>
      </c>
      <c r="AH8" s="13">
        <v>0.28999999999999998</v>
      </c>
      <c r="AI8" s="14">
        <v>0.56000000000000005</v>
      </c>
      <c r="AJ8" s="15">
        <v>1</v>
      </c>
      <c r="AK8" s="16">
        <v>0.33</v>
      </c>
      <c r="AL8" s="17">
        <v>0.25</v>
      </c>
      <c r="AM8" s="18">
        <v>1</v>
      </c>
      <c r="AN8" s="19">
        <v>1</v>
      </c>
      <c r="AO8" s="20">
        <v>1</v>
      </c>
      <c r="AP8" s="12">
        <v>0.35</v>
      </c>
      <c r="AQ8" s="13">
        <v>0.56999999999999995</v>
      </c>
      <c r="AR8" s="14">
        <v>0.37</v>
      </c>
      <c r="AS8" s="15">
        <v>0.73</v>
      </c>
      <c r="AT8" s="16">
        <v>0.95</v>
      </c>
      <c r="AU8" s="17">
        <v>0.37</v>
      </c>
      <c r="AV8" s="18">
        <v>1</v>
      </c>
      <c r="AW8" s="19">
        <v>1</v>
      </c>
      <c r="AX8" s="20">
        <v>1</v>
      </c>
      <c r="BA8" s="45"/>
    </row>
    <row r="9" spans="1:53" x14ac:dyDescent="0.3">
      <c r="A9" s="28">
        <v>-1.7742</v>
      </c>
      <c r="B9" s="28">
        <v>110.0303</v>
      </c>
      <c r="C9" s="23" t="s">
        <v>54</v>
      </c>
      <c r="D9" s="21" t="s">
        <v>93</v>
      </c>
      <c r="E9" s="12">
        <f t="shared" si="3"/>
        <v>261.60000000000002</v>
      </c>
      <c r="F9" s="13">
        <f>'esdm+ruptl_2030'!F9</f>
        <v>0</v>
      </c>
      <c r="G9" s="14">
        <f>'esdm+ruptl_2030'!G9</f>
        <v>0</v>
      </c>
      <c r="H9" s="15">
        <f>'esdm+ruptl_2030'!H9</f>
        <v>0</v>
      </c>
      <c r="I9" s="16">
        <f>4737*0.1-'esdm+ruptl_2030'!I9-I7-I5</f>
        <v>339.7700000000001</v>
      </c>
      <c r="J9" s="17">
        <v>0</v>
      </c>
      <c r="K9" s="18">
        <v>0</v>
      </c>
      <c r="L9" s="57">
        <v>0</v>
      </c>
      <c r="M9" s="54">
        <v>0</v>
      </c>
      <c r="N9" s="12">
        <v>0.3</v>
      </c>
      <c r="O9" s="13">
        <v>0.47</v>
      </c>
      <c r="P9" s="14">
        <v>0.55000000000000004</v>
      </c>
      <c r="Q9" s="15">
        <v>0.9</v>
      </c>
      <c r="R9" s="16">
        <v>0.65</v>
      </c>
      <c r="S9" s="17">
        <v>7.0000000000000007E-2</v>
      </c>
      <c r="T9" s="18">
        <v>1</v>
      </c>
      <c r="U9" s="19">
        <v>1</v>
      </c>
      <c r="V9" s="20">
        <v>1</v>
      </c>
      <c r="W9" s="12">
        <f t="shared" si="0"/>
        <v>78.48</v>
      </c>
      <c r="X9" s="13">
        <f t="shared" si="0"/>
        <v>0</v>
      </c>
      <c r="Y9" s="14">
        <f t="shared" si="0"/>
        <v>0</v>
      </c>
      <c r="Z9" s="15" t="e">
        <f>#REF!*Q9</f>
        <v>#REF!</v>
      </c>
      <c r="AA9" s="16">
        <f t="shared" si="4"/>
        <v>220.85050000000007</v>
      </c>
      <c r="AB9" s="17">
        <f t="shared" si="1"/>
        <v>0</v>
      </c>
      <c r="AC9" s="18">
        <f t="shared" si="1"/>
        <v>0</v>
      </c>
      <c r="AD9" s="19" t="e">
        <f>#REF!*U9</f>
        <v>#REF!</v>
      </c>
      <c r="AE9" s="20">
        <f t="shared" si="2"/>
        <v>0</v>
      </c>
      <c r="AF9" s="43"/>
      <c r="AG9" s="12">
        <v>0.28999999999999998</v>
      </c>
      <c r="AH9" s="13">
        <v>0.28999999999999998</v>
      </c>
      <c r="AI9" s="14">
        <v>0.56000000000000005</v>
      </c>
      <c r="AJ9" s="15">
        <v>1</v>
      </c>
      <c r="AK9" s="16">
        <v>0.33</v>
      </c>
      <c r="AL9" s="17">
        <v>0.25</v>
      </c>
      <c r="AM9" s="18">
        <v>1</v>
      </c>
      <c r="AN9" s="19">
        <v>1</v>
      </c>
      <c r="AO9" s="20">
        <v>1</v>
      </c>
      <c r="AP9" s="12">
        <v>0.35</v>
      </c>
      <c r="AQ9" s="13">
        <v>0.56999999999999995</v>
      </c>
      <c r="AR9" s="14">
        <v>0.37</v>
      </c>
      <c r="AS9" s="15">
        <v>0.73</v>
      </c>
      <c r="AT9" s="16">
        <v>0.95</v>
      </c>
      <c r="AU9" s="17">
        <v>0.37</v>
      </c>
      <c r="AV9" s="18">
        <v>1</v>
      </c>
      <c r="AW9" s="19">
        <v>1</v>
      </c>
      <c r="AX9" s="20">
        <v>1</v>
      </c>
      <c r="BA9" s="45"/>
    </row>
    <row r="10" spans="1:53" x14ac:dyDescent="0.3">
      <c r="A10" s="28">
        <v>-2.6152000000000002</v>
      </c>
      <c r="B10" s="28">
        <v>111.7037</v>
      </c>
      <c r="C10" s="23" t="s">
        <v>41</v>
      </c>
      <c r="D10" s="21" t="s">
        <v>23</v>
      </c>
      <c r="E10" s="12">
        <f>1499/5</f>
        <v>299.8</v>
      </c>
      <c r="F10" s="13">
        <f>'esdm+ruptl_2030'!F10</f>
        <v>0</v>
      </c>
      <c r="G10" s="14">
        <f>'esdm+ruptl_2030'!G10</f>
        <v>100</v>
      </c>
      <c r="H10" s="15">
        <f>'esdm+ruptl_2030'!H10</f>
        <v>0</v>
      </c>
      <c r="I10" s="16">
        <v>0</v>
      </c>
      <c r="J10" s="17">
        <v>0</v>
      </c>
      <c r="K10" s="18">
        <f>solar_iesr!$B$3/5*1000*0.01</f>
        <v>1144</v>
      </c>
      <c r="L10" s="57">
        <f>wind_sergio!$B$3/2*1000</f>
        <v>590</v>
      </c>
      <c r="M10" s="54">
        <f>wind_sergio!$C$3*1000/4</f>
        <v>5207.5</v>
      </c>
      <c r="N10" s="12">
        <v>0.3</v>
      </c>
      <c r="O10" s="13">
        <v>0.47</v>
      </c>
      <c r="P10" s="14">
        <v>0.55000000000000004</v>
      </c>
      <c r="Q10" s="15">
        <v>0.9</v>
      </c>
      <c r="R10" s="16">
        <v>0.65</v>
      </c>
      <c r="S10" s="17">
        <v>7.0000000000000007E-2</v>
      </c>
      <c r="T10" s="18">
        <v>1</v>
      </c>
      <c r="U10" s="19">
        <v>1</v>
      </c>
      <c r="V10" s="20">
        <v>1</v>
      </c>
      <c r="W10" s="12">
        <f t="shared" si="0"/>
        <v>89.94</v>
      </c>
      <c r="X10" s="13">
        <f t="shared" si="0"/>
        <v>0</v>
      </c>
      <c r="Y10" s="14">
        <f t="shared" si="0"/>
        <v>55.000000000000007</v>
      </c>
      <c r="Z10" s="15" t="e">
        <f>#REF!*Q10</f>
        <v>#REF!</v>
      </c>
      <c r="AA10" s="16">
        <f t="shared" si="4"/>
        <v>0</v>
      </c>
      <c r="AB10" s="17">
        <f t="shared" si="1"/>
        <v>0</v>
      </c>
      <c r="AC10" s="18">
        <f t="shared" si="1"/>
        <v>1144</v>
      </c>
      <c r="AD10" s="19" t="e">
        <f>#REF!*U10</f>
        <v>#REF!</v>
      </c>
      <c r="AE10" s="20">
        <f t="shared" si="2"/>
        <v>5207.5</v>
      </c>
      <c r="AF10" s="43"/>
      <c r="AG10" s="12">
        <v>0.28999999999999998</v>
      </c>
      <c r="AH10" s="13">
        <v>0.28999999999999998</v>
      </c>
      <c r="AI10" s="14">
        <v>0.56000000000000005</v>
      </c>
      <c r="AJ10" s="15">
        <v>1</v>
      </c>
      <c r="AK10" s="16">
        <v>0.33</v>
      </c>
      <c r="AL10" s="17">
        <v>0.25</v>
      </c>
      <c r="AM10" s="18">
        <v>1</v>
      </c>
      <c r="AN10" s="19">
        <v>1</v>
      </c>
      <c r="AO10" s="20">
        <v>1</v>
      </c>
      <c r="AP10" s="12">
        <v>0.35</v>
      </c>
      <c r="AQ10" s="13">
        <v>0.56999999999999995</v>
      </c>
      <c r="AR10" s="14">
        <v>0.37</v>
      </c>
      <c r="AS10" s="15">
        <v>0.73</v>
      </c>
      <c r="AT10" s="16">
        <v>0.95</v>
      </c>
      <c r="AU10" s="17">
        <v>0.37</v>
      </c>
      <c r="AV10" s="18">
        <v>1</v>
      </c>
      <c r="AW10" s="19">
        <v>1</v>
      </c>
      <c r="AX10" s="20">
        <v>1</v>
      </c>
      <c r="BA10" s="45"/>
    </row>
    <row r="11" spans="1:53" x14ac:dyDescent="0.3">
      <c r="A11" s="28">
        <v>-2.6220500000000002</v>
      </c>
      <c r="B11" s="28">
        <v>112.91540000000001</v>
      </c>
      <c r="C11" s="23" t="s">
        <v>42</v>
      </c>
      <c r="D11" s="21" t="s">
        <v>24</v>
      </c>
      <c r="E11" s="12">
        <f t="shared" ref="E11:E14" si="5">1499/5</f>
        <v>299.8</v>
      </c>
      <c r="F11" s="13">
        <f>'esdm+ruptl_2030'!F11</f>
        <v>50</v>
      </c>
      <c r="G11" s="14">
        <f>'esdm+ruptl_2030'!G11</f>
        <v>0</v>
      </c>
      <c r="H11" s="15">
        <f>'esdm+ruptl_2030'!H11</f>
        <v>0</v>
      </c>
      <c r="I11" s="16">
        <v>0</v>
      </c>
      <c r="J11" s="17">
        <v>0</v>
      </c>
      <c r="K11" s="18">
        <f>solar_iesr!$B$3/5*1000*0.01</f>
        <v>1144</v>
      </c>
      <c r="L11" s="57">
        <f>wind_sergio!$B$3/2*1000</f>
        <v>590</v>
      </c>
      <c r="M11" s="54">
        <f>wind_sergio!$C$3*1000/4</f>
        <v>5207.5</v>
      </c>
      <c r="N11" s="12">
        <v>0.3</v>
      </c>
      <c r="O11" s="13">
        <v>0.47</v>
      </c>
      <c r="P11" s="14">
        <v>0.55000000000000004</v>
      </c>
      <c r="Q11" s="15">
        <v>0.9</v>
      </c>
      <c r="R11" s="16">
        <v>0.65</v>
      </c>
      <c r="S11" s="17">
        <v>7.0000000000000007E-2</v>
      </c>
      <c r="T11" s="18">
        <v>1</v>
      </c>
      <c r="U11" s="19">
        <v>1</v>
      </c>
      <c r="V11" s="20">
        <v>1</v>
      </c>
      <c r="W11" s="12">
        <f t="shared" si="0"/>
        <v>89.94</v>
      </c>
      <c r="X11" s="13">
        <f t="shared" si="0"/>
        <v>23.5</v>
      </c>
      <c r="Y11" s="14">
        <f t="shared" si="0"/>
        <v>0</v>
      </c>
      <c r="Z11" s="15" t="e">
        <f>#REF!*Q11</f>
        <v>#REF!</v>
      </c>
      <c r="AA11" s="16">
        <f t="shared" si="4"/>
        <v>0</v>
      </c>
      <c r="AB11" s="17">
        <f t="shared" si="1"/>
        <v>0</v>
      </c>
      <c r="AC11" s="18">
        <f t="shared" si="1"/>
        <v>1144</v>
      </c>
      <c r="AD11" s="19" t="e">
        <f>#REF!*U11</f>
        <v>#REF!</v>
      </c>
      <c r="AE11" s="20">
        <f t="shared" si="2"/>
        <v>5207.5</v>
      </c>
      <c r="AF11" s="43"/>
      <c r="AG11" s="12">
        <v>0.28999999999999998</v>
      </c>
      <c r="AH11" s="13">
        <v>0.28999999999999998</v>
      </c>
      <c r="AI11" s="14">
        <v>0.56000000000000005</v>
      </c>
      <c r="AJ11" s="15">
        <v>1</v>
      </c>
      <c r="AK11" s="16">
        <v>0.33</v>
      </c>
      <c r="AL11" s="17">
        <v>0.25</v>
      </c>
      <c r="AM11" s="18">
        <v>1</v>
      </c>
      <c r="AN11" s="19">
        <v>1</v>
      </c>
      <c r="AO11" s="20">
        <v>1</v>
      </c>
      <c r="AP11" s="12">
        <v>0.35</v>
      </c>
      <c r="AQ11" s="13">
        <v>0.56999999999999995</v>
      </c>
      <c r="AR11" s="14">
        <v>0.37</v>
      </c>
      <c r="AS11" s="15">
        <v>0.73</v>
      </c>
      <c r="AT11" s="16">
        <v>0.95</v>
      </c>
      <c r="AU11" s="17">
        <v>0.37</v>
      </c>
      <c r="AV11" s="18">
        <v>1</v>
      </c>
      <c r="AW11" s="19">
        <v>1</v>
      </c>
      <c r="AX11" s="20">
        <v>1</v>
      </c>
      <c r="BA11" s="45"/>
    </row>
    <row r="12" spans="1:53" x14ac:dyDescent="0.3">
      <c r="A12" s="28">
        <v>-2.1166</v>
      </c>
      <c r="B12" s="28">
        <v>113.7459333</v>
      </c>
      <c r="C12" s="23" t="s">
        <v>43</v>
      </c>
      <c r="D12" s="21" t="s">
        <v>25</v>
      </c>
      <c r="E12" s="12">
        <f t="shared" si="5"/>
        <v>299.8</v>
      </c>
      <c r="F12" s="13">
        <f>'esdm+ruptl_2030'!F12</f>
        <v>0</v>
      </c>
      <c r="G12" s="14">
        <f>'esdm+ruptl_2030'!G12</f>
        <v>0</v>
      </c>
      <c r="H12" s="15">
        <f>'esdm+ruptl_2030'!H12</f>
        <v>0</v>
      </c>
      <c r="I12" s="16">
        <v>0</v>
      </c>
      <c r="J12" s="17">
        <v>0</v>
      </c>
      <c r="K12" s="18">
        <f>solar_iesr!$B$3/5*1000*0.01</f>
        <v>1144</v>
      </c>
      <c r="L12" s="57">
        <v>0</v>
      </c>
      <c r="M12" s="54">
        <f>wind_sergio!$C$3*1000/4</f>
        <v>5207.5</v>
      </c>
      <c r="N12" s="12">
        <v>0.3</v>
      </c>
      <c r="O12" s="13">
        <v>0.47</v>
      </c>
      <c r="P12" s="14">
        <v>0.55000000000000004</v>
      </c>
      <c r="Q12" s="15">
        <v>0.9</v>
      </c>
      <c r="R12" s="16">
        <v>0.65</v>
      </c>
      <c r="S12" s="17">
        <v>7.0000000000000007E-2</v>
      </c>
      <c r="T12" s="18">
        <v>1</v>
      </c>
      <c r="U12" s="19">
        <v>1</v>
      </c>
      <c r="V12" s="20">
        <v>1</v>
      </c>
      <c r="W12" s="12">
        <f t="shared" si="0"/>
        <v>89.94</v>
      </c>
      <c r="X12" s="13">
        <f t="shared" si="0"/>
        <v>0</v>
      </c>
      <c r="Y12" s="14">
        <f t="shared" si="0"/>
        <v>0</v>
      </c>
      <c r="Z12" s="15" t="e">
        <f>#REF!*Q12</f>
        <v>#REF!</v>
      </c>
      <c r="AA12" s="16">
        <f t="shared" si="4"/>
        <v>0</v>
      </c>
      <c r="AB12" s="17">
        <f t="shared" si="1"/>
        <v>0</v>
      </c>
      <c r="AC12" s="18">
        <f t="shared" si="1"/>
        <v>1144</v>
      </c>
      <c r="AD12" s="19" t="e">
        <f>#REF!*U12</f>
        <v>#REF!</v>
      </c>
      <c r="AE12" s="20">
        <f t="shared" si="2"/>
        <v>5207.5</v>
      </c>
      <c r="AF12" s="43"/>
      <c r="AG12" s="12">
        <v>0.28999999999999998</v>
      </c>
      <c r="AH12" s="13">
        <v>0.28999999999999998</v>
      </c>
      <c r="AI12" s="14">
        <v>0.56000000000000005</v>
      </c>
      <c r="AJ12" s="15">
        <v>1</v>
      </c>
      <c r="AK12" s="16">
        <v>0.33</v>
      </c>
      <c r="AL12" s="17">
        <v>0.25</v>
      </c>
      <c r="AM12" s="18">
        <v>1</v>
      </c>
      <c r="AN12" s="19">
        <v>1</v>
      </c>
      <c r="AO12" s="20">
        <v>1</v>
      </c>
      <c r="AP12" s="12">
        <v>0.35</v>
      </c>
      <c r="AQ12" s="13">
        <v>0.56999999999999995</v>
      </c>
      <c r="AR12" s="14">
        <v>0.37</v>
      </c>
      <c r="AS12" s="15">
        <v>0.73</v>
      </c>
      <c r="AT12" s="16">
        <v>0.95</v>
      </c>
      <c r="AU12" s="17">
        <v>0.37</v>
      </c>
      <c r="AV12" s="18">
        <v>1</v>
      </c>
      <c r="AW12" s="19">
        <v>1</v>
      </c>
      <c r="AX12" s="20">
        <v>1</v>
      </c>
      <c r="BA12" s="45"/>
    </row>
    <row r="13" spans="1:53" x14ac:dyDescent="0.3">
      <c r="A13" s="28">
        <v>-2.8550333330000002</v>
      </c>
      <c r="B13" s="28">
        <v>114.2789667</v>
      </c>
      <c r="C13" s="23" t="s">
        <v>44</v>
      </c>
      <c r="D13" s="21" t="s">
        <v>26</v>
      </c>
      <c r="E13" s="12">
        <f t="shared" si="5"/>
        <v>299.8</v>
      </c>
      <c r="F13" s="13">
        <f>'esdm+ruptl_2030'!F13</f>
        <v>0</v>
      </c>
      <c r="G13" s="14">
        <f>'esdm+ruptl_2030'!G13</f>
        <v>0</v>
      </c>
      <c r="H13" s="15">
        <f>'esdm+ruptl_2030'!H13</f>
        <v>0</v>
      </c>
      <c r="I13" s="16">
        <v>0</v>
      </c>
      <c r="J13" s="17">
        <v>0</v>
      </c>
      <c r="K13" s="18">
        <f>solar_iesr!$B$3/5*1000*0.01</f>
        <v>1144</v>
      </c>
      <c r="L13" s="57">
        <v>0</v>
      </c>
      <c r="M13" s="54">
        <f>wind_sergio!$C$3*1000/4</f>
        <v>5207.5</v>
      </c>
      <c r="N13" s="12">
        <v>0.3</v>
      </c>
      <c r="O13" s="13">
        <v>0.47</v>
      </c>
      <c r="P13" s="14">
        <v>0.55000000000000004</v>
      </c>
      <c r="Q13" s="15">
        <v>0.9</v>
      </c>
      <c r="R13" s="16">
        <v>0.65</v>
      </c>
      <c r="S13" s="17">
        <v>7.0000000000000007E-2</v>
      </c>
      <c r="T13" s="18">
        <v>1</v>
      </c>
      <c r="U13" s="19">
        <v>1</v>
      </c>
      <c r="V13" s="20">
        <v>1</v>
      </c>
      <c r="W13" s="12">
        <f t="shared" si="0"/>
        <v>89.94</v>
      </c>
      <c r="X13" s="13">
        <f t="shared" si="0"/>
        <v>0</v>
      </c>
      <c r="Y13" s="14">
        <f t="shared" si="0"/>
        <v>0</v>
      </c>
      <c r="Z13" s="15" t="e">
        <f>#REF!*Q13</f>
        <v>#REF!</v>
      </c>
      <c r="AA13" s="16">
        <f t="shared" si="4"/>
        <v>0</v>
      </c>
      <c r="AB13" s="17">
        <f t="shared" si="1"/>
        <v>0</v>
      </c>
      <c r="AC13" s="18">
        <f t="shared" si="1"/>
        <v>1144</v>
      </c>
      <c r="AD13" s="19" t="e">
        <f>#REF!*U13</f>
        <v>#REF!</v>
      </c>
      <c r="AE13" s="20">
        <f t="shared" si="2"/>
        <v>5207.5</v>
      </c>
      <c r="AF13" s="43"/>
      <c r="AG13" s="12">
        <v>0.28999999999999998</v>
      </c>
      <c r="AH13" s="13">
        <v>0.28999999999999998</v>
      </c>
      <c r="AI13" s="14">
        <v>0.56000000000000005</v>
      </c>
      <c r="AJ13" s="15">
        <v>1</v>
      </c>
      <c r="AK13" s="16">
        <v>0.33</v>
      </c>
      <c r="AL13" s="17">
        <v>0.25</v>
      </c>
      <c r="AM13" s="18">
        <v>1</v>
      </c>
      <c r="AN13" s="19">
        <v>1</v>
      </c>
      <c r="AO13" s="20">
        <v>1</v>
      </c>
      <c r="AP13" s="12">
        <v>0.35</v>
      </c>
      <c r="AQ13" s="13">
        <v>0.56999999999999995</v>
      </c>
      <c r="AR13" s="14">
        <v>0.37</v>
      </c>
      <c r="AS13" s="15">
        <v>0.73</v>
      </c>
      <c r="AT13" s="16">
        <v>0.95</v>
      </c>
      <c r="AU13" s="17">
        <v>0.37</v>
      </c>
      <c r="AV13" s="18">
        <v>1</v>
      </c>
      <c r="AW13" s="19">
        <v>1</v>
      </c>
      <c r="AX13" s="20">
        <v>1</v>
      </c>
      <c r="BA13" s="45"/>
    </row>
    <row r="14" spans="1:53" x14ac:dyDescent="0.3">
      <c r="A14" s="28">
        <v>-0.74419999999999997</v>
      </c>
      <c r="B14" s="28">
        <v>115.00215</v>
      </c>
      <c r="C14" s="23" t="s">
        <v>45</v>
      </c>
      <c r="D14" s="21" t="s">
        <v>27</v>
      </c>
      <c r="E14" s="12">
        <f t="shared" si="5"/>
        <v>299.8</v>
      </c>
      <c r="F14" s="13">
        <v>0</v>
      </c>
      <c r="G14" s="14">
        <v>0</v>
      </c>
      <c r="H14" s="15">
        <f>'esdm+ruptl_2030'!H14</f>
        <v>0</v>
      </c>
      <c r="I14" s="16">
        <f>'esdm+ruptl_2030'!I14</f>
        <v>400</v>
      </c>
      <c r="J14" s="17">
        <v>0</v>
      </c>
      <c r="K14" s="18">
        <f>solar_iesr!$B$3/5*1000*0.01</f>
        <v>1144</v>
      </c>
      <c r="L14" s="57">
        <v>0</v>
      </c>
      <c r="M14" s="54">
        <v>0</v>
      </c>
      <c r="N14" s="12">
        <v>0.3</v>
      </c>
      <c r="O14" s="13">
        <v>0.47</v>
      </c>
      <c r="P14" s="14">
        <v>0.55000000000000004</v>
      </c>
      <c r="Q14" s="15">
        <v>0.9</v>
      </c>
      <c r="R14" s="16">
        <v>0.65</v>
      </c>
      <c r="S14" s="17">
        <v>7.0000000000000007E-2</v>
      </c>
      <c r="T14" s="18">
        <v>1</v>
      </c>
      <c r="U14" s="19">
        <v>1</v>
      </c>
      <c r="V14" s="20">
        <v>1</v>
      </c>
      <c r="W14" s="12">
        <f t="shared" si="0"/>
        <v>89.94</v>
      </c>
      <c r="X14" s="13">
        <f t="shared" si="0"/>
        <v>0</v>
      </c>
      <c r="Y14" s="14">
        <f t="shared" si="0"/>
        <v>0</v>
      </c>
      <c r="Z14" s="15" t="e">
        <f>#REF!*Q14</f>
        <v>#REF!</v>
      </c>
      <c r="AA14" s="16">
        <f t="shared" si="4"/>
        <v>260</v>
      </c>
      <c r="AB14" s="17">
        <f t="shared" si="1"/>
        <v>0</v>
      </c>
      <c r="AC14" s="18">
        <f t="shared" si="1"/>
        <v>1144</v>
      </c>
      <c r="AD14" s="19" t="e">
        <f>#REF!*U14</f>
        <v>#REF!</v>
      </c>
      <c r="AE14" s="20">
        <f t="shared" si="2"/>
        <v>0</v>
      </c>
      <c r="AF14" s="43"/>
      <c r="AG14" s="12">
        <v>0.28999999999999998</v>
      </c>
      <c r="AH14" s="13">
        <v>0.28999999999999998</v>
      </c>
      <c r="AI14" s="14">
        <v>0.56000000000000005</v>
      </c>
      <c r="AJ14" s="15">
        <v>1</v>
      </c>
      <c r="AK14" s="16">
        <v>0.33</v>
      </c>
      <c r="AL14" s="17">
        <v>0.25</v>
      </c>
      <c r="AM14" s="18">
        <v>1</v>
      </c>
      <c r="AN14" s="19">
        <v>1</v>
      </c>
      <c r="AO14" s="20">
        <v>1</v>
      </c>
      <c r="AP14" s="12">
        <v>0.35</v>
      </c>
      <c r="AQ14" s="13">
        <v>0.56999999999999995</v>
      </c>
      <c r="AR14" s="14">
        <v>0.37</v>
      </c>
      <c r="AS14" s="15">
        <v>0.73</v>
      </c>
      <c r="AT14" s="16">
        <v>0.95</v>
      </c>
      <c r="AU14" s="17">
        <v>0.37</v>
      </c>
      <c r="AV14" s="18">
        <v>1</v>
      </c>
      <c r="AW14" s="19">
        <v>1</v>
      </c>
      <c r="AX14" s="20">
        <v>1</v>
      </c>
      <c r="BA14" s="45"/>
    </row>
    <row r="15" spans="1:53" x14ac:dyDescent="0.3">
      <c r="A15" s="28">
        <v>-3.4291333329999998</v>
      </c>
      <c r="B15" s="28">
        <v>114.7738222</v>
      </c>
      <c r="C15" s="23" t="s">
        <v>46</v>
      </c>
      <c r="D15" s="21" t="s">
        <v>28</v>
      </c>
      <c r="E15" s="12">
        <f>1290/3</f>
        <v>430</v>
      </c>
      <c r="F15" s="13">
        <v>0</v>
      </c>
      <c r="G15" s="14">
        <f>'esdm+ruptl_2030'!G15</f>
        <v>300</v>
      </c>
      <c r="H15" s="15">
        <f>'esdm+ruptl_2030'!H15</f>
        <v>0</v>
      </c>
      <c r="I15" s="16">
        <f>'esdm+ruptl_2030'!I15</f>
        <v>30</v>
      </c>
      <c r="J15" s="17">
        <v>0</v>
      </c>
      <c r="K15" s="18">
        <v>0</v>
      </c>
      <c r="L15" s="57">
        <f>wind_sergio!$B$4/2*1000</f>
        <v>140</v>
      </c>
      <c r="M15" s="54">
        <f>wind_sergio!$C$4*1000/2</f>
        <v>5420</v>
      </c>
      <c r="N15" s="12">
        <v>0.3</v>
      </c>
      <c r="O15" s="13">
        <v>0.47</v>
      </c>
      <c r="P15" s="14">
        <v>0.55000000000000004</v>
      </c>
      <c r="Q15" s="15">
        <v>0.9</v>
      </c>
      <c r="R15" s="16">
        <v>0.65</v>
      </c>
      <c r="S15" s="17">
        <v>7.0000000000000007E-2</v>
      </c>
      <c r="T15" s="18">
        <v>1</v>
      </c>
      <c r="U15" s="19">
        <v>1</v>
      </c>
      <c r="V15" s="20">
        <v>1</v>
      </c>
      <c r="W15" s="12">
        <f t="shared" si="0"/>
        <v>129</v>
      </c>
      <c r="X15" s="13">
        <f t="shared" si="0"/>
        <v>0</v>
      </c>
      <c r="Y15" s="14">
        <f t="shared" si="0"/>
        <v>165</v>
      </c>
      <c r="Z15" s="15" t="e">
        <f>#REF!*Q15</f>
        <v>#REF!</v>
      </c>
      <c r="AA15" s="16">
        <f t="shared" si="4"/>
        <v>19.5</v>
      </c>
      <c r="AB15" s="17">
        <f t="shared" si="1"/>
        <v>0</v>
      </c>
      <c r="AC15" s="18">
        <f t="shared" si="1"/>
        <v>0</v>
      </c>
      <c r="AD15" s="19" t="e">
        <f>#REF!*U15</f>
        <v>#REF!</v>
      </c>
      <c r="AE15" s="20">
        <f t="shared" si="2"/>
        <v>5420</v>
      </c>
      <c r="AF15" s="43"/>
      <c r="AG15" s="12">
        <v>0.28999999999999998</v>
      </c>
      <c r="AH15" s="13">
        <v>0.28999999999999998</v>
      </c>
      <c r="AI15" s="14">
        <v>0.56000000000000005</v>
      </c>
      <c r="AJ15" s="15">
        <v>1</v>
      </c>
      <c r="AK15" s="16">
        <v>0.33</v>
      </c>
      <c r="AL15" s="17">
        <v>0.25</v>
      </c>
      <c r="AM15" s="18">
        <v>1</v>
      </c>
      <c r="AN15" s="19">
        <v>1</v>
      </c>
      <c r="AO15" s="20">
        <v>1</v>
      </c>
      <c r="AP15" s="12">
        <v>0.35</v>
      </c>
      <c r="AQ15" s="13">
        <v>0.56999999999999995</v>
      </c>
      <c r="AR15" s="14">
        <v>0.37</v>
      </c>
      <c r="AS15" s="15">
        <v>0.73</v>
      </c>
      <c r="AT15" s="16">
        <v>0.95</v>
      </c>
      <c r="AU15" s="17">
        <v>0.37</v>
      </c>
      <c r="AV15" s="18">
        <v>1</v>
      </c>
      <c r="AW15" s="19">
        <v>1</v>
      </c>
      <c r="AX15" s="20">
        <v>1</v>
      </c>
      <c r="BA15" s="45"/>
    </row>
    <row r="16" spans="1:53" x14ac:dyDescent="0.3">
      <c r="A16" s="28">
        <v>-2.26065</v>
      </c>
      <c r="B16" s="28">
        <v>115.26295</v>
      </c>
      <c r="C16" s="23" t="s">
        <v>47</v>
      </c>
      <c r="D16" s="21" t="s">
        <v>29</v>
      </c>
      <c r="E16" s="12">
        <f t="shared" ref="E16:E17" si="6">1290/3</f>
        <v>430</v>
      </c>
      <c r="F16" s="13">
        <v>0</v>
      </c>
      <c r="G16" s="14">
        <f>'esdm+ruptl_2030'!G16</f>
        <v>0</v>
      </c>
      <c r="H16" s="15">
        <f>'esdm+ruptl_2030'!H16</f>
        <v>0</v>
      </c>
      <c r="I16" s="16">
        <v>0</v>
      </c>
      <c r="J16" s="17">
        <v>0</v>
      </c>
      <c r="K16" s="18">
        <v>0</v>
      </c>
      <c r="L16" s="57">
        <v>0</v>
      </c>
      <c r="M16" s="54">
        <v>0</v>
      </c>
      <c r="N16" s="12">
        <v>0.3</v>
      </c>
      <c r="O16" s="13">
        <v>0.47</v>
      </c>
      <c r="P16" s="14">
        <v>0.55000000000000004</v>
      </c>
      <c r="Q16" s="15">
        <v>0.9</v>
      </c>
      <c r="R16" s="16">
        <v>0.65</v>
      </c>
      <c r="S16" s="17">
        <v>7.0000000000000007E-2</v>
      </c>
      <c r="T16" s="18">
        <v>1</v>
      </c>
      <c r="U16" s="19">
        <v>1</v>
      </c>
      <c r="V16" s="20">
        <v>1</v>
      </c>
      <c r="W16" s="12">
        <f t="shared" si="0"/>
        <v>129</v>
      </c>
      <c r="X16" s="13">
        <f t="shared" si="0"/>
        <v>0</v>
      </c>
      <c r="Y16" s="14">
        <f t="shared" si="0"/>
        <v>0</v>
      </c>
      <c r="Z16" s="15" t="e">
        <f>#REF!*Q16</f>
        <v>#REF!</v>
      </c>
      <c r="AA16" s="16">
        <f t="shared" si="4"/>
        <v>0</v>
      </c>
      <c r="AB16" s="17">
        <f t="shared" si="1"/>
        <v>0</v>
      </c>
      <c r="AC16" s="18">
        <f t="shared" si="1"/>
        <v>0</v>
      </c>
      <c r="AD16" s="19" t="e">
        <f>#REF!*U16</f>
        <v>#REF!</v>
      </c>
      <c r="AE16" s="20">
        <f t="shared" si="2"/>
        <v>0</v>
      </c>
      <c r="AF16" s="43"/>
      <c r="AG16" s="12">
        <v>0.28999999999999998</v>
      </c>
      <c r="AH16" s="13">
        <v>0.28999999999999998</v>
      </c>
      <c r="AI16" s="14">
        <v>0.56000000000000005</v>
      </c>
      <c r="AJ16" s="15">
        <v>1</v>
      </c>
      <c r="AK16" s="16">
        <v>0.33</v>
      </c>
      <c r="AL16" s="17">
        <v>0.25</v>
      </c>
      <c r="AM16" s="18">
        <v>1</v>
      </c>
      <c r="AN16" s="19">
        <v>1</v>
      </c>
      <c r="AO16" s="20">
        <v>1</v>
      </c>
      <c r="AP16" s="12">
        <v>0.35</v>
      </c>
      <c r="AQ16" s="13">
        <v>0.56999999999999995</v>
      </c>
      <c r="AR16" s="14">
        <v>0.37</v>
      </c>
      <c r="AS16" s="15">
        <v>0.73</v>
      </c>
      <c r="AT16" s="16">
        <v>0.95</v>
      </c>
      <c r="AU16" s="17">
        <v>0.37</v>
      </c>
      <c r="AV16" s="18">
        <v>1</v>
      </c>
      <c r="AW16" s="19">
        <v>1</v>
      </c>
      <c r="AX16" s="20">
        <v>1</v>
      </c>
      <c r="BA16" s="45"/>
    </row>
    <row r="17" spans="1:53" x14ac:dyDescent="0.3">
      <c r="A17" s="28">
        <v>-3.5974499999999998</v>
      </c>
      <c r="B17" s="28">
        <v>115.7526</v>
      </c>
      <c r="C17" s="23" t="s">
        <v>57</v>
      </c>
      <c r="D17" s="21" t="s">
        <v>30</v>
      </c>
      <c r="E17" s="12">
        <f t="shared" si="6"/>
        <v>430</v>
      </c>
      <c r="F17" s="13">
        <f>200</f>
        <v>200</v>
      </c>
      <c r="G17" s="14">
        <f>'esdm+ruptl_2030'!G17</f>
        <v>0</v>
      </c>
      <c r="H17" s="15">
        <f>'esdm+ruptl_2030'!H17+40</f>
        <v>40</v>
      </c>
      <c r="I17" s="16">
        <v>0</v>
      </c>
      <c r="J17" s="17">
        <v>0</v>
      </c>
      <c r="K17" s="18">
        <f>solar_iesr!$B$4*1000*0.01</f>
        <v>1850</v>
      </c>
      <c r="L17" s="57">
        <f>wind_sergio!$B$4/2*1000</f>
        <v>140</v>
      </c>
      <c r="M17" s="54">
        <f>wind_sergio!$C$4*1000/2</f>
        <v>5420</v>
      </c>
      <c r="N17" s="12">
        <v>0.3</v>
      </c>
      <c r="O17" s="13">
        <v>0.47</v>
      </c>
      <c r="P17" s="14">
        <v>0.55000000000000004</v>
      </c>
      <c r="Q17" s="15">
        <v>0.9</v>
      </c>
      <c r="R17" s="16">
        <v>0.65</v>
      </c>
      <c r="S17" s="17">
        <v>7.0000000000000007E-2</v>
      </c>
      <c r="T17" s="18">
        <v>1</v>
      </c>
      <c r="U17" s="19">
        <v>1</v>
      </c>
      <c r="V17" s="20">
        <v>1</v>
      </c>
      <c r="W17" s="12">
        <f t="shared" si="0"/>
        <v>129</v>
      </c>
      <c r="X17" s="13">
        <f t="shared" si="0"/>
        <v>94</v>
      </c>
      <c r="Y17" s="14">
        <f t="shared" si="0"/>
        <v>0</v>
      </c>
      <c r="Z17" s="15" t="e">
        <f>#REF!*Q17</f>
        <v>#REF!</v>
      </c>
      <c r="AA17" s="16">
        <f t="shared" si="4"/>
        <v>0</v>
      </c>
      <c r="AB17" s="17">
        <f t="shared" si="1"/>
        <v>0</v>
      </c>
      <c r="AC17" s="18">
        <f t="shared" si="1"/>
        <v>1850</v>
      </c>
      <c r="AD17" s="19" t="e">
        <f>#REF!*U17</f>
        <v>#REF!</v>
      </c>
      <c r="AE17" s="20">
        <f t="shared" si="2"/>
        <v>5420</v>
      </c>
      <c r="AF17" s="43"/>
      <c r="AG17" s="12">
        <v>0.28999999999999998</v>
      </c>
      <c r="AH17" s="13">
        <v>0.28999999999999998</v>
      </c>
      <c r="AI17" s="14">
        <v>0.56000000000000005</v>
      </c>
      <c r="AJ17" s="15">
        <v>1</v>
      </c>
      <c r="AK17" s="16">
        <v>0.33</v>
      </c>
      <c r="AL17" s="17">
        <v>0.25</v>
      </c>
      <c r="AM17" s="18">
        <v>1</v>
      </c>
      <c r="AN17" s="19">
        <v>1</v>
      </c>
      <c r="AO17" s="20">
        <v>1</v>
      </c>
      <c r="AP17" s="12">
        <v>0.35</v>
      </c>
      <c r="AQ17" s="13">
        <v>0.56999999999999995</v>
      </c>
      <c r="AR17" s="14">
        <v>0.37</v>
      </c>
      <c r="AS17" s="15">
        <v>0.73</v>
      </c>
      <c r="AT17" s="16">
        <v>0.95</v>
      </c>
      <c r="AU17" s="17">
        <v>0.37</v>
      </c>
      <c r="AV17" s="18">
        <v>1</v>
      </c>
      <c r="AW17" s="19">
        <v>1</v>
      </c>
      <c r="AX17" s="20">
        <v>1</v>
      </c>
      <c r="BA17" s="45"/>
    </row>
    <row r="18" spans="1:53" x14ac:dyDescent="0.3">
      <c r="A18" s="28">
        <v>-1.761425</v>
      </c>
      <c r="B18" s="28">
        <v>116.11315</v>
      </c>
      <c r="C18" s="23" t="s">
        <v>48</v>
      </c>
      <c r="D18" s="21" t="s">
        <v>31</v>
      </c>
      <c r="E18" s="12">
        <f>'esdm+ruptl_2030'!E18</f>
        <v>0</v>
      </c>
      <c r="F18" s="13">
        <f>'esdm+ruptl_2030'!F18</f>
        <v>14</v>
      </c>
      <c r="G18" s="14">
        <f>'esdm+ruptl_2030'!G18</f>
        <v>0</v>
      </c>
      <c r="H18" s="15">
        <v>0</v>
      </c>
      <c r="I18" s="16">
        <v>0</v>
      </c>
      <c r="J18" s="17">
        <v>0</v>
      </c>
      <c r="K18" s="18">
        <f>solar_iesr!$B$5/4/2*1000*0.01</f>
        <v>1357.5</v>
      </c>
      <c r="L18" s="57">
        <v>0</v>
      </c>
      <c r="M18" s="54">
        <v>0</v>
      </c>
      <c r="N18" s="12">
        <v>0.3</v>
      </c>
      <c r="O18" s="13">
        <v>0.47</v>
      </c>
      <c r="P18" s="14">
        <v>0.55000000000000004</v>
      </c>
      <c r="Q18" s="15">
        <v>0.9</v>
      </c>
      <c r="R18" s="16">
        <v>0.65</v>
      </c>
      <c r="S18" s="17">
        <v>7.0000000000000007E-2</v>
      </c>
      <c r="T18" s="18">
        <v>1</v>
      </c>
      <c r="U18" s="19">
        <v>1</v>
      </c>
      <c r="V18" s="20">
        <v>1</v>
      </c>
      <c r="W18" s="12">
        <f t="shared" si="0"/>
        <v>0</v>
      </c>
      <c r="X18" s="13">
        <f t="shared" si="0"/>
        <v>6.58</v>
      </c>
      <c r="Y18" s="14">
        <f t="shared" si="0"/>
        <v>0</v>
      </c>
      <c r="Z18" s="15" t="e">
        <f>#REF!*Q18</f>
        <v>#REF!</v>
      </c>
      <c r="AA18" s="16">
        <f t="shared" si="4"/>
        <v>0</v>
      </c>
      <c r="AB18" s="17">
        <f t="shared" si="1"/>
        <v>0</v>
      </c>
      <c r="AC18" s="18">
        <f t="shared" si="1"/>
        <v>1357.5</v>
      </c>
      <c r="AD18" s="19" t="e">
        <f>#REF!*U18</f>
        <v>#REF!</v>
      </c>
      <c r="AE18" s="20">
        <f t="shared" si="2"/>
        <v>0</v>
      </c>
      <c r="AF18" s="43"/>
      <c r="AG18" s="12">
        <v>0.28999999999999998</v>
      </c>
      <c r="AH18" s="13">
        <v>0.28999999999999998</v>
      </c>
      <c r="AI18" s="14">
        <v>0.56000000000000005</v>
      </c>
      <c r="AJ18" s="15">
        <v>1</v>
      </c>
      <c r="AK18" s="16">
        <v>0.33</v>
      </c>
      <c r="AL18" s="17">
        <v>0.25</v>
      </c>
      <c r="AM18" s="18">
        <v>1</v>
      </c>
      <c r="AN18" s="19">
        <v>1</v>
      </c>
      <c r="AO18" s="20">
        <v>1</v>
      </c>
      <c r="AP18" s="12">
        <v>0.35</v>
      </c>
      <c r="AQ18" s="13">
        <v>0.56999999999999995</v>
      </c>
      <c r="AR18" s="14">
        <v>0.37</v>
      </c>
      <c r="AS18" s="15">
        <v>0.73</v>
      </c>
      <c r="AT18" s="16">
        <v>0.95</v>
      </c>
      <c r="AU18" s="17">
        <v>0.37</v>
      </c>
      <c r="AV18" s="18">
        <v>1</v>
      </c>
      <c r="AW18" s="19">
        <v>1</v>
      </c>
      <c r="AX18" s="20">
        <v>1</v>
      </c>
      <c r="BA18" s="45"/>
    </row>
    <row r="19" spans="1:53" x14ac:dyDescent="0.3">
      <c r="A19" s="28">
        <v>-1.190416667</v>
      </c>
      <c r="B19" s="28">
        <v>116.87775000000001</v>
      </c>
      <c r="C19" s="23" t="s">
        <v>49</v>
      </c>
      <c r="D19" s="21" t="s">
        <v>32</v>
      </c>
      <c r="E19" s="12">
        <f>'esdm+ruptl_2030'!E19</f>
        <v>0</v>
      </c>
      <c r="F19" s="13">
        <v>0</v>
      </c>
      <c r="G19" s="14">
        <v>80</v>
      </c>
      <c r="H19" s="15">
        <f>'esdm+ruptl_2030'!H19</f>
        <v>0</v>
      </c>
      <c r="I19" s="16">
        <v>0</v>
      </c>
      <c r="J19" s="17">
        <v>0</v>
      </c>
      <c r="K19" s="18">
        <f>solar_iesr!$B$5/4/2*1000*0.01</f>
        <v>1357.5</v>
      </c>
      <c r="L19" s="57">
        <f>wind_sergio!$B$5*1000/3</f>
        <v>20</v>
      </c>
      <c r="M19" s="54">
        <v>0</v>
      </c>
      <c r="N19" s="12">
        <v>0.3</v>
      </c>
      <c r="O19" s="13">
        <v>0.47</v>
      </c>
      <c r="P19" s="14">
        <v>0.55000000000000004</v>
      </c>
      <c r="Q19" s="15">
        <v>0.9</v>
      </c>
      <c r="R19" s="16">
        <v>0.65</v>
      </c>
      <c r="S19" s="17">
        <v>7.0000000000000007E-2</v>
      </c>
      <c r="T19" s="18">
        <v>1</v>
      </c>
      <c r="U19" s="19">
        <v>1</v>
      </c>
      <c r="V19" s="20">
        <v>1</v>
      </c>
      <c r="W19" s="12">
        <f t="shared" si="0"/>
        <v>0</v>
      </c>
      <c r="X19" s="13">
        <f t="shared" si="0"/>
        <v>0</v>
      </c>
      <c r="Y19" s="14">
        <f t="shared" si="0"/>
        <v>44</v>
      </c>
      <c r="Z19" s="15" t="e">
        <f>#REF!*Q19</f>
        <v>#REF!</v>
      </c>
      <c r="AA19" s="16">
        <f t="shared" si="4"/>
        <v>0</v>
      </c>
      <c r="AB19" s="17">
        <f t="shared" si="4"/>
        <v>0</v>
      </c>
      <c r="AC19" s="18">
        <f t="shared" si="4"/>
        <v>1357.5</v>
      </c>
      <c r="AD19" s="19" t="e">
        <f>#REF!*U19</f>
        <v>#REF!</v>
      </c>
      <c r="AE19" s="20">
        <f t="shared" si="2"/>
        <v>0</v>
      </c>
      <c r="AF19" s="43"/>
      <c r="AG19" s="12">
        <v>0.28999999999999998</v>
      </c>
      <c r="AH19" s="13">
        <v>0.28999999999999998</v>
      </c>
      <c r="AI19" s="14">
        <v>0.56000000000000005</v>
      </c>
      <c r="AJ19" s="15">
        <v>1</v>
      </c>
      <c r="AK19" s="16">
        <v>0.33</v>
      </c>
      <c r="AL19" s="17">
        <v>0.25</v>
      </c>
      <c r="AM19" s="18">
        <v>1</v>
      </c>
      <c r="AN19" s="19">
        <v>1</v>
      </c>
      <c r="AO19" s="20">
        <v>1</v>
      </c>
      <c r="AP19" s="12">
        <v>0.35</v>
      </c>
      <c r="AQ19" s="13">
        <v>0.56999999999999995</v>
      </c>
      <c r="AR19" s="14">
        <v>0.37</v>
      </c>
      <c r="AS19" s="15">
        <v>0.73</v>
      </c>
      <c r="AT19" s="16">
        <v>0.95</v>
      </c>
      <c r="AU19" s="17">
        <v>0.37</v>
      </c>
      <c r="AV19" s="18">
        <v>1</v>
      </c>
      <c r="AW19" s="19">
        <v>1</v>
      </c>
      <c r="AX19" s="20">
        <v>1</v>
      </c>
      <c r="BA19" s="45"/>
    </row>
    <row r="20" spans="1:53" x14ac:dyDescent="0.3">
      <c r="A20" s="28">
        <v>-0.48473333299999999</v>
      </c>
      <c r="B20" s="28">
        <v>117.0814444</v>
      </c>
      <c r="C20" s="23" t="s">
        <v>50</v>
      </c>
      <c r="D20" s="21" t="s">
        <v>33</v>
      </c>
      <c r="E20" s="12">
        <f>'esdm+ruptl_2030'!E20</f>
        <v>0</v>
      </c>
      <c r="F20" s="13">
        <v>0</v>
      </c>
      <c r="G20" s="14">
        <v>0</v>
      </c>
      <c r="H20" s="15">
        <v>0</v>
      </c>
      <c r="I20" s="16">
        <f>'esdm+ruptl_2030'!I20</f>
        <v>90</v>
      </c>
      <c r="J20" s="17">
        <v>0</v>
      </c>
      <c r="K20" s="18">
        <f>solar_iesr!$B$5/4*1000*0.01</f>
        <v>2715</v>
      </c>
      <c r="L20" s="57">
        <f>wind_sergio!$B$5*1000/3</f>
        <v>20</v>
      </c>
      <c r="M20" s="54">
        <v>0</v>
      </c>
      <c r="N20" s="12">
        <v>0.3</v>
      </c>
      <c r="O20" s="13">
        <v>0.47</v>
      </c>
      <c r="P20" s="14">
        <v>0.55000000000000004</v>
      </c>
      <c r="Q20" s="15">
        <v>0.9</v>
      </c>
      <c r="R20" s="16">
        <v>0.65</v>
      </c>
      <c r="S20" s="17">
        <v>7.0000000000000007E-2</v>
      </c>
      <c r="T20" s="18">
        <v>1</v>
      </c>
      <c r="U20" s="19">
        <v>1</v>
      </c>
      <c r="V20" s="20">
        <v>1</v>
      </c>
      <c r="W20" s="12">
        <f t="shared" si="0"/>
        <v>0</v>
      </c>
      <c r="X20" s="13">
        <f t="shared" si="0"/>
        <v>0</v>
      </c>
      <c r="Y20" s="14">
        <f t="shared" si="0"/>
        <v>0</v>
      </c>
      <c r="Z20" s="15" t="e">
        <f>#REF!*Q20</f>
        <v>#REF!</v>
      </c>
      <c r="AA20" s="16">
        <f t="shared" si="4"/>
        <v>58.5</v>
      </c>
      <c r="AB20" s="17">
        <f t="shared" si="4"/>
        <v>0</v>
      </c>
      <c r="AC20" s="18">
        <f t="shared" si="4"/>
        <v>2715</v>
      </c>
      <c r="AD20" s="19" t="e">
        <f>#REF!*U20</f>
        <v>#REF!</v>
      </c>
      <c r="AE20" s="20">
        <f t="shared" si="2"/>
        <v>0</v>
      </c>
      <c r="AF20" s="43"/>
      <c r="AG20" s="12">
        <v>0.28999999999999998</v>
      </c>
      <c r="AH20" s="13">
        <v>0.28999999999999998</v>
      </c>
      <c r="AI20" s="14">
        <v>0.56000000000000005</v>
      </c>
      <c r="AJ20" s="15">
        <v>1</v>
      </c>
      <c r="AK20" s="16">
        <v>0.33</v>
      </c>
      <c r="AL20" s="17">
        <v>0.25</v>
      </c>
      <c r="AM20" s="18">
        <v>1</v>
      </c>
      <c r="AN20" s="19">
        <v>1</v>
      </c>
      <c r="AO20" s="20">
        <v>1</v>
      </c>
      <c r="AP20" s="12">
        <v>0.35</v>
      </c>
      <c r="AQ20" s="13">
        <v>0.56999999999999995</v>
      </c>
      <c r="AR20" s="14">
        <v>0.37</v>
      </c>
      <c r="AS20" s="15">
        <v>0.73</v>
      </c>
      <c r="AT20" s="16">
        <v>0.95</v>
      </c>
      <c r="AU20" s="17">
        <v>0.37</v>
      </c>
      <c r="AV20" s="18">
        <v>1</v>
      </c>
      <c r="AW20" s="19">
        <v>1</v>
      </c>
      <c r="AX20" s="20">
        <v>1</v>
      </c>
      <c r="BA20" s="45"/>
    </row>
    <row r="21" spans="1:53" x14ac:dyDescent="0.3">
      <c r="A21" s="28">
        <v>0.31574999999999998</v>
      </c>
      <c r="B21" s="28">
        <v>117.50215</v>
      </c>
      <c r="C21" s="23" t="s">
        <v>51</v>
      </c>
      <c r="D21" s="21" t="s">
        <v>34</v>
      </c>
      <c r="E21" s="12">
        <f>'esdm+ruptl_2030'!E21</f>
        <v>0</v>
      </c>
      <c r="F21" s="13">
        <v>0</v>
      </c>
      <c r="G21" s="14">
        <v>0</v>
      </c>
      <c r="H21" s="15">
        <f>'esdm+ruptl_2030'!H21</f>
        <v>0</v>
      </c>
      <c r="I21" s="16">
        <f>16844*0.1-'esdm+ruptl_2030'!I21-I22-I20-I15-I14</f>
        <v>991.40000000000009</v>
      </c>
      <c r="J21" s="17">
        <v>0</v>
      </c>
      <c r="K21" s="18">
        <f>solar_iesr!$B$5/4*1000*0.01</f>
        <v>2715</v>
      </c>
      <c r="L21" s="57">
        <f>wind_sergio!$B$5*1000/3</f>
        <v>20</v>
      </c>
      <c r="M21" s="54">
        <v>0</v>
      </c>
      <c r="N21" s="12">
        <v>0.3</v>
      </c>
      <c r="O21" s="13">
        <v>0.47</v>
      </c>
      <c r="P21" s="14">
        <v>0.55000000000000004</v>
      </c>
      <c r="Q21" s="15">
        <v>0.9</v>
      </c>
      <c r="R21" s="16">
        <v>0.65</v>
      </c>
      <c r="S21" s="17">
        <v>7.0000000000000007E-2</v>
      </c>
      <c r="T21" s="18">
        <v>1</v>
      </c>
      <c r="U21" s="19">
        <v>1</v>
      </c>
      <c r="V21" s="20">
        <v>1</v>
      </c>
      <c r="W21" s="12">
        <f t="shared" si="0"/>
        <v>0</v>
      </c>
      <c r="X21" s="13">
        <f t="shared" si="0"/>
        <v>0</v>
      </c>
      <c r="Y21" s="14">
        <f t="shared" si="0"/>
        <v>0</v>
      </c>
      <c r="Z21" s="15" t="e">
        <f>#REF!*Q21</f>
        <v>#REF!</v>
      </c>
      <c r="AA21" s="16">
        <f t="shared" si="4"/>
        <v>644.41000000000008</v>
      </c>
      <c r="AB21" s="17">
        <f t="shared" si="4"/>
        <v>0</v>
      </c>
      <c r="AC21" s="18">
        <f t="shared" si="4"/>
        <v>2715</v>
      </c>
      <c r="AD21" s="19" t="e">
        <f>#REF!*U21</f>
        <v>#REF!</v>
      </c>
      <c r="AE21" s="20">
        <f t="shared" si="2"/>
        <v>0</v>
      </c>
      <c r="AF21" s="43"/>
      <c r="AG21" s="12">
        <v>0.28999999999999998</v>
      </c>
      <c r="AH21" s="13">
        <v>0.28999999999999998</v>
      </c>
      <c r="AI21" s="14">
        <v>0.56000000000000005</v>
      </c>
      <c r="AJ21" s="15">
        <v>1</v>
      </c>
      <c r="AK21" s="16">
        <v>0.33</v>
      </c>
      <c r="AL21" s="17">
        <v>0.25</v>
      </c>
      <c r="AM21" s="18">
        <v>1</v>
      </c>
      <c r="AN21" s="19">
        <v>1</v>
      </c>
      <c r="AO21" s="20">
        <v>1</v>
      </c>
      <c r="AP21" s="12">
        <v>0.35</v>
      </c>
      <c r="AQ21" s="13">
        <v>0.56999999999999995</v>
      </c>
      <c r="AR21" s="14">
        <v>0.37</v>
      </c>
      <c r="AS21" s="15">
        <v>0.73</v>
      </c>
      <c r="AT21" s="16">
        <v>0.95</v>
      </c>
      <c r="AU21" s="17">
        <v>0.37</v>
      </c>
      <c r="AV21" s="18">
        <v>1</v>
      </c>
      <c r="AW21" s="19">
        <v>1</v>
      </c>
      <c r="AX21" s="20">
        <v>1</v>
      </c>
      <c r="BA21" s="45"/>
    </row>
    <row r="22" spans="1:53" x14ac:dyDescent="0.3">
      <c r="A22" s="28">
        <v>1.0532999999999999</v>
      </c>
      <c r="B22" s="28">
        <v>116.92149999999999</v>
      </c>
      <c r="C22" s="23" t="s">
        <v>52</v>
      </c>
      <c r="D22" s="21" t="s">
        <v>35</v>
      </c>
      <c r="E22" s="12">
        <v>0</v>
      </c>
      <c r="F22" s="13">
        <v>0</v>
      </c>
      <c r="G22" s="14">
        <f>'esdm+ruptl_2030'!G22</f>
        <v>0</v>
      </c>
      <c r="H22" s="15">
        <f>'esdm+ruptl_2030'!H22</f>
        <v>0</v>
      </c>
      <c r="I22" s="16">
        <f>'esdm+ruptl_2030'!I22</f>
        <v>155</v>
      </c>
      <c r="J22" s="17">
        <v>0</v>
      </c>
      <c r="K22" s="18">
        <f>solar_iesr!$B$5/4*1000*0.01</f>
        <v>2715</v>
      </c>
      <c r="L22" s="57">
        <v>0</v>
      </c>
      <c r="M22" s="54">
        <v>0</v>
      </c>
      <c r="N22" s="12">
        <v>0.3</v>
      </c>
      <c r="O22" s="13">
        <v>0.47</v>
      </c>
      <c r="P22" s="14">
        <v>0.55000000000000004</v>
      </c>
      <c r="Q22" s="15">
        <v>0.9</v>
      </c>
      <c r="R22" s="16">
        <v>0.65</v>
      </c>
      <c r="S22" s="17">
        <v>7.0000000000000007E-2</v>
      </c>
      <c r="T22" s="18">
        <v>1</v>
      </c>
      <c r="U22" s="19">
        <v>1</v>
      </c>
      <c r="V22" s="20">
        <v>1</v>
      </c>
      <c r="W22" s="12">
        <f t="shared" si="0"/>
        <v>0</v>
      </c>
      <c r="X22" s="13">
        <f t="shared" si="0"/>
        <v>0</v>
      </c>
      <c r="Y22" s="14">
        <f t="shared" si="0"/>
        <v>0</v>
      </c>
      <c r="Z22" s="15" t="e">
        <f>#REF!*Q22</f>
        <v>#REF!</v>
      </c>
      <c r="AA22" s="16">
        <f t="shared" si="4"/>
        <v>100.75</v>
      </c>
      <c r="AB22" s="17">
        <f t="shared" si="4"/>
        <v>0</v>
      </c>
      <c r="AC22" s="18">
        <f t="shared" si="4"/>
        <v>2715</v>
      </c>
      <c r="AD22" s="19" t="e">
        <f>#REF!*U22</f>
        <v>#REF!</v>
      </c>
      <c r="AE22" s="20">
        <f t="shared" si="2"/>
        <v>0</v>
      </c>
      <c r="AF22" s="43"/>
      <c r="AG22" s="12">
        <v>0.28999999999999998</v>
      </c>
      <c r="AH22" s="13">
        <v>0.28999999999999998</v>
      </c>
      <c r="AI22" s="14">
        <v>0.56000000000000005</v>
      </c>
      <c r="AJ22" s="15">
        <v>1</v>
      </c>
      <c r="AK22" s="16">
        <v>0.33</v>
      </c>
      <c r="AL22" s="17">
        <v>0.25</v>
      </c>
      <c r="AM22" s="18">
        <v>1</v>
      </c>
      <c r="AN22" s="19">
        <v>1</v>
      </c>
      <c r="AO22" s="20">
        <v>1</v>
      </c>
      <c r="AP22" s="12">
        <v>0.35</v>
      </c>
      <c r="AQ22" s="13">
        <v>0.56999999999999995</v>
      </c>
      <c r="AR22" s="14">
        <v>0.37</v>
      </c>
      <c r="AS22" s="15">
        <v>0.73</v>
      </c>
      <c r="AT22" s="16">
        <v>0.95</v>
      </c>
      <c r="AU22" s="17">
        <v>0.37</v>
      </c>
      <c r="AV22" s="18">
        <v>1</v>
      </c>
      <c r="AW22" s="19">
        <v>1</v>
      </c>
      <c r="AX22" s="20">
        <v>1</v>
      </c>
      <c r="BA22" s="45"/>
    </row>
    <row r="23" spans="1:53" x14ac:dyDescent="0.3">
      <c r="A23" s="28">
        <v>3.2987666670000002</v>
      </c>
      <c r="B23" s="28">
        <v>116.9458333</v>
      </c>
      <c r="C23" s="23" t="s">
        <v>53</v>
      </c>
      <c r="D23" s="21" t="s">
        <v>36</v>
      </c>
      <c r="E23" s="12">
        <f>'esdm+ruptl_2030'!E23</f>
        <v>0</v>
      </c>
      <c r="F23" s="13">
        <f>'esdm+ruptl_2030'!F23</f>
        <v>0</v>
      </c>
      <c r="G23" s="14">
        <f>40+40</f>
        <v>80</v>
      </c>
      <c r="H23" s="15">
        <f>'esdm+ruptl_2030'!H23</f>
        <v>0</v>
      </c>
      <c r="I23" s="16">
        <f>'esdm+ruptl_2030'!I23</f>
        <v>90.24</v>
      </c>
      <c r="J23" s="17">
        <v>0</v>
      </c>
      <c r="K23" s="18">
        <f>solar_iesr!$B$6*1000/2*0.01</f>
        <v>665</v>
      </c>
      <c r="L23" s="57">
        <v>0</v>
      </c>
      <c r="M23" s="54">
        <v>0</v>
      </c>
      <c r="N23" s="12">
        <v>0.3</v>
      </c>
      <c r="O23" s="13">
        <v>0.47</v>
      </c>
      <c r="P23" s="14">
        <v>0.55000000000000004</v>
      </c>
      <c r="Q23" s="15">
        <v>0.9</v>
      </c>
      <c r="R23" s="16">
        <v>0.65</v>
      </c>
      <c r="S23" s="17">
        <v>7.0000000000000007E-2</v>
      </c>
      <c r="T23" s="18">
        <v>1</v>
      </c>
      <c r="U23" s="19">
        <v>1</v>
      </c>
      <c r="V23" s="20">
        <v>1</v>
      </c>
      <c r="W23" s="12">
        <f t="shared" si="0"/>
        <v>0</v>
      </c>
      <c r="X23" s="13">
        <f t="shared" si="0"/>
        <v>0</v>
      </c>
      <c r="Y23" s="14">
        <f t="shared" si="0"/>
        <v>44</v>
      </c>
      <c r="Z23" s="15" t="e">
        <f>#REF!*Q23</f>
        <v>#REF!</v>
      </c>
      <c r="AA23" s="16">
        <f t="shared" si="4"/>
        <v>58.655999999999999</v>
      </c>
      <c r="AB23" s="17">
        <f t="shared" si="4"/>
        <v>0</v>
      </c>
      <c r="AC23" s="18">
        <f t="shared" si="4"/>
        <v>665</v>
      </c>
      <c r="AD23" s="19" t="e">
        <f>#REF!*U23</f>
        <v>#REF!</v>
      </c>
      <c r="AE23" s="20">
        <f t="shared" si="2"/>
        <v>0</v>
      </c>
      <c r="AF23" s="43"/>
      <c r="AG23" s="12">
        <v>0.28999999999999998</v>
      </c>
      <c r="AH23" s="13">
        <v>0.28999999999999998</v>
      </c>
      <c r="AI23" s="14">
        <v>0.56000000000000005</v>
      </c>
      <c r="AJ23" s="15">
        <v>1</v>
      </c>
      <c r="AK23" s="16">
        <v>0.33</v>
      </c>
      <c r="AL23" s="17">
        <v>0.25</v>
      </c>
      <c r="AM23" s="18">
        <v>1</v>
      </c>
      <c r="AN23" s="19">
        <v>1</v>
      </c>
      <c r="AO23" s="20">
        <v>1</v>
      </c>
      <c r="AP23" s="12">
        <v>0.35</v>
      </c>
      <c r="AQ23" s="13">
        <v>0.56999999999999995</v>
      </c>
      <c r="AR23" s="14">
        <v>0.37</v>
      </c>
      <c r="AS23" s="15">
        <v>0.73</v>
      </c>
      <c r="AT23" s="16">
        <v>0.95</v>
      </c>
      <c r="AU23" s="17">
        <v>0.37</v>
      </c>
      <c r="AV23" s="18">
        <v>1</v>
      </c>
      <c r="AW23" s="19">
        <v>1</v>
      </c>
      <c r="AX23" s="20">
        <v>1</v>
      </c>
      <c r="BA23" s="45"/>
    </row>
    <row r="24" spans="1:53" x14ac:dyDescent="0.3">
      <c r="A24" s="28">
        <v>3.2987666670000002</v>
      </c>
      <c r="B24" s="28">
        <v>116.9458333</v>
      </c>
      <c r="C24" s="23" t="s">
        <v>53</v>
      </c>
      <c r="D24" s="21" t="s">
        <v>92</v>
      </c>
      <c r="E24" s="12">
        <f>'esdm+ruptl_2030'!E24</f>
        <v>0</v>
      </c>
      <c r="F24" s="13">
        <f>'esdm+ruptl_2030'!F24</f>
        <v>0</v>
      </c>
      <c r="G24" s="14">
        <v>0</v>
      </c>
      <c r="H24" s="15">
        <f>'esdm+ruptl_2030'!H24</f>
        <v>0</v>
      </c>
      <c r="I24" s="16">
        <f>'esdm+ruptl_2030'!I24</f>
        <v>300</v>
      </c>
      <c r="J24" s="17">
        <v>0</v>
      </c>
      <c r="K24" s="18">
        <f>solar_iesr!$B$6*1000/2*0.01</f>
        <v>665</v>
      </c>
      <c r="L24" s="57">
        <v>0</v>
      </c>
      <c r="M24" s="54">
        <v>0</v>
      </c>
      <c r="N24" s="12">
        <v>0.3</v>
      </c>
      <c r="O24" s="13">
        <v>0.47</v>
      </c>
      <c r="P24" s="14">
        <v>0.55000000000000004</v>
      </c>
      <c r="Q24" s="15">
        <v>0.9</v>
      </c>
      <c r="R24" s="16">
        <v>0.65</v>
      </c>
      <c r="S24" s="17">
        <v>7.0000000000000007E-2</v>
      </c>
      <c r="T24" s="18">
        <v>1</v>
      </c>
      <c r="U24" s="19">
        <v>1</v>
      </c>
      <c r="V24" s="20">
        <v>1</v>
      </c>
      <c r="W24" s="12">
        <f t="shared" si="0"/>
        <v>0</v>
      </c>
      <c r="X24" s="13">
        <f t="shared" si="0"/>
        <v>0</v>
      </c>
      <c r="Y24" s="14">
        <f t="shared" si="0"/>
        <v>0</v>
      </c>
      <c r="Z24" s="15" t="e">
        <f>#REF!*Q24</f>
        <v>#REF!</v>
      </c>
      <c r="AA24" s="16">
        <f t="shared" si="4"/>
        <v>195</v>
      </c>
      <c r="AB24" s="17">
        <f t="shared" si="4"/>
        <v>0</v>
      </c>
      <c r="AC24" s="18">
        <f t="shared" si="4"/>
        <v>665</v>
      </c>
      <c r="AD24" s="19" t="e">
        <f>#REF!*U24</f>
        <v>#REF!</v>
      </c>
      <c r="AE24" s="20">
        <f t="shared" si="2"/>
        <v>0</v>
      </c>
      <c r="AF24" s="43"/>
      <c r="AG24" s="12">
        <v>0.28999999999999998</v>
      </c>
      <c r="AH24" s="13">
        <v>0.28999999999999998</v>
      </c>
      <c r="AI24" s="14">
        <v>0.56000000000000005</v>
      </c>
      <c r="AJ24" s="15">
        <v>1</v>
      </c>
      <c r="AK24" s="16">
        <v>0.33</v>
      </c>
      <c r="AL24" s="17">
        <v>0.25</v>
      </c>
      <c r="AM24" s="18">
        <v>1</v>
      </c>
      <c r="AN24" s="19">
        <v>1</v>
      </c>
      <c r="AO24" s="20">
        <v>1</v>
      </c>
      <c r="AP24" s="12">
        <v>0.35</v>
      </c>
      <c r="AQ24" s="13">
        <v>0.56999999999999995</v>
      </c>
      <c r="AR24" s="14">
        <v>0.37</v>
      </c>
      <c r="AS24" s="15">
        <v>0.73</v>
      </c>
      <c r="AT24" s="16">
        <v>0.95</v>
      </c>
      <c r="AU24" s="17">
        <v>0.37</v>
      </c>
      <c r="AV24" s="18">
        <v>1</v>
      </c>
      <c r="AW24" s="19">
        <v>1</v>
      </c>
      <c r="AX24" s="20">
        <v>1</v>
      </c>
      <c r="BA24" s="45"/>
    </row>
    <row r="25" spans="1:53" x14ac:dyDescent="0.3">
      <c r="C25" s="26" t="s">
        <v>56</v>
      </c>
      <c r="D25" s="27">
        <f>SUM(E25:M25)</f>
        <v>90637.440000000002</v>
      </c>
      <c r="E25" s="25">
        <f>SUM(E3:E24)</f>
        <v>4620.2000000000007</v>
      </c>
      <c r="F25" s="25">
        <f t="shared" ref="F25:M25" si="7">SUM(F3:F24)</f>
        <v>614</v>
      </c>
      <c r="G25" s="25">
        <f t="shared" si="7"/>
        <v>860</v>
      </c>
      <c r="H25" s="25">
        <f t="shared" si="7"/>
        <v>40</v>
      </c>
      <c r="I25" s="25">
        <f t="shared" si="7"/>
        <v>2513.2399999999998</v>
      </c>
      <c r="J25" s="25">
        <f t="shared" si="7"/>
        <v>0</v>
      </c>
      <c r="K25" s="25">
        <f t="shared" si="7"/>
        <v>29500</v>
      </c>
      <c r="L25" s="25">
        <f t="shared" si="7"/>
        <v>2530</v>
      </c>
      <c r="M25" s="25">
        <f t="shared" si="7"/>
        <v>49960</v>
      </c>
      <c r="W25" s="29">
        <f>SUM(W3:W24)</f>
        <v>1386.0600000000002</v>
      </c>
      <c r="X25" s="29">
        <f t="shared" ref="X25:AF25" si="8">SUM(X3:X24)</f>
        <v>288.58</v>
      </c>
      <c r="Y25" s="29">
        <f t="shared" si="8"/>
        <v>473</v>
      </c>
      <c r="Z25" s="29" t="e">
        <f t="shared" si="8"/>
        <v>#REF!</v>
      </c>
      <c r="AA25" s="29">
        <f t="shared" si="8"/>
        <v>1633.6060000000002</v>
      </c>
      <c r="AB25" s="29">
        <f t="shared" si="8"/>
        <v>0</v>
      </c>
      <c r="AC25" s="29">
        <f t="shared" si="8"/>
        <v>29500</v>
      </c>
      <c r="AD25" s="29" t="e">
        <f t="shared" si="8"/>
        <v>#REF!</v>
      </c>
      <c r="AE25" s="29">
        <f t="shared" si="8"/>
        <v>49960</v>
      </c>
      <c r="AF25" s="29">
        <f t="shared" si="8"/>
        <v>0</v>
      </c>
    </row>
    <row r="26" spans="1:53" x14ac:dyDescent="0.3">
      <c r="C26" s="60"/>
      <c r="D26" s="61"/>
      <c r="E26" s="25">
        <f>E25*8760</f>
        <v>40472952.000000007</v>
      </c>
      <c r="F26" s="25">
        <f t="shared" ref="F26:J26" si="9">F25*8760</f>
        <v>5378640</v>
      </c>
      <c r="G26" s="25">
        <f t="shared" si="9"/>
        <v>7533600</v>
      </c>
      <c r="H26" s="25">
        <f t="shared" si="9"/>
        <v>350400</v>
      </c>
      <c r="I26" s="25">
        <f t="shared" si="9"/>
        <v>22015982.399999999</v>
      </c>
      <c r="J26" s="25">
        <f t="shared" si="9"/>
        <v>0</v>
      </c>
      <c r="K26" s="25"/>
      <c r="L26" s="25"/>
      <c r="M26" s="25"/>
      <c r="W26" s="29"/>
      <c r="X26" s="29"/>
      <c r="Y26" s="29"/>
      <c r="Z26" s="29"/>
      <c r="AA26" s="29"/>
      <c r="AB26" s="29"/>
      <c r="AC26" s="29"/>
      <c r="AD26" s="29"/>
      <c r="AE26" s="29"/>
      <c r="AF26" s="25">
        <f t="shared" ref="AF26" si="10">AF25*8760</f>
        <v>0</v>
      </c>
    </row>
    <row r="27" spans="1:53" x14ac:dyDescent="0.3">
      <c r="C27" s="60"/>
      <c r="D27" s="61"/>
      <c r="E27" s="62">
        <f>E26*0.9/[3]calliope_2050!$S$8763</f>
        <v>1.1187518334912891</v>
      </c>
      <c r="F27" s="62">
        <f>F26*0.9/[3]calliope_2050!$S$8763</f>
        <v>0.14867616678144915</v>
      </c>
      <c r="G27" s="62">
        <f>G26*0.9/[3]calliope_2050!$S$8763</f>
        <v>0.20824349093167147</v>
      </c>
      <c r="H27" s="62">
        <f>H26*0.9/[3]calliope_2050!$S$8763</f>
        <v>9.6857437642637895E-3</v>
      </c>
      <c r="I27" s="62">
        <f>I26*0.9/[3]calliope_2050!$S$8763</f>
        <v>0.60856496645245817</v>
      </c>
      <c r="J27" s="62">
        <f>J26*0.9/[3]calliope_2050!$S$8763</f>
        <v>0</v>
      </c>
      <c r="K27" s="25"/>
      <c r="L27" s="25"/>
      <c r="M27" s="25"/>
      <c r="W27" s="29"/>
      <c r="X27" s="29"/>
      <c r="Y27" s="29"/>
      <c r="Z27" s="29"/>
      <c r="AA27" s="29"/>
      <c r="AB27" s="29"/>
      <c r="AC27" s="29"/>
      <c r="AD27" s="29"/>
      <c r="AE27" s="29"/>
      <c r="AF27" s="25">
        <f>AF26*0.9/[3]calliope_2030!$S$8763</f>
        <v>0</v>
      </c>
    </row>
    <row r="28" spans="1:53" x14ac:dyDescent="0.3">
      <c r="D28" s="36" t="e">
        <f>SUM(W25:AE25)+AF5</f>
        <v>#REF!</v>
      </c>
      <c r="E28" s="25"/>
      <c r="F28" s="25"/>
      <c r="G28" s="25"/>
      <c r="H28" s="25"/>
      <c r="I28" s="25"/>
      <c r="J28" s="44">
        <v>227.99</v>
      </c>
      <c r="K28" s="25"/>
      <c r="L28" s="25"/>
      <c r="M28" s="25"/>
      <c r="V28" s="29" t="e">
        <f>SUM(W28:AF28)</f>
        <v>#REF!</v>
      </c>
      <c r="W28" s="38" t="e">
        <f>W25/$D$28*100</f>
        <v>#REF!</v>
      </c>
      <c r="X28" s="38" t="e">
        <f t="shared" ref="X28:AF28" si="11">X25/$D$28*100</f>
        <v>#REF!</v>
      </c>
      <c r="Y28" s="38" t="e">
        <f t="shared" si="11"/>
        <v>#REF!</v>
      </c>
      <c r="Z28" s="38" t="e">
        <f t="shared" si="11"/>
        <v>#REF!</v>
      </c>
      <c r="AA28" s="38" t="e">
        <f t="shared" si="11"/>
        <v>#REF!</v>
      </c>
      <c r="AB28" s="38" t="e">
        <f t="shared" si="11"/>
        <v>#REF!</v>
      </c>
      <c r="AC28" s="38" t="e">
        <f t="shared" si="11"/>
        <v>#REF!</v>
      </c>
      <c r="AD28" s="38" t="e">
        <f t="shared" si="11"/>
        <v>#REF!</v>
      </c>
      <c r="AE28" s="38" t="e">
        <f t="shared" si="11"/>
        <v>#REF!</v>
      </c>
      <c r="AF28" s="38" t="e">
        <f t="shared" si="11"/>
        <v>#REF!</v>
      </c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</row>
    <row r="29" spans="1:53" x14ac:dyDescent="0.3">
      <c r="D29" s="37">
        <f>SUMPRODUCT(E3:M24,AG3:AO24)</f>
        <v>84858.887200000012</v>
      </c>
      <c r="E29" s="25"/>
      <c r="F29" s="25"/>
      <c r="G29" s="25"/>
      <c r="H29" s="25"/>
      <c r="I29" s="25"/>
      <c r="J29" s="25" t="e">
        <f>J28/J25</f>
        <v>#DIV/0!</v>
      </c>
      <c r="K29" s="25"/>
      <c r="L29" s="25"/>
      <c r="M29" s="25"/>
      <c r="V29" t="s">
        <v>69</v>
      </c>
      <c r="W29" s="39">
        <v>0.52</v>
      </c>
      <c r="X29" s="39">
        <v>68.58</v>
      </c>
      <c r="Y29" s="39">
        <v>16.3</v>
      </c>
      <c r="Z29" s="39">
        <v>0</v>
      </c>
      <c r="AA29" s="39">
        <v>1.04</v>
      </c>
      <c r="AB29" s="39">
        <v>6.73</v>
      </c>
      <c r="AC29" s="39">
        <v>0</v>
      </c>
      <c r="AD29" s="39">
        <v>0</v>
      </c>
      <c r="AE29" s="39">
        <v>0</v>
      </c>
      <c r="AF29" s="39">
        <v>6.82</v>
      </c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</row>
    <row r="30" spans="1:53" x14ac:dyDescent="0.3">
      <c r="D30" s="37"/>
      <c r="E30" s="25"/>
      <c r="F30" s="25"/>
      <c r="G30" s="25"/>
      <c r="H30" s="25"/>
      <c r="I30" s="25"/>
      <c r="J30" s="25">
        <f>J28-J25</f>
        <v>227.99</v>
      </c>
      <c r="K30" s="25"/>
      <c r="L30" s="25"/>
      <c r="M30" s="25"/>
      <c r="T30" t="s">
        <v>78</v>
      </c>
      <c r="U30" t="s">
        <v>77</v>
      </c>
      <c r="V30" t="s">
        <v>76</v>
      </c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</row>
    <row r="31" spans="1:53" x14ac:dyDescent="0.3">
      <c r="C31" s="22" t="s">
        <v>71</v>
      </c>
      <c r="D31" s="48">
        <f>SUM(E31:K31)+AF31</f>
        <v>12677.8</v>
      </c>
      <c r="E31" s="25">
        <f>SUM(E3:E9)</f>
        <v>1831.1999999999998</v>
      </c>
      <c r="F31" s="25">
        <f t="shared" ref="F31:M31" si="12">SUM(F3:F9)</f>
        <v>350</v>
      </c>
      <c r="G31" s="25">
        <f t="shared" si="12"/>
        <v>300</v>
      </c>
      <c r="H31" s="25">
        <f t="shared" si="12"/>
        <v>0</v>
      </c>
      <c r="I31" s="25">
        <f t="shared" si="12"/>
        <v>456.60000000000008</v>
      </c>
      <c r="J31" s="25">
        <f t="shared" si="12"/>
        <v>0</v>
      </c>
      <c r="K31" s="25">
        <f t="shared" si="12"/>
        <v>9740</v>
      </c>
      <c r="L31" s="25">
        <f t="shared" si="12"/>
        <v>1010</v>
      </c>
      <c r="M31" s="25">
        <f t="shared" si="12"/>
        <v>18290</v>
      </c>
      <c r="N31" s="29">
        <f>SUM(E31:M31)</f>
        <v>31977.8</v>
      </c>
      <c r="O31" s="29">
        <f>N31*19.55%</f>
        <v>6251.6598999999997</v>
      </c>
      <c r="S31" t="e">
        <f>(V31+90)/[2]calliope_2!$D$11</f>
        <v>#REF!</v>
      </c>
      <c r="T31">
        <v>0.93240000000000001</v>
      </c>
      <c r="U31" s="29" t="e">
        <f>V31-[2]calliope_2!$L$2</f>
        <v>#REF!</v>
      </c>
      <c r="V31" s="41" t="e">
        <f>SUM(W3:AE9)</f>
        <v>#REF!</v>
      </c>
      <c r="W31" s="25">
        <f t="shared" ref="W31:AF31" si="13">SUM(W3:W9)</f>
        <v>549.36</v>
      </c>
      <c r="X31" s="25">
        <f t="shared" si="13"/>
        <v>164.5</v>
      </c>
      <c r="Y31" s="25">
        <f t="shared" si="13"/>
        <v>165</v>
      </c>
      <c r="Z31" s="25" t="e">
        <f t="shared" si="13"/>
        <v>#REF!</v>
      </c>
      <c r="AA31" s="25">
        <f t="shared" si="13"/>
        <v>296.79000000000008</v>
      </c>
      <c r="AB31" s="25">
        <f t="shared" si="13"/>
        <v>0</v>
      </c>
      <c r="AC31" s="25">
        <f t="shared" si="13"/>
        <v>9740</v>
      </c>
      <c r="AD31" s="25" t="e">
        <f t="shared" si="13"/>
        <v>#REF!</v>
      </c>
      <c r="AE31" s="25">
        <f t="shared" si="13"/>
        <v>18290</v>
      </c>
      <c r="AF31" s="25">
        <f t="shared" si="13"/>
        <v>0</v>
      </c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</row>
    <row r="32" spans="1:53" x14ac:dyDescent="0.3">
      <c r="C32" s="22" t="s">
        <v>72</v>
      </c>
      <c r="D32" s="48">
        <f>SUM(E32:K32)+AF32</f>
        <v>11479</v>
      </c>
      <c r="E32" s="25">
        <f>SUM(E10:E17)</f>
        <v>2789</v>
      </c>
      <c r="F32" s="25">
        <f t="shared" ref="F32:M32" si="14">SUM(F10:F17)</f>
        <v>250</v>
      </c>
      <c r="G32" s="25">
        <f t="shared" si="14"/>
        <v>400</v>
      </c>
      <c r="H32" s="25">
        <f t="shared" si="14"/>
        <v>40</v>
      </c>
      <c r="I32" s="25">
        <f t="shared" si="14"/>
        <v>430</v>
      </c>
      <c r="J32" s="25">
        <f t="shared" si="14"/>
        <v>0</v>
      </c>
      <c r="K32" s="25">
        <f t="shared" si="14"/>
        <v>7570</v>
      </c>
      <c r="L32" s="25">
        <f t="shared" si="14"/>
        <v>1460</v>
      </c>
      <c r="M32" s="25">
        <f t="shared" si="14"/>
        <v>31670</v>
      </c>
      <c r="N32" s="29">
        <f>SUM(E32:M32)</f>
        <v>44609</v>
      </c>
      <c r="O32" s="29">
        <f>N32*14.02%</f>
        <v>6254.1817999999994</v>
      </c>
      <c r="S32" t="e">
        <f>SUM(V32:V33)/SUM([2]calliope_2!$E$11:$F$11)</f>
        <v>#REF!</v>
      </c>
      <c r="T32">
        <v>0.95479999999999998</v>
      </c>
      <c r="U32" s="29" t="e">
        <f>V32-(SUM([2]calliope_2!$M$2:$N$2))</f>
        <v>#REF!</v>
      </c>
      <c r="V32" s="41" t="e">
        <f>SUMPRODUCT(W10:AE17)</f>
        <v>#REF!</v>
      </c>
      <c r="W32" s="25">
        <f t="shared" ref="W32:AF32" si="15">SUM(W10:W17)</f>
        <v>836.7</v>
      </c>
      <c r="X32" s="25">
        <f t="shared" si="15"/>
        <v>117.5</v>
      </c>
      <c r="Y32" s="25">
        <f t="shared" si="15"/>
        <v>220</v>
      </c>
      <c r="Z32" s="25" t="e">
        <f t="shared" si="15"/>
        <v>#REF!</v>
      </c>
      <c r="AA32" s="25">
        <f t="shared" si="15"/>
        <v>279.5</v>
      </c>
      <c r="AB32" s="25">
        <f t="shared" si="15"/>
        <v>0</v>
      </c>
      <c r="AC32" s="25">
        <f t="shared" si="15"/>
        <v>7570</v>
      </c>
      <c r="AD32" s="25" t="e">
        <f t="shared" si="15"/>
        <v>#REF!</v>
      </c>
      <c r="AE32" s="25">
        <f t="shared" si="15"/>
        <v>31670</v>
      </c>
      <c r="AF32" s="25">
        <f t="shared" si="15"/>
        <v>0</v>
      </c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</row>
    <row r="33" spans="1:51" x14ac:dyDescent="0.3">
      <c r="C33" s="22" t="s">
        <v>73</v>
      </c>
      <c r="D33" s="48">
        <f>SUM(E33:K33)+AF33</f>
        <v>13990.64</v>
      </c>
      <c r="E33" s="25">
        <f>SUM(E18:E24)</f>
        <v>0</v>
      </c>
      <c r="F33" s="25">
        <f t="shared" ref="F33:M33" si="16">SUM(F18:F24)</f>
        <v>14</v>
      </c>
      <c r="G33" s="25">
        <f t="shared" si="16"/>
        <v>160</v>
      </c>
      <c r="H33" s="25">
        <f t="shared" si="16"/>
        <v>0</v>
      </c>
      <c r="I33" s="25">
        <f t="shared" si="16"/>
        <v>1626.64</v>
      </c>
      <c r="J33" s="25">
        <f t="shared" si="16"/>
        <v>0</v>
      </c>
      <c r="K33" s="25">
        <f t="shared" si="16"/>
        <v>12190</v>
      </c>
      <c r="L33" s="25">
        <f t="shared" si="16"/>
        <v>60</v>
      </c>
      <c r="M33" s="25">
        <f t="shared" si="16"/>
        <v>0</v>
      </c>
      <c r="N33" s="29">
        <f>SUM(E33:M33)</f>
        <v>14050.64</v>
      </c>
      <c r="O33" s="29">
        <f>N33*31.62%</f>
        <v>4442.8123679999999</v>
      </c>
      <c r="T33">
        <v>0.94810000000000005</v>
      </c>
      <c r="U33" s="29" t="e">
        <f>V33-SUM([2]calliope_2!$O$2:$P$2)</f>
        <v>#REF!</v>
      </c>
      <c r="V33" s="41" t="e">
        <f>SUMPRODUCT(W18:AE24)</f>
        <v>#REF!</v>
      </c>
      <c r="W33" s="25">
        <f t="shared" ref="W33:AF33" si="17">SUM(W18:W24)</f>
        <v>0</v>
      </c>
      <c r="X33" s="25">
        <f t="shared" si="17"/>
        <v>6.58</v>
      </c>
      <c r="Y33" s="25">
        <f t="shared" si="17"/>
        <v>88</v>
      </c>
      <c r="Z33" s="25" t="e">
        <f t="shared" si="17"/>
        <v>#REF!</v>
      </c>
      <c r="AA33" s="25">
        <f t="shared" si="17"/>
        <v>1057.316</v>
      </c>
      <c r="AB33" s="25">
        <f t="shared" si="17"/>
        <v>0</v>
      </c>
      <c r="AC33" s="25">
        <f t="shared" si="17"/>
        <v>12190</v>
      </c>
      <c r="AD33" s="25" t="e">
        <f t="shared" si="17"/>
        <v>#REF!</v>
      </c>
      <c r="AE33" s="25">
        <f t="shared" si="17"/>
        <v>0</v>
      </c>
      <c r="AF33" s="25">
        <f t="shared" si="17"/>
        <v>0</v>
      </c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</row>
    <row r="34" spans="1:51" x14ac:dyDescent="0.3">
      <c r="A34" t="s">
        <v>59</v>
      </c>
      <c r="D34" s="49"/>
      <c r="E34" s="25"/>
      <c r="F34" s="25"/>
      <c r="G34" s="25"/>
      <c r="H34" s="25"/>
      <c r="I34" s="25"/>
      <c r="J34" s="25"/>
      <c r="K34" s="25"/>
      <c r="L34" s="25"/>
      <c r="M34" s="25"/>
      <c r="N34" s="29">
        <f>SUM(N31:N33)</f>
        <v>90637.440000000002</v>
      </c>
      <c r="O34" s="29">
        <f>SUM(O31:O33)</f>
        <v>16948.654068</v>
      </c>
      <c r="AE34" t="s">
        <v>70</v>
      </c>
    </row>
    <row r="35" spans="1:51" x14ac:dyDescent="0.3">
      <c r="A35" t="s">
        <v>68</v>
      </c>
      <c r="E35" s="25"/>
      <c r="F35" s="25"/>
      <c r="G35" s="25"/>
      <c r="H35" s="25"/>
      <c r="I35" s="25"/>
      <c r="J35" s="25"/>
      <c r="K35" s="25"/>
      <c r="L35" s="25"/>
      <c r="M35" s="25"/>
      <c r="AE35" s="39">
        <v>6.82</v>
      </c>
      <c r="AF35" s="39"/>
    </row>
    <row r="36" spans="1:51" x14ac:dyDescent="0.3">
      <c r="E36" s="25"/>
      <c r="F36" s="25"/>
      <c r="G36" s="25"/>
      <c r="H36" s="25"/>
      <c r="I36" s="25"/>
      <c r="J36" s="25"/>
      <c r="K36" s="25"/>
      <c r="L36" s="25"/>
      <c r="M36" s="25"/>
    </row>
    <row r="37" spans="1:51" x14ac:dyDescent="0.3">
      <c r="E37" s="25"/>
      <c r="F37" s="25"/>
      <c r="G37" s="25"/>
      <c r="H37" s="25"/>
      <c r="I37" s="25"/>
      <c r="J37" s="25"/>
      <c r="K37" s="25"/>
      <c r="L37" s="25"/>
      <c r="M37" s="25"/>
    </row>
    <row r="38" spans="1:51" x14ac:dyDescent="0.3">
      <c r="E38" s="25"/>
      <c r="F38" s="25"/>
      <c r="G38" s="25"/>
      <c r="H38" s="25"/>
      <c r="I38" s="25"/>
      <c r="J38" s="25"/>
      <c r="K38" s="25"/>
      <c r="L38" s="25"/>
      <c r="M38" s="25"/>
    </row>
    <row r="39" spans="1:51" x14ac:dyDescent="0.3">
      <c r="E39" s="25"/>
      <c r="F39" s="25"/>
      <c r="G39" s="25"/>
      <c r="H39" s="25"/>
      <c r="I39" s="25"/>
      <c r="J39" s="25"/>
      <c r="K39" s="25"/>
      <c r="L39" s="25"/>
      <c r="M39" s="25"/>
    </row>
    <row r="40" spans="1:51" x14ac:dyDescent="0.3">
      <c r="E40" s="25"/>
      <c r="F40" s="25"/>
      <c r="G40" s="25"/>
      <c r="H40" s="25"/>
      <c r="I40" s="25"/>
      <c r="J40" s="25"/>
      <c r="K40" s="25"/>
      <c r="L40" s="25"/>
      <c r="M40" s="25"/>
    </row>
    <row r="41" spans="1:51" x14ac:dyDescent="0.3">
      <c r="E41" s="25"/>
      <c r="F41" s="25"/>
      <c r="G41" s="25"/>
      <c r="H41" s="25"/>
      <c r="I41" s="25"/>
      <c r="J41" s="25"/>
      <c r="K41" s="25"/>
      <c r="L41" s="25"/>
      <c r="M41" s="25"/>
    </row>
    <row r="42" spans="1:51" x14ac:dyDescent="0.3">
      <c r="E42" s="25"/>
      <c r="F42" s="25"/>
      <c r="G42" s="25"/>
      <c r="H42" s="25"/>
      <c r="I42" s="25"/>
      <c r="J42" s="25"/>
      <c r="K42" s="25"/>
      <c r="L42" s="25"/>
      <c r="M42" s="25"/>
    </row>
    <row r="43" spans="1:51" x14ac:dyDescent="0.3">
      <c r="E43" s="25"/>
      <c r="F43" s="25"/>
      <c r="G43" s="25"/>
      <c r="H43" s="25"/>
      <c r="I43" s="25"/>
      <c r="J43" s="25"/>
      <c r="K43" s="25"/>
      <c r="L43" s="25"/>
      <c r="M43" s="25"/>
    </row>
    <row r="44" spans="1:51" x14ac:dyDescent="0.3">
      <c r="E44" s="25"/>
      <c r="F44" s="25"/>
      <c r="G44" s="25"/>
      <c r="H44" s="25"/>
      <c r="I44" s="25"/>
      <c r="J44" s="25"/>
      <c r="K44" s="25"/>
      <c r="L44" s="25"/>
      <c r="M44" s="25"/>
    </row>
    <row r="45" spans="1:51" x14ac:dyDescent="0.3">
      <c r="E45" s="25"/>
      <c r="F45" s="25"/>
      <c r="G45" s="25"/>
      <c r="H45" s="25"/>
      <c r="I45" s="25"/>
      <c r="J45" s="25"/>
      <c r="K45" s="25"/>
      <c r="L45" s="25"/>
      <c r="M45" s="25"/>
    </row>
    <row r="46" spans="1:51" x14ac:dyDescent="0.3">
      <c r="E46" s="25"/>
      <c r="F46" s="25"/>
      <c r="G46" s="25"/>
      <c r="H46" s="25"/>
      <c r="I46" s="25"/>
      <c r="J46" s="25"/>
      <c r="K46" s="25"/>
      <c r="L46" s="25"/>
      <c r="M46" s="25"/>
    </row>
    <row r="47" spans="1:51" x14ac:dyDescent="0.3">
      <c r="E47" s="25"/>
      <c r="F47" s="25"/>
      <c r="G47" s="25"/>
      <c r="H47" s="25"/>
      <c r="I47" s="25"/>
      <c r="J47" s="25"/>
      <c r="K47" s="25"/>
      <c r="L47" s="25"/>
      <c r="M47" s="25"/>
    </row>
    <row r="48" spans="1:51" x14ac:dyDescent="0.3">
      <c r="E48" s="25"/>
      <c r="F48" s="25"/>
      <c r="G48" s="25"/>
      <c r="H48" s="25"/>
      <c r="I48" s="25"/>
      <c r="J48" s="25"/>
      <c r="K48" s="25"/>
      <c r="L48" s="25"/>
      <c r="M48" s="25"/>
    </row>
    <row r="49" spans="1:13" x14ac:dyDescent="0.3">
      <c r="E49" s="25"/>
      <c r="F49" s="25"/>
      <c r="G49" s="25"/>
      <c r="H49" s="25"/>
      <c r="I49" s="25"/>
      <c r="J49" s="25"/>
      <c r="K49" s="25"/>
      <c r="L49" s="25"/>
      <c r="M49" s="25"/>
    </row>
    <row r="50" spans="1:13" x14ac:dyDescent="0.3">
      <c r="E50" s="25"/>
      <c r="F50" s="25"/>
      <c r="G50" s="25"/>
      <c r="H50" s="25"/>
      <c r="I50" s="25"/>
      <c r="J50" s="25"/>
      <c r="K50" s="25"/>
      <c r="L50" s="25"/>
      <c r="M50" s="25"/>
    </row>
    <row r="51" spans="1:13" x14ac:dyDescent="0.3">
      <c r="E51" s="25"/>
      <c r="F51" s="25"/>
      <c r="G51" s="25"/>
      <c r="H51" s="25"/>
      <c r="I51" s="25"/>
      <c r="J51" s="25"/>
      <c r="K51" s="25"/>
      <c r="L51" s="25"/>
      <c r="M51" s="25"/>
    </row>
    <row r="52" spans="1:13" x14ac:dyDescent="0.3">
      <c r="E52" s="25"/>
      <c r="F52" s="25"/>
      <c r="G52" s="25"/>
      <c r="H52" s="25"/>
      <c r="I52" s="25"/>
      <c r="J52" s="25"/>
      <c r="K52" s="25"/>
      <c r="L52" s="25"/>
      <c r="M52" s="25"/>
    </row>
    <row r="53" spans="1:13" x14ac:dyDescent="0.3">
      <c r="E53" s="25"/>
      <c r="F53" s="25"/>
      <c r="G53" s="25"/>
      <c r="H53" s="25"/>
      <c r="I53" s="25"/>
      <c r="J53" s="25"/>
      <c r="K53" s="25"/>
      <c r="L53" s="25"/>
      <c r="M53" s="25"/>
    </row>
    <row r="54" spans="1:13" x14ac:dyDescent="0.3">
      <c r="E54" s="25"/>
      <c r="F54" s="25"/>
      <c r="G54" s="25"/>
      <c r="H54" s="25"/>
      <c r="I54" s="25"/>
      <c r="J54" s="25"/>
      <c r="K54" s="25"/>
      <c r="L54" s="25"/>
      <c r="M54" s="25"/>
    </row>
    <row r="55" spans="1:13" x14ac:dyDescent="0.3">
      <c r="E55" s="25"/>
      <c r="F55" s="25"/>
      <c r="G55" s="25"/>
      <c r="H55" s="25"/>
      <c r="I55" s="25"/>
      <c r="J55" s="25"/>
      <c r="K55" s="25"/>
      <c r="L55" s="25"/>
      <c r="M55" s="25"/>
    </row>
    <row r="60" spans="1:13" x14ac:dyDescent="0.3">
      <c r="A60" t="s">
        <v>74</v>
      </c>
    </row>
    <row r="61" spans="1:13" x14ac:dyDescent="0.3">
      <c r="A61" t="s">
        <v>100</v>
      </c>
    </row>
  </sheetData>
  <mergeCells count="6">
    <mergeCell ref="AP1:AX1"/>
    <mergeCell ref="C1:D1"/>
    <mergeCell ref="E1:M1"/>
    <mergeCell ref="N1:V1"/>
    <mergeCell ref="W1:AE1"/>
    <mergeCell ref="AG1:AO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48EE-4CF5-4429-8E63-A7A2563C0966}">
  <sheetPr codeName="Sheet7"/>
  <dimension ref="A1:D7"/>
  <sheetViews>
    <sheetView workbookViewId="0">
      <selection activeCell="H1" sqref="H1:I7"/>
    </sheetView>
  </sheetViews>
  <sheetFormatPr defaultRowHeight="14.4" x14ac:dyDescent="0.3"/>
  <cols>
    <col min="1" max="1" width="16.6640625" bestFit="1" customWidth="1"/>
    <col min="2" max="3" width="14" bestFit="1" customWidth="1"/>
    <col min="4" max="4" width="10.109375" bestFit="1" customWidth="1"/>
  </cols>
  <sheetData>
    <row r="1" spans="1:4" ht="28.8" x14ac:dyDescent="0.3">
      <c r="A1" s="51" t="s">
        <v>2</v>
      </c>
      <c r="B1" s="52" t="s">
        <v>96</v>
      </c>
      <c r="C1" s="52" t="s">
        <v>97</v>
      </c>
      <c r="D1" s="51" t="s">
        <v>94</v>
      </c>
    </row>
    <row r="2" spans="1:4" x14ac:dyDescent="0.3">
      <c r="A2" t="s">
        <v>86</v>
      </c>
      <c r="B2" s="50">
        <v>1.01</v>
      </c>
      <c r="C2" s="50">
        <v>18.29</v>
      </c>
      <c r="D2" t="s">
        <v>95</v>
      </c>
    </row>
    <row r="3" spans="1:4" x14ac:dyDescent="0.3">
      <c r="A3" t="s">
        <v>87</v>
      </c>
      <c r="B3" s="50">
        <v>1.18</v>
      </c>
      <c r="C3" s="50">
        <v>20.83</v>
      </c>
      <c r="D3" t="s">
        <v>95</v>
      </c>
    </row>
    <row r="4" spans="1:4" x14ac:dyDescent="0.3">
      <c r="A4" t="s">
        <v>88</v>
      </c>
      <c r="B4" s="50">
        <v>0.28000000000000003</v>
      </c>
      <c r="C4" s="50">
        <v>10.84</v>
      </c>
      <c r="D4" t="s">
        <v>95</v>
      </c>
    </row>
    <row r="5" spans="1:4" x14ac:dyDescent="0.3">
      <c r="A5" t="s">
        <v>89</v>
      </c>
      <c r="B5" s="50">
        <v>0.06</v>
      </c>
      <c r="C5" s="50">
        <v>0.22</v>
      </c>
      <c r="D5" t="s">
        <v>95</v>
      </c>
    </row>
    <row r="6" spans="1:4" x14ac:dyDescent="0.3">
      <c r="A6" t="s">
        <v>90</v>
      </c>
      <c r="B6" s="50">
        <v>0</v>
      </c>
      <c r="C6" s="50">
        <v>0</v>
      </c>
      <c r="D6" t="s">
        <v>95</v>
      </c>
    </row>
    <row r="7" spans="1:4" x14ac:dyDescent="0.3">
      <c r="B7" s="55">
        <f>SUM(B2:B6)</f>
        <v>2.5299999999999998</v>
      </c>
      <c r="C7" s="55">
        <f>SUM(C2:C6)</f>
        <v>50.179999999999993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75D3-2D87-4392-8A41-F68190FD633D}">
  <sheetPr codeName="Sheet6"/>
  <dimension ref="A1:C6"/>
  <sheetViews>
    <sheetView workbookViewId="0">
      <selection activeCell="C6" sqref="C6"/>
    </sheetView>
  </sheetViews>
  <sheetFormatPr defaultRowHeight="14.4" x14ac:dyDescent="0.3"/>
  <cols>
    <col min="1" max="1" width="16.6640625" bestFit="1" customWidth="1"/>
    <col min="2" max="2" width="14" bestFit="1" customWidth="1"/>
    <col min="3" max="3" width="9.33203125" bestFit="1" customWidth="1"/>
  </cols>
  <sheetData>
    <row r="1" spans="1:3" x14ac:dyDescent="0.3">
      <c r="A1" t="s">
        <v>2</v>
      </c>
      <c r="B1" t="s">
        <v>91</v>
      </c>
      <c r="C1" t="s">
        <v>102</v>
      </c>
    </row>
    <row r="2" spans="1:3" x14ac:dyDescent="0.3">
      <c r="A2" t="s">
        <v>86</v>
      </c>
      <c r="B2" s="50">
        <v>974</v>
      </c>
      <c r="C2" s="50">
        <v>1577</v>
      </c>
    </row>
    <row r="3" spans="1:3" x14ac:dyDescent="0.3">
      <c r="A3" t="s">
        <v>87</v>
      </c>
      <c r="B3" s="50">
        <v>572</v>
      </c>
      <c r="C3" s="50">
        <v>1025</v>
      </c>
    </row>
    <row r="4" spans="1:3" x14ac:dyDescent="0.3">
      <c r="A4" t="s">
        <v>88</v>
      </c>
      <c r="B4" s="50">
        <v>185</v>
      </c>
      <c r="C4" s="50">
        <v>275</v>
      </c>
    </row>
    <row r="5" spans="1:3" x14ac:dyDescent="0.3">
      <c r="A5" t="s">
        <v>89</v>
      </c>
      <c r="B5" s="50">
        <v>1086</v>
      </c>
      <c r="C5" s="50">
        <v>1686</v>
      </c>
    </row>
    <row r="6" spans="1:3" x14ac:dyDescent="0.3">
      <c r="A6" t="s">
        <v>90</v>
      </c>
      <c r="B6" s="50">
        <v>133</v>
      </c>
      <c r="C6" s="50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parameters</vt:lpstr>
      <vt:lpstr>esdm</vt:lpstr>
      <vt:lpstr>ruptl</vt:lpstr>
      <vt:lpstr>esdm+ruptl_2030</vt:lpstr>
      <vt:lpstr>esdm+ruptl_2050</vt:lpstr>
      <vt:lpstr>esdm+ruptl_2050_rev</vt:lpstr>
      <vt:lpstr>esdm+ruptl_2050 (2)</vt:lpstr>
      <vt:lpstr>wind_sergio</vt:lpstr>
      <vt:lpstr>solar_iesr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Hilman Dwi Putra</dc:creator>
  <cp:lastModifiedBy>Hilman Putra</cp:lastModifiedBy>
  <dcterms:created xsi:type="dcterms:W3CDTF">2022-03-13T21:24:53Z</dcterms:created>
  <dcterms:modified xsi:type="dcterms:W3CDTF">2022-06-04T13:41:35Z</dcterms:modified>
</cp:coreProperties>
</file>